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worksheets/sheet162.xml" ContentType="application/vnd.openxmlformats-officedocument.spreadsheetml.worksheet+xml"/>
  <Override PartName="/xl/worksheets/sheet163.xml" ContentType="application/vnd.openxmlformats-officedocument.spreadsheetml.worksheet+xml"/>
  <Override PartName="/xl/worksheets/sheet164.xml" ContentType="application/vnd.openxmlformats-officedocument.spreadsheetml.worksheet+xml"/>
  <Override PartName="/xl/worksheets/sheet165.xml" ContentType="application/vnd.openxmlformats-officedocument.spreadsheetml.worksheet+xml"/>
  <Override PartName="/xl/worksheets/sheet166.xml" ContentType="application/vnd.openxmlformats-officedocument.spreadsheetml.worksheet+xml"/>
  <Override PartName="/xl/worksheets/sheet167.xml" ContentType="application/vnd.openxmlformats-officedocument.spreadsheetml.worksheet+xml"/>
  <Override PartName="/xl/worksheets/sheet168.xml" ContentType="application/vnd.openxmlformats-officedocument.spreadsheetml.worksheet+xml"/>
  <Override PartName="/xl/worksheets/sheet169.xml" ContentType="application/vnd.openxmlformats-officedocument.spreadsheetml.worksheet+xml"/>
  <Override PartName="/xl/worksheets/sheet170.xml" ContentType="application/vnd.openxmlformats-officedocument.spreadsheetml.worksheet+xml"/>
  <Override PartName="/xl/worksheets/sheet171.xml" ContentType="application/vnd.openxmlformats-officedocument.spreadsheetml.worksheet+xml"/>
  <Override PartName="/xl/worksheets/sheet172.xml" ContentType="application/vnd.openxmlformats-officedocument.spreadsheetml.worksheet+xml"/>
  <Override PartName="/xl/worksheets/sheet173.xml" ContentType="application/vnd.openxmlformats-officedocument.spreadsheetml.worksheet+xml"/>
  <Override PartName="/xl/worksheets/sheet17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embeddings/oleObject1.bin" ContentType="application/vnd.openxmlformats-officedocument.oleObject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embeddings/oleObject2.bin" ContentType="application/vnd.openxmlformats-officedocument.oleObject"/>
  <Override PartName="/xl/drawings/drawing10.xml" ContentType="application/vnd.openxmlformats-officedocument.drawing+xml"/>
  <Override PartName="/xl/embeddings/oleObject3.bin" ContentType="application/vnd.openxmlformats-officedocument.oleObject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embeddings/oleObject4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eshleman\Dropbox\Work and research\Port Authority\construction_bids\"/>
    </mc:Choice>
  </mc:AlternateContent>
  <xr:revisionPtr revIDLastSave="0" documentId="8_{B1A44208-6B9D-47E8-A0D1-31C9B673644C}" xr6:coauthVersionLast="43" xr6:coauthVersionMax="43" xr10:uidLastSave="{00000000-0000-0000-0000-000000000000}"/>
  <bookViews>
    <workbookView xWindow="4155" yWindow="1440" windowWidth="24135" windowHeight="15690" tabRatio="932" firstSheet="2" activeTab="7" xr2:uid="{00000000-000D-0000-FFFF-FFFF00000000}"/>
  </bookViews>
  <sheets>
    <sheet name="2019 1Q Analysis" sheetId="181" state="hidden" r:id="rId1"/>
    <sheet name="2018 3Q Analysis" sheetId="179" state="hidden" r:id="rId2"/>
    <sheet name=" PAT-024.069 Void" sheetId="11" r:id="rId3"/>
    <sheet name="2015 Analysis" sheetId="54" r:id="rId4"/>
    <sheet name="2016 Analysis" sheetId="99" r:id="rId5"/>
    <sheet name="2017 Analysis" sheetId="173" r:id="rId6"/>
    <sheet name="2018 Analysis" sheetId="180" r:id="rId7"/>
    <sheet name="2019 Analysis" sheetId="182" r:id="rId8"/>
    <sheet name="Anal 1Q17" sheetId="127" state="hidden" r:id="rId9"/>
    <sheet name="MASTER SUMMARY" sheetId="21" r:id="rId10"/>
    <sheet name="MWBE" sheetId="178" r:id="rId11"/>
    <sheet name="MWBE Work Orders" sheetId="183" r:id="rId12"/>
    <sheet name="SUMMARY" sheetId="2" r:id="rId13"/>
    <sheet name="AK-195" sheetId="51" r:id="rId14"/>
    <sheet name="AKO-924.054" sheetId="92" r:id="rId15"/>
    <sheet name="BP-694.510" sheetId="155" r:id="rId16"/>
    <sheet name="BT-254.085" sheetId="168" r:id="rId17"/>
    <sheet name="BT-254.123" sheetId="125" r:id="rId18"/>
    <sheet name="CL-UCL format" sheetId="4" r:id="rId19"/>
    <sheet name="CL-UCL-Comp format" sheetId="5" r:id="rId20"/>
    <sheet name="EP-684.509 Void" sheetId="52" r:id="rId21"/>
    <sheet name="EP-684.509A" sheetId="68" r:id="rId22"/>
    <sheet name="EP-924.643" sheetId="134" r:id="rId23"/>
    <sheet name="EWR-154.184" sheetId="13" r:id="rId24"/>
    <sheet name="EWR-154.197" sheetId="63" r:id="rId25"/>
    <sheet name="EWR-154.227" sheetId="144" r:id="rId26"/>
    <sheet name="EWR-154.234" sheetId="123" r:id="rId27"/>
    <sheet name="EWR-154.235" sheetId="169" r:id="rId28"/>
    <sheet name="EWR-154.239" sheetId="24" r:id="rId29"/>
    <sheet name="EWR-154.240" sheetId="145" r:id="rId30"/>
    <sheet name="EWR-154.247" sheetId="167" r:id="rId31"/>
    <sheet name="EWR-154.254" sheetId="160" r:id="rId32"/>
    <sheet name="EWR-154.263" sheetId="171" r:id="rId33"/>
    <sheet name="EWR-154.264" sheetId="141" r:id="rId34"/>
    <sheet name="EWR-154.271" sheetId="142" r:id="rId35"/>
    <sheet name="EWR-154.383" sheetId="164" r:id="rId36"/>
    <sheet name="EWR-154.392" sheetId="110" r:id="rId37"/>
    <sheet name="EWR-251" sheetId="153" r:id="rId38"/>
    <sheet name="EWR-924.175A" sheetId="23" r:id="rId39"/>
    <sheet name="EWR-924.233" sheetId="137" r:id="rId40"/>
    <sheet name="EWR-924.281" sheetId="69" r:id="rId41"/>
    <sheet name="EWR-924.288" sheetId="104" r:id="rId42"/>
    <sheet name="EWR-924.320" sheetId="16" r:id="rId43"/>
    <sheet name="EWR-924.366" sheetId="86" r:id="rId44"/>
    <sheet name="EWR-924.375" sheetId="116" r:id="rId45"/>
    <sheet name="EWR-924.384" sheetId="159" r:id="rId46"/>
    <sheet name="GWB-244.042" sheetId="156" r:id="rId47"/>
    <sheet name="GWB-244.048" sheetId="119" r:id="rId48"/>
    <sheet name="GWB-244.150" sheetId="59" r:id="rId49"/>
    <sheet name="GWB-244.240" sheetId="27" r:id="rId50"/>
    <sheet name="GWB-244.246" sheetId="71" r:id="rId51"/>
    <sheet name="GWB-244.256" sheetId="20" r:id="rId52"/>
    <sheet name="GWB-244.261" sheetId="177" r:id="rId53"/>
    <sheet name="GWB-244.263" sheetId="121" r:id="rId54"/>
    <sheet name="GWB-563" sheetId="96" r:id="rId55"/>
    <sheet name="GWB-564" sheetId="8" r:id="rId56"/>
    <sheet name="GWB-566" sheetId="10" r:id="rId57"/>
    <sheet name="GWB-924.044" sheetId="49" r:id="rId58"/>
    <sheet name="GWB-924.092" sheetId="19" r:id="rId59"/>
    <sheet name="GWB-924.159" sheetId="12" r:id="rId60"/>
    <sheet name="GWB-924.159A Void" sheetId="97" r:id="rId61"/>
    <sheet name="GWB-924.159B" sheetId="140" r:id="rId62"/>
    <sheet name="GWB-924.170" sheetId="115" r:id="rId63"/>
    <sheet name="GWB-924.176" sheetId="132" r:id="rId64"/>
    <sheet name="HT-224.116" sheetId="18" r:id="rId65"/>
    <sheet name="HT-224.117" sheetId="70" r:id="rId66"/>
    <sheet name="HT-224.120" sheetId="148" r:id="rId67"/>
    <sheet name="HT-224.127" sheetId="95" r:id="rId68"/>
    <sheet name="HT-469" sheetId="76" r:id="rId69"/>
    <sheet name="HT-473A Void" sheetId="73" r:id="rId70"/>
    <sheet name="HT-924.089" sheetId="109" r:id="rId71"/>
    <sheet name="HT-924.097" sheetId="93" r:id="rId72"/>
    <sheet name="HT-924.106" sheetId="157" r:id="rId73"/>
    <sheet name="HT-924.144" sheetId="158" r:id="rId74"/>
    <sheet name="JFK-1050" sheetId="40" r:id="rId75"/>
    <sheet name="JFK-1064" sheetId="81" r:id="rId76"/>
    <sheet name="JFK-1067" sheetId="107" r:id="rId77"/>
    <sheet name="JFK-1070" sheetId="150" r:id="rId78"/>
    <sheet name="JFK-124.009" sheetId="114" r:id="rId79"/>
    <sheet name="JFK-124.016" sheetId="106" r:id="rId80"/>
    <sheet name="JFK-124.027" sheetId="90" r:id="rId81"/>
    <sheet name="JFK-134.025" sheetId="45" r:id="rId82"/>
    <sheet name="JFK-144.019" sheetId="88" r:id="rId83"/>
    <sheet name="JFK-144.023" sheetId="170" r:id="rId84"/>
    <sheet name="JFK-154.019" sheetId="136" r:id="rId85"/>
    <sheet name="JFK-154.021" sheetId="161" r:id="rId86"/>
    <sheet name="JFK-154.022" sheetId="112" r:id="rId87"/>
    <sheet name="JFK-154.024" sheetId="149" r:id="rId88"/>
    <sheet name="JFK-914.209" sheetId="30" r:id="rId89"/>
    <sheet name="LGA-103.014" sheetId="58" r:id="rId90"/>
    <sheet name="LGA-103.015" sheetId="111" r:id="rId91"/>
    <sheet name="LGA-124.086" sheetId="75" r:id="rId92"/>
    <sheet name="LGA-124.166" sheetId="48" r:id="rId93"/>
    <sheet name="LGA-124.226" sheetId="15" r:id="rId94"/>
    <sheet name="LGA-124.229" sheetId="22" r:id="rId95"/>
    <sheet name="LGA-124.231" sheetId="46" r:id="rId96"/>
    <sheet name="LGA-124.236" sheetId="100" r:id="rId97"/>
    <sheet name="LGA-124.240" sheetId="61" r:id="rId98"/>
    <sheet name="LGA-124.244" sheetId="147" r:id="rId99"/>
    <sheet name="LGA-124.250" sheetId="118" r:id="rId100"/>
    <sheet name="LGA-124.255" sheetId="124" r:id="rId101"/>
    <sheet name="LGA-154.251" sheetId="152" r:id="rId102"/>
    <sheet name="LGA-774.133" sheetId="41" r:id="rId103"/>
    <sheet name="LGA-774.133A" sheetId="25" r:id="rId104"/>
    <sheet name="LGA-774.133B" sheetId="60" r:id="rId105"/>
    <sheet name="LGA-774.234" sheetId="38" r:id="rId106"/>
    <sheet name="LGA-774.235" sheetId="143" r:id="rId107"/>
    <sheet name="LGA-774.236" sheetId="39" r:id="rId108"/>
    <sheet name="LGA-924.287" sheetId="174" r:id="rId109"/>
    <sheet name="LS format" sheetId="1" r:id="rId110"/>
    <sheet name="LT-234.179" sheetId="133" r:id="rId111"/>
    <sheet name="LT-234.193" sheetId="172" r:id="rId112"/>
    <sheet name="LT-234.194" sheetId="163" r:id="rId113"/>
    <sheet name="LT-534" sheetId="84" r:id="rId114"/>
    <sheet name="LT-800.382" sheetId="80" r:id="rId115"/>
    <sheet name="LT-924.014" sheetId="26" r:id="rId116"/>
    <sheet name="LT-924.014A" sheetId="72" r:id="rId117"/>
    <sheet name="LT-924.028" sheetId="78" r:id="rId118"/>
    <sheet name="LT-934.027" sheetId="82" r:id="rId119"/>
    <sheet name="LT-944.096 Void" sheetId="83" r:id="rId120"/>
    <sheet name="MF-924.022" sheetId="154" r:id="rId121"/>
    <sheet name="MFA-924.283" sheetId="17" r:id="rId122"/>
    <sheet name="MFP-072.016" sheetId="122" r:id="rId123"/>
    <sheet name="MFP-924.623" sheetId="28" r:id="rId124"/>
    <sheet name="MFP-924.630" sheetId="36" r:id="rId125"/>
    <sheet name="MFP-924.634" sheetId="126" r:id="rId126"/>
    <sheet name="MFP-924.638" sheetId="64" r:id="rId127"/>
    <sheet name="MFP-924.641" sheetId="135" r:id="rId128"/>
    <sheet name="MFP-924.644" sheetId="108" r:id="rId129"/>
    <sheet name="MFP-924.645 Void" sheetId="113" r:id="rId130"/>
    <sheet name="MFP-924.645A" sheetId="131" r:id="rId131"/>
    <sheet name="MFP-924.662" sheetId="151" r:id="rId132"/>
    <sheet name="New Metric Sheet" sheetId="65" state="hidden" r:id="rId133"/>
    <sheet name="PATH 06022047" sheetId="138" state="hidden" r:id="rId134"/>
    <sheet name="NYNJRR-644.531" sheetId="29" r:id="rId135"/>
    <sheet name="NYNJRR-644.537" sheetId="74" r:id="rId136"/>
    <sheet name="PAT-024.002" sheetId="146" r:id="rId137"/>
    <sheet name="PAT-024.031" sheetId="139" r:id="rId138"/>
    <sheet name="PAT-024.069A" sheetId="91" r:id="rId139"/>
    <sheet name="PAT-084.001" sheetId="128" r:id="rId140"/>
    <sheet name="PAT-084.039" sheetId="105" r:id="rId141"/>
    <sheet name="PAT-084.057" sheetId="43" r:id="rId142"/>
    <sheet name="PAT-131.000" sheetId="32" r:id="rId143"/>
    <sheet name="PAT-534.316 Void" sheetId="103" r:id="rId144"/>
    <sheet name="PAT-534.316A" sheetId="162" r:id="rId145"/>
    <sheet name="PAT-643" sheetId="37" r:id="rId146"/>
    <sheet name="PAT-774.154" sheetId="62" r:id="rId147"/>
    <sheet name="PAT-784.163" sheetId="67" r:id="rId148"/>
    <sheet name="PAT-784.164" sheetId="85" r:id="rId149"/>
    <sheet name="PJ-654.502" sheetId="166" r:id="rId150"/>
    <sheet name="PJ-664.503" sheetId="101" r:id="rId151"/>
    <sheet name="PJ-664.527" sheetId="89" r:id="rId152"/>
    <sheet name="PJ-924.624" sheetId="42" r:id="rId153"/>
    <sheet name="PN-654.036" sheetId="14" r:id="rId154"/>
    <sheet name="PN-654.038" sheetId="79" r:id="rId155"/>
    <sheet name="PN-654.041" sheetId="55" r:id="rId156"/>
    <sheet name="PN-654.042A" sheetId="87" r:id="rId157"/>
    <sheet name="PN-654.544" sheetId="57" r:id="rId158"/>
    <sheet name="PN-654.545" sheetId="31" r:id="rId159"/>
    <sheet name="PN-654.551" sheetId="102" r:id="rId160"/>
    <sheet name="PN-654.558" sheetId="130" r:id="rId161"/>
    <sheet name="PN-654.562" sheetId="175" r:id="rId162"/>
    <sheet name="PN-954.004" sheetId="44" r:id="rId163"/>
    <sheet name="SWF-017" sheetId="98" r:id="rId164"/>
    <sheet name="SWF-164.031A" sheetId="33" r:id="rId165"/>
    <sheet name="SWF-164.054" sheetId="66" r:id="rId166"/>
    <sheet name="TEB-144.045" sheetId="120" r:id="rId167"/>
    <sheet name="TEB-144.048" sheetId="129" r:id="rId168"/>
    <sheet name="TEB-144.056" sheetId="176" r:id="rId169"/>
    <sheet name="TEB-914.203" sheetId="35" r:id="rId170"/>
    <sheet name="Test tab" sheetId="3" r:id="rId171"/>
    <sheet name="TP-104.006" sheetId="50" r:id="rId172"/>
    <sheet name="WTC-222.004" sheetId="56" r:id="rId173"/>
    <sheet name="WTC-222.004 Void" sheetId="53" r:id="rId174"/>
  </sheets>
  <externalReferences>
    <externalReference r:id="rId175"/>
    <externalReference r:id="rId176"/>
  </externalReferences>
  <definedNames>
    <definedName name="_xlnm._FilterDatabase" localSheetId="12" hidden="1">SUMMARY!$D$2:$D$836</definedName>
    <definedName name="_xlnm.Print_Area" localSheetId="8">'Anal 1Q17'!$B$2:$S$27</definedName>
    <definedName name="_xlnm.Print_Area" localSheetId="15">'BP-694.510'!$A$1:$L$47</definedName>
    <definedName name="_xlnm.Print_Area" localSheetId="16">'BT-254.085'!$C$2:$M$47</definedName>
    <definedName name="_xlnm.Print_Area" localSheetId="19">'CL-UCL-Comp format'!$D$2:$L$46</definedName>
    <definedName name="_xlnm.Print_Area" localSheetId="24">'EWR-154.197'!$C$1:$L$47</definedName>
    <definedName name="_xlnm.Print_Area" localSheetId="26">'EWR-154.234'!$A$1:$L$57</definedName>
    <definedName name="_xlnm.Print_Area" localSheetId="27">'EWR-154.235'!$A$1:$L$57</definedName>
    <definedName name="_xlnm.Print_Area" localSheetId="35">'EWR-154.383'!$A$1:$L$57</definedName>
    <definedName name="_xlnm.Print_Area" localSheetId="36">'EWR-154.392'!$D$2:$L$46</definedName>
    <definedName name="_xlnm.Print_Area" localSheetId="37">'EWR-251'!$A$1:$L$57</definedName>
    <definedName name="_xlnm.Print_Area" localSheetId="46">'GWB-244.042'!$C$2:$M$47</definedName>
    <definedName name="_xlnm.Print_Area" localSheetId="47">'GWB-244.048'!$C$2:$M$47</definedName>
    <definedName name="_xlnm.Print_Area" localSheetId="48">'GWB-244.150'!$C$2:$L$48</definedName>
    <definedName name="_xlnm.Print_Area" localSheetId="67">'HT-224.127'!$C$2:$L$49</definedName>
    <definedName name="_xlnm.Print_Area" localSheetId="68">'HT-469'!$B$1:$L$47</definedName>
    <definedName name="_xlnm.Print_Area" localSheetId="76">'JFK-1067'!$D$2:$L$46</definedName>
    <definedName name="_xlnm.Print_Area" localSheetId="79">'JFK-124.016'!$D$2:$L$46</definedName>
    <definedName name="_xlnm.Print_Area" localSheetId="82">'JFK-144.019'!$D$2:$L$46</definedName>
    <definedName name="_xlnm.Print_Area" localSheetId="85">'JFK-154.021'!$A$1:$L$57</definedName>
    <definedName name="_xlnm.Print_Area" localSheetId="89">'LGA-103.014'!$C$1:$L$47</definedName>
    <definedName name="_xlnm.Print_Area" localSheetId="96">'LGA-124.236'!$D$2:$L$46</definedName>
    <definedName name="_xlnm.Print_Area" localSheetId="97">'LGA-124.240'!$C$1:$L$47</definedName>
    <definedName name="_xlnm.Print_Area" localSheetId="99">'LGA-124.250'!$A$1:$L$57</definedName>
    <definedName name="_xlnm.Print_Area" localSheetId="106">'LGA-774.235'!$A$1:$L$57</definedName>
    <definedName name="_xlnm.Print_Area" localSheetId="111">'LT-234.193'!$A$1:$L$57</definedName>
    <definedName name="_xlnm.Print_Area" localSheetId="120">'MF-924.022'!$A$1:$L$57</definedName>
    <definedName name="_xlnm.Print_Area" localSheetId="121">'MFA-924.283'!$D$2:$L$46</definedName>
    <definedName name="_xlnm.Print_Area" localSheetId="10">MWBE!$C$1:$S$80</definedName>
    <definedName name="_xlnm.Print_Area" localSheetId="11">'MWBE Work Orders'!$C$2:$P$17</definedName>
    <definedName name="_xlnm.Print_Area" localSheetId="135">'NYNJRR-644.537'!$B$1:$L$47</definedName>
    <definedName name="_xlnm.Print_Area" localSheetId="137">'PAT-024.031'!$A$1:$L$57</definedName>
    <definedName name="_xlnm.Print_Area" localSheetId="139">'PAT-084.001'!$A$1:$L$57</definedName>
    <definedName name="_xlnm.Print_Area" localSheetId="146">'PAT-774.154'!$C$1:$L$47</definedName>
    <definedName name="_xlnm.Print_Area" localSheetId="133">'PATH 06022047'!$B$2:$S$13</definedName>
    <definedName name="_xlnm.Print_Area" localSheetId="149">'PJ-654.502'!$A$1:$L$57</definedName>
    <definedName name="_xlnm.Print_Area" localSheetId="155">'PN-654.041'!$C$2:$L$47</definedName>
    <definedName name="_xlnm.Print_Area" localSheetId="157">'PN-654.544'!$C$1:$L$47</definedName>
    <definedName name="_xlnm.Print_Area" localSheetId="158">'PN-654.545'!$D$2:$L$46</definedName>
    <definedName name="_xlnm.Print_Area" localSheetId="12">SUMMARY!$B$2:$S$78</definedName>
    <definedName name="_xlnm.Print_Area" localSheetId="167">'TEB-144.048'!$A$1:$L$57</definedName>
    <definedName name="_xlnm.Print_Area" localSheetId="172">'WTC-222.004'!$C$1:$L$47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7" i="182" l="1"/>
  <c r="K161" i="182" l="1"/>
  <c r="H161" i="182"/>
  <c r="J18" i="183" l="1"/>
  <c r="J16" i="183"/>
  <c r="F16" i="183"/>
  <c r="AS15" i="183"/>
  <c r="AR15" i="183"/>
  <c r="AQ15" i="183"/>
  <c r="AP15" i="183"/>
  <c r="AO15" i="183"/>
  <c r="AN15" i="183"/>
  <c r="AM15" i="183"/>
  <c r="AL15" i="183"/>
  <c r="AK15" i="183"/>
  <c r="AJ15" i="183"/>
  <c r="AI15" i="183"/>
  <c r="AH15" i="183"/>
  <c r="AG15" i="183"/>
  <c r="AF15" i="183"/>
  <c r="AE15" i="183"/>
  <c r="AD15" i="183"/>
  <c r="AC15" i="183"/>
  <c r="AB15" i="183"/>
  <c r="AA15" i="183"/>
  <c r="Z15" i="183"/>
  <c r="Y15" i="183"/>
  <c r="X15" i="183"/>
  <c r="W15" i="183"/>
  <c r="V15" i="183"/>
  <c r="U15" i="183"/>
  <c r="AS14" i="183"/>
  <c r="AR14" i="183"/>
  <c r="AQ14" i="183"/>
  <c r="AP14" i="183"/>
  <c r="AO14" i="183"/>
  <c r="AN14" i="183"/>
  <c r="AM14" i="183"/>
  <c r="AL14" i="183"/>
  <c r="AK14" i="183"/>
  <c r="AJ14" i="183"/>
  <c r="AI14" i="183"/>
  <c r="AH14" i="183"/>
  <c r="AG14" i="183"/>
  <c r="AF14" i="183"/>
  <c r="AE14" i="183"/>
  <c r="AD14" i="183"/>
  <c r="AC14" i="183"/>
  <c r="AB14" i="183"/>
  <c r="AA14" i="183"/>
  <c r="Z14" i="183"/>
  <c r="Y14" i="183"/>
  <c r="X14" i="183"/>
  <c r="W14" i="183"/>
  <c r="V14" i="183"/>
  <c r="U14" i="183"/>
  <c r="AS13" i="183"/>
  <c r="AR13" i="183"/>
  <c r="AQ13" i="183"/>
  <c r="AP13" i="183"/>
  <c r="AO13" i="183"/>
  <c r="AN13" i="183"/>
  <c r="AM13" i="183"/>
  <c r="AL13" i="183"/>
  <c r="AK13" i="183"/>
  <c r="AJ13" i="183"/>
  <c r="AI13" i="183"/>
  <c r="AH13" i="183"/>
  <c r="AG13" i="183"/>
  <c r="AF13" i="183"/>
  <c r="AE13" i="183"/>
  <c r="AD13" i="183"/>
  <c r="AC13" i="183"/>
  <c r="AB13" i="183"/>
  <c r="AA13" i="183"/>
  <c r="Z13" i="183"/>
  <c r="Y13" i="183"/>
  <c r="X13" i="183"/>
  <c r="W13" i="183"/>
  <c r="V13" i="183"/>
  <c r="U13" i="183"/>
  <c r="AS12" i="183"/>
  <c r="AR12" i="183"/>
  <c r="AQ12" i="183"/>
  <c r="AP12" i="183"/>
  <c r="AO12" i="183"/>
  <c r="AN12" i="183"/>
  <c r="AM12" i="183"/>
  <c r="AL12" i="183"/>
  <c r="AK12" i="183"/>
  <c r="AJ12" i="183"/>
  <c r="AI12" i="183"/>
  <c r="AH12" i="183"/>
  <c r="AG12" i="183"/>
  <c r="AF12" i="183"/>
  <c r="AE12" i="183"/>
  <c r="AD12" i="183"/>
  <c r="AC12" i="183"/>
  <c r="AB12" i="183"/>
  <c r="AA12" i="183"/>
  <c r="Z12" i="183"/>
  <c r="Y12" i="183"/>
  <c r="X12" i="183"/>
  <c r="W12" i="183"/>
  <c r="V12" i="183"/>
  <c r="U12" i="183"/>
  <c r="AS11" i="183"/>
  <c r="AR11" i="183"/>
  <c r="AQ11" i="183"/>
  <c r="AP11" i="183"/>
  <c r="AO11" i="183"/>
  <c r="AN11" i="183"/>
  <c r="AM11" i="183"/>
  <c r="AL11" i="183"/>
  <c r="AK11" i="183"/>
  <c r="AJ11" i="183"/>
  <c r="AI11" i="183"/>
  <c r="AH11" i="183"/>
  <c r="AG11" i="183"/>
  <c r="AF11" i="183"/>
  <c r="AE11" i="183"/>
  <c r="AD11" i="183"/>
  <c r="AC11" i="183"/>
  <c r="AB11" i="183"/>
  <c r="AA11" i="183"/>
  <c r="Z11" i="183"/>
  <c r="Y11" i="183"/>
  <c r="X11" i="183"/>
  <c r="W11" i="183"/>
  <c r="V11" i="183"/>
  <c r="U11" i="183"/>
  <c r="AS10" i="183"/>
  <c r="AR10" i="183"/>
  <c r="AQ10" i="183"/>
  <c r="AP10" i="183"/>
  <c r="AO10" i="183"/>
  <c r="AN10" i="183"/>
  <c r="AM10" i="183"/>
  <c r="AL10" i="183"/>
  <c r="AK10" i="183"/>
  <c r="AJ10" i="183"/>
  <c r="AI10" i="183"/>
  <c r="AH10" i="183"/>
  <c r="AG10" i="183"/>
  <c r="AF10" i="183"/>
  <c r="AE10" i="183"/>
  <c r="AD10" i="183"/>
  <c r="AC10" i="183"/>
  <c r="AB10" i="183"/>
  <c r="AA10" i="183"/>
  <c r="Z10" i="183"/>
  <c r="Y10" i="183"/>
  <c r="X10" i="183"/>
  <c r="W10" i="183"/>
  <c r="V10" i="183"/>
  <c r="U10" i="183"/>
  <c r="AS9" i="183"/>
  <c r="AR9" i="183"/>
  <c r="AQ9" i="183"/>
  <c r="AP9" i="183"/>
  <c r="AO9" i="183"/>
  <c r="AN9" i="183"/>
  <c r="AM9" i="183"/>
  <c r="AL9" i="183"/>
  <c r="AK9" i="183"/>
  <c r="AJ9" i="183"/>
  <c r="AI9" i="183"/>
  <c r="AH9" i="183"/>
  <c r="AG9" i="183"/>
  <c r="AF9" i="183"/>
  <c r="AE9" i="183"/>
  <c r="AD9" i="183"/>
  <c r="AC9" i="183"/>
  <c r="AB9" i="183"/>
  <c r="AA9" i="183"/>
  <c r="Z9" i="183"/>
  <c r="Y9" i="183"/>
  <c r="X9" i="183"/>
  <c r="W9" i="183"/>
  <c r="V9" i="183"/>
  <c r="U9" i="183"/>
  <c r="AS8" i="183"/>
  <c r="AR8" i="183"/>
  <c r="AQ8" i="183"/>
  <c r="AP8" i="183"/>
  <c r="AO8" i="183"/>
  <c r="AN8" i="183"/>
  <c r="AM8" i="183"/>
  <c r="AL8" i="183"/>
  <c r="AK8" i="183"/>
  <c r="AJ8" i="183"/>
  <c r="AI8" i="183"/>
  <c r="AH8" i="183"/>
  <c r="AG8" i="183"/>
  <c r="AF8" i="183"/>
  <c r="AE8" i="183"/>
  <c r="AD8" i="183"/>
  <c r="AC8" i="183"/>
  <c r="AB8" i="183"/>
  <c r="AA8" i="183"/>
  <c r="Z8" i="183"/>
  <c r="Y8" i="183"/>
  <c r="X8" i="183"/>
  <c r="W8" i="183"/>
  <c r="V8" i="183"/>
  <c r="U8" i="183"/>
  <c r="AS7" i="183"/>
  <c r="AR7" i="183"/>
  <c r="AQ7" i="183"/>
  <c r="AP7" i="183"/>
  <c r="AO7" i="183"/>
  <c r="AN7" i="183"/>
  <c r="AM7" i="183"/>
  <c r="AL7" i="183"/>
  <c r="AK7" i="183"/>
  <c r="AJ7" i="183"/>
  <c r="AI7" i="183"/>
  <c r="AH7" i="183"/>
  <c r="AG7" i="183"/>
  <c r="AF7" i="183"/>
  <c r="AE7" i="183"/>
  <c r="AD7" i="183"/>
  <c r="AC7" i="183"/>
  <c r="AB7" i="183"/>
  <c r="AA7" i="183"/>
  <c r="Z7" i="183"/>
  <c r="Y7" i="183"/>
  <c r="X7" i="183"/>
  <c r="W7" i="183"/>
  <c r="V7" i="183"/>
  <c r="U7" i="183"/>
  <c r="V5" i="183"/>
  <c r="W5" i="183" s="1"/>
  <c r="X5" i="183" s="1"/>
  <c r="Y5" i="183" s="1"/>
  <c r="Z5" i="183" s="1"/>
  <c r="AA5" i="183" s="1"/>
  <c r="AB5" i="183" s="1"/>
  <c r="AC5" i="183" s="1"/>
  <c r="AD5" i="183" s="1"/>
  <c r="AE5" i="183" s="1"/>
  <c r="AF5" i="183" s="1"/>
  <c r="AG5" i="183" s="1"/>
  <c r="AH5" i="183" s="1"/>
  <c r="AI5" i="183" s="1"/>
  <c r="AJ5" i="183" s="1"/>
  <c r="AK5" i="183" s="1"/>
  <c r="AL5" i="183" s="1"/>
  <c r="AM5" i="183" s="1"/>
  <c r="AN5" i="183" s="1"/>
  <c r="AO5" i="183" s="1"/>
  <c r="AP5" i="183" s="1"/>
  <c r="AQ5" i="183" s="1"/>
  <c r="AR5" i="183" s="1"/>
  <c r="AS5" i="183" s="1"/>
  <c r="J11" i="178"/>
  <c r="J12" i="178"/>
  <c r="J13" i="178"/>
  <c r="J14" i="178"/>
  <c r="J15" i="178"/>
  <c r="J16" i="178"/>
  <c r="J17" i="178"/>
  <c r="J18" i="178"/>
  <c r="J19" i="178"/>
  <c r="J20" i="178"/>
  <c r="J21" i="178"/>
  <c r="J22" i="178"/>
  <c r="J23" i="178"/>
  <c r="J24" i="178"/>
  <c r="J25" i="178"/>
  <c r="J10" i="178"/>
  <c r="I15" i="183" l="1"/>
  <c r="K15" i="183" s="1"/>
  <c r="I12" i="183"/>
  <c r="K12" i="183" s="1"/>
  <c r="I13" i="183"/>
  <c r="K13" i="183" s="1"/>
  <c r="M12" i="183"/>
  <c r="M10" i="183"/>
  <c r="M13" i="183"/>
  <c r="M9" i="183"/>
  <c r="M14" i="183"/>
  <c r="I9" i="183"/>
  <c r="K9" i="183" s="1"/>
  <c r="M11" i="183"/>
  <c r="M15" i="183"/>
  <c r="I11" i="183"/>
  <c r="K11" i="183" s="1"/>
  <c r="I14" i="183"/>
  <c r="K14" i="183" s="1"/>
  <c r="I10" i="183"/>
  <c r="K10" i="183" s="1"/>
  <c r="M16" i="183" l="1"/>
  <c r="U11" i="178" l="1"/>
  <c r="U12" i="178"/>
  <c r="U13" i="178"/>
  <c r="U14" i="178"/>
  <c r="U15" i="178"/>
  <c r="U16" i="178"/>
  <c r="U17" i="178"/>
  <c r="U18" i="178"/>
  <c r="U19" i="178"/>
  <c r="U20" i="178"/>
  <c r="U21" i="178"/>
  <c r="U22" i="178"/>
  <c r="U23" i="178"/>
  <c r="U24" i="178"/>
  <c r="U25" i="178"/>
  <c r="U10" i="178"/>
  <c r="G26" i="178"/>
  <c r="L10" i="178"/>
  <c r="M10" i="178"/>
  <c r="L11" i="178"/>
  <c r="M11" i="178"/>
  <c r="L12" i="178"/>
  <c r="M12" i="178"/>
  <c r="M13" i="178"/>
  <c r="L14" i="178"/>
  <c r="L17" i="178"/>
  <c r="L18" i="178"/>
  <c r="L19" i="178"/>
  <c r="L20" i="178"/>
  <c r="M20" i="178"/>
  <c r="M21" i="178"/>
  <c r="M22" i="178"/>
  <c r="L22" i="178"/>
  <c r="M23" i="178"/>
  <c r="M24" i="178"/>
  <c r="M25" i="178"/>
  <c r="M17" i="178" l="1"/>
  <c r="L16" i="178"/>
  <c r="L23" i="178"/>
  <c r="L21" i="178"/>
  <c r="L25" i="178"/>
  <c r="M16" i="178"/>
  <c r="L15" i="178"/>
  <c r="M19" i="178"/>
  <c r="M18" i="178"/>
  <c r="M15" i="178"/>
  <c r="M14" i="178"/>
  <c r="L13" i="178"/>
  <c r="L24" i="178"/>
  <c r="I633" i="182"/>
  <c r="P493" i="182"/>
  <c r="M493" i="182"/>
  <c r="V408" i="182"/>
  <c r="T408" i="182"/>
  <c r="M408" i="182"/>
  <c r="L408" i="182"/>
  <c r="K408" i="182"/>
  <c r="I408" i="182"/>
  <c r="AD408" i="182" s="1"/>
  <c r="H408" i="182"/>
  <c r="AC408" i="182" s="1"/>
  <c r="G408" i="182"/>
  <c r="F408" i="182"/>
  <c r="E408" i="182"/>
  <c r="D408" i="182"/>
  <c r="AR408" i="182"/>
  <c r="AE408" i="182" l="1"/>
  <c r="W408" i="182"/>
  <c r="Y408" i="182"/>
  <c r="Z408" i="182" s="1"/>
  <c r="V288" i="182"/>
  <c r="T288" i="182"/>
  <c r="M288" i="182"/>
  <c r="L288" i="182"/>
  <c r="K288" i="182"/>
  <c r="I288" i="182"/>
  <c r="AD288" i="182" s="1"/>
  <c r="H288" i="182"/>
  <c r="AC288" i="182" s="1"/>
  <c r="G288" i="182"/>
  <c r="F288" i="182"/>
  <c r="E288" i="182"/>
  <c r="D288" i="182"/>
  <c r="J251" i="182"/>
  <c r="J214" i="182"/>
  <c r="H201" i="182"/>
  <c r="I201" i="182"/>
  <c r="L201" i="182"/>
  <c r="P201" i="182" s="1"/>
  <c r="J212" i="182" s="1"/>
  <c r="F203" i="182"/>
  <c r="G203" i="182"/>
  <c r="H203" i="182"/>
  <c r="I203" i="182"/>
  <c r="J203" i="182"/>
  <c r="J295" i="182"/>
  <c r="J267" i="182"/>
  <c r="J240" i="182"/>
  <c r="AQ408" i="182"/>
  <c r="AR288" i="182"/>
  <c r="K201" i="182" l="1"/>
  <c r="AE288" i="182"/>
  <c r="W288" i="182"/>
  <c r="Y288" i="182"/>
  <c r="Z288" i="182" s="1"/>
  <c r="J204" i="182"/>
  <c r="J205" i="182" s="1"/>
  <c r="J213" i="182" s="1"/>
  <c r="M201" i="182"/>
  <c r="J74" i="182"/>
  <c r="J85" i="182"/>
  <c r="J84" i="182"/>
  <c r="F59" i="182"/>
  <c r="E59" i="182"/>
  <c r="D59" i="182"/>
  <c r="V58" i="182"/>
  <c r="T58" i="182"/>
  <c r="M58" i="182"/>
  <c r="L58" i="182"/>
  <c r="K58" i="182"/>
  <c r="I58" i="182"/>
  <c r="H58" i="182"/>
  <c r="AC58" i="182" s="1"/>
  <c r="G58" i="182"/>
  <c r="F58" i="182"/>
  <c r="E58" i="182"/>
  <c r="D58" i="182"/>
  <c r="V57" i="182"/>
  <c r="T57" i="182"/>
  <c r="M57" i="182"/>
  <c r="L57" i="182"/>
  <c r="K57" i="182"/>
  <c r="I57" i="182"/>
  <c r="AD57" i="182" s="1"/>
  <c r="H57" i="182"/>
  <c r="AC57" i="182" s="1"/>
  <c r="G57" i="182"/>
  <c r="F57" i="182"/>
  <c r="E57" i="182"/>
  <c r="D57" i="182"/>
  <c r="V56" i="182"/>
  <c r="T56" i="182"/>
  <c r="M56" i="182"/>
  <c r="L56" i="182"/>
  <c r="K56" i="182"/>
  <c r="I56" i="182"/>
  <c r="H56" i="182"/>
  <c r="AC56" i="182" s="1"/>
  <c r="G56" i="182"/>
  <c r="F56" i="182"/>
  <c r="E56" i="182"/>
  <c r="D56" i="182"/>
  <c r="V55" i="182"/>
  <c r="T55" i="182"/>
  <c r="M55" i="182"/>
  <c r="L55" i="182"/>
  <c r="K55" i="182"/>
  <c r="I55" i="182"/>
  <c r="AD55" i="182" s="1"/>
  <c r="H55" i="182"/>
  <c r="AC55" i="182" s="1"/>
  <c r="G55" i="182"/>
  <c r="F55" i="182"/>
  <c r="E55" i="182"/>
  <c r="D55" i="182"/>
  <c r="V54" i="182"/>
  <c r="T54" i="182"/>
  <c r="M54" i="182"/>
  <c r="L54" i="182"/>
  <c r="K54" i="182"/>
  <c r="I54" i="182"/>
  <c r="H54" i="182"/>
  <c r="AC54" i="182" s="1"/>
  <c r="G54" i="182"/>
  <c r="F54" i="182"/>
  <c r="E54" i="182"/>
  <c r="D54" i="182"/>
  <c r="V53" i="182"/>
  <c r="T53" i="182"/>
  <c r="M53" i="182"/>
  <c r="L53" i="182"/>
  <c r="K53" i="182"/>
  <c r="I53" i="182"/>
  <c r="AD53" i="182" s="1"/>
  <c r="H53" i="182"/>
  <c r="AC53" i="182" s="1"/>
  <c r="G53" i="182"/>
  <c r="F53" i="182"/>
  <c r="E53" i="182"/>
  <c r="D53" i="182"/>
  <c r="V52" i="182"/>
  <c r="T52" i="182"/>
  <c r="M52" i="182"/>
  <c r="L52" i="182"/>
  <c r="K52" i="182"/>
  <c r="I52" i="182"/>
  <c r="AD52" i="182" s="1"/>
  <c r="H52" i="182"/>
  <c r="AC52" i="182" s="1"/>
  <c r="G52" i="182"/>
  <c r="F52" i="182"/>
  <c r="E52" i="182"/>
  <c r="D52" i="182"/>
  <c r="V51" i="182"/>
  <c r="T51" i="182"/>
  <c r="M51" i="182"/>
  <c r="L51" i="182"/>
  <c r="K51" i="182"/>
  <c r="I51" i="182"/>
  <c r="AD51" i="182" s="1"/>
  <c r="H51" i="182"/>
  <c r="G51" i="182"/>
  <c r="F51" i="182"/>
  <c r="E51" i="182"/>
  <c r="D51" i="182"/>
  <c r="V50" i="182"/>
  <c r="T50" i="182"/>
  <c r="M50" i="182"/>
  <c r="L50" i="182"/>
  <c r="K50" i="182"/>
  <c r="I50" i="182"/>
  <c r="H50" i="182"/>
  <c r="AC50" i="182" s="1"/>
  <c r="G50" i="182"/>
  <c r="F50" i="182"/>
  <c r="E50" i="182"/>
  <c r="D50" i="182"/>
  <c r="V49" i="182"/>
  <c r="T49" i="182"/>
  <c r="M49" i="182"/>
  <c r="L49" i="182"/>
  <c r="K49" i="182"/>
  <c r="I49" i="182"/>
  <c r="AD49" i="182" s="1"/>
  <c r="H49" i="182"/>
  <c r="AC49" i="182" s="1"/>
  <c r="G49" i="182"/>
  <c r="F49" i="182"/>
  <c r="E49" i="182"/>
  <c r="D49" i="182"/>
  <c r="V48" i="182"/>
  <c r="T48" i="182"/>
  <c r="M48" i="182"/>
  <c r="L48" i="182"/>
  <c r="K48" i="182"/>
  <c r="I48" i="182"/>
  <c r="H48" i="182"/>
  <c r="AC48" i="182" s="1"/>
  <c r="G48" i="182"/>
  <c r="F48" i="182"/>
  <c r="E48" i="182"/>
  <c r="D48" i="182"/>
  <c r="V47" i="182"/>
  <c r="T47" i="182"/>
  <c r="M47" i="182"/>
  <c r="L47" i="182"/>
  <c r="K47" i="182"/>
  <c r="I47" i="182"/>
  <c r="AD47" i="182" s="1"/>
  <c r="H47" i="182"/>
  <c r="AC47" i="182" s="1"/>
  <c r="G47" i="182"/>
  <c r="F47" i="182"/>
  <c r="E47" i="182"/>
  <c r="D47" i="182"/>
  <c r="V46" i="182"/>
  <c r="T46" i="182"/>
  <c r="M46" i="182"/>
  <c r="L46" i="182"/>
  <c r="K46" i="182"/>
  <c r="I46" i="182"/>
  <c r="H46" i="182"/>
  <c r="AC46" i="182" s="1"/>
  <c r="G46" i="182"/>
  <c r="F46" i="182"/>
  <c r="E46" i="182"/>
  <c r="D46" i="182"/>
  <c r="V45" i="182"/>
  <c r="T45" i="182"/>
  <c r="M45" i="182"/>
  <c r="L45" i="182"/>
  <c r="K45" i="182"/>
  <c r="I45" i="182"/>
  <c r="H45" i="182"/>
  <c r="G45" i="182"/>
  <c r="F45" i="182"/>
  <c r="E45" i="182"/>
  <c r="D45" i="182"/>
  <c r="V43" i="182"/>
  <c r="T43" i="182"/>
  <c r="M43" i="182"/>
  <c r="L43" i="182"/>
  <c r="K43" i="182"/>
  <c r="I43" i="182"/>
  <c r="H43" i="182"/>
  <c r="AC43" i="182" s="1"/>
  <c r="G43" i="182"/>
  <c r="F43" i="182"/>
  <c r="E43" i="182"/>
  <c r="D43" i="182"/>
  <c r="V42" i="182"/>
  <c r="T42" i="182"/>
  <c r="M42" i="182"/>
  <c r="L42" i="182"/>
  <c r="K42" i="182"/>
  <c r="I42" i="182"/>
  <c r="H42" i="182"/>
  <c r="AC42" i="182" s="1"/>
  <c r="G42" i="182"/>
  <c r="F42" i="182"/>
  <c r="E42" i="182"/>
  <c r="D42" i="182"/>
  <c r="V41" i="182"/>
  <c r="T41" i="182"/>
  <c r="M41" i="182"/>
  <c r="L41" i="182"/>
  <c r="K41" i="182"/>
  <c r="I41" i="182"/>
  <c r="AD41" i="182" s="1"/>
  <c r="H41" i="182"/>
  <c r="AC41" i="182" s="1"/>
  <c r="G41" i="182"/>
  <c r="F41" i="182"/>
  <c r="E41" i="182"/>
  <c r="D41" i="182"/>
  <c r="V40" i="182"/>
  <c r="T40" i="182"/>
  <c r="M40" i="182"/>
  <c r="L40" i="182"/>
  <c r="K40" i="182"/>
  <c r="I40" i="182"/>
  <c r="H40" i="182"/>
  <c r="AC40" i="182" s="1"/>
  <c r="G40" i="182"/>
  <c r="F40" i="182"/>
  <c r="E40" i="182"/>
  <c r="D40" i="182"/>
  <c r="V39" i="182"/>
  <c r="T39" i="182"/>
  <c r="M39" i="182"/>
  <c r="L39" i="182"/>
  <c r="K39" i="182"/>
  <c r="I39" i="182"/>
  <c r="H39" i="182"/>
  <c r="AC39" i="182" s="1"/>
  <c r="G39" i="182"/>
  <c r="F39" i="182"/>
  <c r="E39" i="182"/>
  <c r="D39" i="182"/>
  <c r="V38" i="182"/>
  <c r="T38" i="182"/>
  <c r="M38" i="182"/>
  <c r="L38" i="182"/>
  <c r="K38" i="182"/>
  <c r="I38" i="182"/>
  <c r="H38" i="182"/>
  <c r="AC38" i="182" s="1"/>
  <c r="G38" i="182"/>
  <c r="F38" i="182"/>
  <c r="E38" i="182"/>
  <c r="D38" i="182"/>
  <c r="V37" i="182"/>
  <c r="T37" i="182"/>
  <c r="M37" i="182"/>
  <c r="L37" i="182"/>
  <c r="K37" i="182"/>
  <c r="I37" i="182"/>
  <c r="AD37" i="182" s="1"/>
  <c r="H37" i="182"/>
  <c r="AC37" i="182" s="1"/>
  <c r="G37" i="182"/>
  <c r="F37" i="182"/>
  <c r="E37" i="182"/>
  <c r="D37" i="182"/>
  <c r="V36" i="182"/>
  <c r="T36" i="182"/>
  <c r="M36" i="182"/>
  <c r="L36" i="182"/>
  <c r="K36" i="182"/>
  <c r="I36" i="182"/>
  <c r="H36" i="182"/>
  <c r="AC36" i="182" s="1"/>
  <c r="G36" i="182"/>
  <c r="F36" i="182"/>
  <c r="E36" i="182"/>
  <c r="D36" i="182"/>
  <c r="V35" i="182"/>
  <c r="T35" i="182"/>
  <c r="M35" i="182"/>
  <c r="L35" i="182"/>
  <c r="K35" i="182"/>
  <c r="I35" i="182"/>
  <c r="H35" i="182"/>
  <c r="AC35" i="182" s="1"/>
  <c r="G35" i="182"/>
  <c r="F35" i="182"/>
  <c r="E35" i="182"/>
  <c r="D35" i="182"/>
  <c r="V34" i="182"/>
  <c r="T34" i="182"/>
  <c r="M34" i="182"/>
  <c r="L34" i="182"/>
  <c r="K34" i="182"/>
  <c r="I34" i="182"/>
  <c r="H34" i="182"/>
  <c r="AC34" i="182" s="1"/>
  <c r="G34" i="182"/>
  <c r="F34" i="182"/>
  <c r="E34" i="182"/>
  <c r="D34" i="182"/>
  <c r="V33" i="182"/>
  <c r="T33" i="182"/>
  <c r="M33" i="182"/>
  <c r="L33" i="182"/>
  <c r="K33" i="182"/>
  <c r="I33" i="182"/>
  <c r="AD33" i="182" s="1"/>
  <c r="H33" i="182"/>
  <c r="AC33" i="182" s="1"/>
  <c r="G33" i="182"/>
  <c r="F33" i="182"/>
  <c r="E33" i="182"/>
  <c r="D33" i="182"/>
  <c r="V32" i="182"/>
  <c r="T32" i="182"/>
  <c r="M32" i="182"/>
  <c r="L32" i="182"/>
  <c r="K32" i="182"/>
  <c r="I32" i="182"/>
  <c r="AD32" i="182" s="1"/>
  <c r="H32" i="182"/>
  <c r="AC32" i="182" s="1"/>
  <c r="G32" i="182"/>
  <c r="F32" i="182"/>
  <c r="E32" i="182"/>
  <c r="D32" i="182"/>
  <c r="V30" i="182"/>
  <c r="T30" i="182"/>
  <c r="M30" i="182"/>
  <c r="L30" i="182"/>
  <c r="K30" i="182"/>
  <c r="I30" i="182"/>
  <c r="AD30" i="182" s="1"/>
  <c r="H30" i="182"/>
  <c r="AC30" i="182" s="1"/>
  <c r="G30" i="182"/>
  <c r="F30" i="182"/>
  <c r="E30" i="182"/>
  <c r="D30" i="182"/>
  <c r="V29" i="182"/>
  <c r="T29" i="182"/>
  <c r="M29" i="182"/>
  <c r="L29" i="182"/>
  <c r="K29" i="182"/>
  <c r="I29" i="182"/>
  <c r="AD29" i="182" s="1"/>
  <c r="H29" i="182"/>
  <c r="AC29" i="182" s="1"/>
  <c r="G29" i="182"/>
  <c r="F29" i="182"/>
  <c r="E29" i="182"/>
  <c r="D29" i="182"/>
  <c r="V28" i="182"/>
  <c r="T28" i="182"/>
  <c r="M28" i="182"/>
  <c r="L28" i="182"/>
  <c r="K28" i="182"/>
  <c r="I28" i="182"/>
  <c r="H28" i="182"/>
  <c r="AC28" i="182" s="1"/>
  <c r="G28" i="182"/>
  <c r="F28" i="182"/>
  <c r="E28" i="182"/>
  <c r="D28" i="182"/>
  <c r="V27" i="182"/>
  <c r="T27" i="182"/>
  <c r="M27" i="182"/>
  <c r="L27" i="182"/>
  <c r="K27" i="182"/>
  <c r="I27" i="182"/>
  <c r="H27" i="182"/>
  <c r="AC27" i="182" s="1"/>
  <c r="G27" i="182"/>
  <c r="F27" i="182"/>
  <c r="E27" i="182"/>
  <c r="D27" i="182"/>
  <c r="V26" i="182"/>
  <c r="T26" i="182"/>
  <c r="M26" i="182"/>
  <c r="L26" i="182"/>
  <c r="K26" i="182"/>
  <c r="I26" i="182"/>
  <c r="H26" i="182"/>
  <c r="AC26" i="182" s="1"/>
  <c r="G26" i="182"/>
  <c r="F26" i="182"/>
  <c r="E26" i="182"/>
  <c r="D26" i="182"/>
  <c r="V25" i="182"/>
  <c r="T25" i="182"/>
  <c r="M25" i="182"/>
  <c r="L25" i="182"/>
  <c r="K25" i="182"/>
  <c r="I25" i="182"/>
  <c r="AD25" i="182" s="1"/>
  <c r="H25" i="182"/>
  <c r="AC25" i="182" s="1"/>
  <c r="G25" i="182"/>
  <c r="F25" i="182"/>
  <c r="E25" i="182"/>
  <c r="D25" i="182"/>
  <c r="V24" i="182"/>
  <c r="T24" i="182"/>
  <c r="M24" i="182"/>
  <c r="L24" i="182"/>
  <c r="K24" i="182"/>
  <c r="I24" i="182"/>
  <c r="H24" i="182"/>
  <c r="AC24" i="182" s="1"/>
  <c r="G24" i="182"/>
  <c r="F24" i="182"/>
  <c r="E24" i="182"/>
  <c r="D24" i="182"/>
  <c r="V23" i="182"/>
  <c r="T23" i="182"/>
  <c r="M23" i="182"/>
  <c r="L23" i="182"/>
  <c r="K23" i="182"/>
  <c r="I23" i="182"/>
  <c r="H23" i="182"/>
  <c r="AC23" i="182" s="1"/>
  <c r="G23" i="182"/>
  <c r="F23" i="182"/>
  <c r="E23" i="182"/>
  <c r="D23" i="182"/>
  <c r="V22" i="182"/>
  <c r="T22" i="182"/>
  <c r="M22" i="182"/>
  <c r="L22" i="182"/>
  <c r="K22" i="182"/>
  <c r="I22" i="182"/>
  <c r="H22" i="182"/>
  <c r="AC22" i="182" s="1"/>
  <c r="G22" i="182"/>
  <c r="F22" i="182"/>
  <c r="E22" i="182"/>
  <c r="D22" i="182"/>
  <c r="V21" i="182"/>
  <c r="T21" i="182"/>
  <c r="M21" i="182"/>
  <c r="L21" i="182"/>
  <c r="K21" i="182"/>
  <c r="I21" i="182"/>
  <c r="AD21" i="182" s="1"/>
  <c r="H21" i="182"/>
  <c r="AC21" i="182" s="1"/>
  <c r="G21" i="182"/>
  <c r="F21" i="182"/>
  <c r="E21" i="182"/>
  <c r="D21" i="182"/>
  <c r="V20" i="182"/>
  <c r="T20" i="182"/>
  <c r="M20" i="182"/>
  <c r="L20" i="182"/>
  <c r="K20" i="182"/>
  <c r="I20" i="182"/>
  <c r="H20" i="182"/>
  <c r="AC20" i="182" s="1"/>
  <c r="G20" i="182"/>
  <c r="F20" i="182"/>
  <c r="E20" i="182"/>
  <c r="D20" i="182"/>
  <c r="V19" i="182"/>
  <c r="T19" i="182"/>
  <c r="M19" i="182"/>
  <c r="L19" i="182"/>
  <c r="K19" i="182"/>
  <c r="I19" i="182"/>
  <c r="H19" i="182"/>
  <c r="AC19" i="182" s="1"/>
  <c r="G19" i="182"/>
  <c r="F19" i="182"/>
  <c r="E19" i="182"/>
  <c r="D19" i="182"/>
  <c r="V18" i="182"/>
  <c r="T18" i="182"/>
  <c r="M18" i="182"/>
  <c r="L18" i="182"/>
  <c r="K18" i="182"/>
  <c r="I18" i="182"/>
  <c r="H18" i="182"/>
  <c r="AC18" i="182" s="1"/>
  <c r="G18" i="182"/>
  <c r="F18" i="182"/>
  <c r="E18" i="182"/>
  <c r="D18" i="182"/>
  <c r="V17" i="182"/>
  <c r="T17" i="182"/>
  <c r="M17" i="182"/>
  <c r="L17" i="182"/>
  <c r="K17" i="182"/>
  <c r="I17" i="182"/>
  <c r="H17" i="182"/>
  <c r="G17" i="182"/>
  <c r="F17" i="182"/>
  <c r="E17" i="182"/>
  <c r="D17" i="182"/>
  <c r="V15" i="182"/>
  <c r="T15" i="182"/>
  <c r="M15" i="182"/>
  <c r="L15" i="182"/>
  <c r="K15" i="182"/>
  <c r="I15" i="182"/>
  <c r="H15" i="182"/>
  <c r="AC15" i="182" s="1"/>
  <c r="G15" i="182"/>
  <c r="F15" i="182"/>
  <c r="E15" i="182"/>
  <c r="D15" i="182"/>
  <c r="V14" i="182"/>
  <c r="T14" i="182"/>
  <c r="M14" i="182"/>
  <c r="L14" i="182"/>
  <c r="K14" i="182"/>
  <c r="I14" i="182"/>
  <c r="H14" i="182"/>
  <c r="AC14" i="182" s="1"/>
  <c r="G14" i="182"/>
  <c r="F14" i="182"/>
  <c r="E14" i="182"/>
  <c r="D14" i="182"/>
  <c r="V13" i="182"/>
  <c r="T13" i="182"/>
  <c r="M13" i="182"/>
  <c r="L13" i="182"/>
  <c r="K13" i="182"/>
  <c r="I13" i="182"/>
  <c r="AD13" i="182" s="1"/>
  <c r="H13" i="182"/>
  <c r="AC13" i="182" s="1"/>
  <c r="G13" i="182"/>
  <c r="F13" i="182"/>
  <c r="E13" i="182"/>
  <c r="D13" i="182"/>
  <c r="V12" i="182"/>
  <c r="T12" i="182"/>
  <c r="M12" i="182"/>
  <c r="L12" i="182"/>
  <c r="K12" i="182"/>
  <c r="I12" i="182"/>
  <c r="AD12" i="182" s="1"/>
  <c r="H12" i="182"/>
  <c r="AC12" i="182" s="1"/>
  <c r="G12" i="182"/>
  <c r="F12" i="182"/>
  <c r="E12" i="182"/>
  <c r="D12" i="182"/>
  <c r="V11" i="182"/>
  <c r="T11" i="182"/>
  <c r="M11" i="182"/>
  <c r="L11" i="182"/>
  <c r="K11" i="182"/>
  <c r="I11" i="182"/>
  <c r="H11" i="182"/>
  <c r="AC11" i="182" s="1"/>
  <c r="G11" i="182"/>
  <c r="F11" i="182"/>
  <c r="E11" i="182"/>
  <c r="D11" i="182"/>
  <c r="V10" i="182"/>
  <c r="T10" i="182"/>
  <c r="M10" i="182"/>
  <c r="L10" i="182"/>
  <c r="K10" i="182"/>
  <c r="I10" i="182"/>
  <c r="H10" i="182"/>
  <c r="AC10" i="182" s="1"/>
  <c r="G10" i="182"/>
  <c r="F10" i="182"/>
  <c r="E10" i="182"/>
  <c r="D10" i="182"/>
  <c r="V9" i="182"/>
  <c r="T9" i="182"/>
  <c r="M9" i="182"/>
  <c r="L9" i="182"/>
  <c r="K9" i="182"/>
  <c r="I9" i="182"/>
  <c r="AD9" i="182" s="1"/>
  <c r="H9" i="182"/>
  <c r="G9" i="182"/>
  <c r="F9" i="182"/>
  <c r="E9" i="182"/>
  <c r="D9" i="182"/>
  <c r="F8" i="182"/>
  <c r="E8" i="182"/>
  <c r="D8" i="182"/>
  <c r="V7" i="182"/>
  <c r="T7" i="182"/>
  <c r="M7" i="182"/>
  <c r="L7" i="182"/>
  <c r="K7" i="182"/>
  <c r="I7" i="182"/>
  <c r="AD7" i="182" s="1"/>
  <c r="H7" i="182"/>
  <c r="G7" i="182"/>
  <c r="F7" i="182"/>
  <c r="E7" i="182"/>
  <c r="AR51" i="182"/>
  <c r="AR39" i="182"/>
  <c r="AQ39" i="182"/>
  <c r="AR58" i="182"/>
  <c r="AQ58" i="182"/>
  <c r="AR13" i="182"/>
  <c r="AR46" i="182"/>
  <c r="AQ52" i="182"/>
  <c r="AR52" i="182"/>
  <c r="AQ10" i="182"/>
  <c r="AQ18" i="182"/>
  <c r="AR32" i="182"/>
  <c r="AR56" i="182"/>
  <c r="AQ38" i="182"/>
  <c r="AR22" i="182"/>
  <c r="AR50" i="182"/>
  <c r="AQ30" i="182"/>
  <c r="AR14" i="182"/>
  <c r="AQ50" i="182"/>
  <c r="AQ54" i="182"/>
  <c r="AQ34" i="182"/>
  <c r="AR36" i="182"/>
  <c r="AR47" i="182"/>
  <c r="AQ23" i="182"/>
  <c r="AR30" i="182"/>
  <c r="AR24" i="182"/>
  <c r="AR15" i="182"/>
  <c r="AR43" i="182"/>
  <c r="AR55" i="182"/>
  <c r="AQ51" i="182"/>
  <c r="AR54" i="182"/>
  <c r="AR19" i="182"/>
  <c r="AR48" i="182"/>
  <c r="AQ22" i="182"/>
  <c r="AR35" i="182"/>
  <c r="AQ11" i="182"/>
  <c r="AQ19" i="182"/>
  <c r="AR8" i="182"/>
  <c r="AR38" i="182"/>
  <c r="AR28" i="182"/>
  <c r="AR7" i="182"/>
  <c r="AR34" i="182"/>
  <c r="AQ26" i="182"/>
  <c r="AQ47" i="182"/>
  <c r="AQ42" i="182"/>
  <c r="AQ48" i="182"/>
  <c r="AQ46" i="182"/>
  <c r="AQ288" i="182"/>
  <c r="AQ35" i="182"/>
  <c r="AR18" i="182"/>
  <c r="AR9" i="182"/>
  <c r="AR12" i="182"/>
  <c r="AR27" i="182"/>
  <c r="AR20" i="182"/>
  <c r="AR40" i="182"/>
  <c r="AR42" i="182"/>
  <c r="AR11" i="182"/>
  <c r="AQ56" i="182"/>
  <c r="AQ55" i="182"/>
  <c r="AQ28" i="182"/>
  <c r="AE57" i="182" l="1"/>
  <c r="W40" i="182"/>
  <c r="Y36" i="182"/>
  <c r="Z36" i="182" s="1"/>
  <c r="Y51" i="182"/>
  <c r="Z51" i="182" s="1"/>
  <c r="Y30" i="182"/>
  <c r="Z30" i="182" s="1"/>
  <c r="Y9" i="182"/>
  <c r="Z9" i="182" s="1"/>
  <c r="B43" i="182"/>
  <c r="W32" i="182"/>
  <c r="Y35" i="182"/>
  <c r="Z35" i="182" s="1"/>
  <c r="AE33" i="182"/>
  <c r="W20" i="182"/>
  <c r="Y48" i="182"/>
  <c r="Z48" i="182" s="1"/>
  <c r="AE21" i="182"/>
  <c r="AE25" i="182"/>
  <c r="AE41" i="182"/>
  <c r="AE49" i="182"/>
  <c r="W28" i="182"/>
  <c r="Y10" i="182"/>
  <c r="Z10" i="182" s="1"/>
  <c r="Y15" i="182"/>
  <c r="Z15" i="182" s="1"/>
  <c r="Y23" i="182"/>
  <c r="Z23" i="182" s="1"/>
  <c r="Y24" i="182"/>
  <c r="Z24" i="182" s="1"/>
  <c r="Y7" i="182"/>
  <c r="Z7" i="182" s="1"/>
  <c r="Y19" i="182"/>
  <c r="Z19" i="182" s="1"/>
  <c r="Y20" i="182"/>
  <c r="Z20" i="182" s="1"/>
  <c r="W24" i="182"/>
  <c r="Y27" i="182"/>
  <c r="Z27" i="182" s="1"/>
  <c r="Y28" i="182"/>
  <c r="Z28" i="182" s="1"/>
  <c r="AE29" i="182"/>
  <c r="AE37" i="182"/>
  <c r="W52" i="182"/>
  <c r="Y56" i="182"/>
  <c r="Z56" i="182" s="1"/>
  <c r="AE52" i="182"/>
  <c r="AE12" i="182"/>
  <c r="W36" i="182"/>
  <c r="Y39" i="182"/>
  <c r="Z39" i="182" s="1"/>
  <c r="Y40" i="182"/>
  <c r="Z40" i="182" s="1"/>
  <c r="AG43" i="182"/>
  <c r="W56" i="182"/>
  <c r="Y11" i="182"/>
  <c r="Z11" i="182" s="1"/>
  <c r="Y12" i="182"/>
  <c r="Z12" i="182" s="1"/>
  <c r="Y14" i="182"/>
  <c r="Z14" i="182" s="1"/>
  <c r="AD20" i="182"/>
  <c r="AE20" i="182" s="1"/>
  <c r="Y21" i="182"/>
  <c r="Z21" i="182" s="1"/>
  <c r="AD24" i="182"/>
  <c r="AE24" i="182" s="1"/>
  <c r="Y25" i="182"/>
  <c r="Z25" i="182" s="1"/>
  <c r="AE30" i="182"/>
  <c r="AE32" i="182"/>
  <c r="Y33" i="182"/>
  <c r="Z33" i="182" s="1"/>
  <c r="AD36" i="182"/>
  <c r="AE36" i="182" s="1"/>
  <c r="Y37" i="182"/>
  <c r="Z37" i="182" s="1"/>
  <c r="AD40" i="182"/>
  <c r="AE40" i="182" s="1"/>
  <c r="Y41" i="182"/>
  <c r="Z41" i="182" s="1"/>
  <c r="Y45" i="182"/>
  <c r="Z45" i="182" s="1"/>
  <c r="AC51" i="182"/>
  <c r="AE51" i="182" s="1"/>
  <c r="Y55" i="182"/>
  <c r="Z55" i="182" s="1"/>
  <c r="AD56" i="182"/>
  <c r="AE56" i="182" s="1"/>
  <c r="Y57" i="182"/>
  <c r="Z57" i="182" s="1"/>
  <c r="AD28" i="182"/>
  <c r="AE28" i="182" s="1"/>
  <c r="W29" i="182"/>
  <c r="W48" i="182"/>
  <c r="B15" i="182"/>
  <c r="W12" i="182"/>
  <c r="AG30" i="182"/>
  <c r="Y47" i="182"/>
  <c r="Z47" i="182" s="1"/>
  <c r="AD48" i="182"/>
  <c r="AE48" i="182" s="1"/>
  <c r="Y52" i="182"/>
  <c r="Z52" i="182" s="1"/>
  <c r="AE53" i="182"/>
  <c r="AE13" i="182"/>
  <c r="Y13" i="182"/>
  <c r="Z13" i="182" s="1"/>
  <c r="AG15" i="182"/>
  <c r="Y18" i="182"/>
  <c r="Z18" i="182" s="1"/>
  <c r="AD18" i="182"/>
  <c r="AE18" i="182" s="1"/>
  <c r="W18" i="182"/>
  <c r="Y22" i="182"/>
  <c r="Z22" i="182" s="1"/>
  <c r="AD22" i="182"/>
  <c r="AE22" i="182" s="1"/>
  <c r="W22" i="182"/>
  <c r="Y46" i="182"/>
  <c r="Z46" i="182" s="1"/>
  <c r="AD46" i="182"/>
  <c r="AE46" i="182" s="1"/>
  <c r="W46" i="182"/>
  <c r="Y54" i="182"/>
  <c r="Z54" i="182" s="1"/>
  <c r="AD54" i="182"/>
  <c r="AE54" i="182" s="1"/>
  <c r="W54" i="182"/>
  <c r="W11" i="182"/>
  <c r="AD11" i="182"/>
  <c r="AE11" i="182" s="1"/>
  <c r="AH15" i="182"/>
  <c r="AD17" i="182"/>
  <c r="W17" i="182"/>
  <c r="AH30" i="182"/>
  <c r="AC17" i="182"/>
  <c r="Y43" i="182"/>
  <c r="Z43" i="182" s="1"/>
  <c r="AD43" i="182"/>
  <c r="AE43" i="182" s="1"/>
  <c r="W43" i="182"/>
  <c r="B59" i="182"/>
  <c r="Y49" i="182"/>
  <c r="Z49" i="182" s="1"/>
  <c r="Y53" i="182"/>
  <c r="Z53" i="182" s="1"/>
  <c r="Y26" i="182"/>
  <c r="Z26" i="182" s="1"/>
  <c r="AD26" i="182"/>
  <c r="AE26" i="182" s="1"/>
  <c r="W26" i="182"/>
  <c r="Y42" i="182"/>
  <c r="Z42" i="182" s="1"/>
  <c r="AD42" i="182"/>
  <c r="AE42" i="182" s="1"/>
  <c r="W42" i="182"/>
  <c r="Y50" i="182"/>
  <c r="Z50" i="182" s="1"/>
  <c r="AD50" i="182"/>
  <c r="AE50" i="182" s="1"/>
  <c r="W50" i="182"/>
  <c r="AC7" i="182"/>
  <c r="AE7" i="182" s="1"/>
  <c r="AC9" i="182"/>
  <c r="AE9" i="182" s="1"/>
  <c r="W10" i="182"/>
  <c r="AD10" i="182"/>
  <c r="AE10" i="182" s="1"/>
  <c r="W14" i="182"/>
  <c r="AD14" i="182"/>
  <c r="AE14" i="182" s="1"/>
  <c r="W15" i="182"/>
  <c r="AD15" i="182"/>
  <c r="AE15" i="182" s="1"/>
  <c r="AH43" i="182"/>
  <c r="AG59" i="182"/>
  <c r="AK59" i="182" s="1"/>
  <c r="AC45" i="182"/>
  <c r="Y34" i="182"/>
  <c r="Z34" i="182" s="1"/>
  <c r="AD34" i="182"/>
  <c r="AE34" i="182" s="1"/>
  <c r="W34" i="182"/>
  <c r="Y38" i="182"/>
  <c r="Z38" i="182" s="1"/>
  <c r="AD38" i="182"/>
  <c r="AE38" i="182" s="1"/>
  <c r="W38" i="182"/>
  <c r="Y58" i="182"/>
  <c r="Z58" i="182" s="1"/>
  <c r="AD58" i="182"/>
  <c r="AE58" i="182" s="1"/>
  <c r="W58" i="182"/>
  <c r="W7" i="182"/>
  <c r="W9" i="182"/>
  <c r="W13" i="182"/>
  <c r="B30" i="182"/>
  <c r="Y17" i="182"/>
  <c r="Z17" i="182" s="1"/>
  <c r="Y29" i="182"/>
  <c r="Z29" i="182" s="1"/>
  <c r="AH59" i="182"/>
  <c r="AE47" i="182"/>
  <c r="AE55" i="182"/>
  <c r="W19" i="182"/>
  <c r="AD19" i="182"/>
  <c r="AE19" i="182" s="1"/>
  <c r="W23" i="182"/>
  <c r="AD23" i="182"/>
  <c r="AE23" i="182" s="1"/>
  <c r="W27" i="182"/>
  <c r="AD27" i="182"/>
  <c r="AE27" i="182" s="1"/>
  <c r="Y32" i="182"/>
  <c r="Z32" i="182" s="1"/>
  <c r="W35" i="182"/>
  <c r="AD35" i="182"/>
  <c r="AE35" i="182" s="1"/>
  <c r="W39" i="182"/>
  <c r="AD39" i="182"/>
  <c r="AE39" i="182" s="1"/>
  <c r="W47" i="182"/>
  <c r="W51" i="182"/>
  <c r="W55" i="182"/>
  <c r="W21" i="182"/>
  <c r="W25" i="182"/>
  <c r="W30" i="182"/>
  <c r="W33" i="182"/>
  <c r="W37" i="182"/>
  <c r="W41" i="182"/>
  <c r="W45" i="182"/>
  <c r="AD45" i="182"/>
  <c r="W49" i="182"/>
  <c r="W53" i="182"/>
  <c r="W57" i="182"/>
  <c r="AF739" i="182"/>
  <c r="AC740" i="182"/>
  <c r="AD740" i="182"/>
  <c r="AE740" i="182"/>
  <c r="AF740" i="182"/>
  <c r="AB740" i="182"/>
  <c r="AG736" i="182"/>
  <c r="AG735" i="182"/>
  <c r="AG740" i="182" s="1"/>
  <c r="AF730" i="182"/>
  <c r="AE734" i="182" s="1"/>
  <c r="AE739" i="182" s="1"/>
  <c r="AE730" i="182"/>
  <c r="AD734" i="182" s="1"/>
  <c r="AD739" i="182" s="1"/>
  <c r="AD730" i="182"/>
  <c r="AC734" i="182" s="1"/>
  <c r="AC739" i="182" s="1"/>
  <c r="AC730" i="182"/>
  <c r="AB730" i="182"/>
  <c r="AA730" i="182"/>
  <c r="AG729" i="182"/>
  <c r="AG728" i="182"/>
  <c r="AG727" i="182"/>
  <c r="AG726" i="182"/>
  <c r="AG725" i="182"/>
  <c r="AG724" i="182"/>
  <c r="AG723" i="182"/>
  <c r="AQ36" i="182"/>
  <c r="AQ25" i="182"/>
  <c r="AR41" i="182"/>
  <c r="AQ41" i="182"/>
  <c r="AR49" i="182"/>
  <c r="AQ17" i="182"/>
  <c r="AQ12" i="182"/>
  <c r="AR37" i="182"/>
  <c r="AQ13" i="182"/>
  <c r="AQ33" i="182"/>
  <c r="AR33" i="182"/>
  <c r="AQ53" i="182"/>
  <c r="AR21" i="182"/>
  <c r="AR45" i="182"/>
  <c r="AR53" i="182"/>
  <c r="AR29" i="182"/>
  <c r="AQ45" i="182"/>
  <c r="AR23" i="182"/>
  <c r="AQ20" i="182"/>
  <c r="AQ32" i="182"/>
  <c r="AQ15" i="182"/>
  <c r="AQ9" i="182"/>
  <c r="AQ27" i="182"/>
  <c r="AQ21" i="182"/>
  <c r="AQ8" i="182"/>
  <c r="AR17" i="182"/>
  <c r="AQ40" i="182"/>
  <c r="AQ57" i="182"/>
  <c r="AQ37" i="182"/>
  <c r="AQ29" i="182"/>
  <c r="AR25" i="182"/>
  <c r="AQ43" i="182"/>
  <c r="AR57" i="182"/>
  <c r="AQ49" i="182"/>
  <c r="AQ7" i="182"/>
  <c r="AQ24" i="182"/>
  <c r="AR26" i="182"/>
  <c r="AR10" i="182"/>
  <c r="AQ14" i="182"/>
  <c r="AB734" i="182" l="1"/>
  <c r="AG734" i="182" s="1"/>
  <c r="AG739" i="182" s="1"/>
  <c r="AG741" i="182" s="1"/>
  <c r="AG742" i="182" s="1"/>
  <c r="AG737" i="182" s="1"/>
  <c r="AD741" i="182"/>
  <c r="AD742" i="182" s="1"/>
  <c r="AD737" i="182" s="1"/>
  <c r="AC741" i="182"/>
  <c r="AC742" i="182" s="1"/>
  <c r="AC737" i="182" s="1"/>
  <c r="AF741" i="182"/>
  <c r="AF742" i="182" s="1"/>
  <c r="AF737" i="182" s="1"/>
  <c r="AG730" i="182"/>
  <c r="AE741" i="182"/>
  <c r="AE742" i="182" s="1"/>
  <c r="AE737" i="182" s="1"/>
  <c r="AK15" i="182"/>
  <c r="AE45" i="182"/>
  <c r="AE17" i="182"/>
  <c r="AI15" i="182"/>
  <c r="AL15" i="182"/>
  <c r="AK43" i="182"/>
  <c r="AI30" i="182"/>
  <c r="AL30" i="182"/>
  <c r="AK30" i="182"/>
  <c r="AL59" i="182"/>
  <c r="AM59" i="182" s="1"/>
  <c r="AI59" i="182"/>
  <c r="AI43" i="182"/>
  <c r="AL43" i="182"/>
  <c r="I331" i="182"/>
  <c r="I330" i="182"/>
  <c r="I329" i="182"/>
  <c r="I328" i="182"/>
  <c r="I326" i="182"/>
  <c r="I325" i="182"/>
  <c r="I318" i="182"/>
  <c r="I317" i="182"/>
  <c r="H328" i="182"/>
  <c r="H326" i="182"/>
  <c r="H325" i="182"/>
  <c r="H324" i="182"/>
  <c r="H318" i="182"/>
  <c r="H317" i="182"/>
  <c r="G331" i="182"/>
  <c r="G330" i="182"/>
  <c r="G328" i="182"/>
  <c r="G326" i="182"/>
  <c r="G325" i="182"/>
  <c r="G324" i="182"/>
  <c r="G318" i="182"/>
  <c r="G317" i="182"/>
  <c r="G316" i="182"/>
  <c r="F330" i="182"/>
  <c r="F328" i="182"/>
  <c r="F326" i="182"/>
  <c r="F325" i="182"/>
  <c r="F318" i="182"/>
  <c r="F317" i="182"/>
  <c r="J217" i="182"/>
  <c r="G329" i="182" s="1"/>
  <c r="AB739" i="182" l="1"/>
  <c r="AB741" i="182" s="1"/>
  <c r="AB742" i="182" s="1"/>
  <c r="AB737" i="182" s="1"/>
  <c r="AM15" i="182"/>
  <c r="AM30" i="182"/>
  <c r="AM43" i="182"/>
  <c r="BB427" i="182"/>
  <c r="BB422" i="182"/>
  <c r="BB423" i="182"/>
  <c r="BB424" i="182"/>
  <c r="BB425" i="182"/>
  <c r="BB426" i="182"/>
  <c r="BB429" i="182"/>
  <c r="BB421" i="182"/>
  <c r="AY429" i="182"/>
  <c r="AZ428" i="182"/>
  <c r="BB428" i="182" s="1"/>
  <c r="AY426" i="182"/>
  <c r="AY425" i="182"/>
  <c r="AY424" i="182"/>
  <c r="AY423" i="182"/>
  <c r="AY422" i="182"/>
  <c r="AY421" i="182"/>
  <c r="P492" i="182"/>
  <c r="AY428" i="182" l="1"/>
  <c r="M548" i="182" l="1"/>
  <c r="L548" i="182"/>
  <c r="L557" i="182" s="1"/>
  <c r="V694" i="182"/>
  <c r="T694" i="182"/>
  <c r="M694" i="182"/>
  <c r="L694" i="182"/>
  <c r="K694" i="182"/>
  <c r="I694" i="182"/>
  <c r="H694" i="182"/>
  <c r="AC694" i="182" s="1"/>
  <c r="G694" i="182"/>
  <c r="F694" i="182"/>
  <c r="E694" i="182"/>
  <c r="D694" i="182"/>
  <c r="V693" i="182"/>
  <c r="T693" i="182"/>
  <c r="M693" i="182"/>
  <c r="L693" i="182"/>
  <c r="K693" i="182"/>
  <c r="I693" i="182"/>
  <c r="H693" i="182"/>
  <c r="AC693" i="182" s="1"/>
  <c r="G693" i="182"/>
  <c r="F693" i="182"/>
  <c r="E693" i="182"/>
  <c r="D693" i="182"/>
  <c r="V692" i="182"/>
  <c r="T692" i="182"/>
  <c r="M692" i="182"/>
  <c r="L692" i="182"/>
  <c r="K692" i="182"/>
  <c r="I692" i="182"/>
  <c r="AD692" i="182" s="1"/>
  <c r="H692" i="182"/>
  <c r="AC692" i="182" s="1"/>
  <c r="G692" i="182"/>
  <c r="F692" i="182"/>
  <c r="E692" i="182"/>
  <c r="D692" i="182"/>
  <c r="V691" i="182"/>
  <c r="T691" i="182"/>
  <c r="M691" i="182"/>
  <c r="L691" i="182"/>
  <c r="K691" i="182"/>
  <c r="I691" i="182"/>
  <c r="AD691" i="182" s="1"/>
  <c r="H691" i="182"/>
  <c r="G691" i="182"/>
  <c r="F691" i="182"/>
  <c r="E691" i="182"/>
  <c r="D691" i="182"/>
  <c r="V690" i="182"/>
  <c r="T690" i="182"/>
  <c r="M690" i="182"/>
  <c r="L690" i="182"/>
  <c r="K690" i="182"/>
  <c r="I690" i="182"/>
  <c r="H690" i="182"/>
  <c r="AC690" i="182" s="1"/>
  <c r="G690" i="182"/>
  <c r="F690" i="182"/>
  <c r="E690" i="182"/>
  <c r="D690" i="182"/>
  <c r="V689" i="182"/>
  <c r="T689" i="182"/>
  <c r="M689" i="182"/>
  <c r="L689" i="182"/>
  <c r="K689" i="182"/>
  <c r="I689" i="182"/>
  <c r="H689" i="182"/>
  <c r="AC689" i="182" s="1"/>
  <c r="G689" i="182"/>
  <c r="F689" i="182"/>
  <c r="E689" i="182"/>
  <c r="D689" i="182"/>
  <c r="V688" i="182"/>
  <c r="T688" i="182"/>
  <c r="M688" i="182"/>
  <c r="L688" i="182"/>
  <c r="K688" i="182"/>
  <c r="I688" i="182"/>
  <c r="H688" i="182"/>
  <c r="AC688" i="182" s="1"/>
  <c r="G688" i="182"/>
  <c r="F688" i="182"/>
  <c r="E688" i="182"/>
  <c r="D688" i="182"/>
  <c r="V687" i="182"/>
  <c r="T687" i="182"/>
  <c r="M687" i="182"/>
  <c r="L687" i="182"/>
  <c r="K687" i="182"/>
  <c r="I687" i="182"/>
  <c r="AD687" i="182" s="1"/>
  <c r="H687" i="182"/>
  <c r="AC687" i="182" s="1"/>
  <c r="G687" i="182"/>
  <c r="F687" i="182"/>
  <c r="E687" i="182"/>
  <c r="D687" i="182"/>
  <c r="V686" i="182"/>
  <c r="T686" i="182"/>
  <c r="M686" i="182"/>
  <c r="L686" i="182"/>
  <c r="K686" i="182"/>
  <c r="I686" i="182"/>
  <c r="H686" i="182"/>
  <c r="AC686" i="182" s="1"/>
  <c r="G686" i="182"/>
  <c r="F686" i="182"/>
  <c r="E686" i="182"/>
  <c r="D686" i="182"/>
  <c r="V685" i="182"/>
  <c r="T685" i="182"/>
  <c r="M685" i="182"/>
  <c r="L685" i="182"/>
  <c r="K685" i="182"/>
  <c r="I685" i="182"/>
  <c r="H685" i="182"/>
  <c r="AC685" i="182" s="1"/>
  <c r="G685" i="182"/>
  <c r="F685" i="182"/>
  <c r="E685" i="182"/>
  <c r="D685" i="182"/>
  <c r="F634" i="182"/>
  <c r="F635" i="182" s="1"/>
  <c r="F636" i="182" s="1"/>
  <c r="F637" i="182" s="1"/>
  <c r="F638" i="182" s="1"/>
  <c r="F639" i="182" s="1"/>
  <c r="F640" i="182" s="1"/>
  <c r="F641" i="182" s="1"/>
  <c r="F642" i="182" s="1"/>
  <c r="F643" i="182" s="1"/>
  <c r="F644" i="182" s="1"/>
  <c r="F645" i="182" s="1"/>
  <c r="F646" i="182" s="1"/>
  <c r="F647" i="182" s="1"/>
  <c r="F648" i="182" s="1"/>
  <c r="F649" i="182" s="1"/>
  <c r="F650" i="182" s="1"/>
  <c r="F651" i="182" s="1"/>
  <c r="F652" i="182" s="1"/>
  <c r="F653" i="182" s="1"/>
  <c r="F654" i="182" s="1"/>
  <c r="H620" i="182"/>
  <c r="H619" i="182"/>
  <c r="H618" i="182"/>
  <c r="H609" i="182"/>
  <c r="L607" i="182"/>
  <c r="H610" i="182" s="1"/>
  <c r="I607" i="182"/>
  <c r="H607" i="182"/>
  <c r="H597" i="182"/>
  <c r="H586" i="182"/>
  <c r="L584" i="182"/>
  <c r="H587" i="182" s="1"/>
  <c r="I584" i="182"/>
  <c r="H591" i="182" s="1"/>
  <c r="H584" i="182"/>
  <c r="H570" i="182"/>
  <c r="H559" i="182"/>
  <c r="H557" i="182"/>
  <c r="R548" i="182"/>
  <c r="H542" i="182"/>
  <c r="H540" i="182"/>
  <c r="AB531" i="182"/>
  <c r="H531" i="182"/>
  <c r="L529" i="182"/>
  <c r="H532" i="182" s="1"/>
  <c r="I529" i="182"/>
  <c r="H536" i="182" s="1"/>
  <c r="H529" i="182"/>
  <c r="P494" i="182"/>
  <c r="M494" i="182"/>
  <c r="L493" i="182"/>
  <c r="M492" i="182"/>
  <c r="AV428" i="182"/>
  <c r="AV424" i="182"/>
  <c r="AV422" i="182"/>
  <c r="AV421" i="182"/>
  <c r="BB420" i="182"/>
  <c r="AV420" i="182"/>
  <c r="G311" i="182"/>
  <c r="F311" i="182"/>
  <c r="G309" i="182"/>
  <c r="F309" i="182"/>
  <c r="G305" i="182"/>
  <c r="G304" i="182"/>
  <c r="I295" i="182"/>
  <c r="G295" i="182"/>
  <c r="F295" i="182"/>
  <c r="L293" i="182"/>
  <c r="I293" i="182"/>
  <c r="J300" i="182" s="1"/>
  <c r="H320" i="182" s="1"/>
  <c r="H293" i="182"/>
  <c r="G283" i="182"/>
  <c r="F283" i="182"/>
  <c r="F281" i="182"/>
  <c r="G277" i="182"/>
  <c r="F276" i="182"/>
  <c r="I267" i="182"/>
  <c r="G267" i="182"/>
  <c r="F267" i="182"/>
  <c r="L265" i="182"/>
  <c r="J268" i="182" s="1"/>
  <c r="I316" i="182" s="1"/>
  <c r="I265" i="182"/>
  <c r="J272" i="182" s="1"/>
  <c r="I320" i="182" s="1"/>
  <c r="H265" i="182"/>
  <c r="G256" i="182"/>
  <c r="F256" i="182"/>
  <c r="G254" i="182"/>
  <c r="F254" i="182"/>
  <c r="G250" i="182"/>
  <c r="G249" i="182"/>
  <c r="F249" i="182"/>
  <c r="I240" i="182"/>
  <c r="H240" i="182"/>
  <c r="G240" i="182"/>
  <c r="F240" i="182"/>
  <c r="L238" i="182"/>
  <c r="P238" i="182" s="1"/>
  <c r="J249" i="182" s="1"/>
  <c r="F324" i="182" s="1"/>
  <c r="I238" i="182"/>
  <c r="H238" i="182"/>
  <c r="G219" i="182"/>
  <c r="F219" i="182"/>
  <c r="G217" i="182"/>
  <c r="F217" i="182"/>
  <c r="F214" i="182"/>
  <c r="G213" i="182"/>
  <c r="F213" i="182"/>
  <c r="G212" i="182"/>
  <c r="F212" i="182"/>
  <c r="J208" i="182"/>
  <c r="G320" i="182" s="1"/>
  <c r="H170" i="182"/>
  <c r="H168" i="182"/>
  <c r="H167" i="182"/>
  <c r="H166" i="182"/>
  <c r="H165" i="182"/>
  <c r="H164" i="182"/>
  <c r="H162" i="182"/>
  <c r="L151" i="182"/>
  <c r="I151" i="182"/>
  <c r="I157" i="182" s="1"/>
  <c r="H151" i="182"/>
  <c r="H157" i="182" s="1"/>
  <c r="L137" i="182"/>
  <c r="I137" i="182"/>
  <c r="H137" i="182"/>
  <c r="H155" i="182" s="1"/>
  <c r="L119" i="182"/>
  <c r="I119" i="182"/>
  <c r="I156" i="182" s="1"/>
  <c r="H119" i="182"/>
  <c r="H156" i="182" s="1"/>
  <c r="G90" i="182"/>
  <c r="F90" i="182"/>
  <c r="G88" i="182"/>
  <c r="F88" i="182"/>
  <c r="I74" i="182"/>
  <c r="H74" i="182"/>
  <c r="G74" i="182"/>
  <c r="F74" i="182"/>
  <c r="L69" i="182"/>
  <c r="K548" i="182"/>
  <c r="I548" i="182"/>
  <c r="I557" i="182" s="1"/>
  <c r="L492" i="182" l="1"/>
  <c r="Q493" i="182"/>
  <c r="Q492" i="182"/>
  <c r="L494" i="182"/>
  <c r="Q494" i="182"/>
  <c r="J296" i="182"/>
  <c r="J311" i="182" s="1"/>
  <c r="H331" i="182" s="1"/>
  <c r="P293" i="182"/>
  <c r="P137" i="182"/>
  <c r="K155" i="182" s="1"/>
  <c r="P151" i="182"/>
  <c r="K157" i="182" s="1"/>
  <c r="I170" i="182"/>
  <c r="I171" i="182"/>
  <c r="P119" i="182"/>
  <c r="K156" i="182" s="1"/>
  <c r="J245" i="182"/>
  <c r="F320" i="182" s="1"/>
  <c r="J241" i="182"/>
  <c r="J256" i="182" s="1"/>
  <c r="F331" i="182" s="1"/>
  <c r="P607" i="182"/>
  <c r="Y689" i="182"/>
  <c r="Z689" i="182" s="1"/>
  <c r="AV426" i="182"/>
  <c r="P584" i="182"/>
  <c r="K137" i="182"/>
  <c r="J155" i="182" s="1"/>
  <c r="M529" i="182"/>
  <c r="H537" i="182" s="1"/>
  <c r="M584" i="182"/>
  <c r="H592" i="182" s="1"/>
  <c r="M607" i="182"/>
  <c r="H615" i="182" s="1"/>
  <c r="K119" i="182"/>
  <c r="J156" i="182" s="1"/>
  <c r="K151" i="182"/>
  <c r="J157" i="182" s="1"/>
  <c r="M137" i="182"/>
  <c r="M155" i="182" s="1"/>
  <c r="K265" i="182"/>
  <c r="J274" i="182" s="1"/>
  <c r="I322" i="182" s="1"/>
  <c r="K529" i="182"/>
  <c r="Y688" i="182"/>
  <c r="Z688" i="182" s="1"/>
  <c r="J80" i="182"/>
  <c r="K293" i="182"/>
  <c r="J302" i="182" s="1"/>
  <c r="H322" i="182" s="1"/>
  <c r="J79" i="182"/>
  <c r="Y685" i="182"/>
  <c r="Z685" i="182" s="1"/>
  <c r="W692" i="182"/>
  <c r="AE692" i="182"/>
  <c r="W688" i="182"/>
  <c r="Y693" i="182"/>
  <c r="Z693" i="182" s="1"/>
  <c r="L155" i="182"/>
  <c r="AD688" i="182"/>
  <c r="AE688" i="182" s="1"/>
  <c r="Y692" i="182"/>
  <c r="Z692" i="182" s="1"/>
  <c r="I162" i="182"/>
  <c r="I172" i="182"/>
  <c r="K238" i="182"/>
  <c r="J247" i="182" s="1"/>
  <c r="F322" i="182" s="1"/>
  <c r="AV425" i="182"/>
  <c r="AV429" i="182"/>
  <c r="AE687" i="182"/>
  <c r="L157" i="182"/>
  <c r="L68" i="182"/>
  <c r="L63" i="182"/>
  <c r="J75" i="182" s="1"/>
  <c r="AC691" i="182"/>
  <c r="AE691" i="182" s="1"/>
  <c r="Y691" i="182"/>
  <c r="Z691" i="182" s="1"/>
  <c r="H68" i="182"/>
  <c r="G664" i="182"/>
  <c r="M557" i="182"/>
  <c r="H565" i="182" s="1"/>
  <c r="H560" i="182"/>
  <c r="P557" i="182"/>
  <c r="I68" i="182"/>
  <c r="P265" i="182"/>
  <c r="J276" i="182" s="1"/>
  <c r="I324" i="182" s="1"/>
  <c r="M265" i="182"/>
  <c r="H566" i="182"/>
  <c r="K557" i="182"/>
  <c r="H564" i="182"/>
  <c r="H533" i="182"/>
  <c r="H541" i="182" s="1"/>
  <c r="H545" i="182"/>
  <c r="AV423" i="182"/>
  <c r="AV427" i="182"/>
  <c r="H593" i="182"/>
  <c r="K584" i="182"/>
  <c r="Y687" i="182"/>
  <c r="Z687" i="182" s="1"/>
  <c r="Y690" i="182"/>
  <c r="Z690" i="182" s="1"/>
  <c r="AD690" i="182"/>
  <c r="AE690" i="182" s="1"/>
  <c r="W690" i="182"/>
  <c r="H595" i="182"/>
  <c r="H588" i="182"/>
  <c r="H596" i="182" s="1"/>
  <c r="H600" i="182"/>
  <c r="H616" i="182"/>
  <c r="K607" i="182"/>
  <c r="M697" i="182"/>
  <c r="H696" i="182"/>
  <c r="M293" i="182"/>
  <c r="H611" i="182"/>
  <c r="H623" i="182"/>
  <c r="H614" i="182"/>
  <c r="Y686" i="182"/>
  <c r="Z686" i="182" s="1"/>
  <c r="AD686" i="182"/>
  <c r="AE686" i="182" s="1"/>
  <c r="W686" i="182"/>
  <c r="Y694" i="182"/>
  <c r="Z694" i="182" s="1"/>
  <c r="AD694" i="182"/>
  <c r="AE694" i="182" s="1"/>
  <c r="W694" i="182"/>
  <c r="H697" i="182"/>
  <c r="I155" i="182"/>
  <c r="I163" i="182"/>
  <c r="I165" i="182"/>
  <c r="I167" i="182"/>
  <c r="I169" i="182"/>
  <c r="H538" i="182"/>
  <c r="W685" i="182"/>
  <c r="AD685" i="182"/>
  <c r="AE685" i="182" s="1"/>
  <c r="W689" i="182"/>
  <c r="AD689" i="182"/>
  <c r="AE689" i="182" s="1"/>
  <c r="W693" i="182"/>
  <c r="AD693" i="182"/>
  <c r="AE693" i="182" s="1"/>
  <c r="I696" i="182"/>
  <c r="I697" i="182"/>
  <c r="M119" i="182"/>
  <c r="M156" i="182" s="1"/>
  <c r="M151" i="182"/>
  <c r="M157" i="182" s="1"/>
  <c r="L156" i="182"/>
  <c r="M238" i="182"/>
  <c r="I164" i="182"/>
  <c r="I166" i="182"/>
  <c r="I168" i="182"/>
  <c r="J210" i="182"/>
  <c r="G322" i="182" s="1"/>
  <c r="W687" i="182"/>
  <c r="W691" i="182"/>
  <c r="M696" i="182"/>
  <c r="H17" i="181"/>
  <c r="I17" i="181"/>
  <c r="K17" i="181"/>
  <c r="J309" i="182" l="1"/>
  <c r="H329" i="182" s="1"/>
  <c r="H316" i="182"/>
  <c r="J254" i="182"/>
  <c r="F329" i="182" s="1"/>
  <c r="F316" i="182"/>
  <c r="J301" i="182"/>
  <c r="H321" i="182" s="1"/>
  <c r="J246" i="182"/>
  <c r="F321" i="182" s="1"/>
  <c r="J273" i="182"/>
  <c r="I321" i="182" s="1"/>
  <c r="J209" i="182"/>
  <c r="G321" i="182" s="1"/>
  <c r="J88" i="182"/>
  <c r="J90" i="182"/>
  <c r="I281" i="182"/>
  <c r="I283" i="182"/>
  <c r="H568" i="182"/>
  <c r="H561" i="182"/>
  <c r="H569" i="182" s="1"/>
  <c r="H573" i="182"/>
  <c r="J697" i="182"/>
  <c r="J696" i="182"/>
  <c r="R511" i="182"/>
  <c r="L65" i="182"/>
  <c r="J68" i="182"/>
  <c r="J81" i="182" s="1"/>
  <c r="V21" i="181"/>
  <c r="T21" i="181"/>
  <c r="M21" i="181"/>
  <c r="L21" i="181"/>
  <c r="K21" i="181"/>
  <c r="I21" i="181"/>
  <c r="AD21" i="181" s="1"/>
  <c r="H21" i="181"/>
  <c r="AC21" i="181" s="1"/>
  <c r="G21" i="181"/>
  <c r="F21" i="181"/>
  <c r="E21" i="181"/>
  <c r="D21" i="181"/>
  <c r="V20" i="181"/>
  <c r="T20" i="181"/>
  <c r="M20" i="181"/>
  <c r="L20" i="181"/>
  <c r="K20" i="181"/>
  <c r="I20" i="181"/>
  <c r="H20" i="181"/>
  <c r="AC20" i="181" s="1"/>
  <c r="G20" i="181"/>
  <c r="F20" i="181"/>
  <c r="E20" i="181"/>
  <c r="D20" i="181"/>
  <c r="V19" i="181"/>
  <c r="T19" i="181"/>
  <c r="M19" i="181"/>
  <c r="L19" i="181"/>
  <c r="K19" i="181"/>
  <c r="I19" i="181"/>
  <c r="H19" i="181"/>
  <c r="AC19" i="181" s="1"/>
  <c r="G19" i="181"/>
  <c r="F19" i="181"/>
  <c r="E19" i="181"/>
  <c r="D19" i="181"/>
  <c r="V18" i="181"/>
  <c r="T18" i="181"/>
  <c r="M18" i="181"/>
  <c r="L18" i="181"/>
  <c r="K18" i="181"/>
  <c r="I18" i="181"/>
  <c r="H18" i="181"/>
  <c r="AC18" i="181" s="1"/>
  <c r="G18" i="181"/>
  <c r="F18" i="181"/>
  <c r="E18" i="181"/>
  <c r="D18" i="181"/>
  <c r="V17" i="181"/>
  <c r="T17" i="181"/>
  <c r="M17" i="181"/>
  <c r="L17" i="181"/>
  <c r="AD17" i="181"/>
  <c r="G17" i="181"/>
  <c r="F17" i="181"/>
  <c r="E17" i="181"/>
  <c r="D17" i="181"/>
  <c r="V16" i="181"/>
  <c r="T16" i="181"/>
  <c r="M16" i="181"/>
  <c r="L16" i="181"/>
  <c r="K16" i="181"/>
  <c r="I16" i="181"/>
  <c r="H16" i="181"/>
  <c r="AC16" i="181" s="1"/>
  <c r="G16" i="181"/>
  <c r="F16" i="181"/>
  <c r="E16" i="181"/>
  <c r="D16" i="181"/>
  <c r="V15" i="181"/>
  <c r="T15" i="181"/>
  <c r="M15" i="181"/>
  <c r="L15" i="181"/>
  <c r="K15" i="181"/>
  <c r="I15" i="181"/>
  <c r="AD15" i="181" s="1"/>
  <c r="H15" i="181"/>
  <c r="AC15" i="181" s="1"/>
  <c r="G15" i="181"/>
  <c r="F15" i="181"/>
  <c r="E15" i="181"/>
  <c r="D15" i="181"/>
  <c r="V14" i="181"/>
  <c r="T14" i="181"/>
  <c r="M14" i="181"/>
  <c r="L14" i="181"/>
  <c r="K14" i="181"/>
  <c r="I14" i="181"/>
  <c r="H14" i="181"/>
  <c r="AC14" i="181" s="1"/>
  <c r="G14" i="181"/>
  <c r="F14" i="181"/>
  <c r="E14" i="181"/>
  <c r="D14" i="181"/>
  <c r="V13" i="181"/>
  <c r="T13" i="181"/>
  <c r="M13" i="181"/>
  <c r="L13" i="181"/>
  <c r="K13" i="181"/>
  <c r="I13" i="181"/>
  <c r="AD13" i="181" s="1"/>
  <c r="H13" i="181"/>
  <c r="AC13" i="181" s="1"/>
  <c r="G13" i="181"/>
  <c r="F13" i="181"/>
  <c r="E13" i="181"/>
  <c r="D13" i="181"/>
  <c r="V12" i="181"/>
  <c r="T12" i="181"/>
  <c r="M12" i="181"/>
  <c r="L12" i="181"/>
  <c r="K12" i="181"/>
  <c r="I12" i="181"/>
  <c r="H12" i="181"/>
  <c r="AC12" i="181" s="1"/>
  <c r="G12" i="181"/>
  <c r="F12" i="181"/>
  <c r="E12" i="181"/>
  <c r="D12" i="181"/>
  <c r="V11" i="181"/>
  <c r="T11" i="181"/>
  <c r="M11" i="181"/>
  <c r="L11" i="181"/>
  <c r="K11" i="181"/>
  <c r="I11" i="181"/>
  <c r="H11" i="181"/>
  <c r="AC11" i="181" s="1"/>
  <c r="G11" i="181"/>
  <c r="F11" i="181"/>
  <c r="E11" i="181"/>
  <c r="D11" i="181"/>
  <c r="V10" i="181"/>
  <c r="T10" i="181"/>
  <c r="M10" i="181"/>
  <c r="L10" i="181"/>
  <c r="K10" i="181"/>
  <c r="I10" i="181"/>
  <c r="AD10" i="181" s="1"/>
  <c r="H10" i="181"/>
  <c r="AC10" i="181" s="1"/>
  <c r="G10" i="181"/>
  <c r="F10" i="181"/>
  <c r="E10" i="181"/>
  <c r="D10" i="181"/>
  <c r="V9" i="181"/>
  <c r="T9" i="181"/>
  <c r="M9" i="181"/>
  <c r="L9" i="181"/>
  <c r="K9" i="181"/>
  <c r="I9" i="181"/>
  <c r="AD9" i="181" s="1"/>
  <c r="H9" i="181"/>
  <c r="AC9" i="181" s="1"/>
  <c r="G9" i="181"/>
  <c r="F9" i="181"/>
  <c r="E9" i="181"/>
  <c r="D9" i="181"/>
  <c r="V8" i="181"/>
  <c r="T8" i="181"/>
  <c r="M8" i="181"/>
  <c r="L8" i="181"/>
  <c r="K8" i="181"/>
  <c r="I8" i="181"/>
  <c r="H8" i="181"/>
  <c r="AC8" i="181" s="1"/>
  <c r="G8" i="181"/>
  <c r="F8" i="181"/>
  <c r="E8" i="181"/>
  <c r="D8" i="181"/>
  <c r="V7" i="181"/>
  <c r="T7" i="181"/>
  <c r="M7" i="181"/>
  <c r="L7" i="181"/>
  <c r="K7" i="181"/>
  <c r="I7" i="181"/>
  <c r="AD7" i="181" s="1"/>
  <c r="H7" i="181"/>
  <c r="G7" i="181"/>
  <c r="F7" i="181"/>
  <c r="E7" i="181"/>
  <c r="D7" i="181"/>
  <c r="Y16" i="181" l="1"/>
  <c r="Z16" i="181" s="1"/>
  <c r="Y11" i="181"/>
  <c r="Z11" i="181" s="1"/>
  <c r="AE13" i="181"/>
  <c r="W14" i="181"/>
  <c r="B21" i="181"/>
  <c r="W10" i="181"/>
  <c r="H30" i="181"/>
  <c r="Y8" i="181"/>
  <c r="Z8" i="181" s="1"/>
  <c r="W7" i="181"/>
  <c r="AC7" i="181"/>
  <c r="W18" i="181"/>
  <c r="L66" i="182"/>
  <c r="J83" i="182" s="1"/>
  <c r="L70" i="182"/>
  <c r="L71" i="182" s="1"/>
  <c r="AE10" i="181"/>
  <c r="AE15" i="181"/>
  <c r="AD18" i="181"/>
  <c r="AE18" i="181" s="1"/>
  <c r="AE21" i="181"/>
  <c r="AE7" i="181"/>
  <c r="W15" i="181"/>
  <c r="Y19" i="181"/>
  <c r="Z19" i="181" s="1"/>
  <c r="W21" i="181"/>
  <c r="AH21" i="181"/>
  <c r="AL21" i="181" s="1"/>
  <c r="AD11" i="181"/>
  <c r="AE11" i="181" s="1"/>
  <c r="AD14" i="181"/>
  <c r="AE14" i="181" s="1"/>
  <c r="W19" i="181"/>
  <c r="Y20" i="181"/>
  <c r="Z20" i="181" s="1"/>
  <c r="W11" i="181"/>
  <c r="Y12" i="181"/>
  <c r="Z12" i="181" s="1"/>
  <c r="Y15" i="181"/>
  <c r="Z15" i="181" s="1"/>
  <c r="Y17" i="181"/>
  <c r="Z17" i="181" s="1"/>
  <c r="AD19" i="181"/>
  <c r="AE19" i="181" s="1"/>
  <c r="AG21" i="181"/>
  <c r="AK21" i="181" s="1"/>
  <c r="AE9" i="181"/>
  <c r="Y9" i="181"/>
  <c r="Z9" i="181" s="1"/>
  <c r="Y13" i="181"/>
  <c r="Z13" i="181" s="1"/>
  <c r="Y14" i="181"/>
  <c r="Z14" i="181" s="1"/>
  <c r="Y21" i="181"/>
  <c r="Z21" i="181" s="1"/>
  <c r="Y7" i="181"/>
  <c r="Z7" i="181" s="1"/>
  <c r="W8" i="181"/>
  <c r="AD8" i="181"/>
  <c r="AE8" i="181" s="1"/>
  <c r="W12" i="181"/>
  <c r="AD12" i="181"/>
  <c r="AE12" i="181" s="1"/>
  <c r="W16" i="181"/>
  <c r="AD16" i="181"/>
  <c r="AE16" i="181" s="1"/>
  <c r="AC17" i="181"/>
  <c r="AE17" i="181" s="1"/>
  <c r="W20" i="181"/>
  <c r="AD20" i="181"/>
  <c r="AE20" i="181" s="1"/>
  <c r="Y10" i="181"/>
  <c r="Z10" i="181" s="1"/>
  <c r="Y18" i="181"/>
  <c r="Z18" i="181" s="1"/>
  <c r="W9" i="181"/>
  <c r="W13" i="181"/>
  <c r="W17" i="181"/>
  <c r="V687" i="181"/>
  <c r="T687" i="181"/>
  <c r="M687" i="181"/>
  <c r="L687" i="181"/>
  <c r="K687" i="181"/>
  <c r="I687" i="181"/>
  <c r="AD687" i="181" s="1"/>
  <c r="H687" i="181"/>
  <c r="G687" i="181"/>
  <c r="F687" i="181"/>
  <c r="E687" i="181"/>
  <c r="D687" i="181"/>
  <c r="V686" i="181"/>
  <c r="T686" i="181"/>
  <c r="M686" i="181"/>
  <c r="L686" i="181"/>
  <c r="K686" i="181"/>
  <c r="I686" i="181"/>
  <c r="H686" i="181"/>
  <c r="AC686" i="181" s="1"/>
  <c r="G686" i="181"/>
  <c r="F686" i="181"/>
  <c r="E686" i="181"/>
  <c r="D686" i="181"/>
  <c r="V685" i="181"/>
  <c r="T685" i="181"/>
  <c r="M685" i="181"/>
  <c r="L685" i="181"/>
  <c r="K685" i="181"/>
  <c r="I685" i="181"/>
  <c r="AD685" i="181" s="1"/>
  <c r="H685" i="181"/>
  <c r="G685" i="181"/>
  <c r="F685" i="181"/>
  <c r="E685" i="181"/>
  <c r="D685" i="181"/>
  <c r="V684" i="181"/>
  <c r="T684" i="181"/>
  <c r="M684" i="181"/>
  <c r="L684" i="181"/>
  <c r="K684" i="181"/>
  <c r="I684" i="181"/>
  <c r="H684" i="181"/>
  <c r="AC684" i="181" s="1"/>
  <c r="G684" i="181"/>
  <c r="F684" i="181"/>
  <c r="E684" i="181"/>
  <c r="D684" i="181"/>
  <c r="V683" i="181"/>
  <c r="T683" i="181"/>
  <c r="M683" i="181"/>
  <c r="L683" i="181"/>
  <c r="K683" i="181"/>
  <c r="I683" i="181"/>
  <c r="AD683" i="181" s="1"/>
  <c r="H683" i="181"/>
  <c r="AC683" i="181" s="1"/>
  <c r="G683" i="181"/>
  <c r="F683" i="181"/>
  <c r="E683" i="181"/>
  <c r="D683" i="181"/>
  <c r="V682" i="181"/>
  <c r="T682" i="181"/>
  <c r="M682" i="181"/>
  <c r="L682" i="181"/>
  <c r="K682" i="181"/>
  <c r="I682" i="181"/>
  <c r="AD682" i="181" s="1"/>
  <c r="H682" i="181"/>
  <c r="AC682" i="181" s="1"/>
  <c r="G682" i="181"/>
  <c r="F682" i="181"/>
  <c r="E682" i="181"/>
  <c r="D682" i="181"/>
  <c r="V681" i="181"/>
  <c r="T681" i="181"/>
  <c r="M681" i="181"/>
  <c r="L681" i="181"/>
  <c r="K681" i="181"/>
  <c r="I681" i="181"/>
  <c r="AD681" i="181" s="1"/>
  <c r="H681" i="181"/>
  <c r="AC681" i="181" s="1"/>
  <c r="G681" i="181"/>
  <c r="F681" i="181"/>
  <c r="E681" i="181"/>
  <c r="D681" i="181"/>
  <c r="V680" i="181"/>
  <c r="T680" i="181"/>
  <c r="M680" i="181"/>
  <c r="L680" i="181"/>
  <c r="K680" i="181"/>
  <c r="I680" i="181"/>
  <c r="AD680" i="181" s="1"/>
  <c r="H680" i="181"/>
  <c r="AC680" i="181" s="1"/>
  <c r="G680" i="181"/>
  <c r="F680" i="181"/>
  <c r="E680" i="181"/>
  <c r="D680" i="181"/>
  <c r="V679" i="181"/>
  <c r="T679" i="181"/>
  <c r="M679" i="181"/>
  <c r="L679" i="181"/>
  <c r="K679" i="181"/>
  <c r="I679" i="181"/>
  <c r="AD679" i="181" s="1"/>
  <c r="H679" i="181"/>
  <c r="AC679" i="181" s="1"/>
  <c r="G679" i="181"/>
  <c r="F679" i="181"/>
  <c r="E679" i="181"/>
  <c r="D679" i="181"/>
  <c r="V678" i="181"/>
  <c r="T678" i="181"/>
  <c r="M678" i="181"/>
  <c r="L678" i="181"/>
  <c r="K678" i="181"/>
  <c r="I678" i="181"/>
  <c r="AD678" i="181" s="1"/>
  <c r="H678" i="181"/>
  <c r="G678" i="181"/>
  <c r="F678" i="181"/>
  <c r="E678" i="181"/>
  <c r="D678" i="181"/>
  <c r="F634" i="181"/>
  <c r="F635" i="181" s="1"/>
  <c r="F636" i="181" s="1"/>
  <c r="F637" i="181" s="1"/>
  <c r="F638" i="181" s="1"/>
  <c r="F639" i="181" s="1"/>
  <c r="F640" i="181" s="1"/>
  <c r="F641" i="181" s="1"/>
  <c r="F642" i="181" s="1"/>
  <c r="F643" i="181" s="1"/>
  <c r="F644" i="181" s="1"/>
  <c r="F645" i="181" s="1"/>
  <c r="F646" i="181" s="1"/>
  <c r="F647" i="181" s="1"/>
  <c r="F648" i="181" s="1"/>
  <c r="F649" i="181" s="1"/>
  <c r="F650" i="181" s="1"/>
  <c r="F651" i="181" s="1"/>
  <c r="F652" i="181" s="1"/>
  <c r="F653" i="181" s="1"/>
  <c r="F654" i="181" s="1"/>
  <c r="I633" i="181"/>
  <c r="H620" i="181"/>
  <c r="H619" i="181"/>
  <c r="H618" i="181"/>
  <c r="H609" i="181"/>
  <c r="L607" i="181"/>
  <c r="H610" i="181" s="1"/>
  <c r="H623" i="181" s="1"/>
  <c r="I607" i="181"/>
  <c r="H607" i="181"/>
  <c r="H597" i="181"/>
  <c r="H586" i="181"/>
  <c r="L584" i="181"/>
  <c r="H587" i="181" s="1"/>
  <c r="H588" i="181" s="1"/>
  <c r="H596" i="181" s="1"/>
  <c r="I584" i="181"/>
  <c r="H591" i="181" s="1"/>
  <c r="H584" i="181"/>
  <c r="H570" i="181"/>
  <c r="H559" i="181"/>
  <c r="H557" i="181"/>
  <c r="R548" i="181"/>
  <c r="H542" i="181"/>
  <c r="H540" i="181"/>
  <c r="AB531" i="181"/>
  <c r="H531" i="181"/>
  <c r="L529" i="181"/>
  <c r="M529" i="181" s="1"/>
  <c r="H537" i="181" s="1"/>
  <c r="I529" i="181"/>
  <c r="H536" i="181" s="1"/>
  <c r="H529" i="181"/>
  <c r="H506" i="181"/>
  <c r="P495" i="181"/>
  <c r="M495" i="181"/>
  <c r="L495" i="181" s="1"/>
  <c r="P494" i="181"/>
  <c r="M494" i="181"/>
  <c r="L494" i="181" s="1"/>
  <c r="P493" i="181"/>
  <c r="M493" i="181"/>
  <c r="L493" i="181" s="1"/>
  <c r="P492" i="181"/>
  <c r="M492" i="181"/>
  <c r="L492" i="181" s="1"/>
  <c r="J418" i="181"/>
  <c r="L418" i="181" s="1"/>
  <c r="J417" i="181"/>
  <c r="J416" i="181"/>
  <c r="L416" i="181" s="1"/>
  <c r="J415" i="181"/>
  <c r="J414" i="181"/>
  <c r="L414" i="181" s="1"/>
  <c r="J413" i="181"/>
  <c r="J412" i="181"/>
  <c r="L412" i="181" s="1"/>
  <c r="L411" i="181"/>
  <c r="I411" i="181"/>
  <c r="L410" i="181"/>
  <c r="I410" i="181"/>
  <c r="L409" i="181"/>
  <c r="I409" i="181"/>
  <c r="V397" i="181"/>
  <c r="T397" i="181"/>
  <c r="M397" i="181"/>
  <c r="L397" i="181"/>
  <c r="K397" i="181"/>
  <c r="I397" i="181"/>
  <c r="AD397" i="181" s="1"/>
  <c r="H397" i="181"/>
  <c r="AC397" i="181" s="1"/>
  <c r="G397" i="181"/>
  <c r="F397" i="181"/>
  <c r="E397" i="181"/>
  <c r="D397" i="181"/>
  <c r="V389" i="181"/>
  <c r="T389" i="181"/>
  <c r="M389" i="181"/>
  <c r="L389" i="181"/>
  <c r="K389" i="181"/>
  <c r="I389" i="181"/>
  <c r="AD389" i="181" s="1"/>
  <c r="H389" i="181"/>
  <c r="AC389" i="181" s="1"/>
  <c r="G389" i="181"/>
  <c r="F389" i="181"/>
  <c r="E389" i="181"/>
  <c r="D389" i="181"/>
  <c r="V330" i="181"/>
  <c r="T330" i="181"/>
  <c r="M330" i="181"/>
  <c r="L330" i="181"/>
  <c r="K330" i="181"/>
  <c r="I330" i="181"/>
  <c r="AD330" i="181" s="1"/>
  <c r="H330" i="181"/>
  <c r="AC330" i="181" s="1"/>
  <c r="G330" i="181"/>
  <c r="F330" i="181"/>
  <c r="E330" i="181"/>
  <c r="D330" i="181"/>
  <c r="I307" i="181"/>
  <c r="H307" i="181"/>
  <c r="G307" i="181"/>
  <c r="F307" i="181"/>
  <c r="I305" i="181"/>
  <c r="H305" i="181"/>
  <c r="G305" i="181"/>
  <c r="F305" i="181"/>
  <c r="I295" i="181"/>
  <c r="H295" i="181"/>
  <c r="G295" i="181"/>
  <c r="F295" i="181"/>
  <c r="G288" i="181"/>
  <c r="F288" i="181"/>
  <c r="G286" i="181"/>
  <c r="F286" i="181"/>
  <c r="I283" i="181"/>
  <c r="H303" i="181" s="1"/>
  <c r="G282" i="181"/>
  <c r="G281" i="181"/>
  <c r="I272" i="181"/>
  <c r="G272" i="181"/>
  <c r="F272" i="181"/>
  <c r="L270" i="181"/>
  <c r="I273" i="181" s="1"/>
  <c r="I270" i="181"/>
  <c r="H270" i="181"/>
  <c r="G251" i="181"/>
  <c r="F251" i="181"/>
  <c r="F249" i="181"/>
  <c r="I246" i="181"/>
  <c r="I303" i="181" s="1"/>
  <c r="G245" i="181"/>
  <c r="F244" i="181"/>
  <c r="I235" i="181"/>
  <c r="G235" i="181"/>
  <c r="F235" i="181"/>
  <c r="L233" i="181"/>
  <c r="I236" i="181" s="1"/>
  <c r="I237" i="181" s="1"/>
  <c r="I233" i="181"/>
  <c r="H233" i="181"/>
  <c r="G224" i="181"/>
  <c r="F224" i="181"/>
  <c r="G222" i="181"/>
  <c r="F222" i="181"/>
  <c r="I219" i="181"/>
  <c r="F303" i="181" s="1"/>
  <c r="G218" i="181"/>
  <c r="G217" i="181"/>
  <c r="F217" i="181"/>
  <c r="I208" i="181"/>
  <c r="H208" i="181"/>
  <c r="G208" i="181"/>
  <c r="F208" i="181"/>
  <c r="L206" i="181"/>
  <c r="P206" i="181" s="1"/>
  <c r="I217" i="181" s="1"/>
  <c r="F301" i="181" s="1"/>
  <c r="I206" i="181"/>
  <c r="H206" i="181"/>
  <c r="G181" i="181"/>
  <c r="F181" i="181"/>
  <c r="G179" i="181"/>
  <c r="F179" i="181"/>
  <c r="I176" i="181"/>
  <c r="G303" i="181" s="1"/>
  <c r="F176" i="181"/>
  <c r="G175" i="181"/>
  <c r="F175" i="181"/>
  <c r="G174" i="181"/>
  <c r="F174" i="181"/>
  <c r="I165" i="181"/>
  <c r="H165" i="181"/>
  <c r="G165" i="181"/>
  <c r="F165" i="181"/>
  <c r="L163" i="181"/>
  <c r="M163" i="181" s="1"/>
  <c r="I171" i="181" s="1"/>
  <c r="G298" i="181" s="1"/>
  <c r="I163" i="181"/>
  <c r="I170" i="181" s="1"/>
  <c r="G297" i="181" s="1"/>
  <c r="H163" i="181"/>
  <c r="H140" i="181"/>
  <c r="H139" i="181"/>
  <c r="H138" i="181"/>
  <c r="H137" i="181"/>
  <c r="H136" i="181"/>
  <c r="H135" i="181"/>
  <c r="H134" i="181"/>
  <c r="H132" i="181"/>
  <c r="H131" i="181"/>
  <c r="I141" i="181" s="1"/>
  <c r="L121" i="181"/>
  <c r="P121" i="181" s="1"/>
  <c r="K127" i="181" s="1"/>
  <c r="I121" i="181"/>
  <c r="H121" i="181"/>
  <c r="H127" i="181" s="1"/>
  <c r="L111" i="181"/>
  <c r="P111" i="181" s="1"/>
  <c r="K125" i="181" s="1"/>
  <c r="I111" i="181"/>
  <c r="I125" i="181" s="1"/>
  <c r="H111" i="181"/>
  <c r="H125" i="181" s="1"/>
  <c r="L87" i="181"/>
  <c r="P87" i="181" s="1"/>
  <c r="K126" i="181" s="1"/>
  <c r="I87" i="181"/>
  <c r="H87" i="181"/>
  <c r="H126" i="181" s="1"/>
  <c r="I36" i="181"/>
  <c r="L31" i="181"/>
  <c r="M548" i="181"/>
  <c r="L548" i="181"/>
  <c r="L557" i="181" s="1"/>
  <c r="K548" i="181"/>
  <c r="I548" i="181"/>
  <c r="I557" i="181" s="1"/>
  <c r="K270" i="181" l="1"/>
  <c r="AM21" i="181"/>
  <c r="M607" i="181"/>
  <c r="H615" i="181" s="1"/>
  <c r="H611" i="181"/>
  <c r="I133" i="181"/>
  <c r="K233" i="181"/>
  <c r="H593" i="181"/>
  <c r="AE679" i="181"/>
  <c r="M270" i="181"/>
  <c r="I278" i="181" s="1"/>
  <c r="H298" i="181" s="1"/>
  <c r="AI21" i="181"/>
  <c r="I139" i="181"/>
  <c r="M584" i="181"/>
  <c r="H592" i="181" s="1"/>
  <c r="AE683" i="181"/>
  <c r="Y684" i="181"/>
  <c r="Z684" i="181" s="1"/>
  <c r="I137" i="181"/>
  <c r="P163" i="181"/>
  <c r="I174" i="181" s="1"/>
  <c r="G301" i="181" s="1"/>
  <c r="AE681" i="181"/>
  <c r="I135" i="181"/>
  <c r="Y683" i="181"/>
  <c r="Z683" i="181" s="1"/>
  <c r="I42" i="181"/>
  <c r="G664" i="181" s="1"/>
  <c r="K87" i="181"/>
  <c r="J126" i="181" s="1"/>
  <c r="K111" i="181"/>
  <c r="J125" i="181" s="1"/>
  <c r="K121" i="181"/>
  <c r="J127" i="181" s="1"/>
  <c r="I126" i="181"/>
  <c r="K163" i="181"/>
  <c r="I166" i="181"/>
  <c r="I167" i="181" s="1"/>
  <c r="I412" i="181"/>
  <c r="I414" i="181"/>
  <c r="I416" i="181"/>
  <c r="I418" i="181"/>
  <c r="K607" i="181"/>
  <c r="Y679" i="181"/>
  <c r="Z679" i="181" s="1"/>
  <c r="Y681" i="181"/>
  <c r="Z681" i="181" s="1"/>
  <c r="Y685" i="181"/>
  <c r="Z685" i="181" s="1"/>
  <c r="Y686" i="181"/>
  <c r="Z686" i="181" s="1"/>
  <c r="I134" i="181"/>
  <c r="I136" i="181"/>
  <c r="I138" i="181"/>
  <c r="I140" i="181"/>
  <c r="Y389" i="181"/>
  <c r="Z389" i="181" s="1"/>
  <c r="K584" i="181"/>
  <c r="H690" i="181"/>
  <c r="M690" i="181"/>
  <c r="AE680" i="181"/>
  <c r="W684" i="181"/>
  <c r="M557" i="181"/>
  <c r="H565" i="181" s="1"/>
  <c r="I172" i="181"/>
  <c r="G299" i="181" s="1"/>
  <c r="M233" i="181"/>
  <c r="I241" i="181" s="1"/>
  <c r="I298" i="181" s="1"/>
  <c r="AE330" i="181"/>
  <c r="AE389" i="181"/>
  <c r="AE397" i="181"/>
  <c r="W683" i="181"/>
  <c r="W686" i="181"/>
  <c r="W687" i="181"/>
  <c r="I30" i="181"/>
  <c r="I251" i="181"/>
  <c r="I308" i="181" s="1"/>
  <c r="I249" i="181"/>
  <c r="I306" i="181" s="1"/>
  <c r="I293" i="181"/>
  <c r="Y397" i="181"/>
  <c r="Z397" i="181" s="1"/>
  <c r="W397" i="181"/>
  <c r="H600" i="181"/>
  <c r="H595" i="181"/>
  <c r="Y680" i="181"/>
  <c r="Z680" i="181" s="1"/>
  <c r="W680" i="181"/>
  <c r="AE682" i="181"/>
  <c r="AC685" i="181"/>
  <c r="AE685" i="181" s="1"/>
  <c r="L30" i="181"/>
  <c r="L25" i="181"/>
  <c r="H566" i="181"/>
  <c r="H564" i="181"/>
  <c r="K557" i="181"/>
  <c r="I213" i="181"/>
  <c r="F297" i="181" s="1"/>
  <c r="I215" i="181"/>
  <c r="F299" i="181" s="1"/>
  <c r="K206" i="181"/>
  <c r="I245" i="181"/>
  <c r="I302" i="181" s="1"/>
  <c r="I294" i="181"/>
  <c r="K529" i="181"/>
  <c r="H538" i="181"/>
  <c r="H532" i="181"/>
  <c r="Y682" i="181"/>
  <c r="Z682" i="181" s="1"/>
  <c r="W682" i="181"/>
  <c r="H560" i="181"/>
  <c r="P557" i="181"/>
  <c r="I181" i="181"/>
  <c r="G308" i="181" s="1"/>
  <c r="I286" i="181"/>
  <c r="H306" i="181" s="1"/>
  <c r="H293" i="181"/>
  <c r="I274" i="181"/>
  <c r="I288" i="181"/>
  <c r="H308" i="181" s="1"/>
  <c r="Y330" i="181"/>
  <c r="Z330" i="181" s="1"/>
  <c r="W330" i="181"/>
  <c r="H616" i="181"/>
  <c r="Y678" i="181"/>
  <c r="Z678" i="181" s="1"/>
  <c r="I690" i="181"/>
  <c r="W678" i="181"/>
  <c r="Y687" i="181"/>
  <c r="Z687" i="181" s="1"/>
  <c r="AC687" i="181"/>
  <c r="AE687" i="181" s="1"/>
  <c r="I689" i="181"/>
  <c r="L126" i="181"/>
  <c r="M87" i="181"/>
  <c r="M126" i="181" s="1"/>
  <c r="L125" i="181"/>
  <c r="M111" i="181"/>
  <c r="M125" i="181" s="1"/>
  <c r="M121" i="181"/>
  <c r="M127" i="181" s="1"/>
  <c r="L127" i="181"/>
  <c r="I127" i="181"/>
  <c r="I279" i="181"/>
  <c r="H299" i="181" s="1"/>
  <c r="I413" i="181"/>
  <c r="L413" i="181"/>
  <c r="L415" i="181"/>
  <c r="I415" i="181"/>
  <c r="I417" i="181"/>
  <c r="L417" i="181"/>
  <c r="AD684" i="181"/>
  <c r="AE684" i="181" s="1"/>
  <c r="AD686" i="181"/>
  <c r="AE686" i="181" s="1"/>
  <c r="M206" i="181"/>
  <c r="I214" i="181" s="1"/>
  <c r="F298" i="181" s="1"/>
  <c r="I209" i="181"/>
  <c r="I242" i="181"/>
  <c r="I299" i="181" s="1"/>
  <c r="I132" i="181"/>
  <c r="I240" i="181"/>
  <c r="I297" i="181" s="1"/>
  <c r="I277" i="181"/>
  <c r="H297" i="181" s="1"/>
  <c r="P584" i="181"/>
  <c r="P607" i="181"/>
  <c r="H614" i="181"/>
  <c r="AC678" i="181"/>
  <c r="AE678" i="181" s="1"/>
  <c r="W681" i="181"/>
  <c r="W685" i="181"/>
  <c r="H689" i="181"/>
  <c r="P233" i="181"/>
  <c r="I244" i="181" s="1"/>
  <c r="I301" i="181" s="1"/>
  <c r="P270" i="181"/>
  <c r="I281" i="181" s="1"/>
  <c r="H301" i="181" s="1"/>
  <c r="W389" i="181"/>
  <c r="W679" i="181"/>
  <c r="M689" i="181"/>
  <c r="I346" i="180"/>
  <c r="I356" i="180"/>
  <c r="I358" i="180"/>
  <c r="H346" i="180"/>
  <c r="H356" i="180"/>
  <c r="H358" i="180"/>
  <c r="G346" i="180"/>
  <c r="G356" i="180"/>
  <c r="G358" i="180"/>
  <c r="F346" i="180"/>
  <c r="F356" i="180"/>
  <c r="F358" i="180"/>
  <c r="I179" i="181" l="1"/>
  <c r="G306" i="181" s="1"/>
  <c r="J690" i="181"/>
  <c r="G293" i="181"/>
  <c r="J689" i="181"/>
  <c r="F293" i="181"/>
  <c r="I224" i="181"/>
  <c r="F308" i="181" s="1"/>
  <c r="I222" i="181"/>
  <c r="F306" i="181" s="1"/>
  <c r="I210" i="181"/>
  <c r="I41" i="181"/>
  <c r="J30" i="181"/>
  <c r="I43" i="181" s="1"/>
  <c r="I282" i="181"/>
  <c r="H302" i="181" s="1"/>
  <c r="H294" i="181"/>
  <c r="H533" i="181"/>
  <c r="H541" i="181" s="1"/>
  <c r="H545" i="181"/>
  <c r="R511" i="181"/>
  <c r="G294" i="181"/>
  <c r="I175" i="181"/>
  <c r="G302" i="181" s="1"/>
  <c r="H573" i="181"/>
  <c r="H561" i="181"/>
  <c r="H569" i="181" s="1"/>
  <c r="H568" i="181"/>
  <c r="L27" i="181"/>
  <c r="I37" i="181"/>
  <c r="I38" i="181" s="1"/>
  <c r="V738" i="180"/>
  <c r="T738" i="180"/>
  <c r="M738" i="180"/>
  <c r="L738" i="180"/>
  <c r="K738" i="180"/>
  <c r="I738" i="180"/>
  <c r="H738" i="180"/>
  <c r="AC738" i="180" s="1"/>
  <c r="G738" i="180"/>
  <c r="F738" i="180"/>
  <c r="E738" i="180"/>
  <c r="D738" i="180"/>
  <c r="V737" i="180"/>
  <c r="T737" i="180"/>
  <c r="M737" i="180"/>
  <c r="L737" i="180"/>
  <c r="K737" i="180"/>
  <c r="I737" i="180"/>
  <c r="H737" i="180"/>
  <c r="AC737" i="180" s="1"/>
  <c r="G737" i="180"/>
  <c r="F737" i="180"/>
  <c r="E737" i="180"/>
  <c r="D737" i="180"/>
  <c r="V736" i="180"/>
  <c r="T736" i="180"/>
  <c r="M736" i="180"/>
  <c r="L736" i="180"/>
  <c r="K736" i="180"/>
  <c r="I736" i="180"/>
  <c r="AD736" i="180" s="1"/>
  <c r="H736" i="180"/>
  <c r="AC736" i="180" s="1"/>
  <c r="G736" i="180"/>
  <c r="F736" i="180"/>
  <c r="E736" i="180"/>
  <c r="D736" i="180"/>
  <c r="D41" i="180"/>
  <c r="E41" i="180"/>
  <c r="F41" i="180"/>
  <c r="G41" i="180"/>
  <c r="H41" i="180"/>
  <c r="AC41" i="180" s="1"/>
  <c r="I41" i="180"/>
  <c r="K41" i="180"/>
  <c r="L41" i="180"/>
  <c r="M41" i="180"/>
  <c r="T41" i="180"/>
  <c r="V41" i="180"/>
  <c r="V735" i="180"/>
  <c r="T735" i="180"/>
  <c r="M735" i="180"/>
  <c r="L735" i="180"/>
  <c r="K735" i="180"/>
  <c r="I735" i="180"/>
  <c r="AD735" i="180" s="1"/>
  <c r="H735" i="180"/>
  <c r="AC735" i="180" s="1"/>
  <c r="G735" i="180"/>
  <c r="F735" i="180"/>
  <c r="E735" i="180"/>
  <c r="D735" i="180"/>
  <c r="V734" i="180"/>
  <c r="T734" i="180"/>
  <c r="M734" i="180"/>
  <c r="L734" i="180"/>
  <c r="K734" i="180"/>
  <c r="I734" i="180"/>
  <c r="AD734" i="180" s="1"/>
  <c r="H734" i="180"/>
  <c r="AC734" i="180" s="1"/>
  <c r="G734" i="180"/>
  <c r="F734" i="180"/>
  <c r="E734" i="180"/>
  <c r="D734" i="180"/>
  <c r="V733" i="180"/>
  <c r="T733" i="180"/>
  <c r="M733" i="180"/>
  <c r="L733" i="180"/>
  <c r="K733" i="180"/>
  <c r="I733" i="180"/>
  <c r="H733" i="180"/>
  <c r="AC733" i="180" s="1"/>
  <c r="G733" i="180"/>
  <c r="F733" i="180"/>
  <c r="E733" i="180"/>
  <c r="D733" i="180"/>
  <c r="V732" i="180"/>
  <c r="T732" i="180"/>
  <c r="M732" i="180"/>
  <c r="L732" i="180"/>
  <c r="K732" i="180"/>
  <c r="I732" i="180"/>
  <c r="H732" i="180"/>
  <c r="AC732" i="180" s="1"/>
  <c r="G732" i="180"/>
  <c r="F732" i="180"/>
  <c r="E732" i="180"/>
  <c r="D732" i="180"/>
  <c r="V731" i="180"/>
  <c r="T731" i="180"/>
  <c r="M731" i="180"/>
  <c r="L731" i="180"/>
  <c r="K731" i="180"/>
  <c r="I731" i="180"/>
  <c r="AD731" i="180" s="1"/>
  <c r="H731" i="180"/>
  <c r="AC731" i="180" s="1"/>
  <c r="G731" i="180"/>
  <c r="F731" i="180"/>
  <c r="E731" i="180"/>
  <c r="D731" i="180"/>
  <c r="V730" i="180"/>
  <c r="T730" i="180"/>
  <c r="M730" i="180"/>
  <c r="L730" i="180"/>
  <c r="K730" i="180"/>
  <c r="I730" i="180"/>
  <c r="AD730" i="180" s="1"/>
  <c r="H730" i="180"/>
  <c r="AC730" i="180" s="1"/>
  <c r="G730" i="180"/>
  <c r="F730" i="180"/>
  <c r="E730" i="180"/>
  <c r="D730" i="180"/>
  <c r="V729" i="180"/>
  <c r="T729" i="180"/>
  <c r="M729" i="180"/>
  <c r="L729" i="180"/>
  <c r="K729" i="180"/>
  <c r="I729" i="180"/>
  <c r="H729" i="180"/>
  <c r="G729" i="180"/>
  <c r="F729" i="180"/>
  <c r="E729" i="180"/>
  <c r="D729" i="180"/>
  <c r="F294" i="181" l="1"/>
  <c r="I218" i="181"/>
  <c r="F302" i="181" s="1"/>
  <c r="I50" i="181"/>
  <c r="L28" i="181"/>
  <c r="I45" i="181" s="1"/>
  <c r="L32" i="181"/>
  <c r="L33" i="181" s="1"/>
  <c r="M740" i="180"/>
  <c r="W733" i="180"/>
  <c r="Y738" i="180"/>
  <c r="Z738" i="180" s="1"/>
  <c r="H741" i="180"/>
  <c r="W41" i="180"/>
  <c r="AE736" i="180"/>
  <c r="AE730" i="180"/>
  <c r="AE731" i="180"/>
  <c r="AD733" i="180"/>
  <c r="AE733" i="180" s="1"/>
  <c r="Y734" i="180"/>
  <c r="Z734" i="180" s="1"/>
  <c r="W730" i="180"/>
  <c r="W735" i="180"/>
  <c r="AC729" i="180"/>
  <c r="M741" i="180"/>
  <c r="AE735" i="180"/>
  <c r="W736" i="180"/>
  <c r="Y737" i="180"/>
  <c r="Z737" i="180" s="1"/>
  <c r="I741" i="180"/>
  <c r="Y731" i="180"/>
  <c r="Z731" i="180" s="1"/>
  <c r="Y732" i="180"/>
  <c r="Z732" i="180" s="1"/>
  <c r="Y733" i="180"/>
  <c r="Z733" i="180" s="1"/>
  <c r="Y735" i="180"/>
  <c r="Z735" i="180" s="1"/>
  <c r="Y41" i="180"/>
  <c r="Z41" i="180" s="1"/>
  <c r="H740" i="180"/>
  <c r="W731" i="180"/>
  <c r="Y729" i="180"/>
  <c r="Z729" i="180" s="1"/>
  <c r="AD41" i="180"/>
  <c r="AE41" i="180" s="1"/>
  <c r="Y736" i="180"/>
  <c r="Z736" i="180" s="1"/>
  <c r="I740" i="180"/>
  <c r="W738" i="180"/>
  <c r="AD738" i="180"/>
  <c r="AE738" i="180" s="1"/>
  <c r="W737" i="180"/>
  <c r="AD737" i="180"/>
  <c r="AE737" i="180" s="1"/>
  <c r="AE734" i="180"/>
  <c r="W734" i="180"/>
  <c r="W732" i="180"/>
  <c r="AD732" i="180"/>
  <c r="AE732" i="180" s="1"/>
  <c r="Y730" i="180"/>
  <c r="Z730" i="180" s="1"/>
  <c r="W729" i="180"/>
  <c r="AD729" i="180"/>
  <c r="O26" i="178"/>
  <c r="N26" i="178"/>
  <c r="J26" i="178"/>
  <c r="J29" i="178"/>
  <c r="I26" i="178"/>
  <c r="H26" i="178"/>
  <c r="O43" i="178"/>
  <c r="K26" i="178"/>
  <c r="AE729" i="180" l="1"/>
  <c r="J741" i="180"/>
  <c r="J740" i="180"/>
  <c r="P546" i="180" l="1"/>
  <c r="M546" i="180"/>
  <c r="P545" i="180"/>
  <c r="M545" i="180"/>
  <c r="L545" i="180" s="1"/>
  <c r="P544" i="180"/>
  <c r="L546" i="180"/>
  <c r="M544" i="180"/>
  <c r="L544" i="180" s="1"/>
  <c r="P543" i="180"/>
  <c r="M543" i="180"/>
  <c r="L543" i="180" s="1"/>
  <c r="L461" i="180" l="1"/>
  <c r="L462" i="180"/>
  <c r="L460" i="180"/>
  <c r="J469" i="180" l="1"/>
  <c r="J468" i="180"/>
  <c r="J467" i="180"/>
  <c r="J466" i="180"/>
  <c r="J465" i="180"/>
  <c r="J464" i="180"/>
  <c r="J463" i="180"/>
  <c r="I462" i="180"/>
  <c r="I461" i="180"/>
  <c r="I460" i="180"/>
  <c r="V448" i="180"/>
  <c r="T448" i="180"/>
  <c r="M448" i="180"/>
  <c r="L448" i="180"/>
  <c r="K448" i="180"/>
  <c r="I448" i="180"/>
  <c r="AD448" i="180" s="1"/>
  <c r="H448" i="180"/>
  <c r="G448" i="180"/>
  <c r="F448" i="180"/>
  <c r="E448" i="180"/>
  <c r="D448" i="180"/>
  <c r="V440" i="180"/>
  <c r="T440" i="180"/>
  <c r="M440" i="180"/>
  <c r="L440" i="180"/>
  <c r="K440" i="180"/>
  <c r="I440" i="180"/>
  <c r="H440" i="180"/>
  <c r="AC440" i="180" s="1"/>
  <c r="G440" i="180"/>
  <c r="F440" i="180"/>
  <c r="E440" i="180"/>
  <c r="D440" i="180"/>
  <c r="V381" i="180"/>
  <c r="T381" i="180"/>
  <c r="M381" i="180"/>
  <c r="L381" i="180"/>
  <c r="K381" i="180"/>
  <c r="I381" i="180"/>
  <c r="AD381" i="180" s="1"/>
  <c r="H381" i="180"/>
  <c r="AC381" i="180" s="1"/>
  <c r="G381" i="180"/>
  <c r="F381" i="180"/>
  <c r="E381" i="180"/>
  <c r="D381" i="180"/>
  <c r="I466" i="180" l="1"/>
  <c r="L466" i="180"/>
  <c r="I463" i="180"/>
  <c r="L463" i="180"/>
  <c r="I467" i="180"/>
  <c r="L467" i="180"/>
  <c r="I464" i="180"/>
  <c r="L464" i="180"/>
  <c r="I468" i="180"/>
  <c r="L468" i="180"/>
  <c r="I465" i="180"/>
  <c r="L465" i="180"/>
  <c r="I469" i="180"/>
  <c r="L469" i="180"/>
  <c r="W448" i="180"/>
  <c r="Y448" i="180"/>
  <c r="Z448" i="180" s="1"/>
  <c r="AC448" i="180"/>
  <c r="AE448" i="180" s="1"/>
  <c r="Y440" i="180"/>
  <c r="Z440" i="180" s="1"/>
  <c r="W440" i="180"/>
  <c r="AD440" i="180"/>
  <c r="AE440" i="180" s="1"/>
  <c r="AE381" i="180"/>
  <c r="Y381" i="180"/>
  <c r="Z381" i="180" s="1"/>
  <c r="W381" i="180"/>
  <c r="I334" i="180"/>
  <c r="H354" i="180" s="1"/>
  <c r="I323" i="180"/>
  <c r="L321" i="180"/>
  <c r="I324" i="180" s="1"/>
  <c r="I321" i="180"/>
  <c r="H321" i="180"/>
  <c r="I297" i="180"/>
  <c r="I354" i="180" s="1"/>
  <c r="I286" i="180"/>
  <c r="I270" i="180"/>
  <c r="F354" i="180" s="1"/>
  <c r="I259" i="180"/>
  <c r="I227" i="180"/>
  <c r="G354" i="180" s="1"/>
  <c r="I339" i="180" l="1"/>
  <c r="H359" i="180" s="1"/>
  <c r="H344" i="180"/>
  <c r="I330" i="180"/>
  <c r="H350" i="180" s="1"/>
  <c r="M321" i="180"/>
  <c r="I329" i="180" s="1"/>
  <c r="H349" i="180" s="1"/>
  <c r="I328" i="180"/>
  <c r="H348" i="180" s="1"/>
  <c r="K321" i="180"/>
  <c r="P321" i="180"/>
  <c r="I332" i="180" s="1"/>
  <c r="H352" i="180" s="1"/>
  <c r="I337" i="180"/>
  <c r="H357" i="180" s="1"/>
  <c r="I325" i="180"/>
  <c r="I216" i="180"/>
  <c r="I333" i="180" l="1"/>
  <c r="H353" i="180" s="1"/>
  <c r="H345" i="180"/>
  <c r="H189" i="180"/>
  <c r="H190" i="180"/>
  <c r="I89" i="180" l="1"/>
  <c r="I97" i="180" s="1"/>
  <c r="I87" i="180" l="1"/>
  <c r="V72" i="180"/>
  <c r="T72" i="180"/>
  <c r="M72" i="180"/>
  <c r="L72" i="180"/>
  <c r="K72" i="180"/>
  <c r="I72" i="180"/>
  <c r="H72" i="180"/>
  <c r="AC72" i="180" s="1"/>
  <c r="G72" i="180"/>
  <c r="F72" i="180"/>
  <c r="E72" i="180"/>
  <c r="D72" i="180"/>
  <c r="V71" i="180"/>
  <c r="T71" i="180"/>
  <c r="M71" i="180"/>
  <c r="L71" i="180"/>
  <c r="K71" i="180"/>
  <c r="I71" i="180"/>
  <c r="AD71" i="180" s="1"/>
  <c r="H71" i="180"/>
  <c r="AC71" i="180" s="1"/>
  <c r="G71" i="180"/>
  <c r="F71" i="180"/>
  <c r="E71" i="180"/>
  <c r="D71" i="180"/>
  <c r="F70" i="180"/>
  <c r="E70" i="180"/>
  <c r="D70" i="180"/>
  <c r="V69" i="180"/>
  <c r="T69" i="180"/>
  <c r="M69" i="180"/>
  <c r="L69" i="180"/>
  <c r="K69" i="180"/>
  <c r="I69" i="180"/>
  <c r="AD69" i="180" s="1"/>
  <c r="H69" i="180"/>
  <c r="G69" i="180"/>
  <c r="F69" i="180"/>
  <c r="E69" i="180"/>
  <c r="D69" i="180"/>
  <c r="V68" i="180"/>
  <c r="T68" i="180"/>
  <c r="M68" i="180"/>
  <c r="L68" i="180"/>
  <c r="K68" i="180"/>
  <c r="I68" i="180"/>
  <c r="H68" i="180"/>
  <c r="AC68" i="180" s="1"/>
  <c r="G68" i="180"/>
  <c r="F68" i="180"/>
  <c r="E68" i="180"/>
  <c r="D68" i="180"/>
  <c r="V67" i="180"/>
  <c r="T67" i="180"/>
  <c r="M67" i="180"/>
  <c r="L67" i="180"/>
  <c r="K67" i="180"/>
  <c r="I67" i="180"/>
  <c r="AD67" i="180" s="1"/>
  <c r="H67" i="180"/>
  <c r="G67" i="180"/>
  <c r="F67" i="180"/>
  <c r="E67" i="180"/>
  <c r="D67" i="180"/>
  <c r="V66" i="180"/>
  <c r="T66" i="180"/>
  <c r="M66" i="180"/>
  <c r="L66" i="180"/>
  <c r="K66" i="180"/>
  <c r="I66" i="180"/>
  <c r="H66" i="180"/>
  <c r="AC66" i="180" s="1"/>
  <c r="G66" i="180"/>
  <c r="F66" i="180"/>
  <c r="E66" i="180"/>
  <c r="D66" i="180"/>
  <c r="V65" i="180"/>
  <c r="T65" i="180"/>
  <c r="M65" i="180"/>
  <c r="L65" i="180"/>
  <c r="K65" i="180"/>
  <c r="I65" i="180"/>
  <c r="AD65" i="180" s="1"/>
  <c r="H65" i="180"/>
  <c r="AC65" i="180" s="1"/>
  <c r="G65" i="180"/>
  <c r="F65" i="180"/>
  <c r="E65" i="180"/>
  <c r="D65" i="180"/>
  <c r="V64" i="180"/>
  <c r="T64" i="180"/>
  <c r="M64" i="180"/>
  <c r="L64" i="180"/>
  <c r="K64" i="180"/>
  <c r="I64" i="180"/>
  <c r="H64" i="180"/>
  <c r="AC64" i="180" s="1"/>
  <c r="G64" i="180"/>
  <c r="F64" i="180"/>
  <c r="E64" i="180"/>
  <c r="D64" i="180"/>
  <c r="V63" i="180"/>
  <c r="T63" i="180"/>
  <c r="M63" i="180"/>
  <c r="L63" i="180"/>
  <c r="K63" i="180"/>
  <c r="I63" i="180"/>
  <c r="AD63" i="180" s="1"/>
  <c r="H63" i="180"/>
  <c r="AC63" i="180" s="1"/>
  <c r="G63" i="180"/>
  <c r="F63" i="180"/>
  <c r="E63" i="180"/>
  <c r="D63" i="180"/>
  <c r="V62" i="180"/>
  <c r="T62" i="180"/>
  <c r="M62" i="180"/>
  <c r="L62" i="180"/>
  <c r="K62" i="180"/>
  <c r="I62" i="180"/>
  <c r="H62" i="180"/>
  <c r="AC62" i="180" s="1"/>
  <c r="G62" i="180"/>
  <c r="F62" i="180"/>
  <c r="E62" i="180"/>
  <c r="D62" i="180"/>
  <c r="V61" i="180"/>
  <c r="T61" i="180"/>
  <c r="M61" i="180"/>
  <c r="L61" i="180"/>
  <c r="K61" i="180"/>
  <c r="I61" i="180"/>
  <c r="H61" i="180"/>
  <c r="AC61" i="180" s="1"/>
  <c r="G61" i="180"/>
  <c r="F61" i="180"/>
  <c r="E61" i="180"/>
  <c r="D61" i="180"/>
  <c r="V60" i="180"/>
  <c r="T60" i="180"/>
  <c r="M60" i="180"/>
  <c r="L60" i="180"/>
  <c r="K60" i="180"/>
  <c r="I60" i="180"/>
  <c r="H60" i="180"/>
  <c r="AC60" i="180" s="1"/>
  <c r="G60" i="180"/>
  <c r="F60" i="180"/>
  <c r="E60" i="180"/>
  <c r="D60" i="180"/>
  <c r="V59" i="180"/>
  <c r="T59" i="180"/>
  <c r="M59" i="180"/>
  <c r="L59" i="180"/>
  <c r="K59" i="180"/>
  <c r="I59" i="180"/>
  <c r="H59" i="180"/>
  <c r="AC59" i="180" s="1"/>
  <c r="G59" i="180"/>
  <c r="F59" i="180"/>
  <c r="E59" i="180"/>
  <c r="D59" i="180"/>
  <c r="V58" i="180"/>
  <c r="T58" i="180"/>
  <c r="M58" i="180"/>
  <c r="L58" i="180"/>
  <c r="K58" i="180"/>
  <c r="I58" i="180"/>
  <c r="H58" i="180"/>
  <c r="AC58" i="180" s="1"/>
  <c r="G58" i="180"/>
  <c r="F58" i="180"/>
  <c r="E58" i="180"/>
  <c r="D58" i="180"/>
  <c r="V57" i="180"/>
  <c r="T57" i="180"/>
  <c r="M57" i="180"/>
  <c r="L57" i="180"/>
  <c r="K57" i="180"/>
  <c r="I57" i="180"/>
  <c r="H57" i="180"/>
  <c r="G57" i="180"/>
  <c r="F57" i="180"/>
  <c r="E57" i="180"/>
  <c r="D57" i="180"/>
  <c r="V55" i="180"/>
  <c r="T55" i="180"/>
  <c r="M55" i="180"/>
  <c r="L55" i="180"/>
  <c r="K55" i="180"/>
  <c r="I55" i="180"/>
  <c r="AD55" i="180" s="1"/>
  <c r="H55" i="180"/>
  <c r="AC55" i="180" s="1"/>
  <c r="G55" i="180"/>
  <c r="F55" i="180"/>
  <c r="E55" i="180"/>
  <c r="D55" i="180"/>
  <c r="V54" i="180"/>
  <c r="T54" i="180"/>
  <c r="M54" i="180"/>
  <c r="L54" i="180"/>
  <c r="K54" i="180"/>
  <c r="I54" i="180"/>
  <c r="H54" i="180"/>
  <c r="AC54" i="180" s="1"/>
  <c r="G54" i="180"/>
  <c r="F54" i="180"/>
  <c r="E54" i="180"/>
  <c r="D54" i="180"/>
  <c r="V53" i="180"/>
  <c r="T53" i="180"/>
  <c r="M53" i="180"/>
  <c r="L53" i="180"/>
  <c r="K53" i="180"/>
  <c r="I53" i="180"/>
  <c r="H53" i="180"/>
  <c r="AC53" i="180" s="1"/>
  <c r="G53" i="180"/>
  <c r="F53" i="180"/>
  <c r="E53" i="180"/>
  <c r="D53" i="180"/>
  <c r="F52" i="180"/>
  <c r="E52" i="180"/>
  <c r="D52" i="180"/>
  <c r="V51" i="180"/>
  <c r="T51" i="180"/>
  <c r="M51" i="180"/>
  <c r="L51" i="180"/>
  <c r="K51" i="180"/>
  <c r="I51" i="180"/>
  <c r="AD51" i="180" s="1"/>
  <c r="H51" i="180"/>
  <c r="AC51" i="180" s="1"/>
  <c r="G51" i="180"/>
  <c r="F51" i="180"/>
  <c r="E51" i="180"/>
  <c r="D51" i="180"/>
  <c r="V50" i="180"/>
  <c r="T50" i="180"/>
  <c r="M50" i="180"/>
  <c r="L50" i="180"/>
  <c r="K50" i="180"/>
  <c r="I50" i="180"/>
  <c r="AD50" i="180" s="1"/>
  <c r="H50" i="180"/>
  <c r="AC50" i="180" s="1"/>
  <c r="G50" i="180"/>
  <c r="F50" i="180"/>
  <c r="E50" i="180"/>
  <c r="D50" i="180"/>
  <c r="F49" i="180"/>
  <c r="E49" i="180"/>
  <c r="D49" i="180"/>
  <c r="V48" i="180"/>
  <c r="T48" i="180"/>
  <c r="M48" i="180"/>
  <c r="L48" i="180"/>
  <c r="K48" i="180"/>
  <c r="I48" i="180"/>
  <c r="AD48" i="180" s="1"/>
  <c r="H48" i="180"/>
  <c r="AC48" i="180" s="1"/>
  <c r="G48" i="180"/>
  <c r="F48" i="180"/>
  <c r="E48" i="180"/>
  <c r="D48" i="180"/>
  <c r="V47" i="180"/>
  <c r="T47" i="180"/>
  <c r="M47" i="180"/>
  <c r="L47" i="180"/>
  <c r="K47" i="180"/>
  <c r="I47" i="180"/>
  <c r="H47" i="180"/>
  <c r="G47" i="180"/>
  <c r="F47" i="180"/>
  <c r="E47" i="180"/>
  <c r="D47" i="180"/>
  <c r="V46" i="180"/>
  <c r="T46" i="180"/>
  <c r="M46" i="180"/>
  <c r="L46" i="180"/>
  <c r="K46" i="180"/>
  <c r="I46" i="180"/>
  <c r="H46" i="180"/>
  <c r="AC46" i="180" s="1"/>
  <c r="G46" i="180"/>
  <c r="F46" i="180"/>
  <c r="E46" i="180"/>
  <c r="D46" i="180"/>
  <c r="V45" i="180"/>
  <c r="T45" i="180"/>
  <c r="M45" i="180"/>
  <c r="L45" i="180"/>
  <c r="K45" i="180"/>
  <c r="I45" i="180"/>
  <c r="H45" i="180"/>
  <c r="AC45" i="180" s="1"/>
  <c r="G45" i="180"/>
  <c r="F45" i="180"/>
  <c r="E45" i="180"/>
  <c r="D45" i="180"/>
  <c r="V43" i="180"/>
  <c r="T43" i="180"/>
  <c r="M43" i="180"/>
  <c r="L43" i="180"/>
  <c r="K43" i="180"/>
  <c r="I43" i="180"/>
  <c r="H43" i="180"/>
  <c r="AC43" i="180" s="1"/>
  <c r="G43" i="180"/>
  <c r="F43" i="180"/>
  <c r="E43" i="180"/>
  <c r="D43" i="180"/>
  <c r="V42" i="180"/>
  <c r="T42" i="180"/>
  <c r="M42" i="180"/>
  <c r="L42" i="180"/>
  <c r="K42" i="180"/>
  <c r="I42" i="180"/>
  <c r="H42" i="180"/>
  <c r="AC42" i="180" s="1"/>
  <c r="G42" i="180"/>
  <c r="F42" i="180"/>
  <c r="E42" i="180"/>
  <c r="D42" i="180"/>
  <c r="V40" i="180"/>
  <c r="T40" i="180"/>
  <c r="M40" i="180"/>
  <c r="L40" i="180"/>
  <c r="K40" i="180"/>
  <c r="I40" i="180"/>
  <c r="H40" i="180"/>
  <c r="AC40" i="180" s="1"/>
  <c r="G40" i="180"/>
  <c r="F40" i="180"/>
  <c r="E40" i="180"/>
  <c r="D40" i="180"/>
  <c r="V39" i="180"/>
  <c r="T39" i="180"/>
  <c r="M39" i="180"/>
  <c r="L39" i="180"/>
  <c r="K39" i="180"/>
  <c r="I39" i="180"/>
  <c r="AD39" i="180" s="1"/>
  <c r="H39" i="180"/>
  <c r="G39" i="180"/>
  <c r="F39" i="180"/>
  <c r="E39" i="180"/>
  <c r="D39" i="180"/>
  <c r="V38" i="180"/>
  <c r="T38" i="180"/>
  <c r="M38" i="180"/>
  <c r="L38" i="180"/>
  <c r="K38" i="180"/>
  <c r="I38" i="180"/>
  <c r="H38" i="180"/>
  <c r="AC38" i="180" s="1"/>
  <c r="G38" i="180"/>
  <c r="F38" i="180"/>
  <c r="E38" i="180"/>
  <c r="D38" i="180"/>
  <c r="V37" i="180"/>
  <c r="T37" i="180"/>
  <c r="M37" i="180"/>
  <c r="L37" i="180"/>
  <c r="K37" i="180"/>
  <c r="I37" i="180"/>
  <c r="AD37" i="180" s="1"/>
  <c r="H37" i="180"/>
  <c r="AC37" i="180" s="1"/>
  <c r="G37" i="180"/>
  <c r="F37" i="180"/>
  <c r="E37" i="180"/>
  <c r="D37" i="180"/>
  <c r="V36" i="180"/>
  <c r="T36" i="180"/>
  <c r="M36" i="180"/>
  <c r="L36" i="180"/>
  <c r="K36" i="180"/>
  <c r="I36" i="180"/>
  <c r="H36" i="180"/>
  <c r="AC36" i="180" s="1"/>
  <c r="G36" i="180"/>
  <c r="F36" i="180"/>
  <c r="E36" i="180"/>
  <c r="D36" i="180"/>
  <c r="V35" i="180"/>
  <c r="T35" i="180"/>
  <c r="M35" i="180"/>
  <c r="L35" i="180"/>
  <c r="K35" i="180"/>
  <c r="I35" i="180"/>
  <c r="AD35" i="180" s="1"/>
  <c r="H35" i="180"/>
  <c r="G35" i="180"/>
  <c r="F35" i="180"/>
  <c r="E35" i="180"/>
  <c r="D35" i="180"/>
  <c r="V34" i="180"/>
  <c r="T34" i="180"/>
  <c r="M34" i="180"/>
  <c r="L34" i="180"/>
  <c r="K34" i="180"/>
  <c r="I34" i="180"/>
  <c r="H34" i="180"/>
  <c r="AC34" i="180" s="1"/>
  <c r="G34" i="180"/>
  <c r="F34" i="180"/>
  <c r="E34" i="180"/>
  <c r="D34" i="180"/>
  <c r="V33" i="180"/>
  <c r="T33" i="180"/>
  <c r="M33" i="180"/>
  <c r="L33" i="180"/>
  <c r="K33" i="180"/>
  <c r="I33" i="180"/>
  <c r="H33" i="180"/>
  <c r="AC33" i="180" s="1"/>
  <c r="G33" i="180"/>
  <c r="F33" i="180"/>
  <c r="E33" i="180"/>
  <c r="D33" i="180"/>
  <c r="V32" i="180"/>
  <c r="T32" i="180"/>
  <c r="M32" i="180"/>
  <c r="L32" i="180"/>
  <c r="K32" i="180"/>
  <c r="I32" i="180"/>
  <c r="H32" i="180"/>
  <c r="AC32" i="180" s="1"/>
  <c r="G32" i="180"/>
  <c r="F32" i="180"/>
  <c r="E32" i="180"/>
  <c r="D32" i="180"/>
  <c r="V31" i="180"/>
  <c r="T31" i="180"/>
  <c r="M31" i="180"/>
  <c r="L31" i="180"/>
  <c r="K31" i="180"/>
  <c r="I31" i="180"/>
  <c r="AD31" i="180" s="1"/>
  <c r="H31" i="180"/>
  <c r="AC31" i="180" s="1"/>
  <c r="G31" i="180"/>
  <c r="F31" i="180"/>
  <c r="E31" i="180"/>
  <c r="D31" i="180"/>
  <c r="V30" i="180"/>
  <c r="T30" i="180"/>
  <c r="M30" i="180"/>
  <c r="L30" i="180"/>
  <c r="K30" i="180"/>
  <c r="I30" i="180"/>
  <c r="H30" i="180"/>
  <c r="G30" i="180"/>
  <c r="F30" i="180"/>
  <c r="E30" i="180"/>
  <c r="D30" i="180"/>
  <c r="V28" i="180"/>
  <c r="T28" i="180"/>
  <c r="M28" i="180"/>
  <c r="L28" i="180"/>
  <c r="K28" i="180"/>
  <c r="I28" i="180"/>
  <c r="H28" i="180"/>
  <c r="AC28" i="180" s="1"/>
  <c r="G28" i="180"/>
  <c r="F28" i="180"/>
  <c r="E28" i="180"/>
  <c r="D28" i="180"/>
  <c r="F27" i="180"/>
  <c r="E27" i="180"/>
  <c r="D27" i="180"/>
  <c r="V26" i="180"/>
  <c r="T26" i="180"/>
  <c r="M26" i="180"/>
  <c r="L26" i="180"/>
  <c r="K26" i="180"/>
  <c r="I26" i="180"/>
  <c r="AD26" i="180" s="1"/>
  <c r="H26" i="180"/>
  <c r="AC26" i="180" s="1"/>
  <c r="G26" i="180"/>
  <c r="F26" i="180"/>
  <c r="E26" i="180"/>
  <c r="D26" i="180"/>
  <c r="F25" i="180"/>
  <c r="E25" i="180"/>
  <c r="D25" i="180"/>
  <c r="V24" i="180"/>
  <c r="T24" i="180"/>
  <c r="M24" i="180"/>
  <c r="L24" i="180"/>
  <c r="K24" i="180"/>
  <c r="I24" i="180"/>
  <c r="AD24" i="180" s="1"/>
  <c r="H24" i="180"/>
  <c r="AC24" i="180" s="1"/>
  <c r="G24" i="180"/>
  <c r="F24" i="180"/>
  <c r="E24" i="180"/>
  <c r="D24" i="180"/>
  <c r="V23" i="180"/>
  <c r="T23" i="180"/>
  <c r="M23" i="180"/>
  <c r="L23" i="180"/>
  <c r="K23" i="180"/>
  <c r="I23" i="180"/>
  <c r="AD23" i="180" s="1"/>
  <c r="H23" i="180"/>
  <c r="AC23" i="180" s="1"/>
  <c r="G23" i="180"/>
  <c r="F23" i="180"/>
  <c r="E23" i="180"/>
  <c r="D23" i="180"/>
  <c r="V22" i="180"/>
  <c r="T22" i="180"/>
  <c r="M22" i="180"/>
  <c r="L22" i="180"/>
  <c r="K22" i="180"/>
  <c r="I22" i="180"/>
  <c r="H22" i="180"/>
  <c r="AC22" i="180" s="1"/>
  <c r="G22" i="180"/>
  <c r="F22" i="180"/>
  <c r="E22" i="180"/>
  <c r="D22" i="180"/>
  <c r="F21" i="180"/>
  <c r="E21" i="180"/>
  <c r="D21" i="180"/>
  <c r="V20" i="180"/>
  <c r="T20" i="180"/>
  <c r="M20" i="180"/>
  <c r="L20" i="180"/>
  <c r="K20" i="180"/>
  <c r="I20" i="180"/>
  <c r="H20" i="180"/>
  <c r="AC20" i="180" s="1"/>
  <c r="G20" i="180"/>
  <c r="F20" i="180"/>
  <c r="E20" i="180"/>
  <c r="D20" i="180"/>
  <c r="V19" i="180"/>
  <c r="T19" i="180"/>
  <c r="M19" i="180"/>
  <c r="L19" i="180"/>
  <c r="K19" i="180"/>
  <c r="I19" i="180"/>
  <c r="H19" i="180"/>
  <c r="AC19" i="180" s="1"/>
  <c r="G19" i="180"/>
  <c r="F19" i="180"/>
  <c r="E19" i="180"/>
  <c r="D19" i="180"/>
  <c r="V18" i="180"/>
  <c r="T18" i="180"/>
  <c r="M18" i="180"/>
  <c r="L18" i="180"/>
  <c r="K18" i="180"/>
  <c r="I18" i="180"/>
  <c r="H18" i="180"/>
  <c r="AC18" i="180" s="1"/>
  <c r="G18" i="180"/>
  <c r="F18" i="180"/>
  <c r="E18" i="180"/>
  <c r="D18" i="180"/>
  <c r="F17" i="180"/>
  <c r="E17" i="180"/>
  <c r="D17" i="180"/>
  <c r="V16" i="180"/>
  <c r="T16" i="180"/>
  <c r="M16" i="180"/>
  <c r="L16" i="180"/>
  <c r="K16" i="180"/>
  <c r="I16" i="180"/>
  <c r="AD16" i="180" s="1"/>
  <c r="H16" i="180"/>
  <c r="G16" i="180"/>
  <c r="F16" i="180"/>
  <c r="E16" i="180"/>
  <c r="D16" i="180"/>
  <c r="V15" i="180"/>
  <c r="T15" i="180"/>
  <c r="M15" i="180"/>
  <c r="L15" i="180"/>
  <c r="K15" i="180"/>
  <c r="I15" i="180"/>
  <c r="AD15" i="180" s="1"/>
  <c r="H15" i="180"/>
  <c r="G15" i="180"/>
  <c r="F15" i="180"/>
  <c r="E15" i="180"/>
  <c r="D15" i="180"/>
  <c r="V14" i="180"/>
  <c r="T14" i="180"/>
  <c r="M14" i="180"/>
  <c r="L14" i="180"/>
  <c r="K14" i="180"/>
  <c r="I14" i="180"/>
  <c r="AD14" i="180" s="1"/>
  <c r="H14" i="180"/>
  <c r="G14" i="180"/>
  <c r="F14" i="180"/>
  <c r="E14" i="180"/>
  <c r="D14" i="180"/>
  <c r="V13" i="180"/>
  <c r="T13" i="180"/>
  <c r="M13" i="180"/>
  <c r="L13" i="180"/>
  <c r="K13" i="180"/>
  <c r="I13" i="180"/>
  <c r="AD13" i="180" s="1"/>
  <c r="H13" i="180"/>
  <c r="G13" i="180"/>
  <c r="F13" i="180"/>
  <c r="E13" i="180"/>
  <c r="D13" i="180"/>
  <c r="V12" i="180"/>
  <c r="T12" i="180"/>
  <c r="M12" i="180"/>
  <c r="L12" i="180"/>
  <c r="K12" i="180"/>
  <c r="I12" i="180"/>
  <c r="AD12" i="180" s="1"/>
  <c r="H12" i="180"/>
  <c r="G12" i="180"/>
  <c r="F12" i="180"/>
  <c r="E12" i="180"/>
  <c r="D12" i="180"/>
  <c r="V11" i="180"/>
  <c r="T11" i="180"/>
  <c r="M11" i="180"/>
  <c r="L11" i="180"/>
  <c r="K11" i="180"/>
  <c r="I11" i="180"/>
  <c r="AD11" i="180" s="1"/>
  <c r="H11" i="180"/>
  <c r="G11" i="180"/>
  <c r="F11" i="180"/>
  <c r="E11" i="180"/>
  <c r="D11" i="180"/>
  <c r="V10" i="180"/>
  <c r="T10" i="180"/>
  <c r="M10" i="180"/>
  <c r="L10" i="180"/>
  <c r="K10" i="180"/>
  <c r="I10" i="180"/>
  <c r="AD10" i="180" s="1"/>
  <c r="H10" i="180"/>
  <c r="AC10" i="180" s="1"/>
  <c r="G10" i="180"/>
  <c r="F10" i="180"/>
  <c r="E10" i="180"/>
  <c r="D10" i="180"/>
  <c r="V9" i="180"/>
  <c r="T9" i="180"/>
  <c r="M9" i="180"/>
  <c r="L9" i="180"/>
  <c r="K9" i="180"/>
  <c r="I9" i="180"/>
  <c r="H9" i="180"/>
  <c r="G9" i="180"/>
  <c r="F9" i="180"/>
  <c r="E9" i="180"/>
  <c r="D9" i="180"/>
  <c r="V8" i="180"/>
  <c r="T8" i="180"/>
  <c r="M8" i="180"/>
  <c r="L8" i="180"/>
  <c r="K8" i="180"/>
  <c r="I8" i="180"/>
  <c r="AD8" i="180" s="1"/>
  <c r="H8" i="180"/>
  <c r="G8" i="180"/>
  <c r="F8" i="180"/>
  <c r="E8" i="180"/>
  <c r="D8" i="180"/>
  <c r="V7" i="180"/>
  <c r="T7" i="180"/>
  <c r="M7" i="180"/>
  <c r="L7" i="180"/>
  <c r="K7" i="180"/>
  <c r="I7" i="180"/>
  <c r="H7" i="180"/>
  <c r="G7" i="180"/>
  <c r="F7" i="180"/>
  <c r="E7" i="180"/>
  <c r="D7" i="180"/>
  <c r="F685" i="180"/>
  <c r="F686" i="180" s="1"/>
  <c r="F687" i="180" s="1"/>
  <c r="F688" i="180" s="1"/>
  <c r="F689" i="180" s="1"/>
  <c r="F690" i="180" s="1"/>
  <c r="F691" i="180" s="1"/>
  <c r="F692" i="180" s="1"/>
  <c r="F693" i="180" s="1"/>
  <c r="F694" i="180" s="1"/>
  <c r="F695" i="180" s="1"/>
  <c r="F696" i="180" s="1"/>
  <c r="F697" i="180" s="1"/>
  <c r="F698" i="180" s="1"/>
  <c r="F699" i="180" s="1"/>
  <c r="F700" i="180" s="1"/>
  <c r="F701" i="180" s="1"/>
  <c r="F702" i="180" s="1"/>
  <c r="F703" i="180" s="1"/>
  <c r="F704" i="180" s="1"/>
  <c r="F705" i="180" s="1"/>
  <c r="I684" i="180"/>
  <c r="H671" i="180"/>
  <c r="H670" i="180"/>
  <c r="H669" i="180"/>
  <c r="H660" i="180"/>
  <c r="L658" i="180"/>
  <c r="P658" i="180" s="1"/>
  <c r="I658" i="180"/>
  <c r="H665" i="180" s="1"/>
  <c r="H658" i="180"/>
  <c r="H648" i="180"/>
  <c r="H637" i="180"/>
  <c r="L635" i="180"/>
  <c r="H638" i="180" s="1"/>
  <c r="I635" i="180"/>
  <c r="H642" i="180" s="1"/>
  <c r="H635" i="180"/>
  <c r="H621" i="180"/>
  <c r="H610" i="180"/>
  <c r="H608" i="180"/>
  <c r="R599" i="180"/>
  <c r="H593" i="180"/>
  <c r="H591" i="180"/>
  <c r="AB582" i="180"/>
  <c r="H582" i="180"/>
  <c r="L580" i="180"/>
  <c r="M580" i="180" s="1"/>
  <c r="H588" i="180" s="1"/>
  <c r="I580" i="180"/>
  <c r="H580" i="180"/>
  <c r="H557" i="180"/>
  <c r="G339" i="180"/>
  <c r="F339" i="180"/>
  <c r="G337" i="180"/>
  <c r="F337" i="180"/>
  <c r="G333" i="180"/>
  <c r="G332" i="180"/>
  <c r="G323" i="180"/>
  <c r="F323" i="180"/>
  <c r="G302" i="180"/>
  <c r="F302" i="180"/>
  <c r="F300" i="180"/>
  <c r="G296" i="180"/>
  <c r="F295" i="180"/>
  <c r="G286" i="180"/>
  <c r="F286" i="180"/>
  <c r="L284" i="180"/>
  <c r="I284" i="180"/>
  <c r="H284" i="180"/>
  <c r="G275" i="180"/>
  <c r="F275" i="180"/>
  <c r="G273" i="180"/>
  <c r="F273" i="180"/>
  <c r="G269" i="180"/>
  <c r="G268" i="180"/>
  <c r="F268" i="180"/>
  <c r="H259" i="180"/>
  <c r="G259" i="180"/>
  <c r="F259" i="180"/>
  <c r="H257" i="180"/>
  <c r="G232" i="180"/>
  <c r="F232" i="180"/>
  <c r="G230" i="180"/>
  <c r="F230" i="180"/>
  <c r="F227" i="180"/>
  <c r="G226" i="180"/>
  <c r="F226" i="180"/>
  <c r="G225" i="180"/>
  <c r="F225" i="180"/>
  <c r="H216" i="180"/>
  <c r="G216" i="180"/>
  <c r="F216" i="180"/>
  <c r="L214" i="180"/>
  <c r="I217" i="180" s="1"/>
  <c r="I214" i="180"/>
  <c r="H214" i="180"/>
  <c r="H191" i="180"/>
  <c r="H188" i="180"/>
  <c r="H187" i="180"/>
  <c r="H186" i="180"/>
  <c r="H185" i="180"/>
  <c r="H183" i="180"/>
  <c r="H182" i="180"/>
  <c r="L172" i="180"/>
  <c r="I172" i="180"/>
  <c r="I178" i="180" s="1"/>
  <c r="H172" i="180"/>
  <c r="H162" i="180"/>
  <c r="H176" i="180" s="1"/>
  <c r="L138" i="180"/>
  <c r="P138" i="180" s="1"/>
  <c r="I138" i="180"/>
  <c r="I177" i="180" s="1"/>
  <c r="H138" i="180"/>
  <c r="H177" i="180" s="1"/>
  <c r="G103" i="180"/>
  <c r="F103" i="180"/>
  <c r="G101" i="180"/>
  <c r="F101" i="180"/>
  <c r="H87" i="180"/>
  <c r="G87" i="180"/>
  <c r="F87" i="180"/>
  <c r="L82" i="180"/>
  <c r="I230" i="180" l="1"/>
  <c r="G357" i="180" s="1"/>
  <c r="G344" i="180"/>
  <c r="I293" i="180"/>
  <c r="I350" i="180" s="1"/>
  <c r="I291" i="180"/>
  <c r="I348" i="180" s="1"/>
  <c r="M284" i="180"/>
  <c r="I292" i="180" s="1"/>
  <c r="I349" i="180" s="1"/>
  <c r="I287" i="180"/>
  <c r="I344" i="180" s="1"/>
  <c r="P284" i="180"/>
  <c r="I295" i="180" s="1"/>
  <c r="I352" i="180" s="1"/>
  <c r="W60" i="180"/>
  <c r="W72" i="180"/>
  <c r="W40" i="180"/>
  <c r="W45" i="180"/>
  <c r="AE48" i="180"/>
  <c r="I218" i="180"/>
  <c r="I232" i="180"/>
  <c r="G359" i="180" s="1"/>
  <c r="P172" i="180"/>
  <c r="K178" i="180" s="1"/>
  <c r="I223" i="180"/>
  <c r="G350" i="180" s="1"/>
  <c r="I221" i="180"/>
  <c r="G348" i="180" s="1"/>
  <c r="L76" i="180"/>
  <c r="I191" i="180"/>
  <c r="I192" i="180"/>
  <c r="W46" i="180"/>
  <c r="Y38" i="180"/>
  <c r="Z38" i="180" s="1"/>
  <c r="W39" i="180"/>
  <c r="Y42" i="180"/>
  <c r="Z42" i="180" s="1"/>
  <c r="W53" i="180"/>
  <c r="I93" i="180"/>
  <c r="G715" i="180" s="1"/>
  <c r="Y33" i="180"/>
  <c r="Z33" i="180" s="1"/>
  <c r="Y34" i="180"/>
  <c r="Z34" i="180" s="1"/>
  <c r="Y35" i="180"/>
  <c r="Z35" i="180" s="1"/>
  <c r="W54" i="180"/>
  <c r="AQ28" i="180"/>
  <c r="I96" i="180" s="1"/>
  <c r="Y64" i="180"/>
  <c r="Z64" i="180" s="1"/>
  <c r="Y66" i="180"/>
  <c r="Z66" i="180" s="1"/>
  <c r="W67" i="180"/>
  <c r="W68" i="180"/>
  <c r="Y59" i="180"/>
  <c r="Z59" i="180" s="1"/>
  <c r="Y8" i="180"/>
  <c r="Z8" i="180" s="1"/>
  <c r="W9" i="180"/>
  <c r="Y46" i="180"/>
  <c r="Z46" i="180" s="1"/>
  <c r="AG72" i="180"/>
  <c r="Y69" i="180"/>
  <c r="Z69" i="180" s="1"/>
  <c r="W28" i="180"/>
  <c r="W64" i="180"/>
  <c r="Y67" i="180"/>
  <c r="Z67" i="180" s="1"/>
  <c r="AD9" i="180"/>
  <c r="W10" i="180"/>
  <c r="Y12" i="180"/>
  <c r="Z12" i="180" s="1"/>
  <c r="Y16" i="180"/>
  <c r="Z16" i="180" s="1"/>
  <c r="B55" i="180"/>
  <c r="W47" i="180"/>
  <c r="B72" i="180"/>
  <c r="AC57" i="180"/>
  <c r="AD59" i="180"/>
  <c r="AE59" i="180" s="1"/>
  <c r="Y61" i="180"/>
  <c r="Z61" i="180" s="1"/>
  <c r="Y62" i="180"/>
  <c r="Z62" i="180" s="1"/>
  <c r="W63" i="180"/>
  <c r="Y65" i="180"/>
  <c r="Z65" i="180" s="1"/>
  <c r="Y68" i="180"/>
  <c r="Z68" i="180" s="1"/>
  <c r="AD68" i="180"/>
  <c r="AE68" i="180" s="1"/>
  <c r="AC69" i="180"/>
  <c r="AE69" i="180" s="1"/>
  <c r="Y71" i="180"/>
  <c r="Z71" i="180" s="1"/>
  <c r="Y19" i="180"/>
  <c r="Z19" i="180" s="1"/>
  <c r="AH55" i="180"/>
  <c r="AD47" i="180"/>
  <c r="AE51" i="180"/>
  <c r="AH72" i="180"/>
  <c r="Y58" i="180"/>
  <c r="Z58" i="180" s="1"/>
  <c r="W59" i="180"/>
  <c r="Y60" i="180"/>
  <c r="Z60" i="180" s="1"/>
  <c r="AD60" i="180"/>
  <c r="AE60" i="180" s="1"/>
  <c r="AE63" i="180"/>
  <c r="W35" i="180"/>
  <c r="W36" i="180"/>
  <c r="Y47" i="180"/>
  <c r="Z47" i="180" s="1"/>
  <c r="W51" i="180"/>
  <c r="AD64" i="180"/>
  <c r="AE64" i="180" s="1"/>
  <c r="AE65" i="180"/>
  <c r="AD72" i="180"/>
  <c r="AE72" i="180" s="1"/>
  <c r="AE71" i="180"/>
  <c r="W57" i="180"/>
  <c r="AD57" i="180"/>
  <c r="W61" i="180"/>
  <c r="AD61" i="180"/>
  <c r="AE61" i="180" s="1"/>
  <c r="W65" i="180"/>
  <c r="W69" i="180"/>
  <c r="W71" i="180"/>
  <c r="Y63" i="180"/>
  <c r="Z63" i="180" s="1"/>
  <c r="Y57" i="180"/>
  <c r="Z57" i="180" s="1"/>
  <c r="W58" i="180"/>
  <c r="AD58" i="180"/>
  <c r="AE58" i="180" s="1"/>
  <c r="W62" i="180"/>
  <c r="AD62" i="180"/>
  <c r="AE62" i="180" s="1"/>
  <c r="W66" i="180"/>
  <c r="AD66" i="180"/>
  <c r="AE66" i="180" s="1"/>
  <c r="AC67" i="180"/>
  <c r="AE67" i="180" s="1"/>
  <c r="Y72" i="180"/>
  <c r="Z72" i="180" s="1"/>
  <c r="AE55" i="180"/>
  <c r="AE50" i="180"/>
  <c r="Y51" i="180"/>
  <c r="Z51" i="180" s="1"/>
  <c r="I183" i="180"/>
  <c r="W26" i="180"/>
  <c r="Y43" i="180"/>
  <c r="Z43" i="180" s="1"/>
  <c r="AD45" i="180"/>
  <c r="AE45" i="180" s="1"/>
  <c r="AD46" i="180"/>
  <c r="AE46" i="180" s="1"/>
  <c r="Y48" i="180"/>
  <c r="Z48" i="180" s="1"/>
  <c r="Y50" i="180"/>
  <c r="Z50" i="180" s="1"/>
  <c r="Y53" i="180"/>
  <c r="Z53" i="180" s="1"/>
  <c r="Y54" i="180"/>
  <c r="Z54" i="180" s="1"/>
  <c r="Y55" i="180"/>
  <c r="Z55" i="180" s="1"/>
  <c r="AG55" i="180"/>
  <c r="Y32" i="180"/>
  <c r="Z32" i="180" s="1"/>
  <c r="Y40" i="180"/>
  <c r="Z40" i="180" s="1"/>
  <c r="Y45" i="180"/>
  <c r="Z45" i="180" s="1"/>
  <c r="AC47" i="180"/>
  <c r="AD53" i="180"/>
  <c r="AE53" i="180" s="1"/>
  <c r="AD54" i="180"/>
  <c r="AE54" i="180" s="1"/>
  <c r="AG43" i="180"/>
  <c r="W48" i="180"/>
  <c r="W50" i="180"/>
  <c r="W55" i="180"/>
  <c r="K635" i="180"/>
  <c r="Y9" i="180"/>
  <c r="Z9" i="180" s="1"/>
  <c r="Y11" i="180"/>
  <c r="Z11" i="180" s="1"/>
  <c r="Y15" i="180"/>
  <c r="Z15" i="180" s="1"/>
  <c r="AE23" i="180"/>
  <c r="AE26" i="180"/>
  <c r="AH43" i="180"/>
  <c r="W31" i="180"/>
  <c r="Y36" i="180"/>
  <c r="Z36" i="180" s="1"/>
  <c r="AD36" i="180"/>
  <c r="AE36" i="180" s="1"/>
  <c r="Y39" i="180"/>
  <c r="Z39" i="180" s="1"/>
  <c r="W43" i="180"/>
  <c r="AD32" i="180"/>
  <c r="AE32" i="180" s="1"/>
  <c r="B28" i="180"/>
  <c r="B43" i="180"/>
  <c r="W32" i="180"/>
  <c r="Y37" i="180"/>
  <c r="Z37" i="180" s="1"/>
  <c r="AD40" i="180"/>
  <c r="AE40" i="180" s="1"/>
  <c r="AE24" i="180"/>
  <c r="K172" i="180"/>
  <c r="J178" i="180" s="1"/>
  <c r="I185" i="180"/>
  <c r="K658" i="180"/>
  <c r="Y7" i="180"/>
  <c r="Z7" i="180" s="1"/>
  <c r="Y13" i="180"/>
  <c r="Z13" i="180" s="1"/>
  <c r="Y18" i="180"/>
  <c r="Z18" i="180" s="1"/>
  <c r="AE31" i="180"/>
  <c r="AD43" i="180"/>
  <c r="AE43" i="180" s="1"/>
  <c r="AE37" i="180"/>
  <c r="AC30" i="180"/>
  <c r="W33" i="180"/>
  <c r="AD33" i="180"/>
  <c r="AE33" i="180" s="1"/>
  <c r="W37" i="180"/>
  <c r="Y31" i="180"/>
  <c r="Z31" i="180" s="1"/>
  <c r="W30" i="180"/>
  <c r="AD30" i="180"/>
  <c r="W34" i="180"/>
  <c r="AD34" i="180"/>
  <c r="AE34" i="180" s="1"/>
  <c r="AC35" i="180"/>
  <c r="AE35" i="180" s="1"/>
  <c r="W38" i="180"/>
  <c r="AD38" i="180"/>
  <c r="AE38" i="180" s="1"/>
  <c r="AC39" i="180"/>
  <c r="AE39" i="180" s="1"/>
  <c r="W42" i="180"/>
  <c r="AD42" i="180"/>
  <c r="AE42" i="180" s="1"/>
  <c r="Y30" i="180"/>
  <c r="Z30" i="180" s="1"/>
  <c r="AH28" i="180"/>
  <c r="AE10" i="180"/>
  <c r="W11" i="180"/>
  <c r="W12" i="180"/>
  <c r="W13" i="180"/>
  <c r="Y22" i="180"/>
  <c r="Z22" i="180" s="1"/>
  <c r="Y23" i="180"/>
  <c r="Z23" i="180" s="1"/>
  <c r="W14" i="180"/>
  <c r="Y24" i="180"/>
  <c r="Z24" i="180" s="1"/>
  <c r="Y26" i="180"/>
  <c r="Z26" i="180" s="1"/>
  <c r="W7" i="180"/>
  <c r="W8" i="180"/>
  <c r="Y14" i="180"/>
  <c r="Z14" i="180" s="1"/>
  <c r="W15" i="180"/>
  <c r="W16" i="180"/>
  <c r="Y20" i="180"/>
  <c r="Z20" i="180" s="1"/>
  <c r="Y28" i="180"/>
  <c r="Z28" i="180" s="1"/>
  <c r="AD28" i="180"/>
  <c r="AE28" i="180" s="1"/>
  <c r="H178" i="180"/>
  <c r="H81" i="180"/>
  <c r="L178" i="180"/>
  <c r="M214" i="180"/>
  <c r="I222" i="180" s="1"/>
  <c r="G349" i="180" s="1"/>
  <c r="M635" i="180"/>
  <c r="H643" i="180" s="1"/>
  <c r="AC7" i="180"/>
  <c r="AC8" i="180"/>
  <c r="AE8" i="180" s="1"/>
  <c r="AC11" i="180"/>
  <c r="AE11" i="180" s="1"/>
  <c r="AC12" i="180"/>
  <c r="AE12" i="180" s="1"/>
  <c r="AC15" i="180"/>
  <c r="AE15" i="180" s="1"/>
  <c r="AC16" i="180"/>
  <c r="AE16" i="180" s="1"/>
  <c r="AD18" i="180"/>
  <c r="AE18" i="180" s="1"/>
  <c r="W22" i="180"/>
  <c r="AD22" i="180"/>
  <c r="AE22" i="180" s="1"/>
  <c r="W23" i="180"/>
  <c r="W24" i="180"/>
  <c r="AG28" i="180"/>
  <c r="Y10" i="180"/>
  <c r="Z10" i="180" s="1"/>
  <c r="I187" i="180"/>
  <c r="K580" i="180"/>
  <c r="H589" i="180"/>
  <c r="P635" i="180"/>
  <c r="M658" i="180"/>
  <c r="H666" i="180" s="1"/>
  <c r="AD7" i="180"/>
  <c r="AC9" i="180"/>
  <c r="AC13" i="180"/>
  <c r="AE13" i="180" s="1"/>
  <c r="AC14" i="180"/>
  <c r="AE14" i="180" s="1"/>
  <c r="W18" i="180"/>
  <c r="W19" i="180"/>
  <c r="AD19" i="180"/>
  <c r="AE19" i="180" s="1"/>
  <c r="W20" i="180"/>
  <c r="AD20" i="180"/>
  <c r="AE20" i="180" s="1"/>
  <c r="I81" i="180"/>
  <c r="I92" i="180" s="1"/>
  <c r="K284" i="180"/>
  <c r="I162" i="180"/>
  <c r="I599" i="180"/>
  <c r="I608" i="180" s="1"/>
  <c r="L177" i="180"/>
  <c r="K177" i="180"/>
  <c r="M138" i="180"/>
  <c r="M177" i="180" s="1"/>
  <c r="H646" i="180"/>
  <c r="H639" i="180"/>
  <c r="H647" i="180" s="1"/>
  <c r="H651" i="180"/>
  <c r="K599" i="180"/>
  <c r="H583" i="180"/>
  <c r="L81" i="180"/>
  <c r="I88" i="180"/>
  <c r="L599" i="180"/>
  <c r="L608" i="180" s="1"/>
  <c r="L257" i="180"/>
  <c r="L162" i="180"/>
  <c r="P162" i="180" s="1"/>
  <c r="I257" i="180"/>
  <c r="M599" i="180"/>
  <c r="I190" i="180"/>
  <c r="P214" i="180"/>
  <c r="I225" i="180" s="1"/>
  <c r="G352" i="180" s="1"/>
  <c r="H644" i="180"/>
  <c r="H661" i="180"/>
  <c r="H667" i="180"/>
  <c r="M172" i="180"/>
  <c r="M178" i="180" s="1"/>
  <c r="I184" i="180"/>
  <c r="I186" i="180"/>
  <c r="I188" i="180"/>
  <c r="K214" i="180"/>
  <c r="H587" i="180"/>
  <c r="K138" i="180"/>
  <c r="J177" i="180" s="1"/>
  <c r="I189" i="180"/>
  <c r="L31" i="178"/>
  <c r="L30" i="178"/>
  <c r="I29" i="178"/>
  <c r="H29" i="178"/>
  <c r="G29" i="178"/>
  <c r="F29" i="178"/>
  <c r="E29" i="178"/>
  <c r="D29" i="178"/>
  <c r="I226" i="180" l="1"/>
  <c r="G353" i="180" s="1"/>
  <c r="G345" i="180"/>
  <c r="AI72" i="180"/>
  <c r="L29" i="178"/>
  <c r="I302" i="180"/>
  <c r="I359" i="180" s="1"/>
  <c r="I300" i="180"/>
  <c r="I357" i="180" s="1"/>
  <c r="I288" i="180"/>
  <c r="AE9" i="180"/>
  <c r="P257" i="180"/>
  <c r="I268" i="180" s="1"/>
  <c r="F352" i="180" s="1"/>
  <c r="I260" i="180"/>
  <c r="F344" i="180" s="1"/>
  <c r="I264" i="180"/>
  <c r="F348" i="180" s="1"/>
  <c r="I266" i="180"/>
  <c r="F350" i="180" s="1"/>
  <c r="AK28" i="180"/>
  <c r="AL28" i="180"/>
  <c r="AL43" i="180"/>
  <c r="AE57" i="180"/>
  <c r="AE47" i="180"/>
  <c r="AI55" i="180"/>
  <c r="I90" i="180"/>
  <c r="I98" i="180" s="1"/>
  <c r="I103" i="180"/>
  <c r="I101" i="180"/>
  <c r="AK43" i="180"/>
  <c r="AL55" i="180"/>
  <c r="AK55" i="180"/>
  <c r="AA55" i="180"/>
  <c r="AA72" i="180"/>
  <c r="AI28" i="180"/>
  <c r="AI43" i="180"/>
  <c r="AE30" i="180"/>
  <c r="J81" i="180"/>
  <c r="I94" i="180" s="1"/>
  <c r="AE7" i="180"/>
  <c r="K162" i="180"/>
  <c r="J176" i="180" s="1"/>
  <c r="I176" i="180"/>
  <c r="P608" i="180"/>
  <c r="M608" i="180"/>
  <c r="H616" i="180" s="1"/>
  <c r="H611" i="180"/>
  <c r="R562" i="180" s="1"/>
  <c r="H662" i="180"/>
  <c r="H674" i="180"/>
  <c r="K257" i="180"/>
  <c r="K176" i="180"/>
  <c r="L176" i="180"/>
  <c r="M162" i="180"/>
  <c r="M176" i="180" s="1"/>
  <c r="H584" i="180"/>
  <c r="H592" i="180" s="1"/>
  <c r="H596" i="180"/>
  <c r="H615" i="180"/>
  <c r="H617" i="180"/>
  <c r="K608" i="180"/>
  <c r="M257" i="180"/>
  <c r="I265" i="180" s="1"/>
  <c r="F349" i="180" s="1"/>
  <c r="L78" i="180"/>
  <c r="M29" i="178"/>
  <c r="I296" i="180" l="1"/>
  <c r="I353" i="180" s="1"/>
  <c r="I345" i="180"/>
  <c r="AM28" i="180"/>
  <c r="I275" i="180"/>
  <c r="F359" i="180" s="1"/>
  <c r="I273" i="180"/>
  <c r="F357" i="180" s="1"/>
  <c r="I261" i="180"/>
  <c r="AM55" i="180"/>
  <c r="AM43" i="180"/>
  <c r="L79" i="180"/>
  <c r="L83" i="180"/>
  <c r="L84" i="180" s="1"/>
  <c r="H619" i="180"/>
  <c r="H612" i="180"/>
  <c r="H620" i="180" s="1"/>
  <c r="H624" i="180"/>
  <c r="J30" i="178"/>
  <c r="M30" i="178" s="1"/>
  <c r="I269" i="180" l="1"/>
  <c r="F353" i="180" s="1"/>
  <c r="F345" i="180"/>
  <c r="J31" i="178"/>
  <c r="M31" i="178" l="1"/>
  <c r="L38" i="178"/>
  <c r="L39" i="178"/>
  <c r="L40" i="178"/>
  <c r="L41" i="178"/>
  <c r="L42" i="178"/>
  <c r="N43" i="178" l="1"/>
  <c r="M36" i="178" l="1"/>
  <c r="L36" i="178"/>
  <c r="M37" i="178"/>
  <c r="L37" i="178"/>
  <c r="M34" i="178"/>
  <c r="L34" i="178"/>
  <c r="M33" i="178"/>
  <c r="L33" i="178"/>
  <c r="L834" i="179"/>
  <c r="N834" i="179"/>
  <c r="M834" i="179"/>
  <c r="I834" i="179"/>
  <c r="H834" i="179"/>
  <c r="N822" i="179"/>
  <c r="M822" i="179"/>
  <c r="L822" i="179"/>
  <c r="I822" i="179"/>
  <c r="H822" i="179"/>
  <c r="N805" i="179"/>
  <c r="M805" i="179"/>
  <c r="L805" i="179"/>
  <c r="I805" i="179"/>
  <c r="H805" i="179"/>
  <c r="L789" i="179"/>
  <c r="M789" i="179"/>
  <c r="N789" i="179"/>
  <c r="I789" i="179"/>
  <c r="H789" i="179"/>
  <c r="V10" i="179"/>
  <c r="T10" i="179"/>
  <c r="M10" i="179"/>
  <c r="L10" i="179"/>
  <c r="K10" i="179"/>
  <c r="I10" i="179"/>
  <c r="AD10" i="179" s="1"/>
  <c r="H10" i="179"/>
  <c r="AC10" i="179" s="1"/>
  <c r="G10" i="179"/>
  <c r="F10" i="179"/>
  <c r="E10" i="179"/>
  <c r="D10" i="179"/>
  <c r="V9" i="179"/>
  <c r="T9" i="179"/>
  <c r="M9" i="179"/>
  <c r="L9" i="179"/>
  <c r="K9" i="179"/>
  <c r="I9" i="179"/>
  <c r="H9" i="179"/>
  <c r="AC9" i="179" s="1"/>
  <c r="G9" i="179"/>
  <c r="F9" i="179"/>
  <c r="E9" i="179"/>
  <c r="D9" i="179"/>
  <c r="V8" i="179"/>
  <c r="T8" i="179"/>
  <c r="M8" i="179"/>
  <c r="L8" i="179"/>
  <c r="K8" i="179"/>
  <c r="I8" i="179"/>
  <c r="AD8" i="179" s="1"/>
  <c r="H8" i="179"/>
  <c r="G8" i="179"/>
  <c r="F8" i="179"/>
  <c r="E8" i="179"/>
  <c r="D8" i="179"/>
  <c r="V7" i="179"/>
  <c r="T7" i="179"/>
  <c r="M7" i="179"/>
  <c r="L7" i="179"/>
  <c r="K7" i="179"/>
  <c r="I7" i="179"/>
  <c r="H7" i="179"/>
  <c r="AC7" i="179" s="1"/>
  <c r="G7" i="179"/>
  <c r="F7" i="179"/>
  <c r="E7" i="179"/>
  <c r="D7" i="179"/>
  <c r="K834" i="179" l="1"/>
  <c r="K822" i="179"/>
  <c r="K789" i="179"/>
  <c r="K805" i="179"/>
  <c r="Y8" i="179"/>
  <c r="Z8" i="179" s="1"/>
  <c r="Y9" i="179"/>
  <c r="Z9" i="179" s="1"/>
  <c r="W7" i="179"/>
  <c r="AE10" i="179"/>
  <c r="W9" i="179"/>
  <c r="W10" i="179"/>
  <c r="AD9" i="179"/>
  <c r="AE9" i="179" s="1"/>
  <c r="Y10" i="179"/>
  <c r="Z10" i="179" s="1"/>
  <c r="AD7" i="179"/>
  <c r="AE7" i="179" s="1"/>
  <c r="AC8" i="179"/>
  <c r="AE8" i="179" s="1"/>
  <c r="Y7" i="179"/>
  <c r="Z7" i="179" s="1"/>
  <c r="W8" i="179"/>
  <c r="J149" i="179"/>
  <c r="I151" i="179" l="1"/>
  <c r="I149" i="179"/>
  <c r="I138" i="179"/>
  <c r="V49" i="179"/>
  <c r="T49" i="179"/>
  <c r="M49" i="179"/>
  <c r="L49" i="179"/>
  <c r="K49" i="179"/>
  <c r="I49" i="179"/>
  <c r="AD49" i="179" s="1"/>
  <c r="H49" i="179"/>
  <c r="G49" i="179"/>
  <c r="F49" i="179"/>
  <c r="E49" i="179"/>
  <c r="D49" i="179"/>
  <c r="V48" i="179"/>
  <c r="T48" i="179"/>
  <c r="M48" i="179"/>
  <c r="L48" i="179"/>
  <c r="K48" i="179"/>
  <c r="I48" i="179"/>
  <c r="AD48" i="179" s="1"/>
  <c r="H48" i="179"/>
  <c r="AC48" i="179" s="1"/>
  <c r="G48" i="179"/>
  <c r="F48" i="179"/>
  <c r="E48" i="179"/>
  <c r="D48" i="179"/>
  <c r="F47" i="179"/>
  <c r="E47" i="179"/>
  <c r="D47" i="179"/>
  <c r="V46" i="179"/>
  <c r="T46" i="179"/>
  <c r="M46" i="179"/>
  <c r="L46" i="179"/>
  <c r="K46" i="179"/>
  <c r="I46" i="179"/>
  <c r="AD46" i="179" s="1"/>
  <c r="H46" i="179"/>
  <c r="AC46" i="179" s="1"/>
  <c r="G46" i="179"/>
  <c r="F46" i="179"/>
  <c r="E46" i="179"/>
  <c r="D46" i="179"/>
  <c r="V45" i="179"/>
  <c r="T45" i="179"/>
  <c r="M45" i="179"/>
  <c r="L45" i="179"/>
  <c r="K45" i="179"/>
  <c r="I45" i="179"/>
  <c r="AD45" i="179" s="1"/>
  <c r="H45" i="179"/>
  <c r="AC45" i="179" s="1"/>
  <c r="G45" i="179"/>
  <c r="F45" i="179"/>
  <c r="E45" i="179"/>
  <c r="D45" i="179"/>
  <c r="V44" i="179"/>
  <c r="T44" i="179"/>
  <c r="M44" i="179"/>
  <c r="L44" i="179"/>
  <c r="K44" i="179"/>
  <c r="I44" i="179"/>
  <c r="AD44" i="179" s="1"/>
  <c r="H44" i="179"/>
  <c r="G44" i="179"/>
  <c r="F44" i="179"/>
  <c r="E44" i="179"/>
  <c r="D44" i="179"/>
  <c r="V43" i="179"/>
  <c r="T43" i="179"/>
  <c r="M43" i="179"/>
  <c r="L43" i="179"/>
  <c r="K43" i="179"/>
  <c r="I43" i="179"/>
  <c r="AD43" i="179" s="1"/>
  <c r="H43" i="179"/>
  <c r="G43" i="179"/>
  <c r="F43" i="179"/>
  <c r="E43" i="179"/>
  <c r="D43" i="179"/>
  <c r="V42" i="179"/>
  <c r="T42" i="179"/>
  <c r="M42" i="179"/>
  <c r="L42" i="179"/>
  <c r="K42" i="179"/>
  <c r="I42" i="179"/>
  <c r="AD42" i="179" s="1"/>
  <c r="H42" i="179"/>
  <c r="AC42" i="179" s="1"/>
  <c r="G42" i="179"/>
  <c r="F42" i="179"/>
  <c r="E42" i="179"/>
  <c r="D42" i="179"/>
  <c r="V41" i="179"/>
  <c r="T41" i="179"/>
  <c r="M41" i="179"/>
  <c r="L41" i="179"/>
  <c r="K41" i="179"/>
  <c r="I41" i="179"/>
  <c r="AD41" i="179" s="1"/>
  <c r="H41" i="179"/>
  <c r="AC41" i="179" s="1"/>
  <c r="G41" i="179"/>
  <c r="F41" i="179"/>
  <c r="E41" i="179"/>
  <c r="D41" i="179"/>
  <c r="V40" i="179"/>
  <c r="T40" i="179"/>
  <c r="M40" i="179"/>
  <c r="L40" i="179"/>
  <c r="K40" i="179"/>
  <c r="I40" i="179"/>
  <c r="AD40" i="179" s="1"/>
  <c r="H40" i="179"/>
  <c r="AC40" i="179" s="1"/>
  <c r="G40" i="179"/>
  <c r="F40" i="179"/>
  <c r="E40" i="179"/>
  <c r="D40" i="179"/>
  <c r="V39" i="179"/>
  <c r="T39" i="179"/>
  <c r="M39" i="179"/>
  <c r="L39" i="179"/>
  <c r="K39" i="179"/>
  <c r="I39" i="179"/>
  <c r="H39" i="179"/>
  <c r="G39" i="179"/>
  <c r="F39" i="179"/>
  <c r="E39" i="179"/>
  <c r="D39" i="179"/>
  <c r="V38" i="179"/>
  <c r="T38" i="179"/>
  <c r="M38" i="179"/>
  <c r="L38" i="179"/>
  <c r="K38" i="179"/>
  <c r="I38" i="179"/>
  <c r="AD38" i="179" s="1"/>
  <c r="H38" i="179"/>
  <c r="AC38" i="179" s="1"/>
  <c r="G38" i="179"/>
  <c r="F38" i="179"/>
  <c r="E38" i="179"/>
  <c r="D38" i="179"/>
  <c r="V37" i="179"/>
  <c r="T37" i="179"/>
  <c r="M37" i="179"/>
  <c r="L37" i="179"/>
  <c r="K37" i="179"/>
  <c r="I37" i="179"/>
  <c r="AD37" i="179" s="1"/>
  <c r="H37" i="179"/>
  <c r="AC37" i="179" s="1"/>
  <c r="G37" i="179"/>
  <c r="F37" i="179"/>
  <c r="E37" i="179"/>
  <c r="D37" i="179"/>
  <c r="V36" i="179"/>
  <c r="T36" i="179"/>
  <c r="M36" i="179"/>
  <c r="L36" i="179"/>
  <c r="K36" i="179"/>
  <c r="I36" i="179"/>
  <c r="AD36" i="179" s="1"/>
  <c r="H36" i="179"/>
  <c r="G36" i="179"/>
  <c r="F36" i="179"/>
  <c r="E36" i="179"/>
  <c r="D36" i="179"/>
  <c r="V35" i="179"/>
  <c r="T35" i="179"/>
  <c r="M35" i="179"/>
  <c r="L35" i="179"/>
  <c r="K35" i="179"/>
  <c r="I35" i="179"/>
  <c r="AD35" i="179" s="1"/>
  <c r="H35" i="179"/>
  <c r="G35" i="179"/>
  <c r="F35" i="179"/>
  <c r="E35" i="179"/>
  <c r="D35" i="179"/>
  <c r="V34" i="179"/>
  <c r="T34" i="179"/>
  <c r="M34" i="179"/>
  <c r="L34" i="179"/>
  <c r="K34" i="179"/>
  <c r="I34" i="179"/>
  <c r="H34" i="179"/>
  <c r="AC34" i="179" s="1"/>
  <c r="G34" i="179"/>
  <c r="F34" i="179"/>
  <c r="E34" i="179"/>
  <c r="D34" i="179"/>
  <c r="V32" i="179"/>
  <c r="T32" i="179"/>
  <c r="M32" i="179"/>
  <c r="L32" i="179"/>
  <c r="K32" i="179"/>
  <c r="I32" i="179"/>
  <c r="AD32" i="179" s="1"/>
  <c r="H32" i="179"/>
  <c r="AC32" i="179" s="1"/>
  <c r="G32" i="179"/>
  <c r="F32" i="179"/>
  <c r="E32" i="179"/>
  <c r="D32" i="179"/>
  <c r="V31" i="179"/>
  <c r="T31" i="179"/>
  <c r="M31" i="179"/>
  <c r="L31" i="179"/>
  <c r="K31" i="179"/>
  <c r="I31" i="179"/>
  <c r="AD31" i="179" s="1"/>
  <c r="H31" i="179"/>
  <c r="G31" i="179"/>
  <c r="F31" i="179"/>
  <c r="E31" i="179"/>
  <c r="D31" i="179"/>
  <c r="V30" i="179"/>
  <c r="T30" i="179"/>
  <c r="M30" i="179"/>
  <c r="L30" i="179"/>
  <c r="K30" i="179"/>
  <c r="I30" i="179"/>
  <c r="H30" i="179"/>
  <c r="AC30" i="179" s="1"/>
  <c r="G30" i="179"/>
  <c r="F30" i="179"/>
  <c r="E30" i="179"/>
  <c r="D30" i="179"/>
  <c r="F29" i="179"/>
  <c r="E29" i="179"/>
  <c r="D29" i="179"/>
  <c r="V28" i="179"/>
  <c r="T28" i="179"/>
  <c r="M28" i="179"/>
  <c r="L28" i="179"/>
  <c r="K28" i="179"/>
  <c r="I28" i="179"/>
  <c r="AD28" i="179" s="1"/>
  <c r="H28" i="179"/>
  <c r="AC28" i="179" s="1"/>
  <c r="G28" i="179"/>
  <c r="F28" i="179"/>
  <c r="E28" i="179"/>
  <c r="D28" i="179"/>
  <c r="V27" i="179"/>
  <c r="T27" i="179"/>
  <c r="M27" i="179"/>
  <c r="L27" i="179"/>
  <c r="K27" i="179"/>
  <c r="I27" i="179"/>
  <c r="AD27" i="179" s="1"/>
  <c r="H27" i="179"/>
  <c r="AC27" i="179" s="1"/>
  <c r="G27" i="179"/>
  <c r="F27" i="179"/>
  <c r="E27" i="179"/>
  <c r="D27" i="179"/>
  <c r="F26" i="179"/>
  <c r="E26" i="179"/>
  <c r="D26" i="179"/>
  <c r="V25" i="179"/>
  <c r="T25" i="179"/>
  <c r="M25" i="179"/>
  <c r="L25" i="179"/>
  <c r="K25" i="179"/>
  <c r="I25" i="179"/>
  <c r="AD25" i="179" s="1"/>
  <c r="H25" i="179"/>
  <c r="AC25" i="179" s="1"/>
  <c r="G25" i="179"/>
  <c r="F25" i="179"/>
  <c r="E25" i="179"/>
  <c r="D25" i="179"/>
  <c r="V24" i="179"/>
  <c r="T24" i="179"/>
  <c r="M24" i="179"/>
  <c r="L24" i="179"/>
  <c r="K24" i="179"/>
  <c r="I24" i="179"/>
  <c r="AD24" i="179" s="1"/>
  <c r="H24" i="179"/>
  <c r="AC24" i="179" s="1"/>
  <c r="G24" i="179"/>
  <c r="F24" i="179"/>
  <c r="E24" i="179"/>
  <c r="D24" i="179"/>
  <c r="V23" i="179"/>
  <c r="T23" i="179"/>
  <c r="M23" i="179"/>
  <c r="L23" i="179"/>
  <c r="K23" i="179"/>
  <c r="I23" i="179"/>
  <c r="AD23" i="179" s="1"/>
  <c r="H23" i="179"/>
  <c r="AC23" i="179" s="1"/>
  <c r="G23" i="179"/>
  <c r="F23" i="179"/>
  <c r="E23" i="179"/>
  <c r="D23" i="179"/>
  <c r="V22" i="179"/>
  <c r="T22" i="179"/>
  <c r="M22" i="179"/>
  <c r="L22" i="179"/>
  <c r="K22" i="179"/>
  <c r="I22" i="179"/>
  <c r="AD22" i="179" s="1"/>
  <c r="H22" i="179"/>
  <c r="G22" i="179"/>
  <c r="F22" i="179"/>
  <c r="E22" i="179"/>
  <c r="D22" i="179"/>
  <c r="V20" i="179"/>
  <c r="T20" i="179"/>
  <c r="M20" i="179"/>
  <c r="L20" i="179"/>
  <c r="K20" i="179"/>
  <c r="I20" i="179"/>
  <c r="H20" i="179"/>
  <c r="AC20" i="179" s="1"/>
  <c r="G20" i="179"/>
  <c r="F20" i="179"/>
  <c r="E20" i="179"/>
  <c r="D20" i="179"/>
  <c r="V19" i="179"/>
  <c r="T19" i="179"/>
  <c r="M19" i="179"/>
  <c r="L19" i="179"/>
  <c r="K19" i="179"/>
  <c r="I19" i="179"/>
  <c r="AD19" i="179" s="1"/>
  <c r="H19" i="179"/>
  <c r="AC19" i="179" s="1"/>
  <c r="G19" i="179"/>
  <c r="F19" i="179"/>
  <c r="E19" i="179"/>
  <c r="D19" i="179"/>
  <c r="V18" i="179"/>
  <c r="T18" i="179"/>
  <c r="M18" i="179"/>
  <c r="L18" i="179"/>
  <c r="K18" i="179"/>
  <c r="I18" i="179"/>
  <c r="AD18" i="179" s="1"/>
  <c r="H18" i="179"/>
  <c r="G18" i="179"/>
  <c r="F18" i="179"/>
  <c r="E18" i="179"/>
  <c r="D18" i="179"/>
  <c r="V17" i="179"/>
  <c r="T17" i="179"/>
  <c r="M17" i="179"/>
  <c r="L17" i="179"/>
  <c r="K17" i="179"/>
  <c r="I17" i="179"/>
  <c r="H17" i="179"/>
  <c r="AC17" i="179" s="1"/>
  <c r="G17" i="179"/>
  <c r="F17" i="179"/>
  <c r="E17" i="179"/>
  <c r="D17" i="179"/>
  <c r="V16" i="179"/>
  <c r="T16" i="179"/>
  <c r="M16" i="179"/>
  <c r="L16" i="179"/>
  <c r="K16" i="179"/>
  <c r="I16" i="179"/>
  <c r="AD16" i="179" s="1"/>
  <c r="H16" i="179"/>
  <c r="G16" i="179"/>
  <c r="F16" i="179"/>
  <c r="E16" i="179"/>
  <c r="D16" i="179"/>
  <c r="V15" i="179"/>
  <c r="T15" i="179"/>
  <c r="M15" i="179"/>
  <c r="L15" i="179"/>
  <c r="K15" i="179"/>
  <c r="I15" i="179"/>
  <c r="H15" i="179"/>
  <c r="AC15" i="179" s="1"/>
  <c r="G15" i="179"/>
  <c r="F15" i="179"/>
  <c r="E15" i="179"/>
  <c r="D15" i="179"/>
  <c r="V14" i="179"/>
  <c r="T14" i="179"/>
  <c r="M14" i="179"/>
  <c r="L14" i="179"/>
  <c r="K14" i="179"/>
  <c r="I14" i="179"/>
  <c r="AD14" i="179" s="1"/>
  <c r="H14" i="179"/>
  <c r="AC14" i="179" s="1"/>
  <c r="G14" i="179"/>
  <c r="F14" i="179"/>
  <c r="E14" i="179"/>
  <c r="D14" i="179"/>
  <c r="V13" i="179"/>
  <c r="T13" i="179"/>
  <c r="M13" i="179"/>
  <c r="L13" i="179"/>
  <c r="K13" i="179"/>
  <c r="I13" i="179"/>
  <c r="H13" i="179"/>
  <c r="AC13" i="179" s="1"/>
  <c r="G13" i="179"/>
  <c r="F13" i="179"/>
  <c r="E13" i="179"/>
  <c r="D13" i="179"/>
  <c r="V12" i="179"/>
  <c r="T12" i="179"/>
  <c r="M12" i="179"/>
  <c r="L12" i="179"/>
  <c r="K12" i="179"/>
  <c r="I12" i="179"/>
  <c r="AD12" i="179" s="1"/>
  <c r="H12" i="179"/>
  <c r="AC12" i="179" s="1"/>
  <c r="G12" i="179"/>
  <c r="F12" i="179"/>
  <c r="E12" i="179"/>
  <c r="D12" i="179"/>
  <c r="V11" i="179"/>
  <c r="T11" i="179"/>
  <c r="M11" i="179"/>
  <c r="L11" i="179"/>
  <c r="K11" i="179"/>
  <c r="I11" i="179"/>
  <c r="H11" i="179"/>
  <c r="AC11" i="179" s="1"/>
  <c r="G11" i="179"/>
  <c r="F11" i="179"/>
  <c r="E11" i="179"/>
  <c r="D11" i="179"/>
  <c r="F743" i="179"/>
  <c r="F744" i="179" s="1"/>
  <c r="F745" i="179" s="1"/>
  <c r="F746" i="179" s="1"/>
  <c r="F747" i="179" s="1"/>
  <c r="F748" i="179" s="1"/>
  <c r="F749" i="179" s="1"/>
  <c r="F750" i="179" s="1"/>
  <c r="F751" i="179" s="1"/>
  <c r="F752" i="179" s="1"/>
  <c r="F753" i="179" s="1"/>
  <c r="F754" i="179" s="1"/>
  <c r="F755" i="179" s="1"/>
  <c r="F756" i="179" s="1"/>
  <c r="F757" i="179" s="1"/>
  <c r="F758" i="179" s="1"/>
  <c r="F759" i="179" s="1"/>
  <c r="F760" i="179" s="1"/>
  <c r="F761" i="179" s="1"/>
  <c r="F762" i="179" s="1"/>
  <c r="F763" i="179" s="1"/>
  <c r="I742" i="179"/>
  <c r="H729" i="179"/>
  <c r="H728" i="179"/>
  <c r="H727" i="179"/>
  <c r="H718" i="179"/>
  <c r="L716" i="179"/>
  <c r="H719" i="179" s="1"/>
  <c r="I716" i="179"/>
  <c r="H723" i="179" s="1"/>
  <c r="H716" i="179"/>
  <c r="H706" i="179"/>
  <c r="H695" i="179"/>
  <c r="L693" i="179"/>
  <c r="H696" i="179" s="1"/>
  <c r="I693" i="179"/>
  <c r="H700" i="179" s="1"/>
  <c r="H693" i="179"/>
  <c r="H679" i="179"/>
  <c r="H668" i="179"/>
  <c r="H666" i="179"/>
  <c r="R657" i="179"/>
  <c r="H651" i="179"/>
  <c r="H649" i="179"/>
  <c r="AB640" i="179"/>
  <c r="H640" i="179"/>
  <c r="L638" i="179"/>
  <c r="H641" i="179" s="1"/>
  <c r="I638" i="179"/>
  <c r="H645" i="179" s="1"/>
  <c r="H638" i="179"/>
  <c r="H615" i="179"/>
  <c r="L604" i="179"/>
  <c r="L603" i="179"/>
  <c r="L602" i="179"/>
  <c r="L601" i="179"/>
  <c r="R569" i="179"/>
  <c r="G514" i="179"/>
  <c r="F514" i="179" s="1"/>
  <c r="G513" i="179"/>
  <c r="F513" i="179" s="1"/>
  <c r="G512" i="179"/>
  <c r="F512" i="179" s="1"/>
  <c r="G511" i="179"/>
  <c r="F511" i="179" s="1"/>
  <c r="G510" i="179"/>
  <c r="F510" i="179" s="1"/>
  <c r="G508" i="179"/>
  <c r="F508" i="179" s="1"/>
  <c r="G507" i="179"/>
  <c r="F507" i="179" s="1"/>
  <c r="F506" i="179"/>
  <c r="S500" i="179"/>
  <c r="H500" i="179"/>
  <c r="V500" i="179" s="1"/>
  <c r="G500" i="179"/>
  <c r="F500" i="179"/>
  <c r="E500" i="179"/>
  <c r="D500" i="179"/>
  <c r="S499" i="179"/>
  <c r="G499" i="179"/>
  <c r="F499" i="179"/>
  <c r="E499" i="179"/>
  <c r="D499" i="179"/>
  <c r="S498" i="179"/>
  <c r="H498" i="179"/>
  <c r="V498" i="179" s="1"/>
  <c r="G498" i="179"/>
  <c r="F498" i="179"/>
  <c r="E498" i="179"/>
  <c r="D498" i="179"/>
  <c r="S497" i="179"/>
  <c r="G497" i="179"/>
  <c r="F497" i="179"/>
  <c r="E497" i="179"/>
  <c r="D497" i="179"/>
  <c r="S496" i="179"/>
  <c r="H496" i="179"/>
  <c r="V496" i="179" s="1"/>
  <c r="G496" i="179"/>
  <c r="F496" i="179"/>
  <c r="E496" i="179"/>
  <c r="D496" i="179"/>
  <c r="R447" i="179"/>
  <c r="S418" i="179"/>
  <c r="G418" i="179"/>
  <c r="F418" i="179"/>
  <c r="E418" i="179"/>
  <c r="D418" i="179"/>
  <c r="G408" i="179"/>
  <c r="F408" i="179"/>
  <c r="G406" i="179"/>
  <c r="F406" i="179"/>
  <c r="H403" i="179"/>
  <c r="G402" i="179"/>
  <c r="G401" i="179"/>
  <c r="H392" i="179"/>
  <c r="G392" i="179"/>
  <c r="F392" i="179"/>
  <c r="L390" i="179"/>
  <c r="H393" i="179" s="1"/>
  <c r="I390" i="179"/>
  <c r="H390" i="179"/>
  <c r="G382" i="179"/>
  <c r="F382" i="179"/>
  <c r="F380" i="179"/>
  <c r="H377" i="179"/>
  <c r="G376" i="179"/>
  <c r="F375" i="179"/>
  <c r="H366" i="179"/>
  <c r="G366" i="179"/>
  <c r="F366" i="179"/>
  <c r="L364" i="179"/>
  <c r="H367" i="179" s="1"/>
  <c r="I364" i="179"/>
  <c r="H364" i="179"/>
  <c r="G349" i="179"/>
  <c r="F349" i="179"/>
  <c r="G347" i="179"/>
  <c r="F347" i="179"/>
  <c r="H344" i="179"/>
  <c r="G343" i="179"/>
  <c r="G342" i="179"/>
  <c r="F342" i="179"/>
  <c r="H333" i="179"/>
  <c r="G333" i="179"/>
  <c r="F333" i="179"/>
  <c r="H331" i="179"/>
  <c r="R300" i="179"/>
  <c r="G293" i="179"/>
  <c r="F293" i="179"/>
  <c r="G291" i="179"/>
  <c r="F291" i="179"/>
  <c r="H288" i="179"/>
  <c r="F288" i="179"/>
  <c r="G287" i="179"/>
  <c r="F287" i="179"/>
  <c r="G286" i="179"/>
  <c r="F286" i="179"/>
  <c r="H277" i="179"/>
  <c r="G277" i="179"/>
  <c r="F277" i="179"/>
  <c r="L275" i="179"/>
  <c r="M275" i="179" s="1"/>
  <c r="H283" i="179" s="1"/>
  <c r="I275" i="179"/>
  <c r="H282" i="179" s="1"/>
  <c r="H275" i="179"/>
  <c r="H250" i="179"/>
  <c r="H249" i="179"/>
  <c r="H247" i="179"/>
  <c r="H246" i="179"/>
  <c r="H245" i="179"/>
  <c r="H244" i="179"/>
  <c r="H243" i="179"/>
  <c r="H242" i="179"/>
  <c r="H241" i="179"/>
  <c r="I247" i="179" s="1"/>
  <c r="L231" i="179"/>
  <c r="M231" i="179" s="1"/>
  <c r="M237" i="179" s="1"/>
  <c r="I231" i="179"/>
  <c r="I237" i="179" s="1"/>
  <c r="H231" i="179"/>
  <c r="H237" i="179" s="1"/>
  <c r="H219" i="179"/>
  <c r="H235" i="179" s="1"/>
  <c r="R195" i="179"/>
  <c r="L191" i="179"/>
  <c r="I191" i="179"/>
  <c r="I236" i="179" s="1"/>
  <c r="H191" i="179"/>
  <c r="H236" i="179" s="1"/>
  <c r="G151" i="179"/>
  <c r="F151" i="179"/>
  <c r="G149" i="179"/>
  <c r="F149" i="179"/>
  <c r="H146" i="179"/>
  <c r="C145" i="179"/>
  <c r="H135" i="179"/>
  <c r="G135" i="179"/>
  <c r="F135" i="179"/>
  <c r="L130" i="179"/>
  <c r="S120" i="179"/>
  <c r="G120" i="179"/>
  <c r="F120" i="179"/>
  <c r="E120" i="179"/>
  <c r="D120" i="179"/>
  <c r="S119" i="179"/>
  <c r="G119" i="179"/>
  <c r="F119" i="179"/>
  <c r="E119" i="179"/>
  <c r="D119" i="179"/>
  <c r="S118" i="179"/>
  <c r="H118" i="179"/>
  <c r="V118" i="179" s="1"/>
  <c r="G118" i="179"/>
  <c r="F118" i="179"/>
  <c r="E118" i="179"/>
  <c r="D118" i="179"/>
  <c r="S117" i="179"/>
  <c r="H117" i="179"/>
  <c r="V117" i="179" s="1"/>
  <c r="G117" i="179"/>
  <c r="F117" i="179"/>
  <c r="E117" i="179"/>
  <c r="D117" i="179"/>
  <c r="S116" i="179"/>
  <c r="G116" i="179"/>
  <c r="F116" i="179"/>
  <c r="E116" i="179"/>
  <c r="D116" i="179"/>
  <c r="S115" i="179"/>
  <c r="G115" i="179"/>
  <c r="F115" i="179"/>
  <c r="E115" i="179"/>
  <c r="D115" i="179"/>
  <c r="S114" i="179"/>
  <c r="H114" i="179"/>
  <c r="V114" i="179" s="1"/>
  <c r="G114" i="179"/>
  <c r="F114" i="179"/>
  <c r="E114" i="179"/>
  <c r="D114" i="179"/>
  <c r="W113" i="179"/>
  <c r="V113" i="179"/>
  <c r="S113" i="179"/>
  <c r="F113" i="179"/>
  <c r="E113" i="179"/>
  <c r="D113" i="179"/>
  <c r="S112" i="179"/>
  <c r="H112" i="179"/>
  <c r="V112" i="179" s="1"/>
  <c r="G112" i="179"/>
  <c r="F112" i="179"/>
  <c r="E112" i="179"/>
  <c r="D112" i="179"/>
  <c r="S111" i="179"/>
  <c r="H111" i="179"/>
  <c r="V111" i="179" s="1"/>
  <c r="G111" i="179"/>
  <c r="F111" i="179"/>
  <c r="E111" i="179"/>
  <c r="D111" i="179"/>
  <c r="S110" i="179"/>
  <c r="H110" i="179"/>
  <c r="V110" i="179" s="1"/>
  <c r="G110" i="179"/>
  <c r="F110" i="179"/>
  <c r="E110" i="179"/>
  <c r="D110" i="179"/>
  <c r="S109" i="179"/>
  <c r="G109" i="179"/>
  <c r="F109" i="179"/>
  <c r="E109" i="179"/>
  <c r="D109" i="179"/>
  <c r="S108" i="179"/>
  <c r="G108" i="179"/>
  <c r="F108" i="179"/>
  <c r="E108" i="179"/>
  <c r="D108" i="179"/>
  <c r="S107" i="179"/>
  <c r="G107" i="179"/>
  <c r="F107" i="179"/>
  <c r="E107" i="179"/>
  <c r="D107" i="179"/>
  <c r="S106" i="179"/>
  <c r="H106" i="179"/>
  <c r="V106" i="179" s="1"/>
  <c r="G106" i="179"/>
  <c r="F106" i="179"/>
  <c r="E106" i="179"/>
  <c r="D106" i="179"/>
  <c r="S105" i="179"/>
  <c r="H105" i="179"/>
  <c r="V105" i="179" s="1"/>
  <c r="G105" i="179"/>
  <c r="F105" i="179"/>
  <c r="E105" i="179"/>
  <c r="D105" i="179"/>
  <c r="S104" i="179"/>
  <c r="H104" i="179"/>
  <c r="V104" i="179" s="1"/>
  <c r="G104" i="179"/>
  <c r="F104" i="179"/>
  <c r="E104" i="179"/>
  <c r="D104" i="179"/>
  <c r="S103" i="179"/>
  <c r="H103" i="179"/>
  <c r="V103" i="179" s="1"/>
  <c r="G103" i="179"/>
  <c r="F103" i="179"/>
  <c r="E103" i="179"/>
  <c r="D103" i="179"/>
  <c r="S101" i="179"/>
  <c r="H101" i="179"/>
  <c r="V101" i="179" s="1"/>
  <c r="G101" i="179"/>
  <c r="F101" i="179"/>
  <c r="E101" i="179"/>
  <c r="D101" i="179"/>
  <c r="S100" i="179"/>
  <c r="G100" i="179"/>
  <c r="F100" i="179"/>
  <c r="E100" i="179"/>
  <c r="D100" i="179"/>
  <c r="S99" i="179"/>
  <c r="G99" i="179"/>
  <c r="F99" i="179"/>
  <c r="E99" i="179"/>
  <c r="D99" i="179"/>
  <c r="S98" i="179"/>
  <c r="G98" i="179"/>
  <c r="F98" i="179"/>
  <c r="E98" i="179"/>
  <c r="D98" i="179"/>
  <c r="S97" i="179"/>
  <c r="H97" i="179"/>
  <c r="V97" i="179" s="1"/>
  <c r="G97" i="179"/>
  <c r="F97" i="179"/>
  <c r="E97" i="179"/>
  <c r="D97" i="179"/>
  <c r="S96" i="179"/>
  <c r="H96" i="179"/>
  <c r="V96" i="179" s="1"/>
  <c r="G96" i="179"/>
  <c r="F96" i="179"/>
  <c r="E96" i="179"/>
  <c r="D96" i="179"/>
  <c r="S95" i="179"/>
  <c r="H95" i="179"/>
  <c r="V95" i="179" s="1"/>
  <c r="G95" i="179"/>
  <c r="F95" i="179"/>
  <c r="E95" i="179"/>
  <c r="D95" i="179"/>
  <c r="S94" i="179"/>
  <c r="H94" i="179"/>
  <c r="V94" i="179" s="1"/>
  <c r="G94" i="179"/>
  <c r="F94" i="179"/>
  <c r="E94" i="179"/>
  <c r="D94" i="179"/>
  <c r="S93" i="179"/>
  <c r="H93" i="179"/>
  <c r="V93" i="179" s="1"/>
  <c r="G93" i="179"/>
  <c r="F93" i="179"/>
  <c r="E93" i="179"/>
  <c r="D93" i="179"/>
  <c r="S92" i="179"/>
  <c r="H92" i="179"/>
  <c r="V92" i="179" s="1"/>
  <c r="G92" i="179"/>
  <c r="F92" i="179"/>
  <c r="E92" i="179"/>
  <c r="D92" i="179"/>
  <c r="S91" i="179"/>
  <c r="G91" i="179"/>
  <c r="F91" i="179"/>
  <c r="E91" i="179"/>
  <c r="D91" i="179"/>
  <c r="S90" i="179"/>
  <c r="H90" i="179"/>
  <c r="V90" i="179" s="1"/>
  <c r="G90" i="179"/>
  <c r="F90" i="179"/>
  <c r="E90" i="179"/>
  <c r="D90" i="179"/>
  <c r="S89" i="179"/>
  <c r="H89" i="179"/>
  <c r="V89" i="179" s="1"/>
  <c r="G89" i="179"/>
  <c r="F89" i="179"/>
  <c r="E89" i="179"/>
  <c r="D89" i="179"/>
  <c r="S88" i="179"/>
  <c r="H88" i="179"/>
  <c r="V88" i="179" s="1"/>
  <c r="G88" i="179"/>
  <c r="F88" i="179"/>
  <c r="E88" i="179"/>
  <c r="D88" i="179"/>
  <c r="S87" i="179"/>
  <c r="H87" i="179"/>
  <c r="V87" i="179" s="1"/>
  <c r="G87" i="179"/>
  <c r="F87" i="179"/>
  <c r="E87" i="179"/>
  <c r="D87" i="179"/>
  <c r="S86" i="179"/>
  <c r="H86" i="179"/>
  <c r="V86" i="179" s="1"/>
  <c r="G86" i="179"/>
  <c r="F86" i="179"/>
  <c r="E86" i="179"/>
  <c r="D86" i="179"/>
  <c r="S85" i="179"/>
  <c r="G85" i="179"/>
  <c r="F85" i="179"/>
  <c r="E85" i="179"/>
  <c r="D85" i="179"/>
  <c r="S84" i="179"/>
  <c r="H84" i="179"/>
  <c r="V84" i="179" s="1"/>
  <c r="G84" i="179"/>
  <c r="F84" i="179"/>
  <c r="E84" i="179"/>
  <c r="D84" i="179"/>
  <c r="S83" i="179"/>
  <c r="H83" i="179"/>
  <c r="V83" i="179" s="1"/>
  <c r="G83" i="179"/>
  <c r="F83" i="179"/>
  <c r="E83" i="179"/>
  <c r="D83" i="179"/>
  <c r="S82" i="179"/>
  <c r="H82" i="179"/>
  <c r="V82" i="179" s="1"/>
  <c r="G82" i="179"/>
  <c r="F82" i="179"/>
  <c r="E82" i="179"/>
  <c r="D82" i="179"/>
  <c r="S80" i="179"/>
  <c r="H80" i="179"/>
  <c r="V80" i="179" s="1"/>
  <c r="G80" i="179"/>
  <c r="F80" i="179"/>
  <c r="E80" i="179"/>
  <c r="D80" i="179"/>
  <c r="S79" i="179"/>
  <c r="H79" i="179"/>
  <c r="V79" i="179" s="1"/>
  <c r="G79" i="179"/>
  <c r="F79" i="179"/>
  <c r="E79" i="179"/>
  <c r="D79" i="179"/>
  <c r="S78" i="179"/>
  <c r="H78" i="179"/>
  <c r="V78" i="179" s="1"/>
  <c r="G78" i="179"/>
  <c r="F78" i="179"/>
  <c r="E78" i="179"/>
  <c r="D78" i="179"/>
  <c r="S77" i="179"/>
  <c r="H77" i="179"/>
  <c r="V77" i="179" s="1"/>
  <c r="G77" i="179"/>
  <c r="F77" i="179"/>
  <c r="E77" i="179"/>
  <c r="D77" i="179"/>
  <c r="S76" i="179"/>
  <c r="H76" i="179"/>
  <c r="V76" i="179" s="1"/>
  <c r="G76" i="179"/>
  <c r="F76" i="179"/>
  <c r="E76" i="179"/>
  <c r="D76" i="179"/>
  <c r="S75" i="179"/>
  <c r="H75" i="179"/>
  <c r="V75" i="179" s="1"/>
  <c r="G75" i="179"/>
  <c r="F75" i="179"/>
  <c r="E75" i="179"/>
  <c r="D75" i="179"/>
  <c r="S74" i="179"/>
  <c r="G74" i="179"/>
  <c r="F74" i="179"/>
  <c r="E74" i="179"/>
  <c r="D74" i="179"/>
  <c r="S73" i="179"/>
  <c r="G73" i="179"/>
  <c r="F73" i="179"/>
  <c r="E73" i="179"/>
  <c r="D73" i="179"/>
  <c r="S72" i="179"/>
  <c r="H72" i="179"/>
  <c r="V72" i="179" s="1"/>
  <c r="G72" i="179"/>
  <c r="F72" i="179"/>
  <c r="E72" i="179"/>
  <c r="D72" i="179"/>
  <c r="S71" i="179"/>
  <c r="G71" i="179"/>
  <c r="F71" i="179"/>
  <c r="E71" i="179"/>
  <c r="D71" i="179"/>
  <c r="S70" i="179"/>
  <c r="H70" i="179"/>
  <c r="V70" i="179" s="1"/>
  <c r="G70" i="179"/>
  <c r="F70" i="179"/>
  <c r="E70" i="179"/>
  <c r="D70" i="179"/>
  <c r="S69" i="179"/>
  <c r="H69" i="179"/>
  <c r="V69" i="179" s="1"/>
  <c r="G69" i="179"/>
  <c r="F69" i="179"/>
  <c r="E69" i="179"/>
  <c r="D69" i="179"/>
  <c r="S67" i="179"/>
  <c r="H67" i="179"/>
  <c r="V67" i="179" s="1"/>
  <c r="G67" i="179"/>
  <c r="F67" i="179"/>
  <c r="E67" i="179"/>
  <c r="D67" i="179"/>
  <c r="S66" i="179"/>
  <c r="H66" i="179"/>
  <c r="V66" i="179" s="1"/>
  <c r="G66" i="179"/>
  <c r="F66" i="179"/>
  <c r="E66" i="179"/>
  <c r="D66" i="179"/>
  <c r="S65" i="179"/>
  <c r="G65" i="179"/>
  <c r="F65" i="179"/>
  <c r="E65" i="179"/>
  <c r="D65" i="179"/>
  <c r="S64" i="179"/>
  <c r="H64" i="179"/>
  <c r="V64" i="179" s="1"/>
  <c r="G64" i="179"/>
  <c r="F64" i="179"/>
  <c r="E64" i="179"/>
  <c r="D64" i="179"/>
  <c r="S63" i="179"/>
  <c r="H63" i="179"/>
  <c r="V63" i="179" s="1"/>
  <c r="G63" i="179"/>
  <c r="F63" i="179"/>
  <c r="E63" i="179"/>
  <c r="D63" i="179"/>
  <c r="S62" i="179"/>
  <c r="G62" i="179"/>
  <c r="F62" i="179"/>
  <c r="E62" i="179"/>
  <c r="D62" i="179"/>
  <c r="S61" i="179"/>
  <c r="G61" i="179"/>
  <c r="F61" i="179"/>
  <c r="E61" i="179"/>
  <c r="D61" i="179"/>
  <c r="S60" i="179"/>
  <c r="H60" i="179"/>
  <c r="V60" i="179" s="1"/>
  <c r="G60" i="179"/>
  <c r="F60" i="179"/>
  <c r="E60" i="179"/>
  <c r="D60" i="179"/>
  <c r="S59" i="179"/>
  <c r="G59" i="179"/>
  <c r="F59" i="179"/>
  <c r="E59" i="179"/>
  <c r="D59" i="179"/>
  <c r="S58" i="179"/>
  <c r="G58" i="179"/>
  <c r="F58" i="179"/>
  <c r="E58" i="179"/>
  <c r="D58" i="179"/>
  <c r="S57" i="179"/>
  <c r="G57" i="179"/>
  <c r="F57" i="179"/>
  <c r="E57" i="179"/>
  <c r="D57" i="179"/>
  <c r="S56" i="179"/>
  <c r="H56" i="179"/>
  <c r="V56" i="179" s="1"/>
  <c r="G56" i="179"/>
  <c r="F56" i="179"/>
  <c r="E56" i="179"/>
  <c r="D56" i="179"/>
  <c r="S55" i="179"/>
  <c r="H55" i="179"/>
  <c r="V55" i="179" s="1"/>
  <c r="G55" i="179"/>
  <c r="F55" i="179"/>
  <c r="E55" i="179"/>
  <c r="D55" i="179"/>
  <c r="S54" i="179"/>
  <c r="H54" i="179"/>
  <c r="V54" i="179" s="1"/>
  <c r="G54" i="179"/>
  <c r="F54" i="179"/>
  <c r="E54" i="179"/>
  <c r="D54" i="179"/>
  <c r="W53" i="179"/>
  <c r="X53" i="179" s="1"/>
  <c r="V53" i="179"/>
  <c r="S53" i="179"/>
  <c r="F53" i="179"/>
  <c r="E53" i="179"/>
  <c r="D53" i="179"/>
  <c r="S52" i="179"/>
  <c r="H52" i="179"/>
  <c r="V52" i="179" s="1"/>
  <c r="G52" i="179"/>
  <c r="F52" i="179"/>
  <c r="E52" i="179"/>
  <c r="D52" i="179"/>
  <c r="Z51" i="179"/>
  <c r="S51" i="179"/>
  <c r="H51" i="179"/>
  <c r="G51" i="179"/>
  <c r="F51" i="179"/>
  <c r="E51" i="179"/>
  <c r="D51" i="179"/>
  <c r="P231" i="179" l="1"/>
  <c r="K237" i="179" s="1"/>
  <c r="K638" i="179"/>
  <c r="M716" i="179"/>
  <c r="H724" i="179" s="1"/>
  <c r="M638" i="179"/>
  <c r="H646" i="179" s="1"/>
  <c r="H394" i="179"/>
  <c r="H402" i="179" s="1"/>
  <c r="H406" i="179"/>
  <c r="K231" i="179"/>
  <c r="J237" i="179" s="1"/>
  <c r="I242" i="179"/>
  <c r="I248" i="179"/>
  <c r="L237" i="179"/>
  <c r="M364" i="179"/>
  <c r="H372" i="179" s="1"/>
  <c r="M390" i="179"/>
  <c r="H398" i="179" s="1"/>
  <c r="M693" i="179"/>
  <c r="H701" i="179" s="1"/>
  <c r="P716" i="179"/>
  <c r="K191" i="179"/>
  <c r="J236" i="179" s="1"/>
  <c r="I246" i="179"/>
  <c r="H373" i="179"/>
  <c r="P364" i="179"/>
  <c r="H375" i="179" s="1"/>
  <c r="P390" i="179"/>
  <c r="H401" i="179" s="1"/>
  <c r="P693" i="179"/>
  <c r="I244" i="179"/>
  <c r="I250" i="179"/>
  <c r="AE45" i="179"/>
  <c r="W30" i="179"/>
  <c r="W36" i="179"/>
  <c r="W39" i="179"/>
  <c r="AE46" i="179"/>
  <c r="Y31" i="179"/>
  <c r="Z31" i="179" s="1"/>
  <c r="I140" i="179"/>
  <c r="W15" i="179"/>
  <c r="Y44" i="179"/>
  <c r="Z44" i="179" s="1"/>
  <c r="W22" i="179"/>
  <c r="AE27" i="179"/>
  <c r="W28" i="179"/>
  <c r="Y13" i="179"/>
  <c r="Z13" i="179" s="1"/>
  <c r="Y16" i="179"/>
  <c r="Z16" i="179" s="1"/>
  <c r="B32" i="179"/>
  <c r="W23" i="179"/>
  <c r="AD30" i="179"/>
  <c r="AE30" i="179" s="1"/>
  <c r="AC31" i="179"/>
  <c r="AE31" i="179" s="1"/>
  <c r="W35" i="179"/>
  <c r="AE41" i="179"/>
  <c r="W49" i="179"/>
  <c r="AD11" i="179"/>
  <c r="AE11" i="179" s="1"/>
  <c r="AE28" i="179"/>
  <c r="W44" i="179"/>
  <c r="AE40" i="179"/>
  <c r="W19" i="179"/>
  <c r="Y20" i="179"/>
  <c r="Z20" i="179" s="1"/>
  <c r="Y22" i="179"/>
  <c r="Z22" i="179" s="1"/>
  <c r="Y23" i="179"/>
  <c r="Z23" i="179" s="1"/>
  <c r="AE32" i="179"/>
  <c r="Y36" i="179"/>
  <c r="Z36" i="179" s="1"/>
  <c r="Y39" i="179"/>
  <c r="Z39" i="179" s="1"/>
  <c r="AD39" i="179"/>
  <c r="W43" i="179"/>
  <c r="Y49" i="179"/>
  <c r="Z49" i="179" s="1"/>
  <c r="AE25" i="179"/>
  <c r="W31" i="179"/>
  <c r="W32" i="179"/>
  <c r="AH49" i="179"/>
  <c r="AE38" i="179"/>
  <c r="Y40" i="179"/>
  <c r="Z40" i="179" s="1"/>
  <c r="Y43" i="179"/>
  <c r="Z43" i="179" s="1"/>
  <c r="AC44" i="179"/>
  <c r="AE44" i="179" s="1"/>
  <c r="AE48" i="179"/>
  <c r="Y15" i="179"/>
  <c r="Z15" i="179" s="1"/>
  <c r="AE19" i="179"/>
  <c r="AG32" i="179"/>
  <c r="AE23" i="179"/>
  <c r="Y28" i="179"/>
  <c r="Z28" i="179" s="1"/>
  <c r="Y30" i="179"/>
  <c r="Z30" i="179" s="1"/>
  <c r="B49" i="179"/>
  <c r="Y35" i="179"/>
  <c r="Z35" i="179" s="1"/>
  <c r="AC36" i="179"/>
  <c r="AE36" i="179" s="1"/>
  <c r="W40" i="179"/>
  <c r="AE24" i="179"/>
  <c r="AE37" i="179"/>
  <c r="AE42" i="179"/>
  <c r="Y25" i="179"/>
  <c r="Z25" i="179" s="1"/>
  <c r="Y32" i="179"/>
  <c r="Z32" i="179" s="1"/>
  <c r="Y38" i="179"/>
  <c r="Z38" i="179" s="1"/>
  <c r="Y42" i="179"/>
  <c r="Z42" i="179" s="1"/>
  <c r="Y46" i="179"/>
  <c r="Z46" i="179" s="1"/>
  <c r="Y48" i="179"/>
  <c r="Z48" i="179" s="1"/>
  <c r="AH20" i="179"/>
  <c r="AL20" i="179" s="1"/>
  <c r="Y12" i="179"/>
  <c r="Z12" i="179" s="1"/>
  <c r="Y17" i="179"/>
  <c r="Z17" i="179" s="1"/>
  <c r="AC22" i="179"/>
  <c r="AE22" i="179" s="1"/>
  <c r="Y24" i="179"/>
  <c r="Z24" i="179" s="1"/>
  <c r="W25" i="179"/>
  <c r="W27" i="179"/>
  <c r="AH32" i="179"/>
  <c r="W34" i="179"/>
  <c r="AD34" i="179"/>
  <c r="AE34" i="179" s="1"/>
  <c r="AC35" i="179"/>
  <c r="AE35" i="179" s="1"/>
  <c r="Y37" i="179"/>
  <c r="Z37" i="179" s="1"/>
  <c r="W38" i="179"/>
  <c r="AC39" i="179"/>
  <c r="Y41" i="179"/>
  <c r="Z41" i="179" s="1"/>
  <c r="W42" i="179"/>
  <c r="AC43" i="179"/>
  <c r="AE43" i="179" s="1"/>
  <c r="Y45" i="179"/>
  <c r="Z45" i="179" s="1"/>
  <c r="W46" i="179"/>
  <c r="W48" i="179"/>
  <c r="Y27" i="179"/>
  <c r="Z27" i="179" s="1"/>
  <c r="B20" i="179"/>
  <c r="W11" i="179"/>
  <c r="AD15" i="179"/>
  <c r="AE15" i="179" s="1"/>
  <c r="AC16" i="179"/>
  <c r="AE16" i="179" s="1"/>
  <c r="Y18" i="179"/>
  <c r="Z18" i="179" s="1"/>
  <c r="Y19" i="179"/>
  <c r="Z19" i="179" s="1"/>
  <c r="AC49" i="179"/>
  <c r="AE49" i="179" s="1"/>
  <c r="Y34" i="179"/>
  <c r="Z34" i="179" s="1"/>
  <c r="AG49" i="179"/>
  <c r="W24" i="179"/>
  <c r="W37" i="179"/>
  <c r="W41" i="179"/>
  <c r="W45" i="179"/>
  <c r="AE12" i="179"/>
  <c r="AE14" i="179"/>
  <c r="Y14" i="179"/>
  <c r="Z14" i="179" s="1"/>
  <c r="AG20" i="179"/>
  <c r="AK20" i="179" s="1"/>
  <c r="W13" i="179"/>
  <c r="AD13" i="179"/>
  <c r="AE13" i="179" s="1"/>
  <c r="W17" i="179"/>
  <c r="AD17" i="179"/>
  <c r="AE17" i="179" s="1"/>
  <c r="AC18" i="179"/>
  <c r="AE18" i="179" s="1"/>
  <c r="W20" i="179"/>
  <c r="AD20" i="179"/>
  <c r="AE20" i="179" s="1"/>
  <c r="W14" i="179"/>
  <c r="W18" i="179"/>
  <c r="Y11" i="179"/>
  <c r="Z11" i="179" s="1"/>
  <c r="W12" i="179"/>
  <c r="W16" i="179"/>
  <c r="V51" i="179"/>
  <c r="X113" i="179"/>
  <c r="H408" i="179"/>
  <c r="H704" i="179"/>
  <c r="H697" i="179"/>
  <c r="H705" i="179" s="1"/>
  <c r="H709" i="179"/>
  <c r="H725" i="179"/>
  <c r="K716" i="179"/>
  <c r="H382" i="179"/>
  <c r="H368" i="179"/>
  <c r="H376" i="179" s="1"/>
  <c r="H380" i="179"/>
  <c r="H397" i="179"/>
  <c r="K390" i="179"/>
  <c r="H720" i="179"/>
  <c r="H732" i="179"/>
  <c r="L236" i="179"/>
  <c r="P191" i="179"/>
  <c r="K236" i="179" s="1"/>
  <c r="M191" i="179"/>
  <c r="M236" i="179" s="1"/>
  <c r="K275" i="179"/>
  <c r="H371" i="179"/>
  <c r="K364" i="179"/>
  <c r="H399" i="179"/>
  <c r="H642" i="179"/>
  <c r="H650" i="179" s="1"/>
  <c r="H654" i="179"/>
  <c r="H278" i="179"/>
  <c r="P275" i="179"/>
  <c r="H286" i="179" s="1"/>
  <c r="H702" i="179"/>
  <c r="K693" i="179"/>
  <c r="H647" i="179"/>
  <c r="I249" i="179"/>
  <c r="H284" i="179"/>
  <c r="I243" i="179"/>
  <c r="I245" i="179"/>
  <c r="K43" i="178"/>
  <c r="J43" i="178"/>
  <c r="I43" i="178"/>
  <c r="H43" i="178"/>
  <c r="G43" i="178"/>
  <c r="AK32" i="179" l="1"/>
  <c r="AA32" i="179"/>
  <c r="AA49" i="179"/>
  <c r="AI49" i="179"/>
  <c r="AE39" i="179"/>
  <c r="AM20" i="179"/>
  <c r="AL32" i="179"/>
  <c r="AM32" i="179" s="1"/>
  <c r="AI32" i="179"/>
  <c r="AI20" i="179"/>
  <c r="H279" i="179"/>
  <c r="H287" i="179" s="1"/>
  <c r="H293" i="179"/>
  <c r="H291" i="179"/>
  <c r="M42" i="178"/>
  <c r="M41" i="178"/>
  <c r="M40" i="178"/>
  <c r="M39" i="178"/>
  <c r="M38" i="178"/>
  <c r="I698" i="173" l="1"/>
  <c r="R613" i="173" l="1"/>
  <c r="R525" i="173"/>
  <c r="R403" i="173"/>
  <c r="R256" i="173"/>
  <c r="R151" i="173"/>
  <c r="Z7" i="173" l="1"/>
  <c r="H28" i="170" l="1"/>
  <c r="O68" i="178" l="1"/>
  <c r="K68" i="178"/>
  <c r="I68" i="178"/>
  <c r="H68" i="178"/>
  <c r="G68" i="178"/>
  <c r="K80" i="178"/>
  <c r="G80" i="178"/>
  <c r="G57" i="178"/>
  <c r="H57" i="178"/>
  <c r="I57" i="178"/>
  <c r="K57" i="178"/>
  <c r="O57" i="178"/>
  <c r="W72" i="178"/>
  <c r="V72" i="178"/>
  <c r="U72" i="178"/>
  <c r="H72" i="178"/>
  <c r="H80" i="178" s="1"/>
  <c r="D72" i="178"/>
  <c r="X79" i="178"/>
  <c r="W79" i="178"/>
  <c r="V79" i="178"/>
  <c r="U79" i="178"/>
  <c r="V78" i="178"/>
  <c r="U78" i="178"/>
  <c r="W77" i="178"/>
  <c r="V77" i="178"/>
  <c r="U77" i="178"/>
  <c r="Z76" i="178"/>
  <c r="Y76" i="178"/>
  <c r="X76" i="178"/>
  <c r="W76" i="178"/>
  <c r="V76" i="178"/>
  <c r="U76" i="178"/>
  <c r="AA75" i="178"/>
  <c r="Z75" i="178"/>
  <c r="Y75" i="178"/>
  <c r="X75" i="178"/>
  <c r="W75" i="178"/>
  <c r="V75" i="178"/>
  <c r="U75" i="178"/>
  <c r="U74" i="178"/>
  <c r="J74" i="178" s="1"/>
  <c r="M74" i="178" s="1"/>
  <c r="V73" i="178"/>
  <c r="U73" i="178"/>
  <c r="Z67" i="178"/>
  <c r="Y67" i="178"/>
  <c r="X67" i="178"/>
  <c r="W67" i="178"/>
  <c r="V67" i="178"/>
  <c r="U67" i="178"/>
  <c r="X65" i="178"/>
  <c r="W65" i="178"/>
  <c r="V65" i="178"/>
  <c r="U65" i="178"/>
  <c r="W64" i="178"/>
  <c r="V64" i="178"/>
  <c r="U64" i="178"/>
  <c r="X63" i="178"/>
  <c r="W63" i="178"/>
  <c r="V63" i="178"/>
  <c r="U63" i="178"/>
  <c r="J73" i="178" l="1"/>
  <c r="M73" i="178" s="1"/>
  <c r="J76" i="178"/>
  <c r="M76" i="178" s="1"/>
  <c r="J78" i="178"/>
  <c r="M78" i="178" s="1"/>
  <c r="J72" i="178"/>
  <c r="J65" i="178"/>
  <c r="M65" i="178" s="1"/>
  <c r="J64" i="178"/>
  <c r="M64" i="178" s="1"/>
  <c r="J77" i="178"/>
  <c r="M77" i="178" s="1"/>
  <c r="J63" i="178"/>
  <c r="M63" i="178" s="1"/>
  <c r="J67" i="178"/>
  <c r="M67" i="178" s="1"/>
  <c r="J75" i="178"/>
  <c r="M75" i="178" s="1"/>
  <c r="J79" i="178"/>
  <c r="M79" i="178" s="1"/>
  <c r="W56" i="178"/>
  <c r="V56" i="178"/>
  <c r="U56" i="178"/>
  <c r="Z55" i="178"/>
  <c r="Y55" i="178"/>
  <c r="X55" i="178"/>
  <c r="W55" i="178"/>
  <c r="V55" i="178"/>
  <c r="U55" i="178"/>
  <c r="Z54" i="178"/>
  <c r="Y54" i="178"/>
  <c r="X54" i="178"/>
  <c r="W54" i="178"/>
  <c r="V54" i="178"/>
  <c r="U54" i="178"/>
  <c r="Z53" i="178"/>
  <c r="Y53" i="178"/>
  <c r="X53" i="178"/>
  <c r="W53" i="178"/>
  <c r="V53" i="178"/>
  <c r="U53" i="178"/>
  <c r="Y52" i="178"/>
  <c r="X52" i="178"/>
  <c r="W52" i="178"/>
  <c r="V52" i="178"/>
  <c r="U52" i="178"/>
  <c r="W51" i="178"/>
  <c r="V51" i="178"/>
  <c r="U51" i="178"/>
  <c r="W50" i="178"/>
  <c r="V50" i="178"/>
  <c r="U50" i="178"/>
  <c r="X49" i="178"/>
  <c r="W49" i="178"/>
  <c r="V49" i="178"/>
  <c r="U49" i="178"/>
  <c r="X48" i="178"/>
  <c r="W48" i="178"/>
  <c r="V48" i="178"/>
  <c r="U48" i="178"/>
  <c r="V47" i="178"/>
  <c r="U47" i="178"/>
  <c r="AB46" i="178"/>
  <c r="AA46" i="178"/>
  <c r="Z46" i="178"/>
  <c r="Y46" i="178"/>
  <c r="X46" i="178"/>
  <c r="W46" i="178"/>
  <c r="V46" i="178"/>
  <c r="U46" i="178"/>
  <c r="F72" i="178"/>
  <c r="E72" i="178"/>
  <c r="J80" i="178" l="1"/>
  <c r="J54" i="178"/>
  <c r="M54" i="178" s="1"/>
  <c r="J56" i="178"/>
  <c r="M56" i="178" s="1"/>
  <c r="J47" i="178"/>
  <c r="M47" i="178" s="1"/>
  <c r="J46" i="178"/>
  <c r="M46" i="178" s="1"/>
  <c r="J52" i="178"/>
  <c r="M52" i="178" s="1"/>
  <c r="J51" i="178"/>
  <c r="M51" i="178" s="1"/>
  <c r="J53" i="178"/>
  <c r="M53" i="178" s="1"/>
  <c r="J55" i="178"/>
  <c r="M55" i="178" s="1"/>
  <c r="J48" i="178"/>
  <c r="M48" i="178" s="1"/>
  <c r="J49" i="178"/>
  <c r="M49" i="178" s="1"/>
  <c r="J50" i="178"/>
  <c r="M50" i="178" s="1"/>
  <c r="AB596" i="173"/>
  <c r="J57" i="178" l="1"/>
  <c r="F699" i="173"/>
  <c r="F700" i="173" s="1"/>
  <c r="F701" i="173" s="1"/>
  <c r="F702" i="173" s="1"/>
  <c r="F703" i="173" s="1"/>
  <c r="F704" i="173" s="1"/>
  <c r="F705" i="173" s="1"/>
  <c r="F706" i="173" s="1"/>
  <c r="F707" i="173" s="1"/>
  <c r="F708" i="173" s="1"/>
  <c r="F709" i="173" s="1"/>
  <c r="F710" i="173" s="1"/>
  <c r="F711" i="173" s="1"/>
  <c r="F712" i="173" s="1"/>
  <c r="F713" i="173" s="1"/>
  <c r="F714" i="173" s="1"/>
  <c r="F715" i="173" s="1"/>
  <c r="F716" i="173" s="1"/>
  <c r="F717" i="173" s="1"/>
  <c r="F718" i="173" s="1"/>
  <c r="F719" i="173" s="1"/>
  <c r="F462" i="173" l="1"/>
  <c r="G464" i="173"/>
  <c r="F464" i="173" s="1"/>
  <c r="G466" i="173"/>
  <c r="F466" i="173" s="1"/>
  <c r="G467" i="173"/>
  <c r="F467" i="173" s="1"/>
  <c r="G468" i="173"/>
  <c r="F468" i="173" s="1"/>
  <c r="G469" i="173"/>
  <c r="F469" i="173" s="1"/>
  <c r="G470" i="173"/>
  <c r="F470" i="173" s="1"/>
  <c r="G463" i="173"/>
  <c r="F463" i="173" s="1"/>
  <c r="S456" i="173"/>
  <c r="H456" i="173"/>
  <c r="V456" i="173" s="1"/>
  <c r="G456" i="173"/>
  <c r="F456" i="173"/>
  <c r="E456" i="173"/>
  <c r="D456" i="173"/>
  <c r="S455" i="173"/>
  <c r="G455" i="173"/>
  <c r="F455" i="173"/>
  <c r="E455" i="173"/>
  <c r="D455" i="173"/>
  <c r="S454" i="173"/>
  <c r="H454" i="173"/>
  <c r="V454" i="173" s="1"/>
  <c r="G454" i="173"/>
  <c r="F454" i="173"/>
  <c r="E454" i="173"/>
  <c r="D454" i="173"/>
  <c r="S453" i="173"/>
  <c r="G453" i="173"/>
  <c r="F453" i="173"/>
  <c r="E453" i="173"/>
  <c r="D453" i="173"/>
  <c r="S452" i="173"/>
  <c r="H452" i="173"/>
  <c r="V452" i="173" s="1"/>
  <c r="G452" i="173"/>
  <c r="F452" i="173"/>
  <c r="E452" i="173"/>
  <c r="D452" i="173"/>
  <c r="S374" i="173"/>
  <c r="G374" i="173"/>
  <c r="F374" i="173"/>
  <c r="E374" i="173"/>
  <c r="D374" i="173"/>
  <c r="H685" i="173" l="1"/>
  <c r="H684" i="173"/>
  <c r="H683" i="173"/>
  <c r="H605" i="173"/>
  <c r="H300" i="173"/>
  <c r="H662" i="173"/>
  <c r="H635" i="173"/>
  <c r="H607" i="173"/>
  <c r="H672" i="173"/>
  <c r="I672" i="173"/>
  <c r="H679" i="173" s="1"/>
  <c r="L672" i="173"/>
  <c r="M672" i="173" s="1"/>
  <c r="H680" i="173" s="1"/>
  <c r="H674" i="173"/>
  <c r="H651" i="173"/>
  <c r="L649" i="173"/>
  <c r="H652" i="173" s="1"/>
  <c r="H660" i="173" s="1"/>
  <c r="I649" i="173"/>
  <c r="H649" i="173"/>
  <c r="H624" i="173"/>
  <c r="H622" i="173"/>
  <c r="H596" i="173"/>
  <c r="L594" i="173"/>
  <c r="H597" i="173" s="1"/>
  <c r="I594" i="173"/>
  <c r="H594" i="173"/>
  <c r="H681" i="173" l="1"/>
  <c r="K672" i="173"/>
  <c r="H675" i="173"/>
  <c r="P672" i="173"/>
  <c r="K649" i="173"/>
  <c r="H656" i="173"/>
  <c r="H665" i="173"/>
  <c r="H653" i="173"/>
  <c r="H661" i="173" s="1"/>
  <c r="M649" i="173"/>
  <c r="H657" i="173" s="1"/>
  <c r="P649" i="173"/>
  <c r="H658" i="173"/>
  <c r="K594" i="173"/>
  <c r="H610" i="173"/>
  <c r="H598" i="173"/>
  <c r="H606" i="173" s="1"/>
  <c r="M594" i="173"/>
  <c r="H602" i="173" s="1"/>
  <c r="H603" i="173"/>
  <c r="H601" i="173"/>
  <c r="H571" i="173"/>
  <c r="H676" i="173" l="1"/>
  <c r="H688" i="173"/>
  <c r="L557" i="173"/>
  <c r="L560" i="173"/>
  <c r="L558" i="173"/>
  <c r="L559" i="173"/>
  <c r="G249" i="173"/>
  <c r="F249" i="173"/>
  <c r="G305" i="173"/>
  <c r="F305" i="173"/>
  <c r="G338" i="173"/>
  <c r="F338" i="173"/>
  <c r="G364" i="173"/>
  <c r="F364" i="173"/>
  <c r="G357" i="173" l="1"/>
  <c r="G358" i="173"/>
  <c r="G362" i="173"/>
  <c r="G332" i="173"/>
  <c r="G303" i="173"/>
  <c r="G299" i="173"/>
  <c r="G298" i="173"/>
  <c r="G247" i="173"/>
  <c r="G243" i="173"/>
  <c r="G242" i="173"/>
  <c r="S237" i="99"/>
  <c r="H237" i="99"/>
  <c r="V237" i="99" s="1"/>
  <c r="G237" i="99"/>
  <c r="F237" i="99"/>
  <c r="E237" i="99"/>
  <c r="D237" i="99"/>
  <c r="S236" i="99"/>
  <c r="H236" i="99"/>
  <c r="V236" i="99" s="1"/>
  <c r="G236" i="99"/>
  <c r="F236" i="99"/>
  <c r="E236" i="99"/>
  <c r="D236" i="99"/>
  <c r="S235" i="99"/>
  <c r="H235" i="99"/>
  <c r="V235" i="99" s="1"/>
  <c r="G235" i="99"/>
  <c r="F235" i="99"/>
  <c r="E235" i="99"/>
  <c r="D235" i="99"/>
  <c r="S234" i="99"/>
  <c r="H234" i="99"/>
  <c r="V234" i="99" s="1"/>
  <c r="G234" i="99"/>
  <c r="F234" i="99"/>
  <c r="E234" i="99"/>
  <c r="D234" i="99"/>
  <c r="S233" i="99"/>
  <c r="H233" i="99"/>
  <c r="V233" i="99" s="1"/>
  <c r="G233" i="99"/>
  <c r="F233" i="99"/>
  <c r="E233" i="99"/>
  <c r="D233" i="99"/>
  <c r="S232" i="99"/>
  <c r="H232" i="99"/>
  <c r="V232" i="99" s="1"/>
  <c r="G232" i="99"/>
  <c r="F232" i="99"/>
  <c r="E232" i="99"/>
  <c r="D232" i="99"/>
  <c r="S220" i="99"/>
  <c r="H220" i="99"/>
  <c r="V220" i="99" s="1"/>
  <c r="G220" i="99"/>
  <c r="F220" i="99"/>
  <c r="E220" i="99"/>
  <c r="D220" i="99"/>
  <c r="S219" i="99"/>
  <c r="H219" i="99"/>
  <c r="V219" i="99" s="1"/>
  <c r="G219" i="99"/>
  <c r="F219" i="99"/>
  <c r="E219" i="99"/>
  <c r="D219" i="99"/>
  <c r="S218" i="99"/>
  <c r="H218" i="99"/>
  <c r="V218" i="99" s="1"/>
  <c r="G218" i="99"/>
  <c r="F218" i="99"/>
  <c r="E218" i="99"/>
  <c r="D218" i="99"/>
  <c r="S217" i="99"/>
  <c r="H217" i="99"/>
  <c r="V217" i="99" s="1"/>
  <c r="G217" i="99"/>
  <c r="F217" i="99"/>
  <c r="E217" i="99"/>
  <c r="D217" i="99"/>
  <c r="S216" i="99"/>
  <c r="G216" i="99"/>
  <c r="F216" i="99"/>
  <c r="E216" i="99"/>
  <c r="D216" i="99"/>
  <c r="S215" i="99"/>
  <c r="H215" i="99"/>
  <c r="V215" i="99" s="1"/>
  <c r="G215" i="99"/>
  <c r="F215" i="99"/>
  <c r="E215" i="99"/>
  <c r="D215" i="99"/>
  <c r="S214" i="99"/>
  <c r="G214" i="99"/>
  <c r="F214" i="99"/>
  <c r="E214" i="99"/>
  <c r="D214" i="99"/>
  <c r="S213" i="99"/>
  <c r="G213" i="99"/>
  <c r="F213" i="99"/>
  <c r="E213" i="99"/>
  <c r="D213" i="99"/>
  <c r="S212" i="99"/>
  <c r="G212" i="99"/>
  <c r="F212" i="99"/>
  <c r="E212" i="99"/>
  <c r="D212" i="99"/>
  <c r="S211" i="99"/>
  <c r="G211" i="99"/>
  <c r="F211" i="99"/>
  <c r="E211" i="99"/>
  <c r="D211" i="99"/>
  <c r="S202" i="99"/>
  <c r="G202" i="99"/>
  <c r="F202" i="99"/>
  <c r="E202" i="99"/>
  <c r="D202" i="99"/>
  <c r="S201" i="99"/>
  <c r="G201" i="99"/>
  <c r="F201" i="99"/>
  <c r="E201" i="99"/>
  <c r="D201" i="99"/>
  <c r="S200" i="99"/>
  <c r="G200" i="99"/>
  <c r="F200" i="99"/>
  <c r="E200" i="99"/>
  <c r="D200" i="99"/>
  <c r="S199" i="99"/>
  <c r="G199" i="99"/>
  <c r="F199" i="99"/>
  <c r="E199" i="99"/>
  <c r="D199" i="99"/>
  <c r="S198" i="99"/>
  <c r="H198" i="99"/>
  <c r="V198" i="99" s="1"/>
  <c r="G198" i="99"/>
  <c r="F198" i="99"/>
  <c r="E198" i="99"/>
  <c r="D198" i="99"/>
  <c r="S197" i="99"/>
  <c r="H197" i="99"/>
  <c r="V197" i="99" s="1"/>
  <c r="G197" i="99"/>
  <c r="F197" i="99"/>
  <c r="E197" i="99"/>
  <c r="D197" i="99"/>
  <c r="S196" i="99"/>
  <c r="H196" i="99"/>
  <c r="V196" i="99" s="1"/>
  <c r="G196" i="99"/>
  <c r="F196" i="99"/>
  <c r="E196" i="99"/>
  <c r="D196" i="99"/>
  <c r="S195" i="99"/>
  <c r="H195" i="99"/>
  <c r="V195" i="99" s="1"/>
  <c r="G195" i="99"/>
  <c r="F195" i="99"/>
  <c r="E195" i="99"/>
  <c r="D195" i="99"/>
  <c r="S194" i="99"/>
  <c r="H194" i="99"/>
  <c r="V194" i="99" s="1"/>
  <c r="G194" i="99"/>
  <c r="F194" i="99"/>
  <c r="E194" i="99"/>
  <c r="D194" i="99"/>
  <c r="S193" i="99"/>
  <c r="G193" i="99"/>
  <c r="F193" i="99"/>
  <c r="E193" i="99"/>
  <c r="D193" i="99"/>
  <c r="S192" i="99"/>
  <c r="H192" i="99"/>
  <c r="V192" i="99" s="1"/>
  <c r="G192" i="99"/>
  <c r="F192" i="99"/>
  <c r="E192" i="99"/>
  <c r="D192" i="99"/>
  <c r="S191" i="99"/>
  <c r="G191" i="99"/>
  <c r="F191" i="99"/>
  <c r="E191" i="99"/>
  <c r="D191" i="99"/>
  <c r="S190" i="99"/>
  <c r="G190" i="99"/>
  <c r="F190" i="99"/>
  <c r="E190" i="99"/>
  <c r="D190" i="99"/>
  <c r="S181" i="99"/>
  <c r="G181" i="99"/>
  <c r="F181" i="99"/>
  <c r="E181" i="99"/>
  <c r="D181" i="99"/>
  <c r="S180" i="99"/>
  <c r="H180" i="99"/>
  <c r="V180" i="99" s="1"/>
  <c r="G180" i="99"/>
  <c r="F180" i="99"/>
  <c r="E180" i="99"/>
  <c r="D180" i="99"/>
  <c r="S179" i="99"/>
  <c r="H179" i="99"/>
  <c r="V179" i="99" s="1"/>
  <c r="G179" i="99"/>
  <c r="F179" i="99"/>
  <c r="E179" i="99"/>
  <c r="D179" i="99"/>
  <c r="S178" i="99"/>
  <c r="H178" i="99"/>
  <c r="V178" i="99" s="1"/>
  <c r="G178" i="99"/>
  <c r="F178" i="99"/>
  <c r="E178" i="99"/>
  <c r="D178" i="99"/>
  <c r="W177" i="99"/>
  <c r="V177" i="99"/>
  <c r="S177" i="99"/>
  <c r="G177" i="99"/>
  <c r="F177" i="99"/>
  <c r="E177" i="99"/>
  <c r="D177" i="99"/>
  <c r="S176" i="99"/>
  <c r="G176" i="99"/>
  <c r="F176" i="99"/>
  <c r="E176" i="99"/>
  <c r="D176" i="99"/>
  <c r="S175" i="99"/>
  <c r="G175" i="99"/>
  <c r="F175" i="99"/>
  <c r="E175" i="99"/>
  <c r="D175" i="99"/>
  <c r="S174" i="99"/>
  <c r="G174" i="99"/>
  <c r="F174" i="99"/>
  <c r="E174" i="99"/>
  <c r="D174" i="99"/>
  <c r="S173" i="99"/>
  <c r="H173" i="99"/>
  <c r="V173" i="99" s="1"/>
  <c r="G173" i="99"/>
  <c r="F173" i="99"/>
  <c r="E173" i="99"/>
  <c r="D173" i="99"/>
  <c r="W172" i="99"/>
  <c r="V172" i="99"/>
  <c r="S172" i="99"/>
  <c r="F172" i="99"/>
  <c r="E172" i="99"/>
  <c r="D172" i="99"/>
  <c r="S171" i="99"/>
  <c r="H171" i="99"/>
  <c r="V171" i="99" s="1"/>
  <c r="G171" i="99"/>
  <c r="F171" i="99"/>
  <c r="E171" i="99"/>
  <c r="D171" i="99"/>
  <c r="S170" i="99"/>
  <c r="G170" i="99"/>
  <c r="F170" i="99"/>
  <c r="E170" i="99"/>
  <c r="D170" i="99"/>
  <c r="S169" i="99"/>
  <c r="H169" i="99"/>
  <c r="V169" i="99" s="1"/>
  <c r="G169" i="99"/>
  <c r="F169" i="99"/>
  <c r="E169" i="99"/>
  <c r="D169" i="99"/>
  <c r="S168" i="99"/>
  <c r="H168" i="99"/>
  <c r="V168" i="99" s="1"/>
  <c r="G168" i="99"/>
  <c r="F168" i="99"/>
  <c r="E168" i="99"/>
  <c r="D168" i="99"/>
  <c r="S167" i="99"/>
  <c r="G167" i="99"/>
  <c r="F167" i="99"/>
  <c r="E167" i="99"/>
  <c r="D167" i="99"/>
  <c r="X177" i="99" l="1"/>
  <c r="X172" i="99"/>
  <c r="Z218" i="99"/>
  <c r="F247" i="173"/>
  <c r="F243" i="173"/>
  <c r="F244" i="173"/>
  <c r="F242" i="173"/>
  <c r="F336" i="173"/>
  <c r="F331" i="173"/>
  <c r="F362" i="173"/>
  <c r="F298" i="173"/>
  <c r="F303" i="173"/>
  <c r="H359" i="173"/>
  <c r="H348" i="173"/>
  <c r="G348" i="173"/>
  <c r="F348" i="173"/>
  <c r="H333" i="173"/>
  <c r="H322" i="173"/>
  <c r="G322" i="173"/>
  <c r="F322" i="173"/>
  <c r="H289" i="173"/>
  <c r="G289" i="173"/>
  <c r="F289" i="173"/>
  <c r="H244" i="173"/>
  <c r="H233" i="173"/>
  <c r="G233" i="173"/>
  <c r="F233" i="173"/>
  <c r="L231" i="173" l="1"/>
  <c r="H234" i="173" s="1"/>
  <c r="H247" i="173" s="1"/>
  <c r="I231" i="173"/>
  <c r="H231" i="173"/>
  <c r="H287" i="173"/>
  <c r="L320" i="173"/>
  <c r="H323" i="173" s="1"/>
  <c r="I320" i="173"/>
  <c r="H320" i="173"/>
  <c r="L346" i="173"/>
  <c r="H349" i="173" s="1"/>
  <c r="H364" i="173" s="1"/>
  <c r="I346" i="173"/>
  <c r="H346" i="173"/>
  <c r="K231" i="173" l="1"/>
  <c r="M231" i="173"/>
  <c r="H239" i="173" s="1"/>
  <c r="P346" i="173"/>
  <c r="H357" i="173" s="1"/>
  <c r="H353" i="173"/>
  <c r="H355" i="173"/>
  <c r="P231" i="173"/>
  <c r="H242" i="173" s="1"/>
  <c r="H350" i="173"/>
  <c r="H358" i="173" s="1"/>
  <c r="H240" i="173"/>
  <c r="H238" i="173"/>
  <c r="H362" i="173"/>
  <c r="K346" i="173"/>
  <c r="M346" i="173"/>
  <c r="H354" i="173" s="1"/>
  <c r="H249" i="173"/>
  <c r="H235" i="173"/>
  <c r="H243" i="173" s="1"/>
  <c r="H338" i="173"/>
  <c r="H324" i="173"/>
  <c r="H332" i="173" s="1"/>
  <c r="H336" i="173"/>
  <c r="K320" i="173"/>
  <c r="H329" i="173"/>
  <c r="H327" i="173"/>
  <c r="M320" i="173"/>
  <c r="H328" i="173" s="1"/>
  <c r="P320" i="173"/>
  <c r="H331" i="173" s="1"/>
  <c r="H205" i="173"/>
  <c r="H206" i="173"/>
  <c r="H175" i="173"/>
  <c r="S7" i="2"/>
  <c r="H7" i="2"/>
  <c r="V7" i="2" s="1"/>
  <c r="G7" i="2"/>
  <c r="F7" i="2"/>
  <c r="E7" i="2"/>
  <c r="D7" i="2"/>
  <c r="S7" i="173" l="1"/>
  <c r="H7" i="173"/>
  <c r="V7" i="173" s="1"/>
  <c r="G7" i="173"/>
  <c r="F7" i="173"/>
  <c r="E7" i="173"/>
  <c r="D7" i="173"/>
  <c r="S9" i="2"/>
  <c r="H9" i="2"/>
  <c r="V9" i="2" s="1"/>
  <c r="G9" i="2"/>
  <c r="F9" i="2"/>
  <c r="E9" i="2"/>
  <c r="D9" i="2"/>
  <c r="H25" i="177" l="1"/>
  <c r="C25" i="177" s="1"/>
  <c r="H26" i="177"/>
  <c r="H27" i="177"/>
  <c r="H28" i="177"/>
  <c r="H29" i="177"/>
  <c r="C29" i="177" s="1"/>
  <c r="H30" i="177"/>
  <c r="C30" i="177" s="1"/>
  <c r="E43" i="177"/>
  <c r="C43" i="177"/>
  <c r="E42" i="177"/>
  <c r="C42" i="177"/>
  <c r="E41" i="177"/>
  <c r="C41" i="177"/>
  <c r="E40" i="177"/>
  <c r="C40" i="177"/>
  <c r="E39" i="177"/>
  <c r="C39" i="177"/>
  <c r="E38" i="177"/>
  <c r="C38" i="177"/>
  <c r="E37" i="177"/>
  <c r="C37" i="177"/>
  <c r="E36" i="177"/>
  <c r="C36" i="177"/>
  <c r="C35" i="177"/>
  <c r="C34" i="177"/>
  <c r="C33" i="177"/>
  <c r="C32" i="177"/>
  <c r="C31" i="177"/>
  <c r="H24" i="177"/>
  <c r="C24" i="177" s="1"/>
  <c r="H23" i="177"/>
  <c r="C23" i="177" s="1"/>
  <c r="J17" i="177"/>
  <c r="J16" i="177"/>
  <c r="J15" i="177"/>
  <c r="G13" i="177"/>
  <c r="F13" i="177"/>
  <c r="H12" i="177"/>
  <c r="F8" i="177"/>
  <c r="J18" i="177" l="1"/>
  <c r="I51" i="179"/>
  <c r="I7" i="173"/>
  <c r="W7" i="173" s="1"/>
  <c r="X7" i="173" s="1"/>
  <c r="I9" i="2"/>
  <c r="W9" i="2" s="1"/>
  <c r="X9" i="2" s="1"/>
  <c r="F12" i="177"/>
  <c r="J13" i="177" s="1"/>
  <c r="M51" i="179"/>
  <c r="M9" i="2"/>
  <c r="M7" i="173"/>
  <c r="J12" i="177"/>
  <c r="J19" i="177"/>
  <c r="F9" i="177"/>
  <c r="G9" i="177" s="1"/>
  <c r="S10" i="173"/>
  <c r="H10" i="173"/>
  <c r="V10" i="173" s="1"/>
  <c r="G10" i="173"/>
  <c r="F10" i="173"/>
  <c r="E10" i="173"/>
  <c r="D10" i="173"/>
  <c r="S9" i="173"/>
  <c r="W9" i="173"/>
  <c r="V9" i="173"/>
  <c r="F9" i="173"/>
  <c r="E9" i="173"/>
  <c r="D9" i="173"/>
  <c r="S8" i="173"/>
  <c r="H8" i="173"/>
  <c r="V8" i="173" s="1"/>
  <c r="G8" i="173"/>
  <c r="F8" i="173"/>
  <c r="E8" i="173"/>
  <c r="D8" i="173"/>
  <c r="S10" i="2"/>
  <c r="H10" i="2"/>
  <c r="V10" i="2" s="1"/>
  <c r="G10" i="2"/>
  <c r="F10" i="2"/>
  <c r="E10" i="2"/>
  <c r="D10" i="2"/>
  <c r="S11" i="2"/>
  <c r="V11" i="2"/>
  <c r="F11" i="2"/>
  <c r="E11" i="2"/>
  <c r="D11" i="2"/>
  <c r="S12" i="2"/>
  <c r="H12" i="2"/>
  <c r="V12" i="2" s="1"/>
  <c r="G12" i="2"/>
  <c r="F12" i="2"/>
  <c r="E12" i="2"/>
  <c r="D12" i="2"/>
  <c r="W11" i="2"/>
  <c r="E43" i="176"/>
  <c r="C43" i="176"/>
  <c r="E42" i="176"/>
  <c r="C42" i="176"/>
  <c r="E41" i="176"/>
  <c r="C41" i="176"/>
  <c r="E40" i="176"/>
  <c r="C40" i="176"/>
  <c r="E39" i="176"/>
  <c r="C39" i="176"/>
  <c r="E38" i="176"/>
  <c r="C38" i="176"/>
  <c r="E37" i="176"/>
  <c r="C37" i="176"/>
  <c r="E36" i="176"/>
  <c r="C36" i="176"/>
  <c r="C35" i="176"/>
  <c r="C34" i="176"/>
  <c r="C33" i="176"/>
  <c r="C32" i="176"/>
  <c r="C31" i="176"/>
  <c r="C30" i="176"/>
  <c r="C29" i="176"/>
  <c r="C25" i="176"/>
  <c r="H24" i="176"/>
  <c r="C24" i="176" s="1"/>
  <c r="H23" i="176"/>
  <c r="C23" i="176" s="1"/>
  <c r="J17" i="176"/>
  <c r="J16" i="176"/>
  <c r="J15" i="176"/>
  <c r="G13" i="176"/>
  <c r="F13" i="176"/>
  <c r="H12" i="176"/>
  <c r="M52" i="179" s="1"/>
  <c r="F8" i="176"/>
  <c r="I10" i="2" s="1"/>
  <c r="W10" i="2" s="1"/>
  <c r="E43" i="175"/>
  <c r="C43" i="175"/>
  <c r="E42" i="175"/>
  <c r="C42" i="175"/>
  <c r="E41" i="175"/>
  <c r="C41" i="175"/>
  <c r="E40" i="175"/>
  <c r="C40" i="175"/>
  <c r="E39" i="175"/>
  <c r="C39" i="175"/>
  <c r="E38" i="175"/>
  <c r="C38" i="175"/>
  <c r="E37" i="175"/>
  <c r="C37" i="175"/>
  <c r="E36" i="175"/>
  <c r="C36" i="175"/>
  <c r="C35" i="175"/>
  <c r="C34" i="175"/>
  <c r="C33" i="175"/>
  <c r="C32" i="175"/>
  <c r="C31" i="175"/>
  <c r="C30" i="175"/>
  <c r="C29" i="175"/>
  <c r="C25" i="175"/>
  <c r="H24" i="175"/>
  <c r="C24" i="175" s="1"/>
  <c r="H23" i="175"/>
  <c r="C23" i="175" s="1"/>
  <c r="J17" i="175"/>
  <c r="J16" i="175"/>
  <c r="J15" i="175"/>
  <c r="G13" i="175"/>
  <c r="F13" i="175"/>
  <c r="H12" i="175"/>
  <c r="F12" i="175" s="1"/>
  <c r="J13" i="175" s="1"/>
  <c r="F8" i="175"/>
  <c r="J18" i="175" s="1"/>
  <c r="H26" i="174"/>
  <c r="H27" i="174"/>
  <c r="E43" i="174"/>
  <c r="C43" i="174"/>
  <c r="E42" i="174"/>
  <c r="C42" i="174"/>
  <c r="E41" i="174"/>
  <c r="C41" i="174"/>
  <c r="E40" i="174"/>
  <c r="C40" i="174"/>
  <c r="E39" i="174"/>
  <c r="C39" i="174"/>
  <c r="E38" i="174"/>
  <c r="C38" i="174"/>
  <c r="E37" i="174"/>
  <c r="C37" i="174"/>
  <c r="E36" i="174"/>
  <c r="C36" i="174"/>
  <c r="C35" i="174"/>
  <c r="C34" i="174"/>
  <c r="C33" i="174"/>
  <c r="C32" i="174"/>
  <c r="C31" i="174"/>
  <c r="C30" i="174"/>
  <c r="C29" i="174"/>
  <c r="H25" i="174"/>
  <c r="C25" i="174" s="1"/>
  <c r="H24" i="174"/>
  <c r="C24" i="174" s="1"/>
  <c r="H23" i="174"/>
  <c r="C23" i="174" s="1"/>
  <c r="J17" i="174"/>
  <c r="J16" i="174"/>
  <c r="J15" i="174"/>
  <c r="G13" i="174"/>
  <c r="F13" i="174"/>
  <c r="H12" i="174"/>
  <c r="M54" i="179" s="1"/>
  <c r="F8" i="174"/>
  <c r="F11" i="177" l="1"/>
  <c r="F10" i="177"/>
  <c r="F12" i="176"/>
  <c r="F9" i="174"/>
  <c r="G9" i="174" s="1"/>
  <c r="I54" i="179"/>
  <c r="W54" i="179" s="1"/>
  <c r="X54" i="179" s="1"/>
  <c r="F12" i="174"/>
  <c r="F10" i="174" s="1"/>
  <c r="J19" i="176"/>
  <c r="I52" i="179"/>
  <c r="W52" i="179" s="1"/>
  <c r="X52" i="179" s="1"/>
  <c r="M10" i="2"/>
  <c r="I9" i="177"/>
  <c r="K51" i="179"/>
  <c r="K7" i="173"/>
  <c r="K9" i="2"/>
  <c r="M12" i="2"/>
  <c r="I12" i="2"/>
  <c r="W12" i="2" s="1"/>
  <c r="X12" i="2" s="1"/>
  <c r="M8" i="173"/>
  <c r="M10" i="173"/>
  <c r="L51" i="179"/>
  <c r="L9" i="2"/>
  <c r="L7" i="173"/>
  <c r="W51" i="179"/>
  <c r="X51" i="179" s="1"/>
  <c r="I8" i="173"/>
  <c r="W8" i="173" s="1"/>
  <c r="X8" i="173" s="1"/>
  <c r="I10" i="173"/>
  <c r="W10" i="173" s="1"/>
  <c r="X10" i="173" s="1"/>
  <c r="X9" i="173"/>
  <c r="X10" i="2"/>
  <c r="X11" i="2"/>
  <c r="F9" i="176"/>
  <c r="G9" i="176" s="1"/>
  <c r="J18" i="176"/>
  <c r="J12" i="176"/>
  <c r="F11" i="176" s="1"/>
  <c r="F9" i="175"/>
  <c r="G9" i="175" s="1"/>
  <c r="I9" i="175" s="1"/>
  <c r="F10" i="175"/>
  <c r="J12" i="175"/>
  <c r="F11" i="175" s="1"/>
  <c r="J19" i="175"/>
  <c r="J18" i="174"/>
  <c r="J12" i="174"/>
  <c r="J19" i="174"/>
  <c r="C101" i="173"/>
  <c r="J13" i="176" l="1"/>
  <c r="F10" i="176"/>
  <c r="L52" i="179"/>
  <c r="L10" i="2"/>
  <c r="L8" i="173"/>
  <c r="J13" i="174"/>
  <c r="F11" i="174"/>
  <c r="I9" i="176"/>
  <c r="K52" i="179"/>
  <c r="K10" i="2"/>
  <c r="K8" i="173"/>
  <c r="I9" i="174"/>
  <c r="K54" i="179"/>
  <c r="K12" i="2"/>
  <c r="K10" i="173"/>
  <c r="G107" i="173"/>
  <c r="F107" i="173"/>
  <c r="G105" i="173"/>
  <c r="F105" i="173"/>
  <c r="H102" i="173"/>
  <c r="H91" i="173"/>
  <c r="S76" i="173"/>
  <c r="G76" i="173"/>
  <c r="F76" i="173"/>
  <c r="E76" i="173"/>
  <c r="D76" i="173"/>
  <c r="S75" i="173"/>
  <c r="G75" i="173"/>
  <c r="F75" i="173"/>
  <c r="E75" i="173"/>
  <c r="D75" i="173"/>
  <c r="S74" i="173"/>
  <c r="H74" i="173"/>
  <c r="V74" i="173" s="1"/>
  <c r="G74" i="173"/>
  <c r="F74" i="173"/>
  <c r="E74" i="173"/>
  <c r="D74" i="173"/>
  <c r="S73" i="173"/>
  <c r="H73" i="173"/>
  <c r="V73" i="173" s="1"/>
  <c r="G73" i="173"/>
  <c r="F73" i="173"/>
  <c r="E73" i="173"/>
  <c r="D73" i="173"/>
  <c r="S72" i="173"/>
  <c r="G72" i="173"/>
  <c r="F72" i="173"/>
  <c r="E72" i="173"/>
  <c r="D72" i="173"/>
  <c r="S71" i="173"/>
  <c r="G71" i="173"/>
  <c r="F71" i="173"/>
  <c r="E71" i="173"/>
  <c r="D71" i="173"/>
  <c r="S70" i="173"/>
  <c r="H70" i="173"/>
  <c r="V70" i="173" s="1"/>
  <c r="G70" i="173"/>
  <c r="F70" i="173"/>
  <c r="E70" i="173"/>
  <c r="D70" i="173"/>
  <c r="W69" i="173"/>
  <c r="V69" i="173"/>
  <c r="S69" i="173"/>
  <c r="F69" i="173"/>
  <c r="E69" i="173"/>
  <c r="D69" i="173"/>
  <c r="S68" i="173"/>
  <c r="H68" i="173"/>
  <c r="V68" i="173" s="1"/>
  <c r="G68" i="173"/>
  <c r="F68" i="173"/>
  <c r="E68" i="173"/>
  <c r="D68" i="173"/>
  <c r="S67" i="173"/>
  <c r="H67" i="173"/>
  <c r="V67" i="173" s="1"/>
  <c r="G67" i="173"/>
  <c r="F67" i="173"/>
  <c r="E67" i="173"/>
  <c r="D67" i="173"/>
  <c r="S66" i="173"/>
  <c r="H66" i="173"/>
  <c r="V66" i="173" s="1"/>
  <c r="G66" i="173"/>
  <c r="F66" i="173"/>
  <c r="E66" i="173"/>
  <c r="D66" i="173"/>
  <c r="S65" i="173"/>
  <c r="G65" i="173"/>
  <c r="F65" i="173"/>
  <c r="E65" i="173"/>
  <c r="D65" i="173"/>
  <c r="S64" i="173"/>
  <c r="G64" i="173"/>
  <c r="F64" i="173"/>
  <c r="E64" i="173"/>
  <c r="D64" i="173"/>
  <c r="S63" i="173"/>
  <c r="G63" i="173"/>
  <c r="F63" i="173"/>
  <c r="E63" i="173"/>
  <c r="D63" i="173"/>
  <c r="S62" i="173"/>
  <c r="H62" i="173"/>
  <c r="V62" i="173" s="1"/>
  <c r="G62" i="173"/>
  <c r="F62" i="173"/>
  <c r="E62" i="173"/>
  <c r="D62" i="173"/>
  <c r="S61" i="173"/>
  <c r="H61" i="173"/>
  <c r="V61" i="173" s="1"/>
  <c r="G61" i="173"/>
  <c r="F61" i="173"/>
  <c r="E61" i="173"/>
  <c r="D61" i="173"/>
  <c r="S60" i="173"/>
  <c r="H60" i="173"/>
  <c r="V60" i="173" s="1"/>
  <c r="G60" i="173"/>
  <c r="F60" i="173"/>
  <c r="E60" i="173"/>
  <c r="D60" i="173"/>
  <c r="S59" i="173"/>
  <c r="H59" i="173"/>
  <c r="V59" i="173" s="1"/>
  <c r="G59" i="173"/>
  <c r="F59" i="173"/>
  <c r="E59" i="173"/>
  <c r="D59" i="173"/>
  <c r="S57" i="173"/>
  <c r="H57" i="173"/>
  <c r="V57" i="173" s="1"/>
  <c r="G57" i="173"/>
  <c r="F57" i="173"/>
  <c r="E57" i="173"/>
  <c r="D57" i="173"/>
  <c r="S56" i="173"/>
  <c r="G56" i="173"/>
  <c r="F56" i="173"/>
  <c r="E56" i="173"/>
  <c r="D56" i="173"/>
  <c r="S55" i="173"/>
  <c r="G55" i="173"/>
  <c r="F55" i="173"/>
  <c r="E55" i="173"/>
  <c r="D55" i="173"/>
  <c r="S54" i="173"/>
  <c r="G54" i="173"/>
  <c r="F54" i="173"/>
  <c r="E54" i="173"/>
  <c r="D54" i="173"/>
  <c r="S53" i="173"/>
  <c r="H53" i="173"/>
  <c r="V53" i="173" s="1"/>
  <c r="G53" i="173"/>
  <c r="F53" i="173"/>
  <c r="E53" i="173"/>
  <c r="D53" i="173"/>
  <c r="S52" i="173"/>
  <c r="H52" i="173"/>
  <c r="V52" i="173" s="1"/>
  <c r="G52" i="173"/>
  <c r="F52" i="173"/>
  <c r="E52" i="173"/>
  <c r="D52" i="173"/>
  <c r="S51" i="173"/>
  <c r="H51" i="173"/>
  <c r="V51" i="173" s="1"/>
  <c r="G51" i="173"/>
  <c r="F51" i="173"/>
  <c r="E51" i="173"/>
  <c r="D51" i="173"/>
  <c r="S50" i="173"/>
  <c r="H50" i="173"/>
  <c r="V50" i="173" s="1"/>
  <c r="G50" i="173"/>
  <c r="F50" i="173"/>
  <c r="E50" i="173"/>
  <c r="D50" i="173"/>
  <c r="S49" i="173"/>
  <c r="H49" i="173"/>
  <c r="V49" i="173" s="1"/>
  <c r="G49" i="173"/>
  <c r="F49" i="173"/>
  <c r="E49" i="173"/>
  <c r="D49" i="173"/>
  <c r="S48" i="173"/>
  <c r="H48" i="173"/>
  <c r="V48" i="173" s="1"/>
  <c r="G48" i="173"/>
  <c r="F48" i="173"/>
  <c r="E48" i="173"/>
  <c r="D48" i="173"/>
  <c r="S47" i="173"/>
  <c r="G47" i="173"/>
  <c r="F47" i="173"/>
  <c r="E47" i="173"/>
  <c r="D47" i="173"/>
  <c r="S46" i="173"/>
  <c r="H46" i="173"/>
  <c r="V46" i="173" s="1"/>
  <c r="G46" i="173"/>
  <c r="F46" i="173"/>
  <c r="E46" i="173"/>
  <c r="D46" i="173"/>
  <c r="S45" i="173"/>
  <c r="H45" i="173"/>
  <c r="V45" i="173" s="1"/>
  <c r="G45" i="173"/>
  <c r="F45" i="173"/>
  <c r="E45" i="173"/>
  <c r="D45" i="173"/>
  <c r="S44" i="173"/>
  <c r="H44" i="173"/>
  <c r="V44" i="173" s="1"/>
  <c r="G44" i="173"/>
  <c r="F44" i="173"/>
  <c r="E44" i="173"/>
  <c r="D44" i="173"/>
  <c r="S43" i="173"/>
  <c r="H43" i="173"/>
  <c r="V43" i="173" s="1"/>
  <c r="G43" i="173"/>
  <c r="F43" i="173"/>
  <c r="E43" i="173"/>
  <c r="D43" i="173"/>
  <c r="S42" i="173"/>
  <c r="H42" i="173"/>
  <c r="V42" i="173" s="1"/>
  <c r="G42" i="173"/>
  <c r="F42" i="173"/>
  <c r="E42" i="173"/>
  <c r="D42" i="173"/>
  <c r="S41" i="173"/>
  <c r="G41" i="173"/>
  <c r="F41" i="173"/>
  <c r="E41" i="173"/>
  <c r="D41" i="173"/>
  <c r="S40" i="173"/>
  <c r="H40" i="173"/>
  <c r="V40" i="173" s="1"/>
  <c r="G40" i="173"/>
  <c r="F40" i="173"/>
  <c r="E40" i="173"/>
  <c r="D40" i="173"/>
  <c r="S39" i="173"/>
  <c r="H39" i="173"/>
  <c r="V39" i="173" s="1"/>
  <c r="G39" i="173"/>
  <c r="F39" i="173"/>
  <c r="E39" i="173"/>
  <c r="D39" i="173"/>
  <c r="S38" i="173"/>
  <c r="H38" i="173"/>
  <c r="V38" i="173" s="1"/>
  <c r="G38" i="173"/>
  <c r="F38" i="173"/>
  <c r="E38" i="173"/>
  <c r="D38" i="173"/>
  <c r="S36" i="173"/>
  <c r="H36" i="173"/>
  <c r="V36" i="173" s="1"/>
  <c r="G36" i="173"/>
  <c r="F36" i="173"/>
  <c r="E36" i="173"/>
  <c r="D36" i="173"/>
  <c r="S35" i="173"/>
  <c r="H35" i="173"/>
  <c r="V35" i="173" s="1"/>
  <c r="G35" i="173"/>
  <c r="F35" i="173"/>
  <c r="E35" i="173"/>
  <c r="D35" i="173"/>
  <c r="S34" i="173"/>
  <c r="H34" i="173"/>
  <c r="V34" i="173" s="1"/>
  <c r="G34" i="173"/>
  <c r="F34" i="173"/>
  <c r="E34" i="173"/>
  <c r="D34" i="173"/>
  <c r="S33" i="173"/>
  <c r="H33" i="173"/>
  <c r="V33" i="173" s="1"/>
  <c r="G33" i="173"/>
  <c r="F33" i="173"/>
  <c r="E33" i="173"/>
  <c r="D33" i="173"/>
  <c r="S32" i="173"/>
  <c r="H32" i="173"/>
  <c r="V32" i="173" s="1"/>
  <c r="G32" i="173"/>
  <c r="F32" i="173"/>
  <c r="E32" i="173"/>
  <c r="D32" i="173"/>
  <c r="S31" i="173"/>
  <c r="H31" i="173"/>
  <c r="V31" i="173" s="1"/>
  <c r="G31" i="173"/>
  <c r="F31" i="173"/>
  <c r="E31" i="173"/>
  <c r="D31" i="173"/>
  <c r="S30" i="173"/>
  <c r="G30" i="173"/>
  <c r="F30" i="173"/>
  <c r="E30" i="173"/>
  <c r="D30" i="173"/>
  <c r="S29" i="173"/>
  <c r="G29" i="173"/>
  <c r="F29" i="173"/>
  <c r="E29" i="173"/>
  <c r="D29" i="173"/>
  <c r="S28" i="173"/>
  <c r="H28" i="173"/>
  <c r="V28" i="173" s="1"/>
  <c r="G28" i="173"/>
  <c r="F28" i="173"/>
  <c r="E28" i="173"/>
  <c r="D28" i="173"/>
  <c r="S27" i="173"/>
  <c r="G27" i="173"/>
  <c r="F27" i="173"/>
  <c r="E27" i="173"/>
  <c r="D27" i="173"/>
  <c r="S26" i="173"/>
  <c r="H26" i="173"/>
  <c r="V26" i="173" s="1"/>
  <c r="G26" i="173"/>
  <c r="F26" i="173"/>
  <c r="E26" i="173"/>
  <c r="D26" i="173"/>
  <c r="S25" i="173"/>
  <c r="H25" i="173"/>
  <c r="V25" i="173" s="1"/>
  <c r="G25" i="173"/>
  <c r="F25" i="173"/>
  <c r="E25" i="173"/>
  <c r="D25" i="173"/>
  <c r="S23" i="173"/>
  <c r="H23" i="173"/>
  <c r="V23" i="173" s="1"/>
  <c r="G23" i="173"/>
  <c r="F23" i="173"/>
  <c r="E23" i="173"/>
  <c r="D23" i="173"/>
  <c r="S22" i="173"/>
  <c r="H22" i="173"/>
  <c r="V22" i="173" s="1"/>
  <c r="G22" i="173"/>
  <c r="F22" i="173"/>
  <c r="E22" i="173"/>
  <c r="D22" i="173"/>
  <c r="S21" i="173"/>
  <c r="G21" i="173"/>
  <c r="F21" i="173"/>
  <c r="E21" i="173"/>
  <c r="D21" i="173"/>
  <c r="S20" i="173"/>
  <c r="H20" i="173"/>
  <c r="V20" i="173" s="1"/>
  <c r="G20" i="173"/>
  <c r="F20" i="173"/>
  <c r="E20" i="173"/>
  <c r="D20" i="173"/>
  <c r="S19" i="173"/>
  <c r="H19" i="173"/>
  <c r="V19" i="173" s="1"/>
  <c r="G19" i="173"/>
  <c r="F19" i="173"/>
  <c r="E19" i="173"/>
  <c r="D19" i="173"/>
  <c r="S18" i="173"/>
  <c r="G18" i="173"/>
  <c r="F18" i="173"/>
  <c r="E18" i="173"/>
  <c r="D18" i="173"/>
  <c r="S17" i="173"/>
  <c r="G17" i="173"/>
  <c r="F17" i="173"/>
  <c r="E17" i="173"/>
  <c r="D17" i="173"/>
  <c r="S16" i="173"/>
  <c r="H16" i="173"/>
  <c r="V16" i="173" s="1"/>
  <c r="G16" i="173"/>
  <c r="F16" i="173"/>
  <c r="E16" i="173"/>
  <c r="D16" i="173"/>
  <c r="S15" i="173"/>
  <c r="G15" i="173"/>
  <c r="F15" i="173"/>
  <c r="E15" i="173"/>
  <c r="D15" i="173"/>
  <c r="S14" i="173"/>
  <c r="G14" i="173"/>
  <c r="F14" i="173"/>
  <c r="E14" i="173"/>
  <c r="D14" i="173"/>
  <c r="S13" i="173"/>
  <c r="G13" i="173"/>
  <c r="F13" i="173"/>
  <c r="E13" i="173"/>
  <c r="D13" i="173"/>
  <c r="S12" i="173"/>
  <c r="H12" i="173"/>
  <c r="V12" i="173" s="1"/>
  <c r="G12" i="173"/>
  <c r="F12" i="173"/>
  <c r="E12" i="173"/>
  <c r="D12" i="173"/>
  <c r="S11" i="173"/>
  <c r="H11" i="173"/>
  <c r="V11" i="173" s="1"/>
  <c r="G11" i="173"/>
  <c r="F11" i="173"/>
  <c r="E11" i="173"/>
  <c r="D11" i="173"/>
  <c r="L86" i="173"/>
  <c r="F91" i="173"/>
  <c r="G91" i="173"/>
  <c r="H203" i="173"/>
  <c r="H202" i="173"/>
  <c r="H201" i="173"/>
  <c r="H200" i="173"/>
  <c r="H199" i="173"/>
  <c r="H198" i="173"/>
  <c r="H197" i="173"/>
  <c r="L187" i="173"/>
  <c r="I187" i="173"/>
  <c r="I193" i="173" s="1"/>
  <c r="H187" i="173"/>
  <c r="H193" i="173" s="1"/>
  <c r="H191" i="173"/>
  <c r="L147" i="173"/>
  <c r="I147" i="173"/>
  <c r="I192" i="173" s="1"/>
  <c r="H147" i="173"/>
  <c r="H192" i="173" s="1"/>
  <c r="L54" i="179" l="1"/>
  <c r="L10" i="173"/>
  <c r="L12" i="2"/>
  <c r="L193" i="173"/>
  <c r="P187" i="173"/>
  <c r="K193" i="173" s="1"/>
  <c r="I200" i="173"/>
  <c r="I204" i="173"/>
  <c r="I201" i="173"/>
  <c r="I205" i="173"/>
  <c r="I202" i="173"/>
  <c r="I206" i="173"/>
  <c r="I199" i="173"/>
  <c r="I203" i="173"/>
  <c r="I198" i="173"/>
  <c r="P147" i="173"/>
  <c r="K192" i="173" s="1"/>
  <c r="L192" i="173"/>
  <c r="X69" i="173"/>
  <c r="M187" i="173"/>
  <c r="M193" i="173" s="1"/>
  <c r="M147" i="173"/>
  <c r="M192" i="173" s="1"/>
  <c r="K147" i="173"/>
  <c r="J192" i="173" s="1"/>
  <c r="K187" i="173"/>
  <c r="J193" i="173" s="1"/>
  <c r="S16" i="2"/>
  <c r="G16" i="2"/>
  <c r="F16" i="2"/>
  <c r="E16" i="2"/>
  <c r="D16" i="2"/>
  <c r="E43" i="172"/>
  <c r="C43" i="172"/>
  <c r="E42" i="172"/>
  <c r="C42" i="172"/>
  <c r="E41" i="172"/>
  <c r="C41" i="172"/>
  <c r="E40" i="172"/>
  <c r="C40" i="172"/>
  <c r="E39" i="172"/>
  <c r="C39" i="172"/>
  <c r="C38" i="172"/>
  <c r="C37" i="172"/>
  <c r="C36" i="172"/>
  <c r="C35" i="172"/>
  <c r="C34" i="172"/>
  <c r="C33" i="172"/>
  <c r="C32" i="172"/>
  <c r="C31" i="172"/>
  <c r="C29" i="172"/>
  <c r="C28" i="172"/>
  <c r="C27" i="172"/>
  <c r="C26" i="172"/>
  <c r="C25" i="172"/>
  <c r="C24" i="172"/>
  <c r="K23" i="172"/>
  <c r="H23" i="172" s="1"/>
  <c r="C23" i="172" s="1"/>
  <c r="J16" i="172"/>
  <c r="J15" i="172"/>
  <c r="F7" i="172"/>
  <c r="S13" i="2"/>
  <c r="H13" i="2"/>
  <c r="V13" i="2" s="1"/>
  <c r="G13" i="2"/>
  <c r="F13" i="2"/>
  <c r="E13" i="2"/>
  <c r="D13" i="2"/>
  <c r="S14" i="2"/>
  <c r="H14" i="2"/>
  <c r="V14" i="2" s="1"/>
  <c r="G14" i="2"/>
  <c r="F14" i="2"/>
  <c r="E14" i="2"/>
  <c r="D14" i="2"/>
  <c r="E43" i="171"/>
  <c r="C43" i="171"/>
  <c r="E42" i="171"/>
  <c r="C42" i="171"/>
  <c r="E41" i="171"/>
  <c r="C41" i="171"/>
  <c r="E40" i="171"/>
  <c r="C40" i="171"/>
  <c r="E39" i="171"/>
  <c r="C39" i="171"/>
  <c r="E38" i="171"/>
  <c r="C38" i="171"/>
  <c r="E37" i="171"/>
  <c r="C37" i="171"/>
  <c r="E36" i="171"/>
  <c r="C36" i="171"/>
  <c r="C35" i="171"/>
  <c r="C34" i="171"/>
  <c r="C33" i="171"/>
  <c r="C32" i="171"/>
  <c r="C31" i="171"/>
  <c r="C30" i="171"/>
  <c r="C29" i="171"/>
  <c r="H25" i="171"/>
  <c r="C25" i="171" s="1"/>
  <c r="H24" i="171"/>
  <c r="C24" i="171" s="1"/>
  <c r="H23" i="171"/>
  <c r="C23" i="171" s="1"/>
  <c r="J17" i="171"/>
  <c r="J16" i="171"/>
  <c r="J15" i="171"/>
  <c r="G13" i="171"/>
  <c r="F13" i="171"/>
  <c r="H12" i="171"/>
  <c r="M13" i="2" s="1"/>
  <c r="F8" i="171"/>
  <c r="H27" i="170"/>
  <c r="E43" i="170"/>
  <c r="C43" i="170"/>
  <c r="E42" i="170"/>
  <c r="C42" i="170"/>
  <c r="E41" i="170"/>
  <c r="C41" i="170"/>
  <c r="E40" i="170"/>
  <c r="C40" i="170"/>
  <c r="E39" i="170"/>
  <c r="C39" i="170"/>
  <c r="E38" i="170"/>
  <c r="C38" i="170"/>
  <c r="E37" i="170"/>
  <c r="C37" i="170"/>
  <c r="E36" i="170"/>
  <c r="C36" i="170"/>
  <c r="C35" i="170"/>
  <c r="C34" i="170"/>
  <c r="C33" i="170"/>
  <c r="C32" i="170"/>
  <c r="C31" i="170"/>
  <c r="C30" i="170"/>
  <c r="C29" i="170"/>
  <c r="H25" i="170"/>
  <c r="C25" i="170" s="1"/>
  <c r="H24" i="170"/>
  <c r="C24" i="170" s="1"/>
  <c r="C23" i="170"/>
  <c r="J17" i="170"/>
  <c r="J16" i="170"/>
  <c r="J15" i="170"/>
  <c r="G13" i="170"/>
  <c r="F13" i="170"/>
  <c r="H12" i="170"/>
  <c r="M56" i="179" s="1"/>
  <c r="F8" i="170"/>
  <c r="M569" i="179" l="1"/>
  <c r="M447" i="179"/>
  <c r="M300" i="179"/>
  <c r="M657" i="179"/>
  <c r="M195" i="179"/>
  <c r="F9" i="171"/>
  <c r="G9" i="171" s="1"/>
  <c r="I55" i="179"/>
  <c r="I11" i="173"/>
  <c r="W11" i="173" s="1"/>
  <c r="X11" i="173" s="1"/>
  <c r="I13" i="2"/>
  <c r="W13" i="2" s="1"/>
  <c r="X13" i="2" s="1"/>
  <c r="F12" i="171"/>
  <c r="F10" i="171" s="1"/>
  <c r="M55" i="179"/>
  <c r="M11" i="173"/>
  <c r="F18" i="172"/>
  <c r="J17" i="172" s="1"/>
  <c r="H418" i="179"/>
  <c r="V418" i="179" s="1"/>
  <c r="H58" i="179"/>
  <c r="V58" i="179" s="1"/>
  <c r="H374" i="173"/>
  <c r="V374" i="173" s="1"/>
  <c r="H14" i="173"/>
  <c r="V14" i="173" s="1"/>
  <c r="H16" i="2"/>
  <c r="V16" i="2" s="1"/>
  <c r="I14" i="2"/>
  <c r="W14" i="2" s="1"/>
  <c r="I56" i="179"/>
  <c r="M14" i="2"/>
  <c r="F12" i="170"/>
  <c r="F10" i="170" s="1"/>
  <c r="M12" i="173"/>
  <c r="F9" i="170"/>
  <c r="G9" i="170" s="1"/>
  <c r="K56" i="179" s="1"/>
  <c r="I12" i="173"/>
  <c r="F8" i="172"/>
  <c r="J18" i="172" s="1"/>
  <c r="F9" i="172"/>
  <c r="G9" i="172" s="1"/>
  <c r="F13" i="172"/>
  <c r="J19" i="172"/>
  <c r="G13" i="172"/>
  <c r="J12" i="172"/>
  <c r="H12" i="172"/>
  <c r="X14" i="2"/>
  <c r="J19" i="171"/>
  <c r="J18" i="171"/>
  <c r="J12" i="171"/>
  <c r="J18" i="170"/>
  <c r="J12" i="170"/>
  <c r="J19" i="170"/>
  <c r="S15" i="2"/>
  <c r="G15" i="2"/>
  <c r="F15" i="2"/>
  <c r="E15" i="2"/>
  <c r="D15" i="2"/>
  <c r="K25" i="169"/>
  <c r="K29" i="169"/>
  <c r="K23" i="169"/>
  <c r="E43" i="169"/>
  <c r="C43" i="169"/>
  <c r="E42" i="169"/>
  <c r="C42" i="169"/>
  <c r="E41" i="169"/>
  <c r="C41" i="169"/>
  <c r="E40" i="169"/>
  <c r="C40" i="169"/>
  <c r="E39" i="169"/>
  <c r="C39" i="169"/>
  <c r="C38" i="169"/>
  <c r="C37" i="169"/>
  <c r="C36" i="169"/>
  <c r="C35" i="169"/>
  <c r="C34" i="169"/>
  <c r="C33" i="169"/>
  <c r="C32" i="169"/>
  <c r="C31" i="169"/>
  <c r="K28" i="169"/>
  <c r="K27" i="169"/>
  <c r="K26" i="169"/>
  <c r="K24" i="169"/>
  <c r="J16" i="169"/>
  <c r="J15" i="169"/>
  <c r="F7" i="169"/>
  <c r="J13" i="171" l="1"/>
  <c r="F12" i="172"/>
  <c r="F10" i="172" s="1"/>
  <c r="M418" i="179"/>
  <c r="M58" i="179"/>
  <c r="M374" i="173"/>
  <c r="M14" i="173"/>
  <c r="M16" i="2"/>
  <c r="W55" i="179"/>
  <c r="X55" i="179" s="1"/>
  <c r="H57" i="179"/>
  <c r="H13" i="173"/>
  <c r="I613" i="173"/>
  <c r="I622" i="173" s="1"/>
  <c r="I525" i="173"/>
  <c r="I9" i="171"/>
  <c r="K55" i="179"/>
  <c r="K11" i="173"/>
  <c r="K13" i="2"/>
  <c r="K569" i="179"/>
  <c r="K300" i="179"/>
  <c r="K657" i="179"/>
  <c r="K447" i="179"/>
  <c r="K195" i="179"/>
  <c r="H15" i="2"/>
  <c r="V15" i="2" s="1"/>
  <c r="I9" i="172"/>
  <c r="K418" i="179"/>
  <c r="K58" i="179"/>
  <c r="K374" i="173"/>
  <c r="K14" i="173"/>
  <c r="K16" i="2"/>
  <c r="I418" i="179"/>
  <c r="W418" i="179" s="1"/>
  <c r="X418" i="179" s="1"/>
  <c r="I58" i="179"/>
  <c r="W58" i="179" s="1"/>
  <c r="X58" i="179" s="1"/>
  <c r="I374" i="173"/>
  <c r="W374" i="173" s="1"/>
  <c r="X374" i="173" s="1"/>
  <c r="I14" i="173"/>
  <c r="W14" i="173" s="1"/>
  <c r="X14" i="173" s="1"/>
  <c r="I16" i="2"/>
  <c r="W16" i="2" s="1"/>
  <c r="X16" i="2" s="1"/>
  <c r="M613" i="173"/>
  <c r="M525" i="173"/>
  <c r="I300" i="179"/>
  <c r="I331" i="179" s="1"/>
  <c r="I569" i="179"/>
  <c r="I657" i="179"/>
  <c r="I666" i="179" s="1"/>
  <c r="I195" i="179"/>
  <c r="I219" i="179" s="1"/>
  <c r="I447" i="179"/>
  <c r="W56" i="179"/>
  <c r="X56" i="179" s="1"/>
  <c r="M256" i="173"/>
  <c r="M403" i="173"/>
  <c r="M151" i="173"/>
  <c r="I151" i="173"/>
  <c r="I175" i="173" s="1"/>
  <c r="I403" i="173"/>
  <c r="I256" i="173"/>
  <c r="I287" i="173" s="1"/>
  <c r="J13" i="170"/>
  <c r="F11" i="170" s="1"/>
  <c r="L56" i="179" s="1"/>
  <c r="W12" i="173"/>
  <c r="X12" i="173" s="1"/>
  <c r="I9" i="170"/>
  <c r="K12" i="173"/>
  <c r="K14" i="2"/>
  <c r="J13" i="172"/>
  <c r="F11" i="172" s="1"/>
  <c r="F11" i="171"/>
  <c r="H26" i="169"/>
  <c r="C26" i="169" s="1"/>
  <c r="G13" i="169"/>
  <c r="H24" i="169"/>
  <c r="C24" i="169" s="1"/>
  <c r="F8" i="169"/>
  <c r="H27" i="169"/>
  <c r="C27" i="169" s="1"/>
  <c r="H29" i="169"/>
  <c r="C29" i="169" s="1"/>
  <c r="H23" i="169"/>
  <c r="C23" i="169" s="1"/>
  <c r="H28" i="169"/>
  <c r="C28" i="169" s="1"/>
  <c r="H12" i="169"/>
  <c r="F18" i="169"/>
  <c r="J17" i="169" s="1"/>
  <c r="F13" i="169"/>
  <c r="H25" i="169"/>
  <c r="C25" i="169" s="1"/>
  <c r="S17" i="2"/>
  <c r="G17" i="2"/>
  <c r="F17" i="2"/>
  <c r="E17" i="2"/>
  <c r="D17" i="2"/>
  <c r="F7" i="168"/>
  <c r="E43" i="168"/>
  <c r="C43" i="168"/>
  <c r="E42" i="168"/>
  <c r="C42" i="168"/>
  <c r="E41" i="168"/>
  <c r="C41" i="168"/>
  <c r="E40" i="168"/>
  <c r="C40" i="168"/>
  <c r="E39" i="168"/>
  <c r="C39" i="168"/>
  <c r="E38" i="168"/>
  <c r="C38" i="168"/>
  <c r="E37" i="168"/>
  <c r="C37" i="168"/>
  <c r="E36" i="168"/>
  <c r="C36" i="168"/>
  <c r="E35" i="168"/>
  <c r="C35" i="168"/>
  <c r="E34" i="168"/>
  <c r="C34" i="168"/>
  <c r="E33" i="168"/>
  <c r="C33" i="168"/>
  <c r="E32" i="168"/>
  <c r="C32" i="168"/>
  <c r="E31" i="168"/>
  <c r="C31" i="168"/>
  <c r="E30" i="168"/>
  <c r="C30" i="168"/>
  <c r="O26" i="168"/>
  <c r="M26" i="168"/>
  <c r="O25" i="168"/>
  <c r="M25" i="168"/>
  <c r="O24" i="168"/>
  <c r="M24" i="168"/>
  <c r="O23" i="168"/>
  <c r="M23" i="168"/>
  <c r="J17" i="168"/>
  <c r="J16" i="168"/>
  <c r="J15" i="168"/>
  <c r="O11" i="168"/>
  <c r="O10" i="168"/>
  <c r="S18" i="2"/>
  <c r="H18" i="2"/>
  <c r="V18" i="2" s="1"/>
  <c r="G18" i="2"/>
  <c r="F18" i="2"/>
  <c r="E18" i="2"/>
  <c r="D18" i="2"/>
  <c r="E43" i="167"/>
  <c r="C43" i="167"/>
  <c r="E42" i="167"/>
  <c r="C42" i="167"/>
  <c r="E41" i="167"/>
  <c r="C41" i="167"/>
  <c r="E40" i="167"/>
  <c r="C40" i="167"/>
  <c r="E39" i="167"/>
  <c r="C39" i="167"/>
  <c r="E38" i="167"/>
  <c r="C38" i="167"/>
  <c r="E37" i="167"/>
  <c r="C37" i="167"/>
  <c r="E36" i="167"/>
  <c r="C36" i="167"/>
  <c r="C35" i="167"/>
  <c r="C34" i="167"/>
  <c r="C33" i="167"/>
  <c r="C32" i="167"/>
  <c r="C31" i="167"/>
  <c r="C30" i="167"/>
  <c r="C29" i="167"/>
  <c r="H26" i="167"/>
  <c r="H25" i="167"/>
  <c r="C25" i="167" s="1"/>
  <c r="H24" i="167"/>
  <c r="C24" i="167" s="1"/>
  <c r="H23" i="167"/>
  <c r="C23" i="167" s="1"/>
  <c r="J17" i="167"/>
  <c r="J16" i="167"/>
  <c r="J15" i="167"/>
  <c r="G13" i="167"/>
  <c r="F13" i="167"/>
  <c r="H12" i="167"/>
  <c r="F8" i="167"/>
  <c r="F9" i="167" l="1"/>
  <c r="G9" i="167" s="1"/>
  <c r="I60" i="179"/>
  <c r="W60" i="179" s="1"/>
  <c r="X60" i="179" s="1"/>
  <c r="I16" i="173"/>
  <c r="W16" i="173" s="1"/>
  <c r="X16" i="173" s="1"/>
  <c r="F12" i="167"/>
  <c r="F10" i="167" s="1"/>
  <c r="M60" i="179"/>
  <c r="M16" i="173"/>
  <c r="I18" i="2"/>
  <c r="W18" i="2" s="1"/>
  <c r="X18" i="2" s="1"/>
  <c r="F12" i="169"/>
  <c r="J13" i="169" s="1"/>
  <c r="M57" i="179"/>
  <c r="M13" i="173"/>
  <c r="M15" i="2"/>
  <c r="K666" i="179"/>
  <c r="H675" i="179"/>
  <c r="H673" i="179"/>
  <c r="L418" i="179"/>
  <c r="L58" i="179"/>
  <c r="L374" i="173"/>
  <c r="L14" i="173"/>
  <c r="L16" i="2"/>
  <c r="K622" i="173"/>
  <c r="H629" i="173"/>
  <c r="H631" i="173"/>
  <c r="H59" i="179"/>
  <c r="V59" i="179" s="1"/>
  <c r="H15" i="173"/>
  <c r="V15" i="173" s="1"/>
  <c r="L447" i="179"/>
  <c r="G509" i="179" s="1"/>
  <c r="F509" i="179" s="1"/>
  <c r="L657" i="179"/>
  <c r="L666" i="179" s="1"/>
  <c r="L300" i="179"/>
  <c r="L331" i="179" s="1"/>
  <c r="L195" i="179"/>
  <c r="L219" i="179" s="1"/>
  <c r="L569" i="179"/>
  <c r="K331" i="179"/>
  <c r="H340" i="179"/>
  <c r="H338" i="179"/>
  <c r="V13" i="173"/>
  <c r="J12" i="169"/>
  <c r="I57" i="179"/>
  <c r="I13" i="173"/>
  <c r="I15" i="2"/>
  <c r="W15" i="2" s="1"/>
  <c r="X15" i="2" s="1"/>
  <c r="M18" i="2"/>
  <c r="H17" i="2"/>
  <c r="V17" i="2" s="1"/>
  <c r="L55" i="179"/>
  <c r="L11" i="173"/>
  <c r="L13" i="2"/>
  <c r="K525" i="173"/>
  <c r="K613" i="173"/>
  <c r="K219" i="179"/>
  <c r="J235" i="179" s="1"/>
  <c r="I235" i="179"/>
  <c r="V57" i="179"/>
  <c r="K256" i="173"/>
  <c r="K151" i="173"/>
  <c r="K403" i="173"/>
  <c r="H296" i="173"/>
  <c r="K287" i="173"/>
  <c r="H294" i="173"/>
  <c r="K175" i="173"/>
  <c r="J191" i="173" s="1"/>
  <c r="I191" i="173"/>
  <c r="L12" i="173"/>
  <c r="L14" i="2"/>
  <c r="F9" i="169"/>
  <c r="G9" i="169" s="1"/>
  <c r="J19" i="169"/>
  <c r="J18" i="169"/>
  <c r="H23" i="168"/>
  <c r="C23" i="168" s="1"/>
  <c r="H25" i="168"/>
  <c r="C25" i="168" s="1"/>
  <c r="C27" i="168"/>
  <c r="H24" i="168"/>
  <c r="C24" i="168" s="1"/>
  <c r="H26" i="168"/>
  <c r="C26" i="168" s="1"/>
  <c r="F8" i="168"/>
  <c r="F13" i="168"/>
  <c r="H12" i="168"/>
  <c r="G13" i="168"/>
  <c r="J18" i="167"/>
  <c r="J13" i="167"/>
  <c r="J12" i="167"/>
  <c r="J19" i="167"/>
  <c r="S19" i="2"/>
  <c r="G19" i="2"/>
  <c r="F19" i="2"/>
  <c r="E19" i="2"/>
  <c r="D19" i="2"/>
  <c r="K26" i="166"/>
  <c r="K27" i="166"/>
  <c r="K28" i="166"/>
  <c r="K29" i="166"/>
  <c r="K30" i="166"/>
  <c r="E43" i="166"/>
  <c r="C43" i="166"/>
  <c r="E42" i="166"/>
  <c r="C42" i="166"/>
  <c r="E41" i="166"/>
  <c r="C41" i="166"/>
  <c r="E40" i="166"/>
  <c r="C40" i="166"/>
  <c r="E39" i="166"/>
  <c r="C39" i="166"/>
  <c r="C38" i="166"/>
  <c r="C37" i="166"/>
  <c r="C36" i="166"/>
  <c r="C35" i="166"/>
  <c r="C34" i="166"/>
  <c r="C33" i="166"/>
  <c r="C32" i="166"/>
  <c r="C31" i="166"/>
  <c r="K25" i="166"/>
  <c r="K24" i="166"/>
  <c r="K23" i="166"/>
  <c r="J16" i="166"/>
  <c r="J15" i="166"/>
  <c r="F7" i="166"/>
  <c r="F10" i="169" l="1"/>
  <c r="F11" i="169"/>
  <c r="L57" i="179"/>
  <c r="L13" i="173"/>
  <c r="L15" i="2"/>
  <c r="H334" i="179"/>
  <c r="M331" i="179"/>
  <c r="H339" i="179" s="1"/>
  <c r="P331" i="179"/>
  <c r="H342" i="179" s="1"/>
  <c r="F12" i="168"/>
  <c r="J13" i="168" s="1"/>
  <c r="M59" i="179"/>
  <c r="M15" i="173"/>
  <c r="M17" i="2"/>
  <c r="L613" i="173"/>
  <c r="L622" i="173" s="1"/>
  <c r="L525" i="173"/>
  <c r="W57" i="179"/>
  <c r="X57" i="179" s="1"/>
  <c r="M219" i="179"/>
  <c r="M235" i="179" s="1"/>
  <c r="P219" i="179"/>
  <c r="K235" i="179" s="1"/>
  <c r="L235" i="179"/>
  <c r="H61" i="179"/>
  <c r="V61" i="179" s="1"/>
  <c r="H17" i="173"/>
  <c r="I59" i="179"/>
  <c r="W59" i="179" s="1"/>
  <c r="X59" i="179" s="1"/>
  <c r="I15" i="173"/>
  <c r="W15" i="173" s="1"/>
  <c r="X15" i="173" s="1"/>
  <c r="I17" i="2"/>
  <c r="W17" i="2" s="1"/>
  <c r="X17" i="2" s="1"/>
  <c r="I9" i="169"/>
  <c r="K57" i="179"/>
  <c r="K13" i="173"/>
  <c r="K15" i="2"/>
  <c r="H669" i="179"/>
  <c r="P666" i="179"/>
  <c r="M666" i="179"/>
  <c r="H674" i="179" s="1"/>
  <c r="H19" i="2"/>
  <c r="V19" i="2" s="1"/>
  <c r="W13" i="173"/>
  <c r="X13" i="173" s="1"/>
  <c r="I9" i="167"/>
  <c r="K60" i="179"/>
  <c r="K16" i="173"/>
  <c r="K18" i="2"/>
  <c r="L403" i="173"/>
  <c r="G465" i="173" s="1"/>
  <c r="F465" i="173" s="1"/>
  <c r="L151" i="173"/>
  <c r="L175" i="173" s="1"/>
  <c r="L256" i="173"/>
  <c r="L287" i="173" s="1"/>
  <c r="O12" i="168"/>
  <c r="J19" i="168"/>
  <c r="J18" i="168"/>
  <c r="J12" i="168"/>
  <c r="F11" i="168" s="1"/>
  <c r="F9" i="168"/>
  <c r="G9" i="168" s="1"/>
  <c r="F11" i="167"/>
  <c r="H23" i="166"/>
  <c r="C23" i="166" s="1"/>
  <c r="H28" i="166"/>
  <c r="C28" i="166" s="1"/>
  <c r="F13" i="166"/>
  <c r="H27" i="166"/>
  <c r="C27" i="166" s="1"/>
  <c r="H30" i="166"/>
  <c r="C30" i="166" s="1"/>
  <c r="H26" i="166"/>
  <c r="C26" i="166" s="1"/>
  <c r="H29" i="166"/>
  <c r="C29" i="166" s="1"/>
  <c r="H12" i="166"/>
  <c r="G13" i="166"/>
  <c r="H25" i="166"/>
  <c r="C25" i="166" s="1"/>
  <c r="F8" i="166"/>
  <c r="H24" i="166"/>
  <c r="C24" i="166" s="1"/>
  <c r="F18" i="166"/>
  <c r="J17" i="166" s="1"/>
  <c r="S20" i="2"/>
  <c r="G20" i="2"/>
  <c r="F20" i="2"/>
  <c r="E20" i="2"/>
  <c r="D20" i="2"/>
  <c r="E43" i="164"/>
  <c r="C43" i="164"/>
  <c r="E42" i="164"/>
  <c r="C42" i="164"/>
  <c r="E41" i="164"/>
  <c r="C41" i="164"/>
  <c r="E40" i="164"/>
  <c r="C40" i="164"/>
  <c r="E39" i="164"/>
  <c r="C39" i="164"/>
  <c r="C38" i="164"/>
  <c r="C37" i="164"/>
  <c r="C36" i="164"/>
  <c r="C35" i="164"/>
  <c r="C34" i="164"/>
  <c r="C33" i="164"/>
  <c r="C32" i="164"/>
  <c r="K25" i="164"/>
  <c r="K24" i="164"/>
  <c r="K23" i="164"/>
  <c r="J16" i="164"/>
  <c r="J15" i="164"/>
  <c r="F7" i="164"/>
  <c r="H20" i="2" s="1"/>
  <c r="V20" i="2" s="1"/>
  <c r="S21" i="2"/>
  <c r="H21" i="2"/>
  <c r="V21" i="2" s="1"/>
  <c r="G21" i="2"/>
  <c r="F21" i="2"/>
  <c r="E21" i="2"/>
  <c r="D21" i="2"/>
  <c r="H25" i="163"/>
  <c r="C25" i="163" s="1"/>
  <c r="E43" i="163"/>
  <c r="C43" i="163"/>
  <c r="E42" i="163"/>
  <c r="C42" i="163"/>
  <c r="E41" i="163"/>
  <c r="C41" i="163"/>
  <c r="E40" i="163"/>
  <c r="C40" i="163"/>
  <c r="E39" i="163"/>
  <c r="C39" i="163"/>
  <c r="E38" i="163"/>
  <c r="C38" i="163"/>
  <c r="E37" i="163"/>
  <c r="C37" i="163"/>
  <c r="E36" i="163"/>
  <c r="C36" i="163"/>
  <c r="C35" i="163"/>
  <c r="C34" i="163"/>
  <c r="C33" i="163"/>
  <c r="C32" i="163"/>
  <c r="C31" i="163"/>
  <c r="C30" i="163"/>
  <c r="C29" i="163"/>
  <c r="H27" i="163"/>
  <c r="H26" i="163"/>
  <c r="H24" i="163"/>
  <c r="C24" i="163" s="1"/>
  <c r="H23" i="163"/>
  <c r="C23" i="163" s="1"/>
  <c r="J17" i="163"/>
  <c r="J16" i="163"/>
  <c r="J15" i="163"/>
  <c r="G13" i="163"/>
  <c r="F13" i="163"/>
  <c r="H12" i="163"/>
  <c r="M21" i="2" s="1"/>
  <c r="F8" i="163"/>
  <c r="H23" i="164" l="1"/>
  <c r="C23" i="164" s="1"/>
  <c r="L59" i="179"/>
  <c r="L15" i="173"/>
  <c r="L17" i="2"/>
  <c r="H12" i="164"/>
  <c r="H25" i="164"/>
  <c r="C25" i="164" s="1"/>
  <c r="I61" i="179"/>
  <c r="W61" i="179" s="1"/>
  <c r="I17" i="173"/>
  <c r="I9" i="168"/>
  <c r="K59" i="179"/>
  <c r="K15" i="173"/>
  <c r="K17" i="2"/>
  <c r="F10" i="168"/>
  <c r="H349" i="179"/>
  <c r="H347" i="179"/>
  <c r="H335" i="179"/>
  <c r="H343" i="179" s="1"/>
  <c r="J19" i="163"/>
  <c r="I63" i="179"/>
  <c r="W63" i="179" s="1"/>
  <c r="X63" i="179" s="1"/>
  <c r="I19" i="173"/>
  <c r="W19" i="173" s="1"/>
  <c r="X19" i="173" s="1"/>
  <c r="I21" i="2"/>
  <c r="W21" i="2" s="1"/>
  <c r="X21" i="2" s="1"/>
  <c r="H625" i="173"/>
  <c r="M622" i="173"/>
  <c r="H630" i="173" s="1"/>
  <c r="P622" i="173"/>
  <c r="F12" i="163"/>
  <c r="F10" i="163" s="1"/>
  <c r="M63" i="179"/>
  <c r="M19" i="173"/>
  <c r="H62" i="179"/>
  <c r="H18" i="173"/>
  <c r="V18" i="173" s="1"/>
  <c r="R620" i="179"/>
  <c r="H670" i="179"/>
  <c r="H678" i="179" s="1"/>
  <c r="H677" i="179"/>
  <c r="H682" i="179"/>
  <c r="V17" i="173"/>
  <c r="F8" i="164"/>
  <c r="J19" i="164" s="1"/>
  <c r="M61" i="179"/>
  <c r="M17" i="173"/>
  <c r="L60" i="179"/>
  <c r="L16" i="173"/>
  <c r="L18" i="2"/>
  <c r="X61" i="179"/>
  <c r="H290" i="173"/>
  <c r="P287" i="173"/>
  <c r="H298" i="173" s="1"/>
  <c r="M287" i="173"/>
  <c r="H295" i="173" s="1"/>
  <c r="L191" i="173"/>
  <c r="P175" i="173"/>
  <c r="K191" i="173" s="1"/>
  <c r="M175" i="173"/>
  <c r="M191" i="173" s="1"/>
  <c r="F12" i="166"/>
  <c r="J13" i="166" s="1"/>
  <c r="M19" i="2"/>
  <c r="J19" i="166"/>
  <c r="I19" i="2"/>
  <c r="W19" i="2" s="1"/>
  <c r="X19" i="2" s="1"/>
  <c r="J12" i="166"/>
  <c r="F9" i="166"/>
  <c r="G9" i="166" s="1"/>
  <c r="J18" i="166"/>
  <c r="C31" i="164"/>
  <c r="C28" i="164"/>
  <c r="F18" i="164"/>
  <c r="J17" i="164" s="1"/>
  <c r="C27" i="164"/>
  <c r="F13" i="164"/>
  <c r="C29" i="164"/>
  <c r="G13" i="164"/>
  <c r="H24" i="164"/>
  <c r="C24" i="164" s="1"/>
  <c r="C26" i="164"/>
  <c r="C30" i="164"/>
  <c r="F9" i="163"/>
  <c r="G9" i="163" s="1"/>
  <c r="J18" i="163"/>
  <c r="J12" i="163"/>
  <c r="S22" i="2"/>
  <c r="H22" i="2"/>
  <c r="V22" i="2" s="1"/>
  <c r="G22" i="2"/>
  <c r="F22" i="2"/>
  <c r="E22" i="2"/>
  <c r="D22" i="2"/>
  <c r="H25" i="162"/>
  <c r="C25" i="162" s="1"/>
  <c r="H26" i="162"/>
  <c r="H27" i="162"/>
  <c r="H28" i="162"/>
  <c r="E43" i="162"/>
  <c r="C43" i="162"/>
  <c r="E42" i="162"/>
  <c r="C42" i="162"/>
  <c r="E41" i="162"/>
  <c r="C41" i="162"/>
  <c r="E40" i="162"/>
  <c r="C40" i="162"/>
  <c r="E39" i="162"/>
  <c r="C39" i="162"/>
  <c r="E38" i="162"/>
  <c r="C38" i="162"/>
  <c r="E37" i="162"/>
  <c r="C37" i="162"/>
  <c r="E36" i="162"/>
  <c r="C36" i="162"/>
  <c r="C35" i="162"/>
  <c r="C34" i="162"/>
  <c r="C33" i="162"/>
  <c r="C32" i="162"/>
  <c r="C31" i="162"/>
  <c r="C30" i="162"/>
  <c r="C29" i="162"/>
  <c r="H24" i="162"/>
  <c r="C24" i="162" s="1"/>
  <c r="H23" i="162"/>
  <c r="C23" i="162" s="1"/>
  <c r="J17" i="162"/>
  <c r="J16" i="162"/>
  <c r="J15" i="162"/>
  <c r="G13" i="162"/>
  <c r="F13" i="162"/>
  <c r="H12" i="162"/>
  <c r="M22" i="2" s="1"/>
  <c r="F8" i="162"/>
  <c r="I22" i="2" s="1"/>
  <c r="W22" i="2" s="1"/>
  <c r="F11" i="166" l="1"/>
  <c r="F10" i="166"/>
  <c r="J13" i="163"/>
  <c r="J12" i="164"/>
  <c r="I62" i="179"/>
  <c r="I18" i="173"/>
  <c r="W18" i="173" s="1"/>
  <c r="X18" i="173" s="1"/>
  <c r="I20" i="2"/>
  <c r="W20" i="2" s="1"/>
  <c r="X20" i="2" s="1"/>
  <c r="L19" i="2"/>
  <c r="L61" i="179"/>
  <c r="L17" i="173"/>
  <c r="H633" i="173"/>
  <c r="H638" i="173"/>
  <c r="H626" i="173"/>
  <c r="H634" i="173" s="1"/>
  <c r="R576" i="173"/>
  <c r="F12" i="164"/>
  <c r="M62" i="179"/>
  <c r="M18" i="173"/>
  <c r="M20" i="2"/>
  <c r="F12" i="162"/>
  <c r="J13" i="162" s="1"/>
  <c r="M64" i="179"/>
  <c r="M20" i="173"/>
  <c r="I9" i="163"/>
  <c r="K63" i="179"/>
  <c r="K19" i="173"/>
  <c r="K21" i="2"/>
  <c r="V62" i="179"/>
  <c r="J18" i="162"/>
  <c r="I64" i="179"/>
  <c r="W64" i="179" s="1"/>
  <c r="X64" i="179" s="1"/>
  <c r="I20" i="173"/>
  <c r="W20" i="173" s="1"/>
  <c r="X20" i="173" s="1"/>
  <c r="W17" i="173"/>
  <c r="X17" i="173" s="1"/>
  <c r="F9" i="164"/>
  <c r="G9" i="164" s="1"/>
  <c r="K61" i="179"/>
  <c r="K17" i="173"/>
  <c r="H305" i="173"/>
  <c r="H303" i="173"/>
  <c r="H291" i="173"/>
  <c r="H299" i="173" s="1"/>
  <c r="I9" i="166"/>
  <c r="K19" i="2"/>
  <c r="J18" i="164"/>
  <c r="F11" i="163"/>
  <c r="X22" i="2"/>
  <c r="J12" i="162"/>
  <c r="F11" i="162" s="1"/>
  <c r="J19" i="162"/>
  <c r="F9" i="162"/>
  <c r="G9" i="162" s="1"/>
  <c r="K26" i="161"/>
  <c r="K28" i="161"/>
  <c r="S23" i="2"/>
  <c r="G23" i="2"/>
  <c r="F23" i="2"/>
  <c r="E23" i="2"/>
  <c r="D23" i="2"/>
  <c r="K31" i="161"/>
  <c r="K30" i="161"/>
  <c r="K29" i="161"/>
  <c r="K27" i="161"/>
  <c r="E43" i="161"/>
  <c r="C43" i="161"/>
  <c r="E42" i="161"/>
  <c r="C42" i="161"/>
  <c r="E41" i="161"/>
  <c r="C41" i="161"/>
  <c r="E40" i="161"/>
  <c r="C40" i="161"/>
  <c r="E39" i="161"/>
  <c r="C39" i="161"/>
  <c r="C38" i="161"/>
  <c r="C37" i="161"/>
  <c r="C36" i="161"/>
  <c r="C35" i="161"/>
  <c r="C34" i="161"/>
  <c r="C33" i="161"/>
  <c r="C32" i="161"/>
  <c r="K25" i="161"/>
  <c r="K24" i="161"/>
  <c r="K23" i="161"/>
  <c r="J16" i="161"/>
  <c r="J15" i="161"/>
  <c r="F7" i="161"/>
  <c r="S24" i="2"/>
  <c r="H24" i="2"/>
  <c r="V24" i="2" s="1"/>
  <c r="G24" i="2"/>
  <c r="F24" i="2"/>
  <c r="E24" i="2"/>
  <c r="D24" i="2"/>
  <c r="E43" i="160"/>
  <c r="C43" i="160"/>
  <c r="E42" i="160"/>
  <c r="C42" i="160"/>
  <c r="E41" i="160"/>
  <c r="C41" i="160"/>
  <c r="E40" i="160"/>
  <c r="C40" i="160"/>
  <c r="E39" i="160"/>
  <c r="C39" i="160"/>
  <c r="E38" i="160"/>
  <c r="C38" i="160"/>
  <c r="E37" i="160"/>
  <c r="C37" i="160"/>
  <c r="E36" i="160"/>
  <c r="C36" i="160"/>
  <c r="C35" i="160"/>
  <c r="C34" i="160"/>
  <c r="C33" i="160"/>
  <c r="C32" i="160"/>
  <c r="C31" i="160"/>
  <c r="C30" i="160"/>
  <c r="C29" i="160"/>
  <c r="C25" i="160"/>
  <c r="H24" i="160"/>
  <c r="C24" i="160" s="1"/>
  <c r="H23" i="160"/>
  <c r="C23" i="160" s="1"/>
  <c r="J17" i="160"/>
  <c r="J16" i="160"/>
  <c r="J15" i="160"/>
  <c r="G13" i="160"/>
  <c r="F13" i="160"/>
  <c r="H12" i="160"/>
  <c r="M24" i="2" s="1"/>
  <c r="F8" i="160"/>
  <c r="I24" i="2" s="1"/>
  <c r="W24" i="2" s="1"/>
  <c r="H31" i="161" l="1"/>
  <c r="C31" i="161" s="1"/>
  <c r="F10" i="162"/>
  <c r="H27" i="161"/>
  <c r="C27" i="161" s="1"/>
  <c r="L64" i="179"/>
  <c r="L20" i="173"/>
  <c r="L22" i="2"/>
  <c r="H29" i="161"/>
  <c r="C29" i="161" s="1"/>
  <c r="L63" i="179"/>
  <c r="L19" i="173"/>
  <c r="L21" i="2"/>
  <c r="J18" i="160"/>
  <c r="I66" i="179"/>
  <c r="W66" i="179" s="1"/>
  <c r="X66" i="179" s="1"/>
  <c r="I22" i="173"/>
  <c r="W22" i="173" s="1"/>
  <c r="X22" i="173" s="1"/>
  <c r="H65" i="179"/>
  <c r="H21" i="173"/>
  <c r="H30" i="161"/>
  <c r="C30" i="161" s="1"/>
  <c r="I9" i="164"/>
  <c r="K62" i="179"/>
  <c r="K18" i="173"/>
  <c r="K20" i="2"/>
  <c r="W62" i="179"/>
  <c r="F12" i="160"/>
  <c r="J13" i="160" s="1"/>
  <c r="M66" i="179"/>
  <c r="M22" i="173"/>
  <c r="H23" i="2"/>
  <c r="V23" i="2" s="1"/>
  <c r="I9" i="162"/>
  <c r="K64" i="179"/>
  <c r="K20" i="173"/>
  <c r="K22" i="2"/>
  <c r="X62" i="179"/>
  <c r="J13" i="164"/>
  <c r="F11" i="164" s="1"/>
  <c r="F10" i="164"/>
  <c r="H28" i="161"/>
  <c r="C28" i="161" s="1"/>
  <c r="F8" i="161"/>
  <c r="H12" i="161"/>
  <c r="H23" i="161"/>
  <c r="C23" i="161" s="1"/>
  <c r="F13" i="161"/>
  <c r="H24" i="161"/>
  <c r="C24" i="161" s="1"/>
  <c r="H25" i="161"/>
  <c r="C25" i="161" s="1"/>
  <c r="H26" i="161"/>
  <c r="C26" i="161" s="1"/>
  <c r="F18" i="161"/>
  <c r="J17" i="161" s="1"/>
  <c r="G13" i="161"/>
  <c r="X24" i="2"/>
  <c r="F10" i="160"/>
  <c r="J12" i="160"/>
  <c r="J19" i="160"/>
  <c r="F9" i="160"/>
  <c r="G9" i="160" s="1"/>
  <c r="S25" i="2"/>
  <c r="H25" i="2"/>
  <c r="V25" i="2" s="1"/>
  <c r="G25" i="2"/>
  <c r="F25" i="2"/>
  <c r="E25" i="2"/>
  <c r="D25" i="2"/>
  <c r="H28" i="159"/>
  <c r="H27" i="159"/>
  <c r="E43" i="159"/>
  <c r="C43" i="159"/>
  <c r="E42" i="159"/>
  <c r="C42" i="159"/>
  <c r="E41" i="159"/>
  <c r="C41" i="159"/>
  <c r="E40" i="159"/>
  <c r="C40" i="159"/>
  <c r="E39" i="159"/>
  <c r="C39" i="159"/>
  <c r="E38" i="159"/>
  <c r="C38" i="159"/>
  <c r="E37" i="159"/>
  <c r="C37" i="159"/>
  <c r="E36" i="159"/>
  <c r="C36" i="159"/>
  <c r="C35" i="159"/>
  <c r="C34" i="159"/>
  <c r="C33" i="159"/>
  <c r="C32" i="159"/>
  <c r="C31" i="159"/>
  <c r="C30" i="159"/>
  <c r="C29" i="159"/>
  <c r="H26" i="159"/>
  <c r="H25" i="159"/>
  <c r="C25" i="159" s="1"/>
  <c r="H24" i="159"/>
  <c r="C24" i="159" s="1"/>
  <c r="H23" i="159"/>
  <c r="C23" i="159" s="1"/>
  <c r="J17" i="159"/>
  <c r="J16" i="159"/>
  <c r="J15" i="159"/>
  <c r="G13" i="159"/>
  <c r="F13" i="159"/>
  <c r="H12" i="159"/>
  <c r="M25" i="2" s="1"/>
  <c r="F8" i="159"/>
  <c r="I25" i="2" s="1"/>
  <c r="W25" i="2" s="1"/>
  <c r="J19" i="159" l="1"/>
  <c r="I67" i="179"/>
  <c r="W67" i="179" s="1"/>
  <c r="X67" i="179" s="1"/>
  <c r="I7" i="2"/>
  <c r="W7" i="2" s="1"/>
  <c r="X7" i="2" s="1"/>
  <c r="I23" i="173"/>
  <c r="W23" i="173" s="1"/>
  <c r="X23" i="173" s="1"/>
  <c r="I65" i="179"/>
  <c r="W65" i="179" s="1"/>
  <c r="I21" i="173"/>
  <c r="F12" i="159"/>
  <c r="J13" i="159" s="1"/>
  <c r="M67" i="179"/>
  <c r="M7" i="2"/>
  <c r="M23" i="173"/>
  <c r="I9" i="160"/>
  <c r="K66" i="179"/>
  <c r="K22" i="173"/>
  <c r="K24" i="2"/>
  <c r="L62" i="179"/>
  <c r="L18" i="173"/>
  <c r="L20" i="2"/>
  <c r="V21" i="173"/>
  <c r="M65" i="179"/>
  <c r="M21" i="173"/>
  <c r="V65" i="179"/>
  <c r="X65" i="179" s="1"/>
  <c r="J19" i="161"/>
  <c r="I23" i="2"/>
  <c r="W23" i="2" s="1"/>
  <c r="X23" i="2" s="1"/>
  <c r="F12" i="161"/>
  <c r="M23" i="2"/>
  <c r="J18" i="161"/>
  <c r="F9" i="161"/>
  <c r="G9" i="161" s="1"/>
  <c r="J12" i="161"/>
  <c r="F11" i="160"/>
  <c r="X25" i="2"/>
  <c r="J18" i="159"/>
  <c r="F9" i="159"/>
  <c r="G9" i="159" s="1"/>
  <c r="J12" i="159"/>
  <c r="S27" i="2"/>
  <c r="H27" i="2"/>
  <c r="V27" i="2" s="1"/>
  <c r="G27" i="2"/>
  <c r="F27" i="2"/>
  <c r="E27" i="2"/>
  <c r="D27" i="2"/>
  <c r="E43" i="158"/>
  <c r="C43" i="158"/>
  <c r="E42" i="158"/>
  <c r="C42" i="158"/>
  <c r="E41" i="158"/>
  <c r="C41" i="158"/>
  <c r="E40" i="158"/>
  <c r="C40" i="158"/>
  <c r="E39" i="158"/>
  <c r="C39" i="158"/>
  <c r="E38" i="158"/>
  <c r="C38" i="158"/>
  <c r="E37" i="158"/>
  <c r="C37" i="158"/>
  <c r="E36" i="158"/>
  <c r="C36" i="158"/>
  <c r="C35" i="158"/>
  <c r="C34" i="158"/>
  <c r="C33" i="158"/>
  <c r="C32" i="158"/>
  <c r="C31" i="158"/>
  <c r="C30" i="158"/>
  <c r="C29" i="158"/>
  <c r="H26" i="158"/>
  <c r="H25" i="158"/>
  <c r="C25" i="158" s="1"/>
  <c r="H24" i="158"/>
  <c r="C24" i="158" s="1"/>
  <c r="H23" i="158"/>
  <c r="C23" i="158" s="1"/>
  <c r="J17" i="158"/>
  <c r="J16" i="158"/>
  <c r="J15" i="158"/>
  <c r="G13" i="158"/>
  <c r="F13" i="158"/>
  <c r="H12" i="158"/>
  <c r="M27" i="2" s="1"/>
  <c r="F8" i="158"/>
  <c r="I27" i="2" s="1"/>
  <c r="W27" i="2" s="1"/>
  <c r="F10" i="159" l="1"/>
  <c r="F12" i="158"/>
  <c r="M69" i="179"/>
  <c r="M25" i="173"/>
  <c r="L66" i="179"/>
  <c r="L22" i="173"/>
  <c r="L24" i="2"/>
  <c r="I9" i="159"/>
  <c r="K67" i="179"/>
  <c r="K7" i="2"/>
  <c r="K23" i="173"/>
  <c r="K25" i="2"/>
  <c r="W21" i="173"/>
  <c r="X21" i="173" s="1"/>
  <c r="J19" i="158"/>
  <c r="I69" i="179"/>
  <c r="W69" i="179" s="1"/>
  <c r="X69" i="179" s="1"/>
  <c r="I25" i="173"/>
  <c r="W25" i="173" s="1"/>
  <c r="X25" i="173" s="1"/>
  <c r="K65" i="179"/>
  <c r="K21" i="173"/>
  <c r="I9" i="161"/>
  <c r="K23" i="2"/>
  <c r="J13" i="161"/>
  <c r="F11" i="161" s="1"/>
  <c r="F10" i="161"/>
  <c r="F11" i="159"/>
  <c r="X27" i="2"/>
  <c r="J18" i="158"/>
  <c r="F9" i="158"/>
  <c r="G9" i="158" s="1"/>
  <c r="F10" i="158"/>
  <c r="J13" i="158"/>
  <c r="J12" i="158"/>
  <c r="S28" i="2"/>
  <c r="H28" i="2"/>
  <c r="V28" i="2" s="1"/>
  <c r="G28" i="2"/>
  <c r="F28" i="2"/>
  <c r="E28" i="2"/>
  <c r="D28" i="2"/>
  <c r="E43" i="157"/>
  <c r="C43" i="157"/>
  <c r="E42" i="157"/>
  <c r="C42" i="157"/>
  <c r="E41" i="157"/>
  <c r="C41" i="157"/>
  <c r="E40" i="157"/>
  <c r="C40" i="157"/>
  <c r="E39" i="157"/>
  <c r="C39" i="157"/>
  <c r="E38" i="157"/>
  <c r="C38" i="157"/>
  <c r="E37" i="157"/>
  <c r="C37" i="157"/>
  <c r="E36" i="157"/>
  <c r="C36" i="157"/>
  <c r="C34" i="157"/>
  <c r="C33" i="157"/>
  <c r="C32" i="157"/>
  <c r="C31" i="157"/>
  <c r="C30" i="157"/>
  <c r="C29" i="157"/>
  <c r="H28" i="157"/>
  <c r="H27" i="157"/>
  <c r="H26" i="157"/>
  <c r="H25" i="157"/>
  <c r="C25" i="157" s="1"/>
  <c r="H24" i="157"/>
  <c r="C24" i="157" s="1"/>
  <c r="H23" i="157"/>
  <c r="C23" i="157" s="1"/>
  <c r="J17" i="157"/>
  <c r="J16" i="157"/>
  <c r="J15" i="157"/>
  <c r="G13" i="157"/>
  <c r="F13" i="157"/>
  <c r="H12" i="157"/>
  <c r="F8" i="157"/>
  <c r="F11" i="158" l="1"/>
  <c r="L23" i="2"/>
  <c r="L65" i="179"/>
  <c r="L21" i="173"/>
  <c r="J19" i="157"/>
  <c r="I70" i="179"/>
  <c r="W70" i="179" s="1"/>
  <c r="X70" i="179" s="1"/>
  <c r="I26" i="173"/>
  <c r="W26" i="173" s="1"/>
  <c r="X26" i="173" s="1"/>
  <c r="F12" i="157"/>
  <c r="F10" i="157" s="1"/>
  <c r="M70" i="179"/>
  <c r="M26" i="173"/>
  <c r="M28" i="2"/>
  <c r="L67" i="179"/>
  <c r="L7" i="2"/>
  <c r="L23" i="173"/>
  <c r="L25" i="2"/>
  <c r="I28" i="2"/>
  <c r="W28" i="2" s="1"/>
  <c r="X28" i="2" s="1"/>
  <c r="I9" i="158"/>
  <c r="K69" i="179"/>
  <c r="K25" i="173"/>
  <c r="K27" i="2"/>
  <c r="F9" i="157"/>
  <c r="G9" i="157" s="1"/>
  <c r="J18" i="157"/>
  <c r="C35" i="157"/>
  <c r="J12" i="157"/>
  <c r="M25" i="156"/>
  <c r="S29" i="2"/>
  <c r="G29" i="2"/>
  <c r="F29" i="2"/>
  <c r="E29" i="2"/>
  <c r="D29" i="2"/>
  <c r="O24" i="156"/>
  <c r="O25" i="156"/>
  <c r="O26" i="156"/>
  <c r="O27" i="156"/>
  <c r="O23" i="156"/>
  <c r="E43" i="156"/>
  <c r="C43" i="156"/>
  <c r="E42" i="156"/>
  <c r="C42" i="156"/>
  <c r="E41" i="156"/>
  <c r="C41" i="156"/>
  <c r="E40" i="156"/>
  <c r="C40" i="156"/>
  <c r="E39" i="156"/>
  <c r="C39" i="156"/>
  <c r="E38" i="156"/>
  <c r="C38" i="156"/>
  <c r="E37" i="156"/>
  <c r="C37" i="156"/>
  <c r="E36" i="156"/>
  <c r="C36" i="156"/>
  <c r="E35" i="156"/>
  <c r="C35" i="156"/>
  <c r="E34" i="156"/>
  <c r="C34" i="156"/>
  <c r="E33" i="156"/>
  <c r="C33" i="156"/>
  <c r="E32" i="156"/>
  <c r="C32" i="156"/>
  <c r="E31" i="156"/>
  <c r="C31" i="156"/>
  <c r="E30" i="156"/>
  <c r="C30" i="156"/>
  <c r="M27" i="156"/>
  <c r="M26" i="156"/>
  <c r="M24" i="156"/>
  <c r="M23" i="156"/>
  <c r="J16" i="156"/>
  <c r="J15" i="156"/>
  <c r="O11" i="156"/>
  <c r="O10" i="156"/>
  <c r="F7" i="156"/>
  <c r="J13" i="157" l="1"/>
  <c r="F11" i="157" s="1"/>
  <c r="J17" i="156"/>
  <c r="H71" i="179"/>
  <c r="V71" i="179" s="1"/>
  <c r="H27" i="173"/>
  <c r="H29" i="2"/>
  <c r="V29" i="2" s="1"/>
  <c r="I9" i="157"/>
  <c r="K70" i="179"/>
  <c r="K26" i="173"/>
  <c r="K28" i="2"/>
  <c r="L69" i="179"/>
  <c r="L25" i="173"/>
  <c r="L27" i="2"/>
  <c r="F8" i="156"/>
  <c r="H25" i="156"/>
  <c r="C25" i="156" s="1"/>
  <c r="H26" i="156"/>
  <c r="C26" i="156" s="1"/>
  <c r="F13" i="156"/>
  <c r="H24" i="156"/>
  <c r="C24" i="156" s="1"/>
  <c r="H12" i="156"/>
  <c r="G13" i="156"/>
  <c r="H27" i="156"/>
  <c r="C27" i="156" s="1"/>
  <c r="H23" i="156"/>
  <c r="S30" i="2"/>
  <c r="H30" i="2"/>
  <c r="V30" i="2" s="1"/>
  <c r="G30" i="2"/>
  <c r="F30" i="2"/>
  <c r="E30" i="2"/>
  <c r="D30" i="2"/>
  <c r="H35" i="155"/>
  <c r="C35" i="155" s="1"/>
  <c r="H31" i="155"/>
  <c r="C31" i="155" s="1"/>
  <c r="H32" i="155"/>
  <c r="C32" i="155" s="1"/>
  <c r="H33" i="155"/>
  <c r="C33" i="155" s="1"/>
  <c r="H34" i="155"/>
  <c r="E34" i="155" s="1"/>
  <c r="E43" i="155"/>
  <c r="C43" i="155"/>
  <c r="E42" i="155"/>
  <c r="C42" i="155"/>
  <c r="E41" i="155"/>
  <c r="C41" i="155"/>
  <c r="E40" i="155"/>
  <c r="C40" i="155"/>
  <c r="E39" i="155"/>
  <c r="C39" i="155"/>
  <c r="E38" i="155"/>
  <c r="C38" i="155"/>
  <c r="E37" i="155"/>
  <c r="C37" i="155"/>
  <c r="E36" i="155"/>
  <c r="C36" i="155"/>
  <c r="H30" i="155"/>
  <c r="C30" i="155" s="1"/>
  <c r="H29" i="155"/>
  <c r="C29" i="155" s="1"/>
  <c r="H28" i="155"/>
  <c r="H27" i="155"/>
  <c r="H26" i="155"/>
  <c r="H25" i="155"/>
  <c r="C25" i="155" s="1"/>
  <c r="H24" i="155"/>
  <c r="C24" i="155" s="1"/>
  <c r="H23" i="155"/>
  <c r="C23" i="155" s="1"/>
  <c r="J17" i="155"/>
  <c r="J16" i="155"/>
  <c r="J15" i="155"/>
  <c r="G13" i="155"/>
  <c r="F13" i="155"/>
  <c r="H12" i="155"/>
  <c r="F8" i="155"/>
  <c r="F12" i="155" l="1"/>
  <c r="F10" i="155" s="1"/>
  <c r="M496" i="179"/>
  <c r="M72" i="179"/>
  <c r="M452" i="173"/>
  <c r="M28" i="173"/>
  <c r="M71" i="179"/>
  <c r="M27" i="173"/>
  <c r="L70" i="179"/>
  <c r="L26" i="173"/>
  <c r="L28" i="2"/>
  <c r="I71" i="179"/>
  <c r="W71" i="179" s="1"/>
  <c r="X71" i="179" s="1"/>
  <c r="I27" i="173"/>
  <c r="W27" i="173" s="1"/>
  <c r="V27" i="173"/>
  <c r="J19" i="155"/>
  <c r="I496" i="179"/>
  <c r="W496" i="179" s="1"/>
  <c r="X496" i="179" s="1"/>
  <c r="I72" i="179"/>
  <c r="W72" i="179" s="1"/>
  <c r="X72" i="179" s="1"/>
  <c r="I452" i="173"/>
  <c r="W452" i="173" s="1"/>
  <c r="X452" i="173" s="1"/>
  <c r="I28" i="173"/>
  <c r="W28" i="173" s="1"/>
  <c r="X28" i="173" s="1"/>
  <c r="F12" i="156"/>
  <c r="J13" i="156" s="1"/>
  <c r="M29" i="2"/>
  <c r="J12" i="156"/>
  <c r="I29" i="2"/>
  <c r="W29" i="2" s="1"/>
  <c r="X29" i="2" s="1"/>
  <c r="F9" i="156"/>
  <c r="G9" i="156" s="1"/>
  <c r="J19" i="156"/>
  <c r="J18" i="156"/>
  <c r="O12" i="156"/>
  <c r="C23" i="156"/>
  <c r="M30" i="2"/>
  <c r="E35" i="155"/>
  <c r="I30" i="2"/>
  <c r="W30" i="2" s="1"/>
  <c r="X30" i="2" s="1"/>
  <c r="C34" i="155"/>
  <c r="F9" i="155"/>
  <c r="G9" i="155" s="1"/>
  <c r="J13" i="155"/>
  <c r="J18" i="155"/>
  <c r="J12" i="155"/>
  <c r="S31" i="2"/>
  <c r="G31" i="2"/>
  <c r="F31" i="2"/>
  <c r="E31" i="2"/>
  <c r="D31" i="2"/>
  <c r="E43" i="154"/>
  <c r="C43" i="154"/>
  <c r="E42" i="154"/>
  <c r="C42" i="154"/>
  <c r="E41" i="154"/>
  <c r="C41" i="154"/>
  <c r="E40" i="154"/>
  <c r="C40" i="154"/>
  <c r="E39" i="154"/>
  <c r="C39" i="154"/>
  <c r="C38" i="154"/>
  <c r="C37" i="154"/>
  <c r="C36" i="154"/>
  <c r="C35" i="154"/>
  <c r="C34" i="154"/>
  <c r="C33" i="154"/>
  <c r="C32" i="154"/>
  <c r="C30" i="154"/>
  <c r="C29" i="154"/>
  <c r="C28" i="154"/>
  <c r="K26" i="154"/>
  <c r="K25" i="154"/>
  <c r="K24" i="154"/>
  <c r="K23" i="154"/>
  <c r="J16" i="154"/>
  <c r="J15" i="154"/>
  <c r="F7" i="154"/>
  <c r="H31" i="2" s="1"/>
  <c r="V31" i="2" s="1"/>
  <c r="H73" i="179" l="1"/>
  <c r="V73" i="179" s="1"/>
  <c r="H29" i="173"/>
  <c r="V29" i="173" s="1"/>
  <c r="H24" i="154"/>
  <c r="C24" i="154" s="1"/>
  <c r="K496" i="179"/>
  <c r="K72" i="179"/>
  <c r="K452" i="173"/>
  <c r="K28" i="173"/>
  <c r="X27" i="173"/>
  <c r="K71" i="179"/>
  <c r="K27" i="173"/>
  <c r="F11" i="156"/>
  <c r="F10" i="156"/>
  <c r="I9" i="156"/>
  <c r="K29" i="2"/>
  <c r="I9" i="155"/>
  <c r="K30" i="2"/>
  <c r="F11" i="155"/>
  <c r="F8" i="154"/>
  <c r="H23" i="154"/>
  <c r="C23" i="154" s="1"/>
  <c r="H12" i="154"/>
  <c r="H25" i="154"/>
  <c r="C25" i="154" s="1"/>
  <c r="F18" i="154"/>
  <c r="J17" i="154" s="1"/>
  <c r="C27" i="154"/>
  <c r="C31" i="154"/>
  <c r="F13" i="154"/>
  <c r="G13" i="154"/>
  <c r="J12" i="154"/>
  <c r="F11" i="154" s="1"/>
  <c r="H26" i="154"/>
  <c r="C26" i="154" s="1"/>
  <c r="F7" i="153"/>
  <c r="J19" i="154" l="1"/>
  <c r="I73" i="179"/>
  <c r="W73" i="179" s="1"/>
  <c r="X73" i="179" s="1"/>
  <c r="I29" i="173"/>
  <c r="W29" i="173" s="1"/>
  <c r="X29" i="173" s="1"/>
  <c r="I31" i="2"/>
  <c r="W31" i="2" s="1"/>
  <c r="X31" i="2" s="1"/>
  <c r="L29" i="2"/>
  <c r="L71" i="179"/>
  <c r="L27" i="173"/>
  <c r="H74" i="179"/>
  <c r="V74" i="179" s="1"/>
  <c r="H30" i="173"/>
  <c r="V30" i="173" s="1"/>
  <c r="L73" i="179"/>
  <c r="L29" i="173"/>
  <c r="L31" i="2"/>
  <c r="F12" i="154"/>
  <c r="J13" i="154" s="1"/>
  <c r="M73" i="179"/>
  <c r="M29" i="173"/>
  <c r="M31" i="2"/>
  <c r="L30" i="2"/>
  <c r="L496" i="179"/>
  <c r="L72" i="179"/>
  <c r="L452" i="173"/>
  <c r="L28" i="173"/>
  <c r="F9" i="154"/>
  <c r="G9" i="154" s="1"/>
  <c r="F10" i="154"/>
  <c r="J18" i="154"/>
  <c r="I9" i="154" l="1"/>
  <c r="K73" i="179"/>
  <c r="K29" i="173"/>
  <c r="K31" i="2"/>
  <c r="S32" i="2"/>
  <c r="H32" i="2"/>
  <c r="V32" i="2" s="1"/>
  <c r="G32" i="2"/>
  <c r="F32" i="2"/>
  <c r="E32" i="2"/>
  <c r="D32" i="2"/>
  <c r="E43" i="153"/>
  <c r="C43" i="153"/>
  <c r="E42" i="153"/>
  <c r="C42" i="153"/>
  <c r="E41" i="153"/>
  <c r="C41" i="153"/>
  <c r="E40" i="153"/>
  <c r="C40" i="153"/>
  <c r="E39" i="153"/>
  <c r="C39" i="153"/>
  <c r="C38" i="153"/>
  <c r="C37" i="153"/>
  <c r="C36" i="153"/>
  <c r="C35" i="153"/>
  <c r="C34" i="153"/>
  <c r="C33" i="153"/>
  <c r="C32" i="153"/>
  <c r="C28" i="153"/>
  <c r="K25" i="153"/>
  <c r="K24" i="153"/>
  <c r="C26" i="153" s="1"/>
  <c r="K23" i="153"/>
  <c r="J16" i="153"/>
  <c r="J15" i="153"/>
  <c r="F18" i="153"/>
  <c r="J17" i="153" s="1"/>
  <c r="F13" i="153" l="1"/>
  <c r="C29" i="153"/>
  <c r="H23" i="153"/>
  <c r="C23" i="153" s="1"/>
  <c r="F8" i="153"/>
  <c r="J12" i="153" s="1"/>
  <c r="H12" i="153"/>
  <c r="H25" i="153"/>
  <c r="C25" i="153" s="1"/>
  <c r="G13" i="153"/>
  <c r="H24" i="153"/>
  <c r="C24" i="153" s="1"/>
  <c r="C31" i="153"/>
  <c r="C27" i="153"/>
  <c r="C30" i="153"/>
  <c r="S40" i="2"/>
  <c r="H40" i="2"/>
  <c r="V40" i="2" s="1"/>
  <c r="G40" i="2"/>
  <c r="F40" i="2"/>
  <c r="E40" i="2"/>
  <c r="D40" i="2"/>
  <c r="S41" i="2"/>
  <c r="H41" i="2"/>
  <c r="V41" i="2" s="1"/>
  <c r="G41" i="2"/>
  <c r="F41" i="2"/>
  <c r="E41" i="2"/>
  <c r="D41" i="2"/>
  <c r="J18" i="153" l="1"/>
  <c r="J19" i="153"/>
  <c r="I74" i="179"/>
  <c r="W74" i="179" s="1"/>
  <c r="X74" i="179" s="1"/>
  <c r="I30" i="173"/>
  <c r="W30" i="173" s="1"/>
  <c r="X30" i="173" s="1"/>
  <c r="I32" i="2"/>
  <c r="W32" i="2" s="1"/>
  <c r="X32" i="2" s="1"/>
  <c r="F9" i="153"/>
  <c r="G9" i="153" s="1"/>
  <c r="K32" i="2" s="1"/>
  <c r="F12" i="153"/>
  <c r="J13" i="153" s="1"/>
  <c r="F11" i="153" s="1"/>
  <c r="M74" i="179"/>
  <c r="M30" i="173"/>
  <c r="M32" i="2"/>
  <c r="I9" i="153" l="1"/>
  <c r="L32" i="2"/>
  <c r="L74" i="179"/>
  <c r="L30" i="173"/>
  <c r="F10" i="153"/>
  <c r="K74" i="179"/>
  <c r="K30" i="173"/>
  <c r="S33" i="2"/>
  <c r="H33" i="2"/>
  <c r="V33" i="2" s="1"/>
  <c r="G33" i="2"/>
  <c r="F33" i="2"/>
  <c r="E33" i="2"/>
  <c r="D33" i="2"/>
  <c r="H30" i="152"/>
  <c r="C30" i="152" s="1"/>
  <c r="H29" i="152"/>
  <c r="C29" i="152" s="1"/>
  <c r="E43" i="152"/>
  <c r="C43" i="152"/>
  <c r="E42" i="152"/>
  <c r="C42" i="152"/>
  <c r="E41" i="152"/>
  <c r="C41" i="152"/>
  <c r="E40" i="152"/>
  <c r="C40" i="152"/>
  <c r="E39" i="152"/>
  <c r="C39" i="152"/>
  <c r="E38" i="152"/>
  <c r="C38" i="152"/>
  <c r="E37" i="152"/>
  <c r="C37" i="152"/>
  <c r="E36" i="152"/>
  <c r="C36" i="152"/>
  <c r="E35" i="152"/>
  <c r="C35" i="152"/>
  <c r="E34" i="152"/>
  <c r="C34" i="152"/>
  <c r="C33" i="152"/>
  <c r="C32" i="152"/>
  <c r="C31" i="152"/>
  <c r="H28" i="152"/>
  <c r="H27" i="152"/>
  <c r="H26" i="152"/>
  <c r="H25" i="152"/>
  <c r="C25" i="152" s="1"/>
  <c r="H24" i="152"/>
  <c r="C24" i="152" s="1"/>
  <c r="H23" i="152"/>
  <c r="C23" i="152" s="1"/>
  <c r="J17" i="152"/>
  <c r="J16" i="152"/>
  <c r="J15" i="152"/>
  <c r="G13" i="152"/>
  <c r="F13" i="152"/>
  <c r="H12" i="152"/>
  <c r="M33" i="2" s="1"/>
  <c r="F8" i="152"/>
  <c r="J18" i="152" l="1"/>
  <c r="I75" i="179"/>
  <c r="W75" i="179" s="1"/>
  <c r="X75" i="179" s="1"/>
  <c r="I31" i="173"/>
  <c r="W31" i="173" s="1"/>
  <c r="X31" i="173" s="1"/>
  <c r="I33" i="2"/>
  <c r="W33" i="2" s="1"/>
  <c r="F12" i="152"/>
  <c r="J13" i="152" s="1"/>
  <c r="M75" i="179"/>
  <c r="M31" i="173"/>
  <c r="X33" i="2"/>
  <c r="J12" i="152"/>
  <c r="J19" i="152"/>
  <c r="F9" i="152"/>
  <c r="G9" i="152" s="1"/>
  <c r="S34" i="2"/>
  <c r="H34" i="2"/>
  <c r="V34" i="2" s="1"/>
  <c r="G34" i="2"/>
  <c r="F34" i="2"/>
  <c r="E34" i="2"/>
  <c r="D34" i="2"/>
  <c r="E43" i="151"/>
  <c r="C43" i="151"/>
  <c r="E42" i="151"/>
  <c r="C42" i="151"/>
  <c r="E41" i="151"/>
  <c r="C41" i="151"/>
  <c r="E40" i="151"/>
  <c r="C40" i="151"/>
  <c r="E39" i="151"/>
  <c r="C39" i="151"/>
  <c r="E38" i="151"/>
  <c r="C38" i="151"/>
  <c r="E37" i="151"/>
  <c r="C37" i="151"/>
  <c r="E36" i="151"/>
  <c r="C36" i="151"/>
  <c r="E35" i="151"/>
  <c r="C35" i="151"/>
  <c r="E34" i="151"/>
  <c r="C34" i="151"/>
  <c r="C33" i="151"/>
  <c r="C32" i="151"/>
  <c r="C31" i="151"/>
  <c r="C30" i="151"/>
  <c r="C29" i="151"/>
  <c r="H26" i="151"/>
  <c r="H25" i="151"/>
  <c r="C25" i="151" s="1"/>
  <c r="H24" i="151"/>
  <c r="C24" i="151" s="1"/>
  <c r="H23" i="151"/>
  <c r="C23" i="151" s="1"/>
  <c r="J17" i="151"/>
  <c r="J16" i="151"/>
  <c r="J15" i="151"/>
  <c r="G13" i="151"/>
  <c r="F13" i="151"/>
  <c r="H12" i="151"/>
  <c r="M34" i="2" s="1"/>
  <c r="F8" i="151"/>
  <c r="F11" i="152" l="1"/>
  <c r="L75" i="179" s="1"/>
  <c r="F10" i="152"/>
  <c r="F9" i="151"/>
  <c r="G9" i="151" s="1"/>
  <c r="I76" i="179"/>
  <c r="W76" i="179" s="1"/>
  <c r="X76" i="179" s="1"/>
  <c r="I32" i="173"/>
  <c r="W32" i="173" s="1"/>
  <c r="X32" i="173" s="1"/>
  <c r="I9" i="152"/>
  <c r="K75" i="179"/>
  <c r="K31" i="173"/>
  <c r="K33" i="2"/>
  <c r="L31" i="173"/>
  <c r="L33" i="2"/>
  <c r="F12" i="151"/>
  <c r="F10" i="151" s="1"/>
  <c r="M76" i="179"/>
  <c r="M32" i="173"/>
  <c r="I34" i="2"/>
  <c r="W34" i="2" s="1"/>
  <c r="X34" i="2" s="1"/>
  <c r="J18" i="151"/>
  <c r="J12" i="151"/>
  <c r="J19" i="151"/>
  <c r="S35" i="2"/>
  <c r="H35" i="2"/>
  <c r="V35" i="2" s="1"/>
  <c r="G35" i="2"/>
  <c r="F35" i="2"/>
  <c r="F36" i="2"/>
  <c r="E35" i="2"/>
  <c r="D35" i="2"/>
  <c r="E43" i="150"/>
  <c r="C43" i="150"/>
  <c r="E42" i="150"/>
  <c r="C42" i="150"/>
  <c r="E41" i="150"/>
  <c r="C41" i="150"/>
  <c r="E40" i="150"/>
  <c r="C40" i="150"/>
  <c r="E39" i="150"/>
  <c r="C39" i="150"/>
  <c r="E38" i="150"/>
  <c r="C38" i="150"/>
  <c r="E37" i="150"/>
  <c r="C37" i="150"/>
  <c r="E36" i="150"/>
  <c r="C36" i="150"/>
  <c r="E35" i="150"/>
  <c r="C35" i="150"/>
  <c r="E34" i="150"/>
  <c r="C34" i="150"/>
  <c r="C33" i="150"/>
  <c r="C32" i="150"/>
  <c r="C31" i="150"/>
  <c r="C30" i="150"/>
  <c r="C29" i="150"/>
  <c r="H26" i="150"/>
  <c r="H25" i="150"/>
  <c r="C25" i="150" s="1"/>
  <c r="H24" i="150"/>
  <c r="C24" i="150" s="1"/>
  <c r="H23" i="150"/>
  <c r="C23" i="150" s="1"/>
  <c r="J17" i="150"/>
  <c r="J16" i="150"/>
  <c r="J15" i="150"/>
  <c r="G13" i="150"/>
  <c r="F13" i="150"/>
  <c r="H12" i="150"/>
  <c r="F8" i="150"/>
  <c r="I35" i="2" s="1"/>
  <c r="W35" i="2" s="1"/>
  <c r="J13" i="151" l="1"/>
  <c r="F11" i="151"/>
  <c r="L76" i="179" s="1"/>
  <c r="F12" i="150"/>
  <c r="F10" i="150" s="1"/>
  <c r="M77" i="179"/>
  <c r="M33" i="173"/>
  <c r="F9" i="150"/>
  <c r="G9" i="150" s="1"/>
  <c r="I77" i="179"/>
  <c r="W77" i="179" s="1"/>
  <c r="X77" i="179" s="1"/>
  <c r="I33" i="173"/>
  <c r="W33" i="173" s="1"/>
  <c r="X33" i="173" s="1"/>
  <c r="M35" i="2"/>
  <c r="I9" i="151"/>
  <c r="K76" i="179"/>
  <c r="K32" i="173"/>
  <c r="K34" i="2"/>
  <c r="X35" i="2"/>
  <c r="J18" i="150"/>
  <c r="J12" i="150"/>
  <c r="J19" i="150"/>
  <c r="S36" i="2"/>
  <c r="H36" i="2"/>
  <c r="V36" i="2" s="1"/>
  <c r="G36" i="2"/>
  <c r="E36" i="2"/>
  <c r="D36" i="2"/>
  <c r="H25" i="149"/>
  <c r="C25" i="149" s="1"/>
  <c r="H26" i="149"/>
  <c r="H27" i="149"/>
  <c r="H28" i="149"/>
  <c r="E43" i="149"/>
  <c r="C43" i="149"/>
  <c r="E42" i="149"/>
  <c r="C42" i="149"/>
  <c r="E41" i="149"/>
  <c r="C41" i="149"/>
  <c r="E40" i="149"/>
  <c r="C40" i="149"/>
  <c r="E39" i="149"/>
  <c r="C39" i="149"/>
  <c r="E38" i="149"/>
  <c r="C38" i="149"/>
  <c r="E37" i="149"/>
  <c r="C37" i="149"/>
  <c r="E36" i="149"/>
  <c r="C36" i="149"/>
  <c r="E35" i="149"/>
  <c r="C35" i="149"/>
  <c r="E34" i="149"/>
  <c r="C34" i="149"/>
  <c r="C33" i="149"/>
  <c r="C32" i="149"/>
  <c r="C31" i="149"/>
  <c r="C30" i="149"/>
  <c r="C29" i="149"/>
  <c r="H24" i="149"/>
  <c r="C24" i="149" s="1"/>
  <c r="H23" i="149"/>
  <c r="C23" i="149" s="1"/>
  <c r="J17" i="149"/>
  <c r="J16" i="149"/>
  <c r="J15" i="149"/>
  <c r="G13" i="149"/>
  <c r="F13" i="149"/>
  <c r="H12" i="149"/>
  <c r="F8" i="149"/>
  <c r="L34" i="2" l="1"/>
  <c r="L32" i="173"/>
  <c r="J13" i="150"/>
  <c r="F11" i="150" s="1"/>
  <c r="F12" i="149"/>
  <c r="M78" i="179"/>
  <c r="M34" i="173"/>
  <c r="J19" i="149"/>
  <c r="I78" i="179"/>
  <c r="W78" i="179" s="1"/>
  <c r="X78" i="179" s="1"/>
  <c r="I34" i="173"/>
  <c r="W34" i="173" s="1"/>
  <c r="X34" i="173" s="1"/>
  <c r="I36" i="2"/>
  <c r="W36" i="2" s="1"/>
  <c r="X36" i="2" s="1"/>
  <c r="I9" i="150"/>
  <c r="K77" i="179"/>
  <c r="K33" i="173"/>
  <c r="K35" i="2"/>
  <c r="M36" i="2"/>
  <c r="J13" i="149"/>
  <c r="F10" i="149"/>
  <c r="F9" i="149"/>
  <c r="G9" i="149" s="1"/>
  <c r="J18" i="149"/>
  <c r="J12" i="149"/>
  <c r="S37" i="2"/>
  <c r="H37" i="2"/>
  <c r="V37" i="2" s="1"/>
  <c r="G37" i="2"/>
  <c r="F37" i="2"/>
  <c r="E37" i="2"/>
  <c r="D37" i="2"/>
  <c r="S38" i="2"/>
  <c r="H38" i="2"/>
  <c r="G38" i="2"/>
  <c r="F38" i="2"/>
  <c r="E38" i="2"/>
  <c r="D38" i="2"/>
  <c r="E43" i="148"/>
  <c r="C43" i="148"/>
  <c r="E42" i="148"/>
  <c r="C42" i="148"/>
  <c r="E41" i="148"/>
  <c r="C41" i="148"/>
  <c r="E40" i="148"/>
  <c r="C40" i="148"/>
  <c r="E39" i="148"/>
  <c r="C39" i="148"/>
  <c r="E38" i="148"/>
  <c r="C38" i="148"/>
  <c r="E37" i="148"/>
  <c r="C37" i="148"/>
  <c r="E36" i="148"/>
  <c r="C36" i="148"/>
  <c r="E35" i="148"/>
  <c r="C35" i="148"/>
  <c r="E34" i="148"/>
  <c r="C34" i="148"/>
  <c r="C33" i="148"/>
  <c r="C32" i="148"/>
  <c r="C31" i="148"/>
  <c r="C30" i="148"/>
  <c r="C29" i="148"/>
  <c r="C25" i="148"/>
  <c r="H24" i="148"/>
  <c r="C24" i="148" s="1"/>
  <c r="H23" i="148"/>
  <c r="C23" i="148" s="1"/>
  <c r="J17" i="148"/>
  <c r="J16" i="148"/>
  <c r="J15" i="148"/>
  <c r="G13" i="148"/>
  <c r="F13" i="148"/>
  <c r="H12" i="148"/>
  <c r="F8" i="148"/>
  <c r="H23" i="147"/>
  <c r="C23" i="147" s="1"/>
  <c r="E43" i="147"/>
  <c r="C43" i="147"/>
  <c r="E42" i="147"/>
  <c r="C42" i="147"/>
  <c r="E41" i="147"/>
  <c r="C41" i="147"/>
  <c r="E40" i="147"/>
  <c r="C40" i="147"/>
  <c r="E39" i="147"/>
  <c r="C39" i="147"/>
  <c r="E38" i="147"/>
  <c r="C38" i="147"/>
  <c r="E37" i="147"/>
  <c r="C37" i="147"/>
  <c r="E36" i="147"/>
  <c r="C36" i="147"/>
  <c r="E35" i="147"/>
  <c r="C35" i="147"/>
  <c r="E34" i="147"/>
  <c r="C34" i="147"/>
  <c r="C33" i="147"/>
  <c r="C32" i="147"/>
  <c r="C31" i="147"/>
  <c r="C30" i="147"/>
  <c r="C29" i="147"/>
  <c r="H26" i="147"/>
  <c r="H25" i="147"/>
  <c r="C25" i="147" s="1"/>
  <c r="H24" i="147"/>
  <c r="C24" i="147" s="1"/>
  <c r="J17" i="147"/>
  <c r="J16" i="147"/>
  <c r="J15" i="147"/>
  <c r="G13" i="147"/>
  <c r="F13" i="147"/>
  <c r="H12" i="147"/>
  <c r="F8" i="147"/>
  <c r="V38" i="2"/>
  <c r="F11" i="149" l="1"/>
  <c r="L33" i="173"/>
  <c r="L35" i="2"/>
  <c r="L77" i="179"/>
  <c r="F12" i="148"/>
  <c r="J13" i="148" s="1"/>
  <c r="M79" i="179"/>
  <c r="M35" i="173"/>
  <c r="J18" i="147"/>
  <c r="I80" i="179"/>
  <c r="W80" i="179" s="1"/>
  <c r="X80" i="179" s="1"/>
  <c r="I36" i="173"/>
  <c r="W36" i="173" s="1"/>
  <c r="X36" i="173" s="1"/>
  <c r="J19" i="148"/>
  <c r="I79" i="179"/>
  <c r="W79" i="179" s="1"/>
  <c r="X79" i="179" s="1"/>
  <c r="I35" i="173"/>
  <c r="W35" i="173" s="1"/>
  <c r="X35" i="173" s="1"/>
  <c r="I38" i="2"/>
  <c r="W38" i="2" s="1"/>
  <c r="X38" i="2" s="1"/>
  <c r="F12" i="147"/>
  <c r="F10" i="147" s="1"/>
  <c r="M80" i="179"/>
  <c r="M36" i="173"/>
  <c r="I9" i="149"/>
  <c r="K78" i="179"/>
  <c r="K34" i="173"/>
  <c r="K36" i="2"/>
  <c r="I37" i="2"/>
  <c r="W37" i="2" s="1"/>
  <c r="X37" i="2" s="1"/>
  <c r="M37" i="2"/>
  <c r="M38" i="2"/>
  <c r="L78" i="179"/>
  <c r="L34" i="173"/>
  <c r="L36" i="2"/>
  <c r="F9" i="148"/>
  <c r="G9" i="148" s="1"/>
  <c r="F10" i="148"/>
  <c r="J18" i="148"/>
  <c r="J12" i="148"/>
  <c r="J19" i="147"/>
  <c r="J12" i="147"/>
  <c r="F9" i="147"/>
  <c r="G9" i="147" s="1"/>
  <c r="H29" i="146"/>
  <c r="C29" i="146" s="1"/>
  <c r="H28" i="146"/>
  <c r="E43" i="146"/>
  <c r="C43" i="146"/>
  <c r="E42" i="146"/>
  <c r="C42" i="146"/>
  <c r="E41" i="146"/>
  <c r="C41" i="146"/>
  <c r="E40" i="146"/>
  <c r="C40" i="146"/>
  <c r="E39" i="146"/>
  <c r="C39" i="146"/>
  <c r="E38" i="146"/>
  <c r="C38" i="146"/>
  <c r="E37" i="146"/>
  <c r="C37" i="146"/>
  <c r="E36" i="146"/>
  <c r="C36" i="146"/>
  <c r="E35" i="146"/>
  <c r="C35" i="146"/>
  <c r="E34" i="146"/>
  <c r="C34" i="146"/>
  <c r="C33" i="146"/>
  <c r="C32" i="146"/>
  <c r="C31" i="146"/>
  <c r="C30" i="146"/>
  <c r="H27" i="146"/>
  <c r="H26" i="146"/>
  <c r="H25" i="146"/>
  <c r="C25" i="146" s="1"/>
  <c r="H24" i="146"/>
  <c r="C24" i="146" s="1"/>
  <c r="H23" i="146"/>
  <c r="C23" i="146" s="1"/>
  <c r="J17" i="146"/>
  <c r="J16" i="146"/>
  <c r="J15" i="146"/>
  <c r="G13" i="146"/>
  <c r="F13" i="146"/>
  <c r="H12" i="146"/>
  <c r="F8" i="146"/>
  <c r="E43" i="145"/>
  <c r="C43" i="145"/>
  <c r="E42" i="145"/>
  <c r="C42" i="145"/>
  <c r="E41" i="145"/>
  <c r="C41" i="145"/>
  <c r="E40" i="145"/>
  <c r="C40" i="145"/>
  <c r="E39" i="145"/>
  <c r="C39" i="145"/>
  <c r="E38" i="145"/>
  <c r="C38" i="145"/>
  <c r="E37" i="145"/>
  <c r="C37" i="145"/>
  <c r="E36" i="145"/>
  <c r="C36" i="145"/>
  <c r="E35" i="145"/>
  <c r="C35" i="145"/>
  <c r="E34" i="145"/>
  <c r="C34" i="145"/>
  <c r="C33" i="145"/>
  <c r="C32" i="145"/>
  <c r="C31" i="145"/>
  <c r="C30" i="145"/>
  <c r="C29" i="145"/>
  <c r="H25" i="145"/>
  <c r="C25" i="145" s="1"/>
  <c r="H24" i="145"/>
  <c r="C24" i="145" s="1"/>
  <c r="H23" i="145"/>
  <c r="C23" i="145" s="1"/>
  <c r="J17" i="145"/>
  <c r="J16" i="145"/>
  <c r="J15" i="145"/>
  <c r="G13" i="145"/>
  <c r="F13" i="145"/>
  <c r="H12" i="145"/>
  <c r="F8" i="145"/>
  <c r="S42" i="2"/>
  <c r="H42" i="2"/>
  <c r="V42" i="2" s="1"/>
  <c r="G42" i="2"/>
  <c r="F42" i="2"/>
  <c r="E42" i="2"/>
  <c r="D42" i="2"/>
  <c r="E43" i="144"/>
  <c r="C43" i="144"/>
  <c r="E42" i="144"/>
  <c r="C42" i="144"/>
  <c r="E41" i="144"/>
  <c r="C41" i="144"/>
  <c r="E40" i="144"/>
  <c r="C40" i="144"/>
  <c r="E39" i="144"/>
  <c r="C39" i="144"/>
  <c r="E38" i="144"/>
  <c r="C38" i="144"/>
  <c r="E37" i="144"/>
  <c r="C37" i="144"/>
  <c r="E36" i="144"/>
  <c r="C36" i="144"/>
  <c r="E35" i="144"/>
  <c r="C35" i="144"/>
  <c r="E34" i="144"/>
  <c r="C34" i="144"/>
  <c r="C33" i="144"/>
  <c r="C32" i="144"/>
  <c r="C31" i="144"/>
  <c r="C30" i="144"/>
  <c r="C29" i="144"/>
  <c r="H27" i="144"/>
  <c r="H26" i="144"/>
  <c r="H25" i="144"/>
  <c r="C25" i="144" s="1"/>
  <c r="H24" i="144"/>
  <c r="C24" i="144" s="1"/>
  <c r="H23" i="144"/>
  <c r="C23" i="144" s="1"/>
  <c r="J17" i="144"/>
  <c r="J16" i="144"/>
  <c r="J15" i="144"/>
  <c r="G13" i="144"/>
  <c r="F13" i="144"/>
  <c r="H12" i="144"/>
  <c r="M42" i="2" s="1"/>
  <c r="F8" i="144"/>
  <c r="S43" i="2"/>
  <c r="G43" i="2"/>
  <c r="F43" i="2"/>
  <c r="E43" i="2"/>
  <c r="D43" i="2"/>
  <c r="K33" i="143"/>
  <c r="K25" i="143"/>
  <c r="K26" i="143"/>
  <c r="K27" i="143"/>
  <c r="K28" i="143"/>
  <c r="K29" i="143"/>
  <c r="K30" i="143"/>
  <c r="K31" i="143"/>
  <c r="K32" i="143"/>
  <c r="E43" i="143"/>
  <c r="C43" i="143"/>
  <c r="E42" i="143"/>
  <c r="C42" i="143"/>
  <c r="E41" i="143"/>
  <c r="C41" i="143"/>
  <c r="E40" i="143"/>
  <c r="C40" i="143"/>
  <c r="E39" i="143"/>
  <c r="C39" i="143"/>
  <c r="C38" i="143"/>
  <c r="C37" i="143"/>
  <c r="C36" i="143"/>
  <c r="C35" i="143"/>
  <c r="C34" i="143"/>
  <c r="K24" i="143"/>
  <c r="K23" i="143"/>
  <c r="J16" i="143"/>
  <c r="J15" i="143"/>
  <c r="F7" i="143"/>
  <c r="S44" i="2"/>
  <c r="H44" i="2"/>
  <c r="V44" i="2" s="1"/>
  <c r="G44" i="2"/>
  <c r="F44" i="2"/>
  <c r="E44" i="2"/>
  <c r="D44" i="2"/>
  <c r="E43" i="142"/>
  <c r="C43" i="142"/>
  <c r="E42" i="142"/>
  <c r="C42" i="142"/>
  <c r="E41" i="142"/>
  <c r="C41" i="142"/>
  <c r="E40" i="142"/>
  <c r="C40" i="142"/>
  <c r="E39" i="142"/>
  <c r="C39" i="142"/>
  <c r="E38" i="142"/>
  <c r="C38" i="142"/>
  <c r="E37" i="142"/>
  <c r="C37" i="142"/>
  <c r="E36" i="142"/>
  <c r="C36" i="142"/>
  <c r="E35" i="142"/>
  <c r="C35" i="142"/>
  <c r="E34" i="142"/>
  <c r="C34" i="142"/>
  <c r="C33" i="142"/>
  <c r="C32" i="142"/>
  <c r="C31" i="142"/>
  <c r="C30" i="142"/>
  <c r="C29" i="142"/>
  <c r="H25" i="142"/>
  <c r="C25" i="142" s="1"/>
  <c r="H24" i="142"/>
  <c r="C24" i="142" s="1"/>
  <c r="H23" i="142"/>
  <c r="C23" i="142" s="1"/>
  <c r="J17" i="142"/>
  <c r="J16" i="142"/>
  <c r="J15" i="142"/>
  <c r="G13" i="142"/>
  <c r="F13" i="142"/>
  <c r="H12" i="142"/>
  <c r="F8" i="142"/>
  <c r="S45" i="2"/>
  <c r="H45" i="2"/>
  <c r="V45" i="2" s="1"/>
  <c r="G45" i="2"/>
  <c r="F45" i="2"/>
  <c r="E45" i="2"/>
  <c r="D45" i="2"/>
  <c r="E43" i="141"/>
  <c r="C43" i="141"/>
  <c r="E42" i="141"/>
  <c r="C42" i="141"/>
  <c r="E41" i="141"/>
  <c r="C41" i="141"/>
  <c r="E40" i="141"/>
  <c r="C40" i="141"/>
  <c r="E39" i="141"/>
  <c r="C39" i="141"/>
  <c r="E38" i="141"/>
  <c r="C38" i="141"/>
  <c r="E37" i="141"/>
  <c r="C37" i="141"/>
  <c r="E36" i="141"/>
  <c r="C36" i="141"/>
  <c r="E35" i="141"/>
  <c r="C35" i="141"/>
  <c r="E34" i="141"/>
  <c r="C34" i="141"/>
  <c r="C33" i="141"/>
  <c r="C32" i="141"/>
  <c r="C31" i="141"/>
  <c r="C30" i="141"/>
  <c r="C29" i="141"/>
  <c r="H27" i="141"/>
  <c r="H26" i="141"/>
  <c r="H25" i="141"/>
  <c r="C25" i="141" s="1"/>
  <c r="H24" i="141"/>
  <c r="C24" i="141" s="1"/>
  <c r="H23" i="141"/>
  <c r="C23" i="141" s="1"/>
  <c r="J17" i="141"/>
  <c r="J16" i="141"/>
  <c r="J15" i="141"/>
  <c r="G13" i="141"/>
  <c r="F13" i="141"/>
  <c r="H12" i="141"/>
  <c r="M45" i="2" s="1"/>
  <c r="F8" i="141"/>
  <c r="S46" i="2"/>
  <c r="H46" i="2"/>
  <c r="V46" i="2" s="1"/>
  <c r="G46" i="2"/>
  <c r="F46" i="2"/>
  <c r="E46" i="2"/>
  <c r="D46" i="2"/>
  <c r="E43" i="140"/>
  <c r="C43" i="140"/>
  <c r="E42" i="140"/>
  <c r="C42" i="140"/>
  <c r="E41" i="140"/>
  <c r="C41" i="140"/>
  <c r="E40" i="140"/>
  <c r="C40" i="140"/>
  <c r="E39" i="140"/>
  <c r="C39" i="140"/>
  <c r="E38" i="140"/>
  <c r="C38" i="140"/>
  <c r="E37" i="140"/>
  <c r="C37" i="140"/>
  <c r="E36" i="140"/>
  <c r="C36" i="140"/>
  <c r="E35" i="140"/>
  <c r="C35" i="140"/>
  <c r="E34" i="140"/>
  <c r="C34" i="140"/>
  <c r="C33" i="140"/>
  <c r="C32" i="140"/>
  <c r="C31" i="140"/>
  <c r="C30" i="140"/>
  <c r="C29" i="140"/>
  <c r="C25" i="140"/>
  <c r="H24" i="140"/>
  <c r="C24" i="140" s="1"/>
  <c r="H23" i="140"/>
  <c r="C23" i="140" s="1"/>
  <c r="J17" i="140"/>
  <c r="J16" i="140"/>
  <c r="J15" i="140"/>
  <c r="G13" i="140"/>
  <c r="F13" i="140"/>
  <c r="H12" i="140"/>
  <c r="F8" i="140"/>
  <c r="I46" i="2" s="1"/>
  <c r="W46" i="2" s="1"/>
  <c r="J13" i="147" l="1"/>
  <c r="F12" i="141"/>
  <c r="J13" i="141" s="1"/>
  <c r="H33" i="143"/>
  <c r="C33" i="143" s="1"/>
  <c r="M88" i="179"/>
  <c r="M44" i="173"/>
  <c r="M86" i="179"/>
  <c r="M42" i="173"/>
  <c r="F18" i="143"/>
  <c r="J17" i="143" s="1"/>
  <c r="H497" i="179"/>
  <c r="V497" i="179" s="1"/>
  <c r="H85" i="179"/>
  <c r="V85" i="179" s="1"/>
  <c r="H453" i="173"/>
  <c r="V453" i="173" s="1"/>
  <c r="H41" i="173"/>
  <c r="V41" i="173" s="1"/>
  <c r="F9" i="144"/>
  <c r="G9" i="144" s="1"/>
  <c r="I84" i="179"/>
  <c r="W84" i="179" s="1"/>
  <c r="X84" i="179" s="1"/>
  <c r="I40" i="173"/>
  <c r="W40" i="173" s="1"/>
  <c r="X40" i="173" s="1"/>
  <c r="F9" i="145"/>
  <c r="G9" i="145" s="1"/>
  <c r="I83" i="179"/>
  <c r="W83" i="179" s="1"/>
  <c r="X83" i="179" s="1"/>
  <c r="I39" i="173"/>
  <c r="W39" i="173" s="1"/>
  <c r="X39" i="173" s="1"/>
  <c r="I41" i="2"/>
  <c r="W41" i="2" s="1"/>
  <c r="X41" i="2" s="1"/>
  <c r="F12" i="146"/>
  <c r="F10" i="146" s="1"/>
  <c r="M82" i="179"/>
  <c r="M38" i="173"/>
  <c r="M40" i="2"/>
  <c r="F9" i="141"/>
  <c r="G9" i="141" s="1"/>
  <c r="I87" i="179"/>
  <c r="W87" i="179" s="1"/>
  <c r="X87" i="179" s="1"/>
  <c r="I43" i="173"/>
  <c r="W43" i="173" s="1"/>
  <c r="X43" i="173" s="1"/>
  <c r="I45" i="2"/>
  <c r="W45" i="2" s="1"/>
  <c r="F12" i="145"/>
  <c r="M83" i="179"/>
  <c r="M39" i="173"/>
  <c r="M41" i="2"/>
  <c r="I9" i="147"/>
  <c r="K80" i="179"/>
  <c r="K36" i="173"/>
  <c r="K38" i="2"/>
  <c r="F9" i="142"/>
  <c r="G9" i="142" s="1"/>
  <c r="I86" i="179"/>
  <c r="W86" i="179" s="1"/>
  <c r="X86" i="179" s="1"/>
  <c r="I42" i="173"/>
  <c r="W42" i="173" s="1"/>
  <c r="X42" i="173" s="1"/>
  <c r="M44" i="2"/>
  <c r="H43" i="2"/>
  <c r="V43" i="2" s="1"/>
  <c r="I9" i="148"/>
  <c r="K79" i="179"/>
  <c r="K35" i="173"/>
  <c r="K37" i="2"/>
  <c r="F12" i="144"/>
  <c r="F10" i="144" s="1"/>
  <c r="M84" i="179"/>
  <c r="M40" i="173"/>
  <c r="J19" i="140"/>
  <c r="I88" i="179"/>
  <c r="W88" i="179" s="1"/>
  <c r="X88" i="179" s="1"/>
  <c r="I44" i="173"/>
  <c r="W44" i="173" s="1"/>
  <c r="X44" i="173" s="1"/>
  <c r="F12" i="140"/>
  <c r="F10" i="140" s="1"/>
  <c r="M46" i="2"/>
  <c r="M87" i="179"/>
  <c r="M43" i="173"/>
  <c r="F12" i="142"/>
  <c r="J13" i="142" s="1"/>
  <c r="I44" i="2"/>
  <c r="W44" i="2" s="1"/>
  <c r="X44" i="2" s="1"/>
  <c r="I42" i="2"/>
  <c r="W42" i="2" s="1"/>
  <c r="X42" i="2" s="1"/>
  <c r="J19" i="146"/>
  <c r="I82" i="179"/>
  <c r="W82" i="179" s="1"/>
  <c r="X82" i="179" s="1"/>
  <c r="I38" i="173"/>
  <c r="W38" i="173" s="1"/>
  <c r="X38" i="173" s="1"/>
  <c r="I40" i="2"/>
  <c r="W40" i="2" s="1"/>
  <c r="X40" i="2" s="1"/>
  <c r="F11" i="148"/>
  <c r="F11" i="147"/>
  <c r="F9" i="146"/>
  <c r="G9" i="146" s="1"/>
  <c r="J18" i="146"/>
  <c r="J12" i="146"/>
  <c r="J18" i="145"/>
  <c r="F10" i="145"/>
  <c r="J13" i="145"/>
  <c r="J12" i="145"/>
  <c r="J19" i="145"/>
  <c r="J18" i="144"/>
  <c r="J12" i="144"/>
  <c r="J19" i="144"/>
  <c r="H31" i="143"/>
  <c r="C31" i="143" s="1"/>
  <c r="F13" i="143"/>
  <c r="H27" i="143"/>
  <c r="C27" i="143" s="1"/>
  <c r="H28" i="143"/>
  <c r="C28" i="143" s="1"/>
  <c r="H30" i="143"/>
  <c r="C30" i="143" s="1"/>
  <c r="H25" i="143"/>
  <c r="C25" i="143" s="1"/>
  <c r="H23" i="143"/>
  <c r="C23" i="143" s="1"/>
  <c r="H29" i="143"/>
  <c r="C29" i="143" s="1"/>
  <c r="H26" i="143"/>
  <c r="C26" i="143" s="1"/>
  <c r="H12" i="143"/>
  <c r="H32" i="143"/>
  <c r="C32" i="143" s="1"/>
  <c r="F8" i="143"/>
  <c r="G13" i="143"/>
  <c r="H24" i="143"/>
  <c r="C24" i="143" s="1"/>
  <c r="J19" i="142"/>
  <c r="J18" i="142"/>
  <c r="J12" i="142"/>
  <c r="F11" i="142" s="1"/>
  <c r="X45" i="2"/>
  <c r="F10" i="141"/>
  <c r="J12" i="141"/>
  <c r="F11" i="141" s="1"/>
  <c r="J18" i="141"/>
  <c r="J19" i="141"/>
  <c r="X46" i="2"/>
  <c r="J18" i="140"/>
  <c r="F9" i="140"/>
  <c r="G9" i="140" s="1"/>
  <c r="J13" i="140"/>
  <c r="J12" i="140"/>
  <c r="F11" i="140" s="1"/>
  <c r="S7" i="138"/>
  <c r="G7" i="138"/>
  <c r="F7" i="138"/>
  <c r="E7" i="138"/>
  <c r="D7" i="138"/>
  <c r="S49" i="2"/>
  <c r="G49" i="2"/>
  <c r="F49" i="2"/>
  <c r="E49" i="2"/>
  <c r="D49" i="2"/>
  <c r="E43" i="139"/>
  <c r="C43" i="139"/>
  <c r="E42" i="139"/>
  <c r="C42" i="139"/>
  <c r="E41" i="139"/>
  <c r="C41" i="139"/>
  <c r="E40" i="139"/>
  <c r="C40" i="139"/>
  <c r="E39" i="139"/>
  <c r="C39" i="139"/>
  <c r="C38" i="139"/>
  <c r="C37" i="139"/>
  <c r="C36" i="139"/>
  <c r="C35" i="139"/>
  <c r="C34" i="139"/>
  <c r="C33" i="139"/>
  <c r="C32" i="139"/>
  <c r="C31" i="139"/>
  <c r="C30" i="139"/>
  <c r="C29" i="139"/>
  <c r="C28" i="139"/>
  <c r="C27" i="139"/>
  <c r="C26" i="139"/>
  <c r="C25" i="139"/>
  <c r="K24" i="139"/>
  <c r="K23" i="139"/>
  <c r="H23" i="139" s="1"/>
  <c r="C23" i="139" s="1"/>
  <c r="J16" i="139"/>
  <c r="J15" i="139"/>
  <c r="F8" i="139"/>
  <c r="I7" i="138" s="1"/>
  <c r="W7" i="138" s="1"/>
  <c r="F7" i="139"/>
  <c r="S13" i="138"/>
  <c r="H13" i="138"/>
  <c r="V13" i="138" s="1"/>
  <c r="G13" i="138"/>
  <c r="F13" i="138"/>
  <c r="E13" i="138"/>
  <c r="D13" i="138"/>
  <c r="S12" i="138"/>
  <c r="H12" i="138"/>
  <c r="V12" i="138" s="1"/>
  <c r="G12" i="138"/>
  <c r="F12" i="138"/>
  <c r="E12" i="138"/>
  <c r="D12" i="138"/>
  <c r="S11" i="138"/>
  <c r="H11" i="138"/>
  <c r="V11" i="138" s="1"/>
  <c r="G11" i="138"/>
  <c r="F11" i="138"/>
  <c r="E11" i="138"/>
  <c r="D11" i="138"/>
  <c r="S10" i="138"/>
  <c r="H10" i="138"/>
  <c r="V10" i="138" s="1"/>
  <c r="G10" i="138"/>
  <c r="F10" i="138"/>
  <c r="E10" i="138"/>
  <c r="D10" i="138"/>
  <c r="S9" i="138"/>
  <c r="H9" i="138"/>
  <c r="V9" i="138" s="1"/>
  <c r="G9" i="138"/>
  <c r="F9" i="138"/>
  <c r="E9" i="138"/>
  <c r="D9" i="138"/>
  <c r="S8" i="138"/>
  <c r="G8" i="138"/>
  <c r="F8" i="138"/>
  <c r="E8" i="138"/>
  <c r="D8" i="138"/>
  <c r="F10" i="142" l="1"/>
  <c r="J13" i="144"/>
  <c r="F13" i="139"/>
  <c r="J13" i="146"/>
  <c r="F11" i="146" s="1"/>
  <c r="G13" i="139"/>
  <c r="H91" i="179"/>
  <c r="V91" i="179" s="1"/>
  <c r="H47" i="173"/>
  <c r="V47" i="173" s="1"/>
  <c r="I9" i="140"/>
  <c r="K88" i="179"/>
  <c r="K44" i="173"/>
  <c r="K46" i="2"/>
  <c r="L86" i="179"/>
  <c r="L42" i="173"/>
  <c r="L44" i="2"/>
  <c r="F12" i="143"/>
  <c r="J13" i="143" s="1"/>
  <c r="M497" i="179"/>
  <c r="M85" i="179"/>
  <c r="M453" i="173"/>
  <c r="M41" i="173"/>
  <c r="M43" i="2"/>
  <c r="L80" i="179"/>
  <c r="L36" i="173"/>
  <c r="L38" i="2"/>
  <c r="H49" i="2"/>
  <c r="V49" i="2" s="1"/>
  <c r="X49" i="2" s="1"/>
  <c r="L87" i="179"/>
  <c r="L43" i="173"/>
  <c r="L45" i="2"/>
  <c r="L79" i="179"/>
  <c r="L35" i="173"/>
  <c r="L37" i="2"/>
  <c r="J19" i="139"/>
  <c r="I91" i="179"/>
  <c r="W91" i="179" s="1"/>
  <c r="I47" i="173"/>
  <c r="W47" i="173" s="1"/>
  <c r="I49" i="2"/>
  <c r="W49" i="2" s="1"/>
  <c r="L88" i="179"/>
  <c r="L44" i="173"/>
  <c r="L46" i="2"/>
  <c r="J12" i="143"/>
  <c r="I497" i="179"/>
  <c r="W497" i="179" s="1"/>
  <c r="X497" i="179" s="1"/>
  <c r="I85" i="179"/>
  <c r="W85" i="179" s="1"/>
  <c r="X85" i="179" s="1"/>
  <c r="I453" i="173"/>
  <c r="W453" i="173" s="1"/>
  <c r="X453" i="173" s="1"/>
  <c r="I41" i="173"/>
  <c r="W41" i="173" s="1"/>
  <c r="I43" i="2"/>
  <c r="W43" i="2" s="1"/>
  <c r="X43" i="2" s="1"/>
  <c r="I9" i="144"/>
  <c r="K84" i="179"/>
  <c r="K40" i="173"/>
  <c r="K42" i="2"/>
  <c r="H7" i="138"/>
  <c r="V7" i="138" s="1"/>
  <c r="I9" i="146"/>
  <c r="K82" i="179"/>
  <c r="K38" i="173"/>
  <c r="K40" i="2"/>
  <c r="I9" i="142"/>
  <c r="K86" i="179"/>
  <c r="K42" i="173"/>
  <c r="K44" i="2"/>
  <c r="I9" i="141"/>
  <c r="K87" i="179"/>
  <c r="K43" i="173"/>
  <c r="K45" i="2"/>
  <c r="I9" i="145"/>
  <c r="K83" i="179"/>
  <c r="K39" i="173"/>
  <c r="K41" i="2"/>
  <c r="X41" i="173"/>
  <c r="F11" i="145"/>
  <c r="F11" i="144"/>
  <c r="J19" i="143"/>
  <c r="F11" i="143"/>
  <c r="J18" i="143"/>
  <c r="F9" i="143"/>
  <c r="G9" i="143" s="1"/>
  <c r="X7" i="138"/>
  <c r="H24" i="139"/>
  <c r="C24" i="139" s="1"/>
  <c r="H12" i="139"/>
  <c r="F18" i="139"/>
  <c r="J17" i="139" s="1"/>
  <c r="J12" i="139"/>
  <c r="F9" i="139"/>
  <c r="G9" i="139" s="1"/>
  <c r="S47" i="2"/>
  <c r="H47" i="2"/>
  <c r="V47" i="2" s="1"/>
  <c r="G47" i="2"/>
  <c r="F47" i="2"/>
  <c r="E47" i="2"/>
  <c r="D47" i="2"/>
  <c r="E43" i="137"/>
  <c r="C43" i="137"/>
  <c r="E42" i="137"/>
  <c r="C42" i="137"/>
  <c r="E41" i="137"/>
  <c r="C41" i="137"/>
  <c r="E40" i="137"/>
  <c r="C40" i="137"/>
  <c r="E39" i="137"/>
  <c r="C39" i="137"/>
  <c r="E38" i="137"/>
  <c r="C38" i="137"/>
  <c r="E37" i="137"/>
  <c r="C37" i="137"/>
  <c r="E36" i="137"/>
  <c r="C36" i="137"/>
  <c r="E35" i="137"/>
  <c r="C35" i="137"/>
  <c r="E34" i="137"/>
  <c r="C34" i="137"/>
  <c r="C33" i="137"/>
  <c r="C32" i="137"/>
  <c r="H31" i="137"/>
  <c r="C31" i="137" s="1"/>
  <c r="H30" i="137"/>
  <c r="C30" i="137" s="1"/>
  <c r="H29" i="137"/>
  <c r="C29" i="137" s="1"/>
  <c r="H28" i="137"/>
  <c r="H27" i="137"/>
  <c r="H26" i="137"/>
  <c r="H25" i="137"/>
  <c r="C25" i="137" s="1"/>
  <c r="H24" i="137"/>
  <c r="C24" i="137" s="1"/>
  <c r="H23" i="137"/>
  <c r="C23" i="137" s="1"/>
  <c r="J17" i="137"/>
  <c r="J16" i="137"/>
  <c r="J15" i="137"/>
  <c r="G13" i="137"/>
  <c r="F13" i="137"/>
  <c r="H12" i="137"/>
  <c r="F8" i="137"/>
  <c r="L38" i="173" l="1"/>
  <c r="L40" i="2"/>
  <c r="L82" i="179"/>
  <c r="F10" i="143"/>
  <c r="F12" i="137"/>
  <c r="J13" i="137" s="1"/>
  <c r="M89" i="179"/>
  <c r="M45" i="173"/>
  <c r="J18" i="137"/>
  <c r="I89" i="179"/>
  <c r="W89" i="179" s="1"/>
  <c r="X89" i="179" s="1"/>
  <c r="I45" i="173"/>
  <c r="W45" i="173" s="1"/>
  <c r="X45" i="173" s="1"/>
  <c r="I9" i="143"/>
  <c r="K85" i="179"/>
  <c r="K497" i="179"/>
  <c r="K453" i="173"/>
  <c r="K41" i="173"/>
  <c r="K43" i="2"/>
  <c r="L84" i="179"/>
  <c r="L40" i="173"/>
  <c r="L42" i="2"/>
  <c r="M47" i="2"/>
  <c r="F12" i="139"/>
  <c r="F10" i="139" s="1"/>
  <c r="M91" i="179"/>
  <c r="M47" i="173"/>
  <c r="M7" i="138"/>
  <c r="M49" i="2"/>
  <c r="L85" i="179"/>
  <c r="L497" i="179"/>
  <c r="L453" i="173"/>
  <c r="L41" i="173"/>
  <c r="L43" i="2"/>
  <c r="X47" i="173"/>
  <c r="L83" i="179"/>
  <c r="L39" i="173"/>
  <c r="L41" i="2"/>
  <c r="I47" i="2"/>
  <c r="W47" i="2" s="1"/>
  <c r="X47" i="2" s="1"/>
  <c r="I9" i="139"/>
  <c r="K91" i="179"/>
  <c r="K47" i="173"/>
  <c r="K49" i="2"/>
  <c r="K7" i="138"/>
  <c r="X91" i="179"/>
  <c r="J18" i="139"/>
  <c r="F10" i="137"/>
  <c r="J12" i="137"/>
  <c r="F11" i="137" s="1"/>
  <c r="J19" i="137"/>
  <c r="F9" i="137"/>
  <c r="G9" i="137" s="1"/>
  <c r="S48" i="2"/>
  <c r="H48" i="2"/>
  <c r="V48" i="2" s="1"/>
  <c r="G48" i="2"/>
  <c r="F48" i="2"/>
  <c r="E48" i="2"/>
  <c r="D48" i="2"/>
  <c r="J13" i="139" l="1"/>
  <c r="F11" i="139" s="1"/>
  <c r="L89" i="179"/>
  <c r="L45" i="173"/>
  <c r="L47" i="2"/>
  <c r="L91" i="179"/>
  <c r="L47" i="173"/>
  <c r="L7" i="138"/>
  <c r="L49" i="2"/>
  <c r="I9" i="137"/>
  <c r="K89" i="179"/>
  <c r="K45" i="173"/>
  <c r="K47" i="2"/>
  <c r="H32" i="136"/>
  <c r="C32" i="136" s="1"/>
  <c r="H33" i="136"/>
  <c r="C33" i="136" s="1"/>
  <c r="E43" i="136"/>
  <c r="C43" i="136"/>
  <c r="E42" i="136"/>
  <c r="C42" i="136"/>
  <c r="E41" i="136"/>
  <c r="C41" i="136"/>
  <c r="E40" i="136"/>
  <c r="C40" i="136"/>
  <c r="E39" i="136"/>
  <c r="C39" i="136"/>
  <c r="E38" i="136"/>
  <c r="C38" i="136"/>
  <c r="E37" i="136"/>
  <c r="C37" i="136"/>
  <c r="E36" i="136"/>
  <c r="C36" i="136"/>
  <c r="E35" i="136"/>
  <c r="C35" i="136"/>
  <c r="E34" i="136"/>
  <c r="C34" i="136"/>
  <c r="H31" i="136"/>
  <c r="C31" i="136" s="1"/>
  <c r="H30" i="136"/>
  <c r="C30" i="136" s="1"/>
  <c r="H29" i="136"/>
  <c r="C29" i="136" s="1"/>
  <c r="H28" i="136"/>
  <c r="H27" i="136"/>
  <c r="H26" i="136"/>
  <c r="H25" i="136"/>
  <c r="C25" i="136" s="1"/>
  <c r="H24" i="136"/>
  <c r="C24" i="136" s="1"/>
  <c r="H23" i="136"/>
  <c r="C23" i="136" s="1"/>
  <c r="J17" i="136"/>
  <c r="J16" i="136"/>
  <c r="J15" i="136"/>
  <c r="G13" i="136"/>
  <c r="F13" i="136"/>
  <c r="H12" i="136"/>
  <c r="F8" i="136"/>
  <c r="J19" i="136" l="1"/>
  <c r="I90" i="179"/>
  <c r="W90" i="179" s="1"/>
  <c r="X90" i="179" s="1"/>
  <c r="I498" i="179"/>
  <c r="W498" i="179" s="1"/>
  <c r="X498" i="179" s="1"/>
  <c r="I454" i="173"/>
  <c r="W454" i="173" s="1"/>
  <c r="X454" i="173" s="1"/>
  <c r="I46" i="173"/>
  <c r="W46" i="173" s="1"/>
  <c r="X46" i="173" s="1"/>
  <c r="I48" i="2"/>
  <c r="W48" i="2" s="1"/>
  <c r="X48" i="2" s="1"/>
  <c r="F12" i="136"/>
  <c r="F10" i="136" s="1"/>
  <c r="M90" i="179"/>
  <c r="M498" i="179"/>
  <c r="M454" i="173"/>
  <c r="M46" i="173"/>
  <c r="M48" i="2"/>
  <c r="J18" i="136"/>
  <c r="F9" i="136"/>
  <c r="G9" i="136" s="1"/>
  <c r="J12" i="136"/>
  <c r="F192" i="2"/>
  <c r="F193" i="2" s="1"/>
  <c r="F194" i="2" s="1"/>
  <c r="F196" i="2" s="1"/>
  <c r="J13" i="136" l="1"/>
  <c r="I9" i="136"/>
  <c r="K498" i="179"/>
  <c r="K90" i="179"/>
  <c r="K454" i="173"/>
  <c r="K46" i="173"/>
  <c r="K48" i="2"/>
  <c r="F11" i="136"/>
  <c r="S50" i="2"/>
  <c r="H50" i="2"/>
  <c r="V50" i="2" s="1"/>
  <c r="G50" i="2"/>
  <c r="F50" i="2"/>
  <c r="E50" i="2"/>
  <c r="D50" i="2"/>
  <c r="H25" i="135"/>
  <c r="C25" i="135" s="1"/>
  <c r="H26" i="135"/>
  <c r="H27" i="135"/>
  <c r="H28" i="135"/>
  <c r="H29" i="135"/>
  <c r="C29" i="135" s="1"/>
  <c r="H30" i="135"/>
  <c r="C30" i="135" s="1"/>
  <c r="H31" i="135"/>
  <c r="C31" i="135" s="1"/>
  <c r="E43" i="135"/>
  <c r="C43" i="135"/>
  <c r="E42" i="135"/>
  <c r="C42" i="135"/>
  <c r="E41" i="135"/>
  <c r="C41" i="135"/>
  <c r="E40" i="135"/>
  <c r="C40" i="135"/>
  <c r="E39" i="135"/>
  <c r="C39" i="135"/>
  <c r="E38" i="135"/>
  <c r="C38" i="135"/>
  <c r="E37" i="135"/>
  <c r="C37" i="135"/>
  <c r="E36" i="135"/>
  <c r="C36" i="135"/>
  <c r="E35" i="135"/>
  <c r="C35" i="135"/>
  <c r="E34" i="135"/>
  <c r="C34" i="135"/>
  <c r="C33" i="135"/>
  <c r="C32" i="135"/>
  <c r="H24" i="135"/>
  <c r="C24" i="135" s="1"/>
  <c r="H23" i="135"/>
  <c r="C23" i="135" s="1"/>
  <c r="J17" i="135"/>
  <c r="J16" i="135"/>
  <c r="J15" i="135"/>
  <c r="G13" i="135"/>
  <c r="F13" i="135"/>
  <c r="H12" i="135"/>
  <c r="F8" i="135"/>
  <c r="L498" i="179" l="1"/>
  <c r="L90" i="179"/>
  <c r="L454" i="173"/>
  <c r="L46" i="173"/>
  <c r="L48" i="2"/>
  <c r="J19" i="135"/>
  <c r="I92" i="179"/>
  <c r="W92" i="179" s="1"/>
  <c r="X92" i="179" s="1"/>
  <c r="I48" i="173"/>
  <c r="W48" i="173" s="1"/>
  <c r="X48" i="173" s="1"/>
  <c r="F12" i="135"/>
  <c r="F10" i="135" s="1"/>
  <c r="M92" i="179"/>
  <c r="M48" i="173"/>
  <c r="M50" i="2"/>
  <c r="I50" i="2"/>
  <c r="W50" i="2" s="1"/>
  <c r="X50" i="2" s="1"/>
  <c r="F9" i="135"/>
  <c r="G9" i="135" s="1"/>
  <c r="J18" i="135"/>
  <c r="J12" i="135"/>
  <c r="S51" i="2"/>
  <c r="H51" i="2"/>
  <c r="V51" i="2" s="1"/>
  <c r="G51" i="2"/>
  <c r="F51" i="2"/>
  <c r="E51" i="2"/>
  <c r="D51" i="2"/>
  <c r="H24" i="134"/>
  <c r="C24" i="134" s="1"/>
  <c r="E43" i="134"/>
  <c r="C43" i="134"/>
  <c r="E42" i="134"/>
  <c r="C42" i="134"/>
  <c r="E41" i="134"/>
  <c r="C41" i="134"/>
  <c r="E40" i="134"/>
  <c r="C40" i="134"/>
  <c r="E39" i="134"/>
  <c r="C39" i="134"/>
  <c r="E38" i="134"/>
  <c r="C38" i="134"/>
  <c r="E37" i="134"/>
  <c r="C37" i="134"/>
  <c r="E36" i="134"/>
  <c r="C36" i="134"/>
  <c r="E35" i="134"/>
  <c r="C35" i="134"/>
  <c r="E34" i="134"/>
  <c r="C34" i="134"/>
  <c r="C33" i="134"/>
  <c r="C32" i="134"/>
  <c r="C31" i="134"/>
  <c r="C30" i="134"/>
  <c r="C29" i="134"/>
  <c r="C25" i="134"/>
  <c r="H23" i="134"/>
  <c r="C23" i="134" s="1"/>
  <c r="J17" i="134"/>
  <c r="J16" i="134"/>
  <c r="J15" i="134"/>
  <c r="G13" i="134"/>
  <c r="F13" i="134"/>
  <c r="H12" i="134"/>
  <c r="M51" i="2" s="1"/>
  <c r="F8" i="134"/>
  <c r="J13" i="135" l="1"/>
  <c r="J18" i="134"/>
  <c r="I93" i="179"/>
  <c r="W93" i="179" s="1"/>
  <c r="X93" i="179" s="1"/>
  <c r="I49" i="173"/>
  <c r="W49" i="173" s="1"/>
  <c r="X49" i="173" s="1"/>
  <c r="I51" i="2"/>
  <c r="W51" i="2" s="1"/>
  <c r="K92" i="179"/>
  <c r="K48" i="173"/>
  <c r="F12" i="134"/>
  <c r="J13" i="134" s="1"/>
  <c r="M93" i="179"/>
  <c r="M49" i="173"/>
  <c r="I9" i="135"/>
  <c r="K50" i="2"/>
  <c r="F11" i="135"/>
  <c r="X51" i="2"/>
  <c r="J12" i="134"/>
  <c r="F11" i="134" s="1"/>
  <c r="J19" i="134"/>
  <c r="F9" i="134"/>
  <c r="G9" i="134" s="1"/>
  <c r="S54" i="2"/>
  <c r="H54" i="2"/>
  <c r="V54" i="2" s="1"/>
  <c r="G54" i="2"/>
  <c r="F54" i="2"/>
  <c r="E54" i="2"/>
  <c r="D54" i="2"/>
  <c r="S52" i="2"/>
  <c r="H52" i="2"/>
  <c r="V52" i="2" s="1"/>
  <c r="G52" i="2"/>
  <c r="F52" i="2"/>
  <c r="E52" i="2"/>
  <c r="D52" i="2"/>
  <c r="E43" i="133"/>
  <c r="C43" i="133"/>
  <c r="E42" i="133"/>
  <c r="C42" i="133"/>
  <c r="E41" i="133"/>
  <c r="C41" i="133"/>
  <c r="E40" i="133"/>
  <c r="C40" i="133"/>
  <c r="E39" i="133"/>
  <c r="C39" i="133"/>
  <c r="E38" i="133"/>
  <c r="C38" i="133"/>
  <c r="E37" i="133"/>
  <c r="C37" i="133"/>
  <c r="E36" i="133"/>
  <c r="C36" i="133"/>
  <c r="E35" i="133"/>
  <c r="C35" i="133"/>
  <c r="E34" i="133"/>
  <c r="C34" i="133"/>
  <c r="C33" i="133"/>
  <c r="C32" i="133"/>
  <c r="C31" i="133"/>
  <c r="C30" i="133"/>
  <c r="C29" i="133"/>
  <c r="H25" i="133"/>
  <c r="C25" i="133" s="1"/>
  <c r="H24" i="133"/>
  <c r="C24" i="133" s="1"/>
  <c r="H23" i="133"/>
  <c r="C23" i="133" s="1"/>
  <c r="J17" i="133"/>
  <c r="J16" i="133"/>
  <c r="J15" i="133"/>
  <c r="G13" i="133"/>
  <c r="F13" i="133"/>
  <c r="H12" i="133"/>
  <c r="M52" i="2" s="1"/>
  <c r="F8" i="133"/>
  <c r="F10" i="134" l="1"/>
  <c r="J18" i="133"/>
  <c r="I94" i="179"/>
  <c r="W94" i="179" s="1"/>
  <c r="X94" i="179" s="1"/>
  <c r="I50" i="173"/>
  <c r="W50" i="173" s="1"/>
  <c r="X50" i="173" s="1"/>
  <c r="I9" i="134"/>
  <c r="K93" i="179"/>
  <c r="K49" i="173"/>
  <c r="K51" i="2"/>
  <c r="L50" i="2"/>
  <c r="L92" i="179"/>
  <c r="L48" i="173"/>
  <c r="F12" i="133"/>
  <c r="F10" i="133" s="1"/>
  <c r="M94" i="179"/>
  <c r="M50" i="173"/>
  <c r="L93" i="179"/>
  <c r="L49" i="173"/>
  <c r="L51" i="2"/>
  <c r="I52" i="2"/>
  <c r="W52" i="2" s="1"/>
  <c r="X52" i="2"/>
  <c r="J12" i="133"/>
  <c r="J19" i="133"/>
  <c r="F9" i="133"/>
  <c r="G9" i="133" s="1"/>
  <c r="S53" i="2"/>
  <c r="H53" i="2"/>
  <c r="V53" i="2" s="1"/>
  <c r="G53" i="2"/>
  <c r="F53" i="2"/>
  <c r="E53" i="2"/>
  <c r="D53" i="2"/>
  <c r="E43" i="132"/>
  <c r="C43" i="132"/>
  <c r="E42" i="132"/>
  <c r="C42" i="132"/>
  <c r="E41" i="132"/>
  <c r="C41" i="132"/>
  <c r="E40" i="132"/>
  <c r="C40" i="132"/>
  <c r="E39" i="132"/>
  <c r="C39" i="132"/>
  <c r="E38" i="132"/>
  <c r="C38" i="132"/>
  <c r="E37" i="132"/>
  <c r="C37" i="132"/>
  <c r="E36" i="132"/>
  <c r="C36" i="132"/>
  <c r="E35" i="132"/>
  <c r="C35" i="132"/>
  <c r="E34" i="132"/>
  <c r="C34" i="132"/>
  <c r="C33" i="132"/>
  <c r="C32" i="132"/>
  <c r="C31" i="132"/>
  <c r="C30" i="132"/>
  <c r="C29" i="132"/>
  <c r="H27" i="132"/>
  <c r="C27" i="132" s="1"/>
  <c r="H26" i="132"/>
  <c r="C26" i="132" s="1"/>
  <c r="H25" i="132"/>
  <c r="C25" i="132" s="1"/>
  <c r="H24" i="132"/>
  <c r="C24" i="132" s="1"/>
  <c r="H23" i="132"/>
  <c r="C23" i="132" s="1"/>
  <c r="J17" i="132"/>
  <c r="J16" i="132"/>
  <c r="J15" i="132"/>
  <c r="G13" i="132"/>
  <c r="F13" i="132"/>
  <c r="H12" i="132"/>
  <c r="F8" i="132"/>
  <c r="E43" i="131"/>
  <c r="C43" i="131"/>
  <c r="E42" i="131"/>
  <c r="C42" i="131"/>
  <c r="E41" i="131"/>
  <c r="C41" i="131"/>
  <c r="E40" i="131"/>
  <c r="C40" i="131"/>
  <c r="E39" i="131"/>
  <c r="C39" i="131"/>
  <c r="E38" i="131"/>
  <c r="C38" i="131"/>
  <c r="E37" i="131"/>
  <c r="C37" i="131"/>
  <c r="E36" i="131"/>
  <c r="C36" i="131"/>
  <c r="E35" i="131"/>
  <c r="C35" i="131"/>
  <c r="E34" i="131"/>
  <c r="C34" i="131"/>
  <c r="C33" i="131"/>
  <c r="C32" i="131"/>
  <c r="C31" i="131"/>
  <c r="C30" i="131"/>
  <c r="C29" i="131"/>
  <c r="H28" i="131"/>
  <c r="C28" i="131" s="1"/>
  <c r="H27" i="131"/>
  <c r="C27" i="131" s="1"/>
  <c r="H26" i="131"/>
  <c r="C26" i="131" s="1"/>
  <c r="H25" i="131"/>
  <c r="C25" i="131" s="1"/>
  <c r="H24" i="131"/>
  <c r="C24" i="131" s="1"/>
  <c r="H23" i="131"/>
  <c r="C23" i="131" s="1"/>
  <c r="J17" i="131"/>
  <c r="J16" i="131"/>
  <c r="J15" i="131"/>
  <c r="G13" i="131"/>
  <c r="F13" i="131"/>
  <c r="H12" i="131"/>
  <c r="F12" i="131" s="1"/>
  <c r="F10" i="131" s="1"/>
  <c r="F8" i="131"/>
  <c r="S55" i="2"/>
  <c r="H55" i="2"/>
  <c r="V55" i="2" s="1"/>
  <c r="G55" i="2"/>
  <c r="F55" i="2"/>
  <c r="E55" i="2"/>
  <c r="D55" i="2"/>
  <c r="H26" i="130"/>
  <c r="C26" i="130" s="1"/>
  <c r="E43" i="130"/>
  <c r="C43" i="130"/>
  <c r="E42" i="130"/>
  <c r="C42" i="130"/>
  <c r="E41" i="130"/>
  <c r="C41" i="130"/>
  <c r="E40" i="130"/>
  <c r="C40" i="130"/>
  <c r="E39" i="130"/>
  <c r="C39" i="130"/>
  <c r="E38" i="130"/>
  <c r="C38" i="130"/>
  <c r="E37" i="130"/>
  <c r="C37" i="130"/>
  <c r="C36" i="130"/>
  <c r="C35" i="130"/>
  <c r="C34" i="130"/>
  <c r="C33" i="130"/>
  <c r="C32" i="130"/>
  <c r="C31" i="130"/>
  <c r="C30" i="130"/>
  <c r="C29" i="130"/>
  <c r="C28" i="130"/>
  <c r="C27" i="130"/>
  <c r="H25" i="130"/>
  <c r="C25" i="130" s="1"/>
  <c r="H24" i="130"/>
  <c r="C24" i="130" s="1"/>
  <c r="H23" i="130"/>
  <c r="C23" i="130" s="1"/>
  <c r="J17" i="130"/>
  <c r="J16" i="130"/>
  <c r="J15" i="130"/>
  <c r="G13" i="130"/>
  <c r="F13" i="130"/>
  <c r="H12" i="130"/>
  <c r="F8" i="130"/>
  <c r="I55" i="2" s="1"/>
  <c r="W55" i="2" s="1"/>
  <c r="S56" i="2"/>
  <c r="G56" i="2"/>
  <c r="F56" i="2"/>
  <c r="E56" i="2"/>
  <c r="D56" i="2"/>
  <c r="K24" i="129"/>
  <c r="E43" i="129"/>
  <c r="C43" i="129"/>
  <c r="E42" i="129"/>
  <c r="C42" i="129"/>
  <c r="E41" i="129"/>
  <c r="C41" i="129"/>
  <c r="E40" i="129"/>
  <c r="C40" i="129"/>
  <c r="E39" i="129"/>
  <c r="C39" i="129"/>
  <c r="C38" i="129"/>
  <c r="C37" i="129"/>
  <c r="C36" i="129"/>
  <c r="C35" i="129"/>
  <c r="C34" i="129"/>
  <c r="C33" i="129"/>
  <c r="C32" i="129"/>
  <c r="C31" i="129"/>
  <c r="C30" i="129"/>
  <c r="C29" i="129"/>
  <c r="C28" i="129"/>
  <c r="C27" i="129"/>
  <c r="C26" i="129"/>
  <c r="K23" i="129"/>
  <c r="H23" i="129" s="1"/>
  <c r="C23" i="129" s="1"/>
  <c r="J16" i="129"/>
  <c r="J15" i="129"/>
  <c r="F7" i="129"/>
  <c r="F12" i="130" l="1"/>
  <c r="F10" i="130" s="1"/>
  <c r="M97" i="179"/>
  <c r="M53" i="173"/>
  <c r="J19" i="130"/>
  <c r="I97" i="179"/>
  <c r="W97" i="179" s="1"/>
  <c r="X97" i="179" s="1"/>
  <c r="I53" i="173"/>
  <c r="W53" i="173" s="1"/>
  <c r="X53" i="173" s="1"/>
  <c r="M55" i="2"/>
  <c r="M96" i="179"/>
  <c r="M52" i="173"/>
  <c r="M54" i="2"/>
  <c r="I9" i="133"/>
  <c r="K94" i="179"/>
  <c r="K50" i="173"/>
  <c r="K52" i="2"/>
  <c r="J13" i="133"/>
  <c r="F11" i="133" s="1"/>
  <c r="F18" i="129"/>
  <c r="J17" i="129" s="1"/>
  <c r="H98" i="179"/>
  <c r="V98" i="179" s="1"/>
  <c r="H54" i="173"/>
  <c r="V54" i="173" s="1"/>
  <c r="F13" i="129"/>
  <c r="H56" i="2"/>
  <c r="V56" i="2" s="1"/>
  <c r="F9" i="131"/>
  <c r="G9" i="131" s="1"/>
  <c r="I96" i="179"/>
  <c r="W96" i="179" s="1"/>
  <c r="X96" i="179" s="1"/>
  <c r="I52" i="173"/>
  <c r="W52" i="173" s="1"/>
  <c r="X52" i="173" s="1"/>
  <c r="I54" i="2"/>
  <c r="W54" i="2" s="1"/>
  <c r="X54" i="2" s="1"/>
  <c r="F12" i="132"/>
  <c r="M95" i="179"/>
  <c r="M51" i="173"/>
  <c r="M53" i="2"/>
  <c r="H24" i="129"/>
  <c r="C24" i="129" s="1"/>
  <c r="F9" i="132"/>
  <c r="G9" i="132" s="1"/>
  <c r="I95" i="179"/>
  <c r="W95" i="179" s="1"/>
  <c r="X95" i="179" s="1"/>
  <c r="I51" i="173"/>
  <c r="W51" i="173" s="1"/>
  <c r="X51" i="173" s="1"/>
  <c r="I53" i="2"/>
  <c r="W53" i="2" s="1"/>
  <c r="X53" i="2"/>
  <c r="J18" i="132"/>
  <c r="J13" i="132"/>
  <c r="F10" i="132"/>
  <c r="J12" i="132"/>
  <c r="F11" i="132" s="1"/>
  <c r="J19" i="132"/>
  <c r="J13" i="131"/>
  <c r="J18" i="131"/>
  <c r="J12" i="131"/>
  <c r="J19" i="131"/>
  <c r="X55" i="2"/>
  <c r="F9" i="130"/>
  <c r="G9" i="130" s="1"/>
  <c r="J18" i="130"/>
  <c r="J13" i="130"/>
  <c r="J12" i="130"/>
  <c r="G13" i="129"/>
  <c r="C25" i="129"/>
  <c r="F8" i="129"/>
  <c r="H12" i="129"/>
  <c r="I56" i="127"/>
  <c r="I52" i="127"/>
  <c r="I39" i="127"/>
  <c r="S57" i="2"/>
  <c r="G57" i="2"/>
  <c r="F57" i="2"/>
  <c r="E57" i="2"/>
  <c r="D57" i="2"/>
  <c r="E43" i="128"/>
  <c r="C43" i="128"/>
  <c r="E42" i="128"/>
  <c r="C42" i="128"/>
  <c r="E41" i="128"/>
  <c r="C41" i="128"/>
  <c r="E40" i="128"/>
  <c r="C40" i="128"/>
  <c r="E39" i="128"/>
  <c r="C39" i="128"/>
  <c r="C38" i="128"/>
  <c r="C37" i="128"/>
  <c r="C36" i="128"/>
  <c r="C35" i="128"/>
  <c r="C34" i="128"/>
  <c r="C33" i="128"/>
  <c r="C32" i="128"/>
  <c r="C31" i="128"/>
  <c r="C30" i="128"/>
  <c r="C29" i="128"/>
  <c r="C28" i="128"/>
  <c r="C27" i="128"/>
  <c r="C26" i="128"/>
  <c r="K25" i="128"/>
  <c r="K24" i="128"/>
  <c r="K23" i="128"/>
  <c r="J16" i="128"/>
  <c r="J15" i="128"/>
  <c r="F7" i="128"/>
  <c r="H57" i="2" s="1"/>
  <c r="V57" i="2" s="1"/>
  <c r="S58" i="2"/>
  <c r="G58" i="2"/>
  <c r="F58" i="2"/>
  <c r="E58" i="2"/>
  <c r="D58" i="2"/>
  <c r="F11" i="131" l="1"/>
  <c r="L94" i="179"/>
  <c r="L50" i="173"/>
  <c r="L52" i="2"/>
  <c r="L95" i="179"/>
  <c r="L51" i="173"/>
  <c r="L53" i="2"/>
  <c r="H99" i="179"/>
  <c r="V99" i="179" s="1"/>
  <c r="H55" i="173"/>
  <c r="V55" i="173" s="1"/>
  <c r="H8" i="138"/>
  <c r="V8" i="138" s="1"/>
  <c r="F12" i="129"/>
  <c r="J13" i="129" s="1"/>
  <c r="M98" i="179"/>
  <c r="M54" i="173"/>
  <c r="M56" i="2"/>
  <c r="I9" i="130"/>
  <c r="K97" i="179"/>
  <c r="K53" i="173"/>
  <c r="K55" i="2"/>
  <c r="I9" i="132"/>
  <c r="K95" i="179"/>
  <c r="K51" i="173"/>
  <c r="K53" i="2"/>
  <c r="L96" i="179"/>
  <c r="L52" i="173"/>
  <c r="L54" i="2"/>
  <c r="H23" i="128"/>
  <c r="C23" i="128" s="1"/>
  <c r="J19" i="129"/>
  <c r="I98" i="179"/>
  <c r="W98" i="179" s="1"/>
  <c r="X98" i="179" s="1"/>
  <c r="I54" i="173"/>
  <c r="W54" i="173" s="1"/>
  <c r="X54" i="173" s="1"/>
  <c r="I56" i="2"/>
  <c r="W56" i="2" s="1"/>
  <c r="X56" i="2" s="1"/>
  <c r="I9" i="131"/>
  <c r="K96" i="179"/>
  <c r="K52" i="173"/>
  <c r="K54" i="2"/>
  <c r="F11" i="130"/>
  <c r="J12" i="129"/>
  <c r="J18" i="129"/>
  <c r="F9" i="129"/>
  <c r="G9" i="129" s="1"/>
  <c r="F10" i="129"/>
  <c r="G13" i="128"/>
  <c r="H24" i="128"/>
  <c r="C24" i="128" s="1"/>
  <c r="H12" i="128"/>
  <c r="F12" i="128" s="1"/>
  <c r="J13" i="128" s="1"/>
  <c r="H25" i="128"/>
  <c r="C25" i="128" s="1"/>
  <c r="F8" i="128"/>
  <c r="F13" i="128"/>
  <c r="F18" i="128"/>
  <c r="J17" i="128" s="1"/>
  <c r="L56" i="127"/>
  <c r="N56" i="127" s="1"/>
  <c r="L52" i="127"/>
  <c r="N52" i="127" s="1"/>
  <c r="L39" i="127"/>
  <c r="N39" i="127" s="1"/>
  <c r="M52" i="127"/>
  <c r="M56" i="127"/>
  <c r="M39" i="127"/>
  <c r="S26" i="127"/>
  <c r="G26" i="127"/>
  <c r="F26" i="127"/>
  <c r="E26" i="127"/>
  <c r="D26" i="127"/>
  <c r="S25" i="127"/>
  <c r="G25" i="127"/>
  <c r="F25" i="127"/>
  <c r="E25" i="127"/>
  <c r="D25" i="127"/>
  <c r="S24" i="127"/>
  <c r="H24" i="127"/>
  <c r="V24" i="127" s="1"/>
  <c r="G24" i="127"/>
  <c r="F24" i="127"/>
  <c r="E24" i="127"/>
  <c r="D24" i="127"/>
  <c r="S23" i="127"/>
  <c r="H23" i="127"/>
  <c r="V23" i="127" s="1"/>
  <c r="G23" i="127"/>
  <c r="F23" i="127"/>
  <c r="E23" i="127"/>
  <c r="D23" i="127"/>
  <c r="S22" i="127"/>
  <c r="G22" i="127"/>
  <c r="F22" i="127"/>
  <c r="E22" i="127"/>
  <c r="D22" i="127"/>
  <c r="S21" i="127"/>
  <c r="G21" i="127"/>
  <c r="F21" i="127"/>
  <c r="E21" i="127"/>
  <c r="D21" i="127"/>
  <c r="S20" i="127"/>
  <c r="H20" i="127"/>
  <c r="V20" i="127" s="1"/>
  <c r="G20" i="127"/>
  <c r="F20" i="127"/>
  <c r="E20" i="127"/>
  <c r="D20" i="127"/>
  <c r="W19" i="127"/>
  <c r="V19" i="127"/>
  <c r="S19" i="127"/>
  <c r="F19" i="127"/>
  <c r="E19" i="127"/>
  <c r="D19" i="127"/>
  <c r="S18" i="127"/>
  <c r="H18" i="127"/>
  <c r="V18" i="127" s="1"/>
  <c r="G18" i="127"/>
  <c r="F18" i="127"/>
  <c r="E18" i="127"/>
  <c r="D18" i="127"/>
  <c r="S17" i="127"/>
  <c r="H17" i="127"/>
  <c r="V17" i="127" s="1"/>
  <c r="G17" i="127"/>
  <c r="F17" i="127"/>
  <c r="E17" i="127"/>
  <c r="D17" i="127"/>
  <c r="S16" i="127"/>
  <c r="H16" i="127"/>
  <c r="V16" i="127" s="1"/>
  <c r="G16" i="127"/>
  <c r="F16" i="127"/>
  <c r="E16" i="127"/>
  <c r="D16" i="127"/>
  <c r="S15" i="127"/>
  <c r="G15" i="127"/>
  <c r="F15" i="127"/>
  <c r="E15" i="127"/>
  <c r="D15" i="127"/>
  <c r="S14" i="127"/>
  <c r="G14" i="127"/>
  <c r="F14" i="127"/>
  <c r="E14" i="127"/>
  <c r="D14" i="127"/>
  <c r="S13" i="127"/>
  <c r="G13" i="127"/>
  <c r="F13" i="127"/>
  <c r="E13" i="127"/>
  <c r="D13" i="127"/>
  <c r="S12" i="127"/>
  <c r="H12" i="127"/>
  <c r="V12" i="127" s="1"/>
  <c r="G12" i="127"/>
  <c r="F12" i="127"/>
  <c r="E12" i="127"/>
  <c r="D12" i="127"/>
  <c r="S11" i="127"/>
  <c r="H11" i="127"/>
  <c r="V11" i="127" s="1"/>
  <c r="G11" i="127"/>
  <c r="F11" i="127"/>
  <c r="E11" i="127"/>
  <c r="D11" i="127"/>
  <c r="S10" i="127"/>
  <c r="G10" i="127"/>
  <c r="F10" i="127"/>
  <c r="E10" i="127"/>
  <c r="D10" i="127"/>
  <c r="S9" i="127"/>
  <c r="H9" i="127"/>
  <c r="V9" i="127" s="1"/>
  <c r="G9" i="127"/>
  <c r="F9" i="127"/>
  <c r="E9" i="127"/>
  <c r="D9" i="127"/>
  <c r="S8" i="127"/>
  <c r="H8" i="127"/>
  <c r="V8" i="127" s="1"/>
  <c r="G8" i="127"/>
  <c r="F8" i="127"/>
  <c r="E8" i="127"/>
  <c r="D8" i="127"/>
  <c r="X19" i="127" l="1"/>
  <c r="I9" i="129"/>
  <c r="K98" i="179"/>
  <c r="K54" i="173"/>
  <c r="K56" i="2"/>
  <c r="I99" i="179"/>
  <c r="W99" i="179" s="1"/>
  <c r="X99" i="179" s="1"/>
  <c r="I55" i="173"/>
  <c r="W55" i="173" s="1"/>
  <c r="X55" i="173" s="1"/>
  <c r="I8" i="138"/>
  <c r="W8" i="138" s="1"/>
  <c r="X8" i="138" s="1"/>
  <c r="I57" i="2"/>
  <c r="W57" i="2" s="1"/>
  <c r="X57" i="2" s="1"/>
  <c r="L97" i="179"/>
  <c r="L53" i="173"/>
  <c r="L55" i="2"/>
  <c r="M99" i="179"/>
  <c r="M55" i="173"/>
  <c r="M8" i="138"/>
  <c r="M57" i="2"/>
  <c r="F11" i="129"/>
  <c r="F10" i="128"/>
  <c r="J19" i="128"/>
  <c r="F9" i="128"/>
  <c r="G9" i="128" s="1"/>
  <c r="J12" i="128"/>
  <c r="F11" i="128" s="1"/>
  <c r="J18" i="128"/>
  <c r="S59" i="2"/>
  <c r="H59" i="2"/>
  <c r="V59" i="2" s="1"/>
  <c r="G59" i="2"/>
  <c r="F59" i="2"/>
  <c r="E59" i="2"/>
  <c r="D59" i="2"/>
  <c r="L99" i="179" l="1"/>
  <c r="L55" i="173"/>
  <c r="L8" i="138"/>
  <c r="L57" i="2"/>
  <c r="L98" i="179"/>
  <c r="L54" i="173"/>
  <c r="L56" i="2"/>
  <c r="I9" i="128"/>
  <c r="K99" i="179"/>
  <c r="K55" i="173"/>
  <c r="K8" i="138"/>
  <c r="K57" i="2"/>
  <c r="E43" i="126"/>
  <c r="C43" i="126"/>
  <c r="E42" i="126"/>
  <c r="C42" i="126"/>
  <c r="E41" i="126"/>
  <c r="C41" i="126"/>
  <c r="E40" i="126"/>
  <c r="C40" i="126"/>
  <c r="E39" i="126"/>
  <c r="C39" i="126"/>
  <c r="E38" i="126"/>
  <c r="C38" i="126"/>
  <c r="E37" i="126"/>
  <c r="C37" i="126"/>
  <c r="C36" i="126"/>
  <c r="C35" i="126"/>
  <c r="C34" i="126"/>
  <c r="C33" i="126"/>
  <c r="C32" i="126"/>
  <c r="C31" i="126"/>
  <c r="C30" i="126"/>
  <c r="C29" i="126"/>
  <c r="C28" i="126"/>
  <c r="C27" i="126"/>
  <c r="C26" i="126"/>
  <c r="H25" i="126"/>
  <c r="C25" i="126" s="1"/>
  <c r="H24" i="126"/>
  <c r="C24" i="126" s="1"/>
  <c r="H23" i="126"/>
  <c r="C23" i="126" s="1"/>
  <c r="J17" i="126"/>
  <c r="J16" i="126"/>
  <c r="J15" i="126"/>
  <c r="G13" i="126"/>
  <c r="F13" i="126"/>
  <c r="H12" i="126"/>
  <c r="F8" i="126"/>
  <c r="J18" i="126" l="1"/>
  <c r="I101" i="179"/>
  <c r="W101" i="179" s="1"/>
  <c r="X101" i="179" s="1"/>
  <c r="I57" i="173"/>
  <c r="W57" i="173" s="1"/>
  <c r="X57" i="173" s="1"/>
  <c r="I59" i="2"/>
  <c r="W59" i="2" s="1"/>
  <c r="X59" i="2" s="1"/>
  <c r="F12" i="126"/>
  <c r="J13" i="126" s="1"/>
  <c r="M101" i="179"/>
  <c r="M57" i="173"/>
  <c r="M59" i="2"/>
  <c r="J12" i="126"/>
  <c r="J19" i="126"/>
  <c r="F9" i="126"/>
  <c r="G9" i="126" s="1"/>
  <c r="S61" i="2"/>
  <c r="H61" i="2"/>
  <c r="V61" i="2" s="1"/>
  <c r="G61" i="2"/>
  <c r="F61" i="2"/>
  <c r="E61" i="2"/>
  <c r="D61" i="2"/>
  <c r="H26" i="125"/>
  <c r="C26" i="125" s="1"/>
  <c r="H27" i="125"/>
  <c r="C27" i="125" s="1"/>
  <c r="H28" i="125"/>
  <c r="C28" i="125" s="1"/>
  <c r="H29" i="125"/>
  <c r="C29" i="125" s="1"/>
  <c r="E43" i="125"/>
  <c r="C43" i="125"/>
  <c r="E42" i="125"/>
  <c r="C42" i="125"/>
  <c r="E41" i="125"/>
  <c r="C41" i="125"/>
  <c r="E40" i="125"/>
  <c r="C40" i="125"/>
  <c r="E39" i="125"/>
  <c r="C39" i="125"/>
  <c r="E38" i="125"/>
  <c r="C38" i="125"/>
  <c r="E37" i="125"/>
  <c r="C37" i="125"/>
  <c r="C36" i="125"/>
  <c r="C35" i="125"/>
  <c r="C34" i="125"/>
  <c r="C33" i="125"/>
  <c r="C32" i="125"/>
  <c r="C31" i="125"/>
  <c r="C30" i="125"/>
  <c r="H25" i="125"/>
  <c r="C25" i="125" s="1"/>
  <c r="H24" i="125"/>
  <c r="C24" i="125" s="1"/>
  <c r="H23" i="125"/>
  <c r="C23" i="125" s="1"/>
  <c r="J17" i="125"/>
  <c r="J16" i="125"/>
  <c r="J15" i="125"/>
  <c r="G13" i="125"/>
  <c r="F13" i="125"/>
  <c r="H12" i="125"/>
  <c r="F8" i="125"/>
  <c r="F11" i="126" l="1"/>
  <c r="L101" i="179" s="1"/>
  <c r="F10" i="126"/>
  <c r="F12" i="125"/>
  <c r="M103" i="179"/>
  <c r="M59" i="173"/>
  <c r="M8" i="127"/>
  <c r="I9" i="126"/>
  <c r="K101" i="179"/>
  <c r="K57" i="173"/>
  <c r="K59" i="2"/>
  <c r="J18" i="125"/>
  <c r="I103" i="179"/>
  <c r="W103" i="179" s="1"/>
  <c r="X103" i="179" s="1"/>
  <c r="I59" i="173"/>
  <c r="W59" i="173" s="1"/>
  <c r="X59" i="173" s="1"/>
  <c r="I8" i="127"/>
  <c r="W8" i="127" s="1"/>
  <c r="X8" i="127" s="1"/>
  <c r="M61" i="2"/>
  <c r="I61" i="2"/>
  <c r="W61" i="2" s="1"/>
  <c r="X61" i="2" s="1"/>
  <c r="J13" i="125"/>
  <c r="F10" i="125"/>
  <c r="J12" i="125"/>
  <c r="J19" i="125"/>
  <c r="F9" i="125"/>
  <c r="G9" i="125" s="1"/>
  <c r="S62" i="2"/>
  <c r="H62" i="2"/>
  <c r="V62" i="2" s="1"/>
  <c r="G62" i="2"/>
  <c r="F62" i="2"/>
  <c r="E62" i="2"/>
  <c r="D62" i="2"/>
  <c r="E43" i="124"/>
  <c r="C43" i="124"/>
  <c r="E42" i="124"/>
  <c r="C42" i="124"/>
  <c r="E41" i="124"/>
  <c r="C41" i="124"/>
  <c r="E40" i="124"/>
  <c r="C40" i="124"/>
  <c r="E39" i="124"/>
  <c r="C39" i="124"/>
  <c r="E38" i="124"/>
  <c r="C38" i="124"/>
  <c r="E37" i="124"/>
  <c r="C37" i="124"/>
  <c r="C36" i="124"/>
  <c r="C35" i="124"/>
  <c r="C34" i="124"/>
  <c r="C33" i="124"/>
  <c r="C32" i="124"/>
  <c r="C31" i="124"/>
  <c r="C30" i="124"/>
  <c r="C29" i="124"/>
  <c r="C28" i="124"/>
  <c r="C27" i="124"/>
  <c r="C26" i="124"/>
  <c r="H25" i="124"/>
  <c r="C25" i="124" s="1"/>
  <c r="H24" i="124"/>
  <c r="C24" i="124" s="1"/>
  <c r="H23" i="124"/>
  <c r="C23" i="124" s="1"/>
  <c r="J17" i="124"/>
  <c r="J16" i="124"/>
  <c r="J15" i="124"/>
  <c r="G13" i="124"/>
  <c r="F13" i="124"/>
  <c r="H12" i="124"/>
  <c r="M62" i="2" s="1"/>
  <c r="F8" i="124"/>
  <c r="I62" i="2" s="1"/>
  <c r="W62" i="2" s="1"/>
  <c r="L59" i="2" l="1"/>
  <c r="L57" i="173"/>
  <c r="J19" i="124"/>
  <c r="I104" i="179"/>
  <c r="W104" i="179" s="1"/>
  <c r="X104" i="179" s="1"/>
  <c r="I60" i="173"/>
  <c r="W60" i="173" s="1"/>
  <c r="X60" i="173" s="1"/>
  <c r="I9" i="127"/>
  <c r="W9" i="127" s="1"/>
  <c r="X9" i="127" s="1"/>
  <c r="F12" i="124"/>
  <c r="J13" i="124" s="1"/>
  <c r="M104" i="179"/>
  <c r="M60" i="173"/>
  <c r="M9" i="127"/>
  <c r="K103" i="179"/>
  <c r="K59" i="173"/>
  <c r="K8" i="127"/>
  <c r="I9" i="125"/>
  <c r="K61" i="2"/>
  <c r="F11" i="125"/>
  <c r="X62" i="2"/>
  <c r="F9" i="124"/>
  <c r="G9" i="124" s="1"/>
  <c r="J18" i="124"/>
  <c r="J12" i="124"/>
  <c r="K24" i="123"/>
  <c r="E43" i="123"/>
  <c r="C43" i="123"/>
  <c r="E42" i="123"/>
  <c r="C42" i="123"/>
  <c r="E41" i="123"/>
  <c r="C41" i="123"/>
  <c r="E40" i="123"/>
  <c r="C40" i="123"/>
  <c r="E39" i="123"/>
  <c r="C39" i="123"/>
  <c r="C38" i="123"/>
  <c r="C37" i="123"/>
  <c r="C36" i="123"/>
  <c r="C35" i="123"/>
  <c r="C34" i="123"/>
  <c r="C33" i="123"/>
  <c r="C32" i="123"/>
  <c r="C31" i="123"/>
  <c r="C30" i="123"/>
  <c r="C29" i="123"/>
  <c r="C28" i="123"/>
  <c r="C27" i="123"/>
  <c r="C26" i="123"/>
  <c r="K25" i="123"/>
  <c r="K23" i="123"/>
  <c r="J16" i="123"/>
  <c r="J15" i="123"/>
  <c r="F7" i="123"/>
  <c r="F11" i="124" l="1"/>
  <c r="L62" i="2" s="1"/>
  <c r="F10" i="124"/>
  <c r="I9" i="124"/>
  <c r="K104" i="179"/>
  <c r="K60" i="173"/>
  <c r="K9" i="127"/>
  <c r="K62" i="2"/>
  <c r="L60" i="173"/>
  <c r="L9" i="127"/>
  <c r="H10" i="127"/>
  <c r="V10" i="127" s="1"/>
  <c r="H100" i="179"/>
  <c r="V100" i="179" s="1"/>
  <c r="H56" i="173"/>
  <c r="V56" i="173" s="1"/>
  <c r="H58" i="2"/>
  <c r="V58" i="2" s="1"/>
  <c r="L61" i="2"/>
  <c r="L103" i="179"/>
  <c r="L59" i="173"/>
  <c r="L8" i="127"/>
  <c r="G13" i="123"/>
  <c r="H23" i="123"/>
  <c r="C23" i="123" s="1"/>
  <c r="F13" i="123"/>
  <c r="H25" i="123"/>
  <c r="C25" i="123" s="1"/>
  <c r="F8" i="123"/>
  <c r="H12" i="123"/>
  <c r="H24" i="123"/>
  <c r="C24" i="123" s="1"/>
  <c r="F18" i="123"/>
  <c r="J17" i="123" s="1"/>
  <c r="S63" i="2"/>
  <c r="H63" i="2"/>
  <c r="V63" i="2" s="1"/>
  <c r="G63" i="2"/>
  <c r="F63" i="2"/>
  <c r="E63" i="2"/>
  <c r="D63" i="2"/>
  <c r="E43" i="122"/>
  <c r="C43" i="122"/>
  <c r="E42" i="122"/>
  <c r="C42" i="122"/>
  <c r="E41" i="122"/>
  <c r="C41" i="122"/>
  <c r="E40" i="122"/>
  <c r="C40" i="122"/>
  <c r="E39" i="122"/>
  <c r="C39" i="122"/>
  <c r="E38" i="122"/>
  <c r="C38" i="122"/>
  <c r="E37" i="122"/>
  <c r="C37" i="122"/>
  <c r="C36" i="122"/>
  <c r="C35" i="122"/>
  <c r="C34" i="122"/>
  <c r="C33" i="122"/>
  <c r="C32" i="122"/>
  <c r="C31" i="122"/>
  <c r="C30" i="122"/>
  <c r="C29" i="122"/>
  <c r="H28" i="122"/>
  <c r="C28" i="122" s="1"/>
  <c r="H27" i="122"/>
  <c r="C27" i="122" s="1"/>
  <c r="H26" i="122"/>
  <c r="C26" i="122" s="1"/>
  <c r="H25" i="122"/>
  <c r="C25" i="122" s="1"/>
  <c r="H24" i="122"/>
  <c r="C24" i="122" s="1"/>
  <c r="H23" i="122"/>
  <c r="C23" i="122" s="1"/>
  <c r="J17" i="122"/>
  <c r="J16" i="122"/>
  <c r="J15" i="122"/>
  <c r="G13" i="122"/>
  <c r="F13" i="122"/>
  <c r="H12" i="122"/>
  <c r="F8" i="122"/>
  <c r="L104" i="179" l="1"/>
  <c r="M100" i="179"/>
  <c r="M56" i="173"/>
  <c r="M58" i="2"/>
  <c r="I105" i="179"/>
  <c r="W105" i="179" s="1"/>
  <c r="X105" i="179" s="1"/>
  <c r="I61" i="173"/>
  <c r="W61" i="173" s="1"/>
  <c r="X61" i="173" s="1"/>
  <c r="I100" i="179"/>
  <c r="W100" i="179" s="1"/>
  <c r="X100" i="179" s="1"/>
  <c r="I56" i="173"/>
  <c r="W56" i="173" s="1"/>
  <c r="X56" i="173" s="1"/>
  <c r="I58" i="2"/>
  <c r="W58" i="2" s="1"/>
  <c r="X58" i="2" s="1"/>
  <c r="M105" i="179"/>
  <c r="M61" i="173"/>
  <c r="F12" i="122"/>
  <c r="F10" i="122" s="1"/>
  <c r="M11" i="127"/>
  <c r="F9" i="122"/>
  <c r="G9" i="122" s="1"/>
  <c r="K63" i="2" s="1"/>
  <c r="I11" i="127"/>
  <c r="W11" i="127" s="1"/>
  <c r="X11" i="127" s="1"/>
  <c r="F12" i="123"/>
  <c r="J13" i="123" s="1"/>
  <c r="M10" i="127"/>
  <c r="J19" i="123"/>
  <c r="I10" i="127"/>
  <c r="W10" i="127" s="1"/>
  <c r="X10" i="127" s="1"/>
  <c r="F9" i="123"/>
  <c r="G9" i="123" s="1"/>
  <c r="J12" i="123"/>
  <c r="J18" i="123"/>
  <c r="I63" i="2"/>
  <c r="W63" i="2" s="1"/>
  <c r="X63" i="2" s="1"/>
  <c r="M63" i="2"/>
  <c r="J18" i="122"/>
  <c r="J12" i="122"/>
  <c r="J19" i="122"/>
  <c r="S64" i="2"/>
  <c r="H64" i="2"/>
  <c r="V64" i="2" s="1"/>
  <c r="G64" i="2"/>
  <c r="F64" i="2"/>
  <c r="E64" i="2"/>
  <c r="D64" i="2"/>
  <c r="E43" i="121"/>
  <c r="C43" i="121"/>
  <c r="E42" i="121"/>
  <c r="C42" i="121"/>
  <c r="E41" i="121"/>
  <c r="C41" i="121"/>
  <c r="E40" i="121"/>
  <c r="C40" i="121"/>
  <c r="E39" i="121"/>
  <c r="C39" i="121"/>
  <c r="E38" i="121"/>
  <c r="C38" i="121"/>
  <c r="E37" i="121"/>
  <c r="C37" i="121"/>
  <c r="C36" i="121"/>
  <c r="C35" i="121"/>
  <c r="C34" i="121"/>
  <c r="C33" i="121"/>
  <c r="C32" i="121"/>
  <c r="C31" i="121"/>
  <c r="C30" i="121"/>
  <c r="C29" i="121"/>
  <c r="H28" i="121"/>
  <c r="C28" i="121" s="1"/>
  <c r="H27" i="121"/>
  <c r="C27" i="121" s="1"/>
  <c r="H26" i="121"/>
  <c r="C26" i="121" s="1"/>
  <c r="H25" i="121"/>
  <c r="C25" i="121" s="1"/>
  <c r="H24" i="121"/>
  <c r="C24" i="121" s="1"/>
  <c r="H23" i="121"/>
  <c r="C23" i="121" s="1"/>
  <c r="J17" i="121"/>
  <c r="J16" i="121"/>
  <c r="J15" i="121"/>
  <c r="G13" i="121"/>
  <c r="F13" i="121"/>
  <c r="H12" i="121"/>
  <c r="F8" i="121"/>
  <c r="M24" i="119"/>
  <c r="M25" i="119"/>
  <c r="M26" i="119"/>
  <c r="M27" i="119"/>
  <c r="J13" i="122" l="1"/>
  <c r="F12" i="121"/>
  <c r="M106" i="179"/>
  <c r="M62" i="173"/>
  <c r="M12" i="127"/>
  <c r="F11" i="122"/>
  <c r="L11" i="127" s="1"/>
  <c r="K100" i="179"/>
  <c r="K56" i="173"/>
  <c r="K58" i="2"/>
  <c r="F9" i="121"/>
  <c r="G9" i="121" s="1"/>
  <c r="K64" i="2" s="1"/>
  <c r="I106" i="179"/>
  <c r="W106" i="179" s="1"/>
  <c r="X106" i="179" s="1"/>
  <c r="I62" i="173"/>
  <c r="W62" i="173" s="1"/>
  <c r="X62" i="173" s="1"/>
  <c r="I12" i="127"/>
  <c r="W12" i="127" s="1"/>
  <c r="X12" i="127" s="1"/>
  <c r="K105" i="179"/>
  <c r="K61" i="173"/>
  <c r="L63" i="2"/>
  <c r="I9" i="122"/>
  <c r="K11" i="127"/>
  <c r="F11" i="123"/>
  <c r="F10" i="123"/>
  <c r="I9" i="123"/>
  <c r="K10" i="127"/>
  <c r="I64" i="2"/>
  <c r="W64" i="2" s="1"/>
  <c r="X64" i="2" s="1"/>
  <c r="M64" i="2"/>
  <c r="J18" i="121"/>
  <c r="F10" i="121"/>
  <c r="J13" i="121"/>
  <c r="J12" i="121"/>
  <c r="J19" i="121"/>
  <c r="S65" i="2"/>
  <c r="G65" i="2"/>
  <c r="F65" i="2"/>
  <c r="E65" i="2"/>
  <c r="D65" i="2"/>
  <c r="M23" i="119"/>
  <c r="J7" i="119"/>
  <c r="F7" i="119" s="1"/>
  <c r="L100" i="179" l="1"/>
  <c r="L56" i="173"/>
  <c r="L58" i="2"/>
  <c r="H65" i="2"/>
  <c r="V65" i="2" s="1"/>
  <c r="H107" i="179"/>
  <c r="V107" i="179" s="1"/>
  <c r="H63" i="173"/>
  <c r="V63" i="173" s="1"/>
  <c r="H13" i="127"/>
  <c r="V13" i="127" s="1"/>
  <c r="I9" i="121"/>
  <c r="K106" i="179"/>
  <c r="K62" i="173"/>
  <c r="K12" i="127"/>
  <c r="L105" i="179"/>
  <c r="L61" i="173"/>
  <c r="L10" i="127"/>
  <c r="F11" i="121"/>
  <c r="K23" i="118"/>
  <c r="G67" i="2"/>
  <c r="F67" i="2"/>
  <c r="E67" i="2"/>
  <c r="D67" i="2"/>
  <c r="S67" i="2"/>
  <c r="K26" i="120"/>
  <c r="K27" i="120"/>
  <c r="K28" i="120"/>
  <c r="K29" i="120"/>
  <c r="K30" i="120"/>
  <c r="K31" i="120"/>
  <c r="K32" i="120"/>
  <c r="K33" i="120"/>
  <c r="K34" i="120"/>
  <c r="K35" i="120"/>
  <c r="K36" i="120"/>
  <c r="K37" i="120"/>
  <c r="K38" i="120"/>
  <c r="E42" i="120"/>
  <c r="C42" i="120"/>
  <c r="E41" i="120"/>
  <c r="C41" i="120"/>
  <c r="E40" i="120"/>
  <c r="C40" i="120"/>
  <c r="E39" i="120"/>
  <c r="C39" i="120"/>
  <c r="K25" i="120"/>
  <c r="K24" i="120"/>
  <c r="K23" i="120"/>
  <c r="J16" i="120"/>
  <c r="J15" i="120"/>
  <c r="F7" i="120"/>
  <c r="L64" i="2" l="1"/>
  <c r="L106" i="179"/>
  <c r="L62" i="173"/>
  <c r="L12" i="127"/>
  <c r="H67" i="2"/>
  <c r="V67" i="2" s="1"/>
  <c r="H499" i="179"/>
  <c r="V499" i="179" s="1"/>
  <c r="H109" i="179"/>
  <c r="V109" i="179" s="1"/>
  <c r="H455" i="173"/>
  <c r="V455" i="173" s="1"/>
  <c r="H65" i="173"/>
  <c r="V65" i="173" s="1"/>
  <c r="H15" i="127"/>
  <c r="V15" i="127" s="1"/>
  <c r="H31" i="120"/>
  <c r="H30" i="120"/>
  <c r="C30" i="120" s="1"/>
  <c r="H28" i="120"/>
  <c r="C28" i="120" s="1"/>
  <c r="H32" i="120"/>
  <c r="C32" i="120" s="1"/>
  <c r="H36" i="120"/>
  <c r="C36" i="120" s="1"/>
  <c r="H38" i="120"/>
  <c r="C38" i="120" s="1"/>
  <c r="H34" i="120"/>
  <c r="C34" i="120" s="1"/>
  <c r="H35" i="120"/>
  <c r="C35" i="120" s="1"/>
  <c r="H12" i="120"/>
  <c r="H37" i="120"/>
  <c r="C37" i="120" s="1"/>
  <c r="H33" i="120"/>
  <c r="C33" i="120" s="1"/>
  <c r="H29" i="120"/>
  <c r="C29" i="120" s="1"/>
  <c r="C31" i="120"/>
  <c r="H27" i="120"/>
  <c r="C27" i="120" s="1"/>
  <c r="H26" i="120"/>
  <c r="C26" i="120" s="1"/>
  <c r="H23" i="120"/>
  <c r="C23" i="120" s="1"/>
  <c r="G13" i="120"/>
  <c r="F13" i="120"/>
  <c r="H25" i="120"/>
  <c r="C25" i="120" s="1"/>
  <c r="H24" i="120"/>
  <c r="C24" i="120" s="1"/>
  <c r="F8" i="120"/>
  <c r="F18" i="120"/>
  <c r="J17" i="120" s="1"/>
  <c r="I67" i="2" l="1"/>
  <c r="W67" i="2" s="1"/>
  <c r="X67" i="2" s="1"/>
  <c r="I499" i="179"/>
  <c r="W499" i="179" s="1"/>
  <c r="I109" i="179"/>
  <c r="W109" i="179" s="1"/>
  <c r="X109" i="179" s="1"/>
  <c r="I455" i="173"/>
  <c r="W455" i="173" s="1"/>
  <c r="I65" i="173"/>
  <c r="W65" i="173" s="1"/>
  <c r="X65" i="173" s="1"/>
  <c r="I15" i="127"/>
  <c r="W15" i="127" s="1"/>
  <c r="X15" i="127" s="1"/>
  <c r="X499" i="179"/>
  <c r="M499" i="179"/>
  <c r="M109" i="179"/>
  <c r="M455" i="173"/>
  <c r="M65" i="173"/>
  <c r="M15" i="127"/>
  <c r="X455" i="173"/>
  <c r="F12" i="120"/>
  <c r="F10" i="120" s="1"/>
  <c r="M67" i="2"/>
  <c r="J19" i="120"/>
  <c r="F9" i="120"/>
  <c r="G9" i="120" s="1"/>
  <c r="J18" i="120"/>
  <c r="J12" i="120"/>
  <c r="E43" i="119"/>
  <c r="C43" i="119"/>
  <c r="E42" i="119"/>
  <c r="C42" i="119"/>
  <c r="E41" i="119"/>
  <c r="C41" i="119"/>
  <c r="E40" i="119"/>
  <c r="C40" i="119"/>
  <c r="E39" i="119"/>
  <c r="C39" i="119"/>
  <c r="E38" i="119"/>
  <c r="C38" i="119"/>
  <c r="E37" i="119"/>
  <c r="C37" i="119"/>
  <c r="E36" i="119"/>
  <c r="C36" i="119"/>
  <c r="E35" i="119"/>
  <c r="C35" i="119"/>
  <c r="E34" i="119"/>
  <c r="C34" i="119"/>
  <c r="E33" i="119"/>
  <c r="C33" i="119"/>
  <c r="E32" i="119"/>
  <c r="C32" i="119"/>
  <c r="E31" i="119"/>
  <c r="C31" i="119"/>
  <c r="E30" i="119"/>
  <c r="C30" i="119"/>
  <c r="H26" i="119"/>
  <c r="C26" i="119" s="1"/>
  <c r="H25" i="119"/>
  <c r="C25" i="119" s="1"/>
  <c r="H24" i="119"/>
  <c r="C24" i="119" s="1"/>
  <c r="F13" i="119"/>
  <c r="J16" i="119"/>
  <c r="J15" i="119"/>
  <c r="G13" i="119"/>
  <c r="H12" i="119"/>
  <c r="O11" i="119"/>
  <c r="O10" i="119"/>
  <c r="J13" i="120" l="1"/>
  <c r="M107" i="179"/>
  <c r="M63" i="173"/>
  <c r="M13" i="127"/>
  <c r="K499" i="179"/>
  <c r="K109" i="179"/>
  <c r="K455" i="173"/>
  <c r="K65" i="173"/>
  <c r="K15" i="127"/>
  <c r="I9" i="120"/>
  <c r="K67" i="2"/>
  <c r="F12" i="119"/>
  <c r="J13" i="119" s="1"/>
  <c r="M65" i="2"/>
  <c r="H27" i="119"/>
  <c r="C27" i="119" s="1"/>
  <c r="F11" i="120"/>
  <c r="F18" i="119"/>
  <c r="J17" i="119" s="1"/>
  <c r="H23" i="119"/>
  <c r="F8" i="119"/>
  <c r="S66" i="2"/>
  <c r="G66" i="2"/>
  <c r="F66" i="2"/>
  <c r="E66" i="2"/>
  <c r="D66" i="2"/>
  <c r="C38" i="118"/>
  <c r="E43" i="118"/>
  <c r="C43" i="118"/>
  <c r="E42" i="118"/>
  <c r="C42" i="118"/>
  <c r="E41" i="118"/>
  <c r="C41" i="118"/>
  <c r="E40" i="118"/>
  <c r="C40" i="118"/>
  <c r="E39" i="118"/>
  <c r="C39" i="118"/>
  <c r="K25" i="118"/>
  <c r="K24" i="118"/>
  <c r="J16" i="118"/>
  <c r="J15" i="118"/>
  <c r="F7" i="118"/>
  <c r="F10" i="119" l="1"/>
  <c r="I65" i="2"/>
  <c r="W65" i="2" s="1"/>
  <c r="X65" i="2" s="1"/>
  <c r="I107" i="179"/>
  <c r="W107" i="179" s="1"/>
  <c r="X107" i="179" s="1"/>
  <c r="I63" i="173"/>
  <c r="W63" i="173" s="1"/>
  <c r="X63" i="173" s="1"/>
  <c r="I13" i="127"/>
  <c r="W13" i="127" s="1"/>
  <c r="X13" i="127" s="1"/>
  <c r="L67" i="2"/>
  <c r="L499" i="179"/>
  <c r="L109" i="179"/>
  <c r="L455" i="173"/>
  <c r="L65" i="173"/>
  <c r="L15" i="127"/>
  <c r="F18" i="118"/>
  <c r="J17" i="118" s="1"/>
  <c r="H108" i="179"/>
  <c r="V108" i="179" s="1"/>
  <c r="H64" i="173"/>
  <c r="V64" i="173" s="1"/>
  <c r="H14" i="127"/>
  <c r="V14" i="127" s="1"/>
  <c r="H66" i="2"/>
  <c r="V66" i="2" s="1"/>
  <c r="O12" i="119"/>
  <c r="C23" i="119"/>
  <c r="J19" i="119"/>
  <c r="J18" i="119"/>
  <c r="F9" i="119"/>
  <c r="G9" i="119" s="1"/>
  <c r="J12" i="119"/>
  <c r="F11" i="119" s="1"/>
  <c r="C37" i="118"/>
  <c r="C34" i="118"/>
  <c r="F13" i="118"/>
  <c r="C36" i="118"/>
  <c r="C35" i="118"/>
  <c r="F8" i="118"/>
  <c r="C27" i="118"/>
  <c r="C31" i="118"/>
  <c r="H25" i="118"/>
  <c r="C25" i="118" s="1"/>
  <c r="C28" i="118"/>
  <c r="C26" i="118"/>
  <c r="C30" i="118"/>
  <c r="C29" i="118"/>
  <c r="G13" i="118"/>
  <c r="H24" i="118"/>
  <c r="C24" i="118" s="1"/>
  <c r="C32" i="118"/>
  <c r="H12" i="118"/>
  <c r="H23" i="118"/>
  <c r="C23" i="118" s="1"/>
  <c r="C33" i="118"/>
  <c r="S68" i="2"/>
  <c r="H68" i="2"/>
  <c r="V68" i="2" s="1"/>
  <c r="G68" i="2"/>
  <c r="F68" i="2"/>
  <c r="E68" i="2"/>
  <c r="D68" i="2"/>
  <c r="H31" i="116"/>
  <c r="C31" i="116" s="1"/>
  <c r="H30" i="116"/>
  <c r="C30" i="116" s="1"/>
  <c r="H29" i="116"/>
  <c r="C29" i="116" s="1"/>
  <c r="H23" i="116"/>
  <c r="C23" i="116" s="1"/>
  <c r="E43" i="116"/>
  <c r="C43" i="116"/>
  <c r="E42" i="116"/>
  <c r="C42" i="116"/>
  <c r="E41" i="116"/>
  <c r="C41" i="116"/>
  <c r="E40" i="116"/>
  <c r="C40" i="116"/>
  <c r="E39" i="116"/>
  <c r="C39" i="116"/>
  <c r="E38" i="116"/>
  <c r="C38" i="116"/>
  <c r="E37" i="116"/>
  <c r="C37" i="116"/>
  <c r="C36" i="116"/>
  <c r="C35" i="116"/>
  <c r="C34" i="116"/>
  <c r="C33" i="116"/>
  <c r="C32" i="116"/>
  <c r="H28" i="116"/>
  <c r="C28" i="116" s="1"/>
  <c r="H27" i="116"/>
  <c r="C27" i="116" s="1"/>
  <c r="H26" i="116"/>
  <c r="C26" i="116" s="1"/>
  <c r="H25" i="116"/>
  <c r="C25" i="116" s="1"/>
  <c r="H24" i="116"/>
  <c r="C24" i="116" s="1"/>
  <c r="J17" i="116"/>
  <c r="J16" i="116"/>
  <c r="J15" i="116"/>
  <c r="G13" i="116"/>
  <c r="F13" i="116"/>
  <c r="H12" i="116"/>
  <c r="F8" i="116"/>
  <c r="I108" i="179" l="1"/>
  <c r="W108" i="179" s="1"/>
  <c r="X108" i="179" s="1"/>
  <c r="I64" i="173"/>
  <c r="W64" i="173" s="1"/>
  <c r="X64" i="173" s="1"/>
  <c r="I14" i="127"/>
  <c r="W14" i="127" s="1"/>
  <c r="X14" i="127" s="1"/>
  <c r="M108" i="179"/>
  <c r="M64" i="173"/>
  <c r="M14" i="127"/>
  <c r="F9" i="116"/>
  <c r="G9" i="116" s="1"/>
  <c r="K68" i="2" s="1"/>
  <c r="I110" i="179"/>
  <c r="W110" i="179" s="1"/>
  <c r="X110" i="179" s="1"/>
  <c r="I66" i="173"/>
  <c r="W66" i="173" s="1"/>
  <c r="X66" i="173" s="1"/>
  <c r="I16" i="127"/>
  <c r="W16" i="127" s="1"/>
  <c r="X16" i="127" s="1"/>
  <c r="L65" i="2"/>
  <c r="L107" i="179"/>
  <c r="L63" i="173"/>
  <c r="L13" i="127"/>
  <c r="F12" i="116"/>
  <c r="F10" i="116" s="1"/>
  <c r="M110" i="179"/>
  <c r="M66" i="173"/>
  <c r="M16" i="127"/>
  <c r="K107" i="179"/>
  <c r="K63" i="173"/>
  <c r="K13" i="127"/>
  <c r="M68" i="2"/>
  <c r="I68" i="2"/>
  <c r="W68" i="2" s="1"/>
  <c r="X68" i="2" s="1"/>
  <c r="I9" i="119"/>
  <c r="K65" i="2"/>
  <c r="F12" i="118"/>
  <c r="F10" i="118" s="1"/>
  <c r="M66" i="2"/>
  <c r="F9" i="118"/>
  <c r="G9" i="118" s="1"/>
  <c r="I66" i="2"/>
  <c r="W66" i="2" s="1"/>
  <c r="X66" i="2" s="1"/>
  <c r="J19" i="118"/>
  <c r="J12" i="118"/>
  <c r="J18" i="118"/>
  <c r="J18" i="116"/>
  <c r="J12" i="116"/>
  <c r="J19" i="116"/>
  <c r="S69" i="2"/>
  <c r="H69" i="2"/>
  <c r="V69" i="2" s="1"/>
  <c r="G69" i="2"/>
  <c r="F69" i="2"/>
  <c r="E69" i="2"/>
  <c r="D69" i="2"/>
  <c r="E43" i="115"/>
  <c r="C43" i="115"/>
  <c r="E42" i="115"/>
  <c r="C42" i="115"/>
  <c r="E41" i="115"/>
  <c r="C41" i="115"/>
  <c r="E40" i="115"/>
  <c r="C40" i="115"/>
  <c r="E39" i="115"/>
  <c r="C39" i="115"/>
  <c r="E38" i="115"/>
  <c r="C38" i="115"/>
  <c r="E37" i="115"/>
  <c r="C37" i="115"/>
  <c r="C36" i="115"/>
  <c r="C35" i="115"/>
  <c r="C33" i="115"/>
  <c r="C32" i="115"/>
  <c r="C31" i="115"/>
  <c r="C30" i="115"/>
  <c r="C29" i="115"/>
  <c r="H28" i="115"/>
  <c r="C28" i="115" s="1"/>
  <c r="H27" i="115"/>
  <c r="C27" i="115" s="1"/>
  <c r="H26" i="115"/>
  <c r="C26" i="115" s="1"/>
  <c r="H25" i="115"/>
  <c r="C25" i="115" s="1"/>
  <c r="H24" i="115"/>
  <c r="C24" i="115" s="1"/>
  <c r="H23" i="115"/>
  <c r="C23" i="115" s="1"/>
  <c r="J17" i="115"/>
  <c r="J16" i="115"/>
  <c r="J15" i="115"/>
  <c r="G13" i="115"/>
  <c r="F13" i="115"/>
  <c r="H12" i="115"/>
  <c r="F8" i="115"/>
  <c r="J13" i="116" l="1"/>
  <c r="F12" i="115"/>
  <c r="F10" i="115" s="1"/>
  <c r="M111" i="179"/>
  <c r="M67" i="173"/>
  <c r="M17" i="127"/>
  <c r="I9" i="118"/>
  <c r="K108" i="179"/>
  <c r="K64" i="173"/>
  <c r="K14" i="127"/>
  <c r="I9" i="116"/>
  <c r="K110" i="179"/>
  <c r="K66" i="173"/>
  <c r="K16" i="127"/>
  <c r="J19" i="115"/>
  <c r="I111" i="179"/>
  <c r="W111" i="179" s="1"/>
  <c r="X111" i="179" s="1"/>
  <c r="I67" i="173"/>
  <c r="W67" i="173" s="1"/>
  <c r="X67" i="173" s="1"/>
  <c r="I17" i="127"/>
  <c r="W17" i="127" s="1"/>
  <c r="X17" i="127" s="1"/>
  <c r="J13" i="118"/>
  <c r="F11" i="118" s="1"/>
  <c r="K66" i="2"/>
  <c r="F11" i="116"/>
  <c r="I69" i="2"/>
  <c r="W69" i="2" s="1"/>
  <c r="X69" i="2" s="1"/>
  <c r="M69" i="2"/>
  <c r="J18" i="115"/>
  <c r="F9" i="115"/>
  <c r="G9" i="115" s="1"/>
  <c r="C34" i="115"/>
  <c r="J12" i="115"/>
  <c r="S70" i="2"/>
  <c r="H70" i="2"/>
  <c r="V70" i="2" s="1"/>
  <c r="G70" i="2"/>
  <c r="F70" i="2"/>
  <c r="E70" i="2"/>
  <c r="D70" i="2"/>
  <c r="H36" i="114"/>
  <c r="C36" i="114" s="1"/>
  <c r="H35" i="114"/>
  <c r="E35" i="114" s="1"/>
  <c r="H34" i="114"/>
  <c r="E34" i="114" s="1"/>
  <c r="H33" i="114"/>
  <c r="C33" i="114" s="1"/>
  <c r="H32" i="114"/>
  <c r="C32" i="114" s="1"/>
  <c r="H31" i="114"/>
  <c r="C31" i="114" s="1"/>
  <c r="H30" i="114"/>
  <c r="C30" i="114" s="1"/>
  <c r="H29" i="114"/>
  <c r="C29" i="114" s="1"/>
  <c r="E43" i="114"/>
  <c r="C43" i="114"/>
  <c r="E42" i="114"/>
  <c r="C42" i="114"/>
  <c r="E41" i="114"/>
  <c r="C41" i="114"/>
  <c r="E40" i="114"/>
  <c r="C40" i="114"/>
  <c r="E39" i="114"/>
  <c r="C39" i="114"/>
  <c r="E38" i="114"/>
  <c r="C38" i="114"/>
  <c r="E37" i="114"/>
  <c r="C37" i="114"/>
  <c r="H28" i="114"/>
  <c r="C28" i="114" s="1"/>
  <c r="H27" i="114"/>
  <c r="C27" i="114" s="1"/>
  <c r="H26" i="114"/>
  <c r="C26" i="114" s="1"/>
  <c r="H25" i="114"/>
  <c r="C25" i="114" s="1"/>
  <c r="H24" i="114"/>
  <c r="C24" i="114" s="1"/>
  <c r="H23" i="114"/>
  <c r="C23" i="114" s="1"/>
  <c r="J17" i="114"/>
  <c r="J16" i="114"/>
  <c r="J15" i="114"/>
  <c r="G13" i="114"/>
  <c r="F13" i="114"/>
  <c r="H12" i="114"/>
  <c r="F8" i="114"/>
  <c r="J13" i="115" l="1"/>
  <c r="E36" i="114"/>
  <c r="F9" i="114"/>
  <c r="G9" i="114" s="1"/>
  <c r="I500" i="179"/>
  <c r="W500" i="179" s="1"/>
  <c r="X500" i="179" s="1"/>
  <c r="I112" i="179"/>
  <c r="W112" i="179" s="1"/>
  <c r="X112" i="179" s="1"/>
  <c r="I456" i="173"/>
  <c r="W456" i="173" s="1"/>
  <c r="X456" i="173" s="1"/>
  <c r="I68" i="173"/>
  <c r="W68" i="173" s="1"/>
  <c r="X68" i="173" s="1"/>
  <c r="I18" i="127"/>
  <c r="W18" i="127" s="1"/>
  <c r="X18" i="127" s="1"/>
  <c r="F12" i="114"/>
  <c r="F10" i="114" s="1"/>
  <c r="M500" i="179"/>
  <c r="M112" i="179"/>
  <c r="M456" i="173"/>
  <c r="M68" i="173"/>
  <c r="M18" i="127"/>
  <c r="C34" i="114"/>
  <c r="L68" i="2"/>
  <c r="L110" i="179"/>
  <c r="L66" i="173"/>
  <c r="L16" i="127"/>
  <c r="K111" i="179"/>
  <c r="K67" i="173"/>
  <c r="K17" i="127"/>
  <c r="L66" i="2"/>
  <c r="L108" i="179"/>
  <c r="L64" i="173"/>
  <c r="L14" i="127"/>
  <c r="M70" i="2"/>
  <c r="I70" i="2"/>
  <c r="W70" i="2" s="1"/>
  <c r="X70" i="2" s="1"/>
  <c r="K70" i="2"/>
  <c r="I9" i="115"/>
  <c r="K69" i="2"/>
  <c r="F11" i="115"/>
  <c r="C35" i="114"/>
  <c r="J18" i="114"/>
  <c r="J12" i="114"/>
  <c r="J19" i="114"/>
  <c r="S71" i="2"/>
  <c r="W71" i="2"/>
  <c r="V71" i="2"/>
  <c r="F71" i="2"/>
  <c r="E71" i="2"/>
  <c r="D71" i="2"/>
  <c r="H28" i="113"/>
  <c r="C28" i="113" s="1"/>
  <c r="E43" i="113"/>
  <c r="C43" i="113"/>
  <c r="E42" i="113"/>
  <c r="C42" i="113"/>
  <c r="E41" i="113"/>
  <c r="C41" i="113"/>
  <c r="E40" i="113"/>
  <c r="C40" i="113"/>
  <c r="E39" i="113"/>
  <c r="C39" i="113"/>
  <c r="E38" i="113"/>
  <c r="C38" i="113"/>
  <c r="E37" i="113"/>
  <c r="C37" i="113"/>
  <c r="E36" i="113"/>
  <c r="C36" i="113"/>
  <c r="E35" i="113"/>
  <c r="C35" i="113"/>
  <c r="E34" i="113"/>
  <c r="C34" i="113"/>
  <c r="C33" i="113"/>
  <c r="C32" i="113"/>
  <c r="C31" i="113"/>
  <c r="C30" i="113"/>
  <c r="C29" i="113"/>
  <c r="H27" i="113"/>
  <c r="C27" i="113" s="1"/>
  <c r="H26" i="113"/>
  <c r="C26" i="113" s="1"/>
  <c r="H25" i="113"/>
  <c r="C25" i="113" s="1"/>
  <c r="H24" i="113"/>
  <c r="C24" i="113" s="1"/>
  <c r="H23" i="113"/>
  <c r="C23" i="113" s="1"/>
  <c r="J17" i="113"/>
  <c r="J16" i="113"/>
  <c r="J15" i="113"/>
  <c r="G13" i="113"/>
  <c r="F13" i="113"/>
  <c r="H12" i="113"/>
  <c r="F12" i="113"/>
  <c r="F10" i="113" s="1"/>
  <c r="F8" i="113"/>
  <c r="J19" i="113" s="1"/>
  <c r="L69" i="2" l="1"/>
  <c r="L111" i="179"/>
  <c r="L67" i="173"/>
  <c r="L17" i="127"/>
  <c r="J13" i="114"/>
  <c r="I9" i="114"/>
  <c r="K500" i="179"/>
  <c r="K112" i="179"/>
  <c r="K456" i="173"/>
  <c r="K68" i="173"/>
  <c r="K18" i="127"/>
  <c r="F11" i="114"/>
  <c r="X71" i="2"/>
  <c r="F9" i="113"/>
  <c r="G9" i="113" s="1"/>
  <c r="I9" i="113" s="1"/>
  <c r="J13" i="113"/>
  <c r="J18" i="113"/>
  <c r="J12" i="113"/>
  <c r="S72" i="2"/>
  <c r="H72" i="2"/>
  <c r="V72" i="2" s="1"/>
  <c r="G72" i="2"/>
  <c r="F72" i="2"/>
  <c r="E72" i="2"/>
  <c r="D72" i="2"/>
  <c r="H25" i="112"/>
  <c r="C25" i="112" s="1"/>
  <c r="H26" i="112"/>
  <c r="C26" i="112" s="1"/>
  <c r="H27" i="112"/>
  <c r="C27" i="112" s="1"/>
  <c r="E43" i="112"/>
  <c r="C43" i="112"/>
  <c r="E42" i="112"/>
  <c r="C42" i="112"/>
  <c r="E41" i="112"/>
  <c r="C41" i="112"/>
  <c r="E40" i="112"/>
  <c r="C40" i="112"/>
  <c r="E39" i="112"/>
  <c r="C39" i="112"/>
  <c r="E38" i="112"/>
  <c r="C38" i="112"/>
  <c r="E37" i="112"/>
  <c r="C37" i="112"/>
  <c r="E36" i="112"/>
  <c r="C36" i="112"/>
  <c r="E35" i="112"/>
  <c r="C35" i="112"/>
  <c r="E34" i="112"/>
  <c r="C34" i="112"/>
  <c r="C33" i="112"/>
  <c r="C32" i="112"/>
  <c r="C31" i="112"/>
  <c r="C30" i="112"/>
  <c r="C29" i="112"/>
  <c r="C28" i="112"/>
  <c r="H24" i="112"/>
  <c r="C24" i="112" s="1"/>
  <c r="H23" i="112"/>
  <c r="C23" i="112" s="1"/>
  <c r="J17" i="112"/>
  <c r="J16" i="112"/>
  <c r="J15" i="112"/>
  <c r="G13" i="112"/>
  <c r="F13" i="112"/>
  <c r="H12" i="112"/>
  <c r="F8" i="112"/>
  <c r="F9" i="112" l="1"/>
  <c r="G9" i="112" s="1"/>
  <c r="K72" i="2" s="1"/>
  <c r="I114" i="179"/>
  <c r="W114" i="179" s="1"/>
  <c r="X114" i="179" s="1"/>
  <c r="I70" i="173"/>
  <c r="W70" i="173" s="1"/>
  <c r="X70" i="173" s="1"/>
  <c r="I20" i="127"/>
  <c r="W20" i="127" s="1"/>
  <c r="X20" i="127" s="1"/>
  <c r="L70" i="2"/>
  <c r="L500" i="179"/>
  <c r="G515" i="179" s="1"/>
  <c r="F515" i="179" s="1"/>
  <c r="L112" i="179"/>
  <c r="L456" i="173"/>
  <c r="G471" i="173" s="1"/>
  <c r="F471" i="173" s="1"/>
  <c r="L68" i="173"/>
  <c r="L18" i="127"/>
  <c r="F12" i="112"/>
  <c r="F10" i="112" s="1"/>
  <c r="M114" i="179"/>
  <c r="M70" i="173"/>
  <c r="M20" i="127"/>
  <c r="M72" i="2"/>
  <c r="I72" i="2"/>
  <c r="W72" i="2" s="1"/>
  <c r="X72" i="2" s="1"/>
  <c r="F11" i="113"/>
  <c r="J13" i="112"/>
  <c r="J18" i="112"/>
  <c r="J12" i="112"/>
  <c r="J19" i="112"/>
  <c r="S73" i="2"/>
  <c r="G73" i="2"/>
  <c r="F73" i="2"/>
  <c r="E73" i="2"/>
  <c r="D73" i="2"/>
  <c r="E43" i="111"/>
  <c r="C43" i="111"/>
  <c r="E42" i="111"/>
  <c r="C42" i="111"/>
  <c r="E41" i="111"/>
  <c r="C41" i="111"/>
  <c r="E40" i="111"/>
  <c r="C40" i="111"/>
  <c r="E39" i="111"/>
  <c r="C39" i="111"/>
  <c r="E38" i="111"/>
  <c r="C38" i="111"/>
  <c r="E37" i="111"/>
  <c r="C37" i="111"/>
  <c r="E36" i="111"/>
  <c r="C36" i="111"/>
  <c r="E35" i="111"/>
  <c r="C35" i="111"/>
  <c r="E34" i="111"/>
  <c r="C34" i="111"/>
  <c r="K29" i="111"/>
  <c r="K28" i="111"/>
  <c r="K27" i="111"/>
  <c r="K26" i="111"/>
  <c r="K25" i="111"/>
  <c r="K24" i="111"/>
  <c r="K23" i="111"/>
  <c r="J16" i="111"/>
  <c r="J15" i="111"/>
  <c r="F7" i="111"/>
  <c r="F18" i="111" l="1"/>
  <c r="J17" i="111" s="1"/>
  <c r="H115" i="179"/>
  <c r="V115" i="179" s="1"/>
  <c r="H71" i="173"/>
  <c r="V71" i="173" s="1"/>
  <c r="H21" i="127"/>
  <c r="V21" i="127" s="1"/>
  <c r="I9" i="112"/>
  <c r="K114" i="179"/>
  <c r="K70" i="173"/>
  <c r="K20" i="127"/>
  <c r="H73" i="2"/>
  <c r="V73" i="2" s="1"/>
  <c r="H23" i="111"/>
  <c r="C23" i="111" s="1"/>
  <c r="F11" i="112"/>
  <c r="F8" i="111"/>
  <c r="F13" i="111"/>
  <c r="H24" i="111"/>
  <c r="C24" i="111" s="1"/>
  <c r="H26" i="111"/>
  <c r="C26" i="111" s="1"/>
  <c r="H27" i="111"/>
  <c r="C27" i="111" s="1"/>
  <c r="H25" i="111"/>
  <c r="C25" i="111" s="1"/>
  <c r="H28" i="111"/>
  <c r="C28" i="111" s="1"/>
  <c r="H29" i="111"/>
  <c r="C29" i="111" s="1"/>
  <c r="G13" i="111"/>
  <c r="H12" i="111"/>
  <c r="S74" i="2"/>
  <c r="G74" i="2"/>
  <c r="F74" i="2"/>
  <c r="E74" i="2"/>
  <c r="D74" i="2"/>
  <c r="L31" i="110"/>
  <c r="L30" i="110"/>
  <c r="L29" i="110"/>
  <c r="L28" i="110"/>
  <c r="E43" i="110"/>
  <c r="C43" i="110"/>
  <c r="E42" i="110"/>
  <c r="C42" i="110"/>
  <c r="E41" i="110"/>
  <c r="C41" i="110"/>
  <c r="E40" i="110"/>
  <c r="C40" i="110"/>
  <c r="E39" i="110"/>
  <c r="C39" i="110"/>
  <c r="E38" i="110"/>
  <c r="C38" i="110"/>
  <c r="E37" i="110"/>
  <c r="C37" i="110"/>
  <c r="E36" i="110"/>
  <c r="C36" i="110"/>
  <c r="E35" i="110"/>
  <c r="C35" i="110"/>
  <c r="E34" i="110"/>
  <c r="C34" i="110"/>
  <c r="E33" i="110"/>
  <c r="C33" i="110"/>
  <c r="E32" i="110"/>
  <c r="C32" i="110"/>
  <c r="L27" i="110"/>
  <c r="L26" i="110"/>
  <c r="L25" i="110"/>
  <c r="L24" i="110"/>
  <c r="L23" i="110"/>
  <c r="J16" i="110"/>
  <c r="J15" i="110"/>
  <c r="N11" i="110"/>
  <c r="N10" i="110"/>
  <c r="F7" i="110"/>
  <c r="F18" i="110" l="1"/>
  <c r="J17" i="110" s="1"/>
  <c r="H116" i="179"/>
  <c r="V116" i="179" s="1"/>
  <c r="H72" i="173"/>
  <c r="V72" i="173" s="1"/>
  <c r="H22" i="127"/>
  <c r="V22" i="127" s="1"/>
  <c r="I115" i="179"/>
  <c r="W115" i="179" s="1"/>
  <c r="X115" i="179" s="1"/>
  <c r="I71" i="173"/>
  <c r="W71" i="173" s="1"/>
  <c r="I21" i="127"/>
  <c r="W21" i="127" s="1"/>
  <c r="X21" i="127" s="1"/>
  <c r="H31" i="110"/>
  <c r="E31" i="110" s="1"/>
  <c r="L72" i="2"/>
  <c r="L114" i="179"/>
  <c r="L70" i="173"/>
  <c r="L20" i="127"/>
  <c r="H28" i="110"/>
  <c r="C28" i="110" s="1"/>
  <c r="X71" i="173"/>
  <c r="M115" i="179"/>
  <c r="M71" i="173"/>
  <c r="M21" i="127"/>
  <c r="H74" i="2"/>
  <c r="V74" i="2" s="1"/>
  <c r="F12" i="111"/>
  <c r="J13" i="111" s="1"/>
  <c r="M73" i="2"/>
  <c r="H30" i="110"/>
  <c r="E30" i="110" s="1"/>
  <c r="J12" i="111"/>
  <c r="I73" i="2"/>
  <c r="W73" i="2" s="1"/>
  <c r="X73" i="2" s="1"/>
  <c r="J18" i="111"/>
  <c r="F9" i="111"/>
  <c r="G9" i="111" s="1"/>
  <c r="J19" i="111"/>
  <c r="F10" i="111"/>
  <c r="H29" i="110"/>
  <c r="C29" i="110" s="1"/>
  <c r="H26" i="110"/>
  <c r="C26" i="110" s="1"/>
  <c r="H23" i="110"/>
  <c r="C23" i="110" s="1"/>
  <c r="H12" i="110"/>
  <c r="G13" i="110"/>
  <c r="H24" i="110"/>
  <c r="C24" i="110" s="1"/>
  <c r="H27" i="110"/>
  <c r="C27" i="110" s="1"/>
  <c r="H25" i="110"/>
  <c r="C25" i="110" s="1"/>
  <c r="F8" i="110"/>
  <c r="F13" i="110"/>
  <c r="S75" i="2"/>
  <c r="H75" i="2"/>
  <c r="V75" i="2" s="1"/>
  <c r="G75" i="2"/>
  <c r="F75" i="2"/>
  <c r="E75" i="2"/>
  <c r="D75" i="2"/>
  <c r="E43" i="109"/>
  <c r="C43" i="109"/>
  <c r="E42" i="109"/>
  <c r="C42" i="109"/>
  <c r="E41" i="109"/>
  <c r="C41" i="109"/>
  <c r="E40" i="109"/>
  <c r="C40" i="109"/>
  <c r="E39" i="109"/>
  <c r="C39" i="109"/>
  <c r="E38" i="109"/>
  <c r="C38" i="109"/>
  <c r="E37" i="109"/>
  <c r="C37" i="109"/>
  <c r="E36" i="109"/>
  <c r="C36" i="109"/>
  <c r="E35" i="109"/>
  <c r="C35" i="109"/>
  <c r="E34" i="109"/>
  <c r="C34" i="109"/>
  <c r="C33" i="109"/>
  <c r="C32" i="109"/>
  <c r="C31" i="109"/>
  <c r="C30" i="109"/>
  <c r="C29" i="109"/>
  <c r="C28" i="109"/>
  <c r="C27" i="109"/>
  <c r="C26" i="109"/>
  <c r="H25" i="109"/>
  <c r="C25" i="109" s="1"/>
  <c r="H24" i="109"/>
  <c r="C24" i="109" s="1"/>
  <c r="H23" i="109"/>
  <c r="C23" i="109" s="1"/>
  <c r="J17" i="109"/>
  <c r="J16" i="109"/>
  <c r="J15" i="109"/>
  <c r="G13" i="109"/>
  <c r="F13" i="109"/>
  <c r="H12" i="109"/>
  <c r="F8" i="109"/>
  <c r="K161" i="99"/>
  <c r="K160" i="99"/>
  <c r="K159" i="99"/>
  <c r="H144" i="99"/>
  <c r="H152" i="99"/>
  <c r="H151" i="99"/>
  <c r="H150" i="99"/>
  <c r="H149" i="99"/>
  <c r="H148" i="99"/>
  <c r="H146" i="99"/>
  <c r="H145" i="99"/>
  <c r="H147" i="99"/>
  <c r="I141" i="99"/>
  <c r="I161" i="99" s="1"/>
  <c r="H141" i="99"/>
  <c r="H161" i="99" s="1"/>
  <c r="I133" i="99"/>
  <c r="I159" i="99" s="1"/>
  <c r="H133" i="99"/>
  <c r="I113" i="99"/>
  <c r="H113" i="99"/>
  <c r="H160" i="99" s="1"/>
  <c r="L141" i="99"/>
  <c r="L161" i="99" s="1"/>
  <c r="L133" i="99"/>
  <c r="M133" i="99" s="1"/>
  <c r="M160" i="99" s="1"/>
  <c r="L113" i="99"/>
  <c r="M113" i="99" s="1"/>
  <c r="M159" i="99" s="1"/>
  <c r="C31" i="110" l="1"/>
  <c r="F11" i="111"/>
  <c r="L73" i="2" s="1"/>
  <c r="K115" i="179"/>
  <c r="K71" i="173"/>
  <c r="K21" i="127"/>
  <c r="M116" i="179"/>
  <c r="M72" i="173"/>
  <c r="M22" i="127"/>
  <c r="F9" i="109"/>
  <c r="G9" i="109" s="1"/>
  <c r="K75" i="2" s="1"/>
  <c r="I117" i="179"/>
  <c r="W117" i="179" s="1"/>
  <c r="X117" i="179" s="1"/>
  <c r="I73" i="173"/>
  <c r="W73" i="173" s="1"/>
  <c r="X73" i="173" s="1"/>
  <c r="I23" i="127"/>
  <c r="W23" i="127" s="1"/>
  <c r="X23" i="127" s="1"/>
  <c r="M75" i="2"/>
  <c r="M117" i="179"/>
  <c r="M73" i="173"/>
  <c r="M23" i="127"/>
  <c r="I74" i="2"/>
  <c r="W74" i="2" s="1"/>
  <c r="X74" i="2" s="1"/>
  <c r="I116" i="179"/>
  <c r="W116" i="179" s="1"/>
  <c r="X116" i="179" s="1"/>
  <c r="I72" i="173"/>
  <c r="W72" i="173" s="1"/>
  <c r="X72" i="173" s="1"/>
  <c r="I22" i="127"/>
  <c r="W22" i="127" s="1"/>
  <c r="X22" i="127" s="1"/>
  <c r="C30" i="110"/>
  <c r="K113" i="99"/>
  <c r="J160" i="99" s="1"/>
  <c r="K133" i="99"/>
  <c r="J159" i="99" s="1"/>
  <c r="F12" i="109"/>
  <c r="F10" i="109" s="1"/>
  <c r="I9" i="111"/>
  <c r="K73" i="2"/>
  <c r="H159" i="99"/>
  <c r="I160" i="99"/>
  <c r="K141" i="99"/>
  <c r="J161" i="99" s="1"/>
  <c r="L160" i="99"/>
  <c r="F12" i="110"/>
  <c r="J13" i="110" s="1"/>
  <c r="M74" i="2"/>
  <c r="L159" i="99"/>
  <c r="I75" i="2"/>
  <c r="W75" i="2" s="1"/>
  <c r="X75" i="2" s="1"/>
  <c r="F10" i="110"/>
  <c r="N12" i="110"/>
  <c r="J18" i="110"/>
  <c r="J12" i="110"/>
  <c r="F9" i="110"/>
  <c r="G9" i="110" s="1"/>
  <c r="J19" i="110"/>
  <c r="J18" i="109"/>
  <c r="J12" i="109"/>
  <c r="J19" i="109"/>
  <c r="L143" i="99"/>
  <c r="M141" i="99"/>
  <c r="M161" i="99" s="1"/>
  <c r="S76" i="2"/>
  <c r="H76" i="2"/>
  <c r="V76" i="2" s="1"/>
  <c r="G76" i="2"/>
  <c r="F76" i="2"/>
  <c r="E76" i="2"/>
  <c r="D76" i="2"/>
  <c r="H25" i="108"/>
  <c r="C25" i="108" s="1"/>
  <c r="E43" i="108"/>
  <c r="C43" i="108"/>
  <c r="E42" i="108"/>
  <c r="C42" i="108"/>
  <c r="E41" i="108"/>
  <c r="C41" i="108"/>
  <c r="E40" i="108"/>
  <c r="C40" i="108"/>
  <c r="E39" i="108"/>
  <c r="C39" i="108"/>
  <c r="E38" i="108"/>
  <c r="C38" i="108"/>
  <c r="E37" i="108"/>
  <c r="C37" i="108"/>
  <c r="E36" i="108"/>
  <c r="C36" i="108"/>
  <c r="E35" i="108"/>
  <c r="C35" i="108"/>
  <c r="E34" i="108"/>
  <c r="C34" i="108"/>
  <c r="C33" i="108"/>
  <c r="C32" i="108"/>
  <c r="C31" i="108"/>
  <c r="C30" i="108"/>
  <c r="C29" i="108"/>
  <c r="C28" i="108"/>
  <c r="C27" i="108"/>
  <c r="C26" i="108"/>
  <c r="H24" i="108"/>
  <c r="C24" i="108" s="1"/>
  <c r="H23" i="108"/>
  <c r="C23" i="108" s="1"/>
  <c r="J17" i="108"/>
  <c r="J16" i="108"/>
  <c r="J15" i="108"/>
  <c r="G13" i="108"/>
  <c r="F13" i="108"/>
  <c r="H12" i="108"/>
  <c r="F12" i="108"/>
  <c r="F10" i="108" s="1"/>
  <c r="F8" i="108"/>
  <c r="L71" i="173" l="1"/>
  <c r="L21" i="127"/>
  <c r="L115" i="179"/>
  <c r="J13" i="109"/>
  <c r="K116" i="179"/>
  <c r="K72" i="173"/>
  <c r="K22" i="127"/>
  <c r="F9" i="108"/>
  <c r="G9" i="108" s="1"/>
  <c r="K76" i="2" s="1"/>
  <c r="I118" i="179"/>
  <c r="W118" i="179" s="1"/>
  <c r="X118" i="179" s="1"/>
  <c r="I74" i="173"/>
  <c r="W74" i="173" s="1"/>
  <c r="X74" i="173" s="1"/>
  <c r="I24" i="127"/>
  <c r="W24" i="127" s="1"/>
  <c r="X24" i="127" s="1"/>
  <c r="M76" i="2"/>
  <c r="M118" i="179"/>
  <c r="M74" i="173"/>
  <c r="M24" i="127"/>
  <c r="F11" i="110"/>
  <c r="I9" i="109"/>
  <c r="K117" i="179"/>
  <c r="K73" i="173"/>
  <c r="K23" i="127"/>
  <c r="I76" i="2"/>
  <c r="W76" i="2" s="1"/>
  <c r="X76" i="2" s="1"/>
  <c r="I9" i="110"/>
  <c r="K74" i="2"/>
  <c r="F11" i="109"/>
  <c r="J13" i="108"/>
  <c r="J18" i="108"/>
  <c r="J12" i="108"/>
  <c r="J19" i="108"/>
  <c r="S77" i="2"/>
  <c r="G77" i="2"/>
  <c r="F77" i="2"/>
  <c r="E77" i="2"/>
  <c r="D77" i="2"/>
  <c r="L25" i="107"/>
  <c r="E43" i="107"/>
  <c r="C43" i="107"/>
  <c r="E42" i="107"/>
  <c r="C42" i="107"/>
  <c r="E41" i="107"/>
  <c r="C41" i="107"/>
  <c r="E40" i="107"/>
  <c r="C40" i="107"/>
  <c r="E39" i="107"/>
  <c r="C39" i="107"/>
  <c r="E38" i="107"/>
  <c r="C38" i="107"/>
  <c r="E37" i="107"/>
  <c r="C37" i="107"/>
  <c r="E36" i="107"/>
  <c r="C36" i="107"/>
  <c r="E35" i="107"/>
  <c r="C35" i="107"/>
  <c r="E34" i="107"/>
  <c r="C34" i="107"/>
  <c r="E33" i="107"/>
  <c r="C33" i="107"/>
  <c r="E32" i="107"/>
  <c r="C32" i="107"/>
  <c r="E31" i="107"/>
  <c r="C31" i="107"/>
  <c r="E30" i="107"/>
  <c r="C30" i="107"/>
  <c r="C29" i="107"/>
  <c r="C28" i="107"/>
  <c r="C27" i="107"/>
  <c r="C26" i="107"/>
  <c r="L24" i="107"/>
  <c r="L23" i="107"/>
  <c r="J16" i="107"/>
  <c r="J15" i="107"/>
  <c r="N11" i="107"/>
  <c r="N10" i="107"/>
  <c r="F7" i="107"/>
  <c r="H25" i="107" l="1"/>
  <c r="C25" i="107" s="1"/>
  <c r="L74" i="2"/>
  <c r="L116" i="179"/>
  <c r="L72" i="173"/>
  <c r="L22" i="127"/>
  <c r="I9" i="108"/>
  <c r="K118" i="179"/>
  <c r="K74" i="173"/>
  <c r="K24" i="127"/>
  <c r="F18" i="107"/>
  <c r="J17" i="107" s="1"/>
  <c r="H119" i="179"/>
  <c r="V119" i="179" s="1"/>
  <c r="H75" i="173"/>
  <c r="V75" i="173" s="1"/>
  <c r="H25" i="127"/>
  <c r="V25" i="127" s="1"/>
  <c r="L75" i="2"/>
  <c r="L117" i="179"/>
  <c r="L73" i="173"/>
  <c r="L23" i="127"/>
  <c r="H77" i="2"/>
  <c r="V77" i="2" s="1"/>
  <c r="F11" i="108"/>
  <c r="H23" i="107"/>
  <c r="G13" i="107"/>
  <c r="H24" i="107"/>
  <c r="C24" i="107" s="1"/>
  <c r="H12" i="107"/>
  <c r="F8" i="107"/>
  <c r="F13" i="107"/>
  <c r="S78" i="2"/>
  <c r="G78" i="2"/>
  <c r="F78" i="2"/>
  <c r="E78" i="2"/>
  <c r="D78" i="2"/>
  <c r="E43" i="106"/>
  <c r="C43" i="106"/>
  <c r="E42" i="106"/>
  <c r="C42" i="106"/>
  <c r="E41" i="106"/>
  <c r="C41" i="106"/>
  <c r="E40" i="106"/>
  <c r="C40" i="106"/>
  <c r="E39" i="106"/>
  <c r="C39" i="106"/>
  <c r="E38" i="106"/>
  <c r="C38" i="106"/>
  <c r="E37" i="106"/>
  <c r="C37" i="106"/>
  <c r="E36" i="106"/>
  <c r="C36" i="106"/>
  <c r="E35" i="106"/>
  <c r="C35" i="106"/>
  <c r="E34" i="106"/>
  <c r="C34" i="106"/>
  <c r="E33" i="106"/>
  <c r="C33" i="106"/>
  <c r="E32" i="106"/>
  <c r="C32" i="106"/>
  <c r="E31" i="106"/>
  <c r="C31" i="106"/>
  <c r="E30" i="106"/>
  <c r="C30" i="106"/>
  <c r="L24" i="106"/>
  <c r="L23" i="106"/>
  <c r="J16" i="106"/>
  <c r="J15" i="106"/>
  <c r="N11" i="106"/>
  <c r="N10" i="106"/>
  <c r="F7" i="106"/>
  <c r="N12" i="107" l="1"/>
  <c r="I77" i="2"/>
  <c r="W77" i="2" s="1"/>
  <c r="X77" i="2" s="1"/>
  <c r="I119" i="179"/>
  <c r="W119" i="179" s="1"/>
  <c r="I75" i="173"/>
  <c r="W75" i="173" s="1"/>
  <c r="X75" i="173" s="1"/>
  <c r="I25" i="127"/>
  <c r="W25" i="127" s="1"/>
  <c r="X25" i="127" s="1"/>
  <c r="F18" i="106"/>
  <c r="J17" i="106" s="1"/>
  <c r="H120" i="179"/>
  <c r="H76" i="173"/>
  <c r="H26" i="127"/>
  <c r="V26" i="127" s="1"/>
  <c r="M119" i="179"/>
  <c r="M75" i="173"/>
  <c r="M25" i="127"/>
  <c r="L76" i="2"/>
  <c r="L118" i="179"/>
  <c r="L74" i="173"/>
  <c r="L24" i="127"/>
  <c r="X119" i="179"/>
  <c r="H78" i="2"/>
  <c r="V78" i="2" s="1"/>
  <c r="C23" i="107"/>
  <c r="F12" i="107"/>
  <c r="M77" i="2"/>
  <c r="J18" i="107"/>
  <c r="F9" i="107"/>
  <c r="G9" i="107" s="1"/>
  <c r="J19" i="107"/>
  <c r="J12" i="107"/>
  <c r="H12" i="106"/>
  <c r="F13" i="106"/>
  <c r="H23" i="106"/>
  <c r="C23" i="106" s="1"/>
  <c r="C28" i="106"/>
  <c r="C27" i="106"/>
  <c r="C25" i="106"/>
  <c r="G13" i="106"/>
  <c r="F8" i="106"/>
  <c r="H24" i="106"/>
  <c r="C24" i="106" s="1"/>
  <c r="C26" i="106"/>
  <c r="C29" i="106"/>
  <c r="G71" i="99"/>
  <c r="S7" i="99"/>
  <c r="H7" i="99"/>
  <c r="V7" i="99" s="1"/>
  <c r="G7" i="99"/>
  <c r="F7" i="99"/>
  <c r="E7" i="99"/>
  <c r="D7" i="99"/>
  <c r="S80" i="2"/>
  <c r="H80" i="2"/>
  <c r="V80" i="2" s="1"/>
  <c r="G80" i="2"/>
  <c r="F80" i="2"/>
  <c r="E80" i="2"/>
  <c r="D80" i="2"/>
  <c r="E43" i="105"/>
  <c r="C43" i="105"/>
  <c r="E42" i="105"/>
  <c r="C42" i="105"/>
  <c r="E41" i="105"/>
  <c r="C41" i="105"/>
  <c r="E40" i="105"/>
  <c r="C40" i="105"/>
  <c r="E39" i="105"/>
  <c r="C39" i="105"/>
  <c r="E38" i="105"/>
  <c r="C38" i="105"/>
  <c r="E37" i="105"/>
  <c r="C37" i="105"/>
  <c r="E36" i="105"/>
  <c r="C36" i="105"/>
  <c r="E35" i="105"/>
  <c r="C35" i="105"/>
  <c r="E34" i="105"/>
  <c r="C34" i="105"/>
  <c r="C33" i="105"/>
  <c r="C32" i="105"/>
  <c r="C31" i="105"/>
  <c r="C30" i="105"/>
  <c r="C29" i="105"/>
  <c r="C28" i="105"/>
  <c r="C27" i="105"/>
  <c r="C26" i="105"/>
  <c r="C25" i="105"/>
  <c r="H24" i="105"/>
  <c r="C24" i="105" s="1"/>
  <c r="H23" i="105"/>
  <c r="C23" i="105" s="1"/>
  <c r="J17" i="105"/>
  <c r="J16" i="105"/>
  <c r="J15" i="105"/>
  <c r="G13" i="105"/>
  <c r="F13" i="105"/>
  <c r="H12" i="105"/>
  <c r="F8" i="105"/>
  <c r="M120" i="179" l="1"/>
  <c r="H141" i="179" s="1"/>
  <c r="M76" i="173"/>
  <c r="H97" i="173" s="1"/>
  <c r="M26" i="127"/>
  <c r="F9" i="105"/>
  <c r="G9" i="105" s="1"/>
  <c r="K7" i="99" s="1"/>
  <c r="I232" i="99"/>
  <c r="W232" i="99" s="1"/>
  <c r="X232" i="99" s="1"/>
  <c r="I9" i="138"/>
  <c r="W9" i="138" s="1"/>
  <c r="X9" i="138" s="1"/>
  <c r="I120" i="179"/>
  <c r="I76" i="173"/>
  <c r="I26" i="127"/>
  <c r="W26" i="127" s="1"/>
  <c r="X26" i="127" s="1"/>
  <c r="V76" i="173"/>
  <c r="H85" i="173"/>
  <c r="M7" i="99"/>
  <c r="M232" i="99"/>
  <c r="M9" i="138"/>
  <c r="J18" i="106"/>
  <c r="V120" i="179"/>
  <c r="H129" i="179"/>
  <c r="J12" i="106"/>
  <c r="K119" i="179"/>
  <c r="K75" i="173"/>
  <c r="K25" i="127"/>
  <c r="F12" i="105"/>
  <c r="F10" i="105" s="1"/>
  <c r="M80" i="2"/>
  <c r="I80" i="2"/>
  <c r="W80" i="2" s="1"/>
  <c r="X80" i="2" s="1"/>
  <c r="F12" i="106"/>
  <c r="J13" i="106" s="1"/>
  <c r="M78" i="2"/>
  <c r="K80" i="2"/>
  <c r="J19" i="106"/>
  <c r="I78" i="2"/>
  <c r="W78" i="2" s="1"/>
  <c r="X78" i="2" s="1"/>
  <c r="I7" i="99"/>
  <c r="W7" i="99" s="1"/>
  <c r="X7" i="99" s="1"/>
  <c r="J13" i="107"/>
  <c r="F11" i="107" s="1"/>
  <c r="F10" i="107"/>
  <c r="I9" i="107"/>
  <c r="K77" i="2"/>
  <c r="N12" i="106"/>
  <c r="F9" i="106"/>
  <c r="G9" i="106" s="1"/>
  <c r="J18" i="105"/>
  <c r="J12" i="105"/>
  <c r="J19" i="105"/>
  <c r="S8" i="99"/>
  <c r="G8" i="99"/>
  <c r="F8" i="99"/>
  <c r="E8" i="99"/>
  <c r="D8" i="99"/>
  <c r="S81" i="2"/>
  <c r="G81" i="2"/>
  <c r="F81" i="2"/>
  <c r="E81" i="2"/>
  <c r="D81" i="2"/>
  <c r="K30" i="104"/>
  <c r="AB61" i="178" s="1"/>
  <c r="E43" i="104"/>
  <c r="C43" i="104"/>
  <c r="E42" i="104"/>
  <c r="C42" i="104"/>
  <c r="E41" i="104"/>
  <c r="C41" i="104"/>
  <c r="E40" i="104"/>
  <c r="C40" i="104"/>
  <c r="E39" i="104"/>
  <c r="C39" i="104"/>
  <c r="E38" i="104"/>
  <c r="C38" i="104"/>
  <c r="E37" i="104"/>
  <c r="C37" i="104"/>
  <c r="E36" i="104"/>
  <c r="C36" i="104"/>
  <c r="C35" i="104"/>
  <c r="C34" i="104"/>
  <c r="C33" i="104"/>
  <c r="C32" i="104"/>
  <c r="C31" i="104"/>
  <c r="K29" i="104"/>
  <c r="AA61" i="178" s="1"/>
  <c r="K28" i="104"/>
  <c r="Z61" i="178" s="1"/>
  <c r="K27" i="104"/>
  <c r="Y61" i="178" s="1"/>
  <c r="K26" i="104"/>
  <c r="X61" i="178" s="1"/>
  <c r="K25" i="104"/>
  <c r="W61" i="178" s="1"/>
  <c r="K24" i="104"/>
  <c r="V61" i="178" s="1"/>
  <c r="K23" i="104"/>
  <c r="J16" i="104"/>
  <c r="J15" i="104"/>
  <c r="F7" i="104"/>
  <c r="F11" i="106" l="1"/>
  <c r="H81" i="2"/>
  <c r="V81" i="2" s="1"/>
  <c r="H190" i="99"/>
  <c r="V190" i="99" s="1"/>
  <c r="H30" i="104"/>
  <c r="C30" i="104" s="1"/>
  <c r="U61" i="178"/>
  <c r="J61" i="178" s="1"/>
  <c r="K120" i="179"/>
  <c r="K76" i="173"/>
  <c r="K26" i="127"/>
  <c r="W120" i="179"/>
  <c r="I129" i="179"/>
  <c r="J13" i="105"/>
  <c r="F11" i="105" s="1"/>
  <c r="F10" i="106"/>
  <c r="L77" i="2"/>
  <c r="L119" i="179"/>
  <c r="L75" i="173"/>
  <c r="L25" i="127"/>
  <c r="X120" i="179"/>
  <c r="W76" i="173"/>
  <c r="X76" i="173" s="1"/>
  <c r="I85" i="173"/>
  <c r="I9" i="105"/>
  <c r="K232" i="99"/>
  <c r="K9" i="138"/>
  <c r="H8" i="99"/>
  <c r="V8" i="99" s="1"/>
  <c r="I9" i="106"/>
  <c r="K78" i="2"/>
  <c r="F13" i="104"/>
  <c r="G13" i="104"/>
  <c r="F8" i="104"/>
  <c r="I190" i="99" s="1"/>
  <c r="W190" i="99" s="1"/>
  <c r="H12" i="104"/>
  <c r="M190" i="99" s="1"/>
  <c r="H23" i="104"/>
  <c r="C23" i="104" s="1"/>
  <c r="H26" i="104"/>
  <c r="C26" i="104" s="1"/>
  <c r="H28" i="104"/>
  <c r="C28" i="104" s="1"/>
  <c r="H29" i="104"/>
  <c r="C29" i="104" s="1"/>
  <c r="H27" i="104"/>
  <c r="C27" i="104" s="1"/>
  <c r="H25" i="104"/>
  <c r="C25" i="104" s="1"/>
  <c r="F18" i="104"/>
  <c r="J17" i="104" s="1"/>
  <c r="H24" i="104"/>
  <c r="C24" i="104" s="1"/>
  <c r="S10" i="99"/>
  <c r="G10" i="99"/>
  <c r="F10" i="99"/>
  <c r="E10" i="99"/>
  <c r="D10" i="99"/>
  <c r="S9" i="99"/>
  <c r="H9" i="99"/>
  <c r="V9" i="99" s="1"/>
  <c r="G9" i="99"/>
  <c r="F9" i="99"/>
  <c r="E9" i="99"/>
  <c r="D9" i="99"/>
  <c r="S82" i="2"/>
  <c r="W82" i="2"/>
  <c r="V82" i="2"/>
  <c r="F82" i="2"/>
  <c r="E82" i="2"/>
  <c r="D82" i="2"/>
  <c r="E43" i="103"/>
  <c r="C43" i="103"/>
  <c r="E42" i="103"/>
  <c r="C42" i="103"/>
  <c r="E41" i="103"/>
  <c r="C41" i="103"/>
  <c r="E40" i="103"/>
  <c r="C40" i="103"/>
  <c r="E39" i="103"/>
  <c r="C39" i="103"/>
  <c r="E38" i="103"/>
  <c r="C38" i="103"/>
  <c r="E37" i="103"/>
  <c r="C37" i="103"/>
  <c r="E36" i="103"/>
  <c r="C36" i="103"/>
  <c r="E35" i="103"/>
  <c r="C35" i="103"/>
  <c r="E34" i="103"/>
  <c r="C34" i="103"/>
  <c r="C33" i="103"/>
  <c r="C32" i="103"/>
  <c r="C31" i="103"/>
  <c r="C30" i="103"/>
  <c r="C29" i="103"/>
  <c r="C28" i="103"/>
  <c r="C27" i="103"/>
  <c r="C26" i="103"/>
  <c r="C25" i="103"/>
  <c r="C24" i="103"/>
  <c r="H23" i="103"/>
  <c r="C23" i="103" s="1"/>
  <c r="J17" i="103"/>
  <c r="J16" i="103"/>
  <c r="J15" i="103"/>
  <c r="G13" i="103"/>
  <c r="F13" i="103"/>
  <c r="H12" i="103"/>
  <c r="F8" i="103"/>
  <c r="S83" i="2"/>
  <c r="G83" i="2"/>
  <c r="F83" i="2"/>
  <c r="E83" i="2"/>
  <c r="D83" i="2"/>
  <c r="E43" i="102"/>
  <c r="C43" i="102"/>
  <c r="E42" i="102"/>
  <c r="C42" i="102"/>
  <c r="E41" i="102"/>
  <c r="C41" i="102"/>
  <c r="E40" i="102"/>
  <c r="C40" i="102"/>
  <c r="E39" i="102"/>
  <c r="C39" i="102"/>
  <c r="E38" i="102"/>
  <c r="C38" i="102"/>
  <c r="E37" i="102"/>
  <c r="C37" i="102"/>
  <c r="E36" i="102"/>
  <c r="C36" i="102"/>
  <c r="C35" i="102"/>
  <c r="C34" i="102"/>
  <c r="C33" i="102"/>
  <c r="C32" i="102"/>
  <c r="C31" i="102"/>
  <c r="C30" i="102"/>
  <c r="K29" i="102"/>
  <c r="AA62" i="178" s="1"/>
  <c r="K28" i="102"/>
  <c r="Z62" i="178" s="1"/>
  <c r="K27" i="102"/>
  <c r="Y62" i="178" s="1"/>
  <c r="K26" i="102"/>
  <c r="X62" i="178" s="1"/>
  <c r="K25" i="102"/>
  <c r="W62" i="178" s="1"/>
  <c r="K24" i="102"/>
  <c r="V62" i="178" s="1"/>
  <c r="K23" i="102"/>
  <c r="U62" i="178" s="1"/>
  <c r="J16" i="102"/>
  <c r="J15" i="102"/>
  <c r="F7" i="102"/>
  <c r="X190" i="99" l="1"/>
  <c r="F18" i="102"/>
  <c r="J17" i="102" s="1"/>
  <c r="H211" i="99"/>
  <c r="V211" i="99" s="1"/>
  <c r="H140" i="179"/>
  <c r="J129" i="179"/>
  <c r="H142" i="179" s="1"/>
  <c r="J62" i="178"/>
  <c r="M62" i="178" s="1"/>
  <c r="H96" i="173"/>
  <c r="J85" i="173"/>
  <c r="H98" i="173" s="1"/>
  <c r="L232" i="99"/>
  <c r="L9" i="138"/>
  <c r="F9" i="103"/>
  <c r="G9" i="103" s="1"/>
  <c r="I233" i="99"/>
  <c r="W233" i="99" s="1"/>
  <c r="X233" i="99" s="1"/>
  <c r="M61" i="178"/>
  <c r="M9" i="99"/>
  <c r="M233" i="99"/>
  <c r="L78" i="2"/>
  <c r="L120" i="179"/>
  <c r="L76" i="173"/>
  <c r="L26" i="127"/>
  <c r="K9" i="99"/>
  <c r="H10" i="99"/>
  <c r="V10" i="99" s="1"/>
  <c r="H83" i="2"/>
  <c r="V83" i="2" s="1"/>
  <c r="F12" i="103"/>
  <c r="F12" i="104"/>
  <c r="J13" i="104" s="1"/>
  <c r="F11" i="104" s="1"/>
  <c r="L190" i="99" s="1"/>
  <c r="M81" i="2"/>
  <c r="M8" i="99"/>
  <c r="I9" i="99"/>
  <c r="W9" i="99" s="1"/>
  <c r="X9" i="99" s="1"/>
  <c r="F9" i="104"/>
  <c r="G9" i="104" s="1"/>
  <c r="K190" i="99" s="1"/>
  <c r="I8" i="99"/>
  <c r="W8" i="99" s="1"/>
  <c r="X8" i="99" s="1"/>
  <c r="I81" i="2"/>
  <c r="W81" i="2" s="1"/>
  <c r="X81" i="2" s="1"/>
  <c r="L80" i="2"/>
  <c r="L7" i="99"/>
  <c r="J12" i="104"/>
  <c r="J19" i="104"/>
  <c r="J18" i="104"/>
  <c r="X82" i="2"/>
  <c r="J18" i="103"/>
  <c r="J12" i="103"/>
  <c r="F11" i="103" s="1"/>
  <c r="J19" i="103"/>
  <c r="F13" i="102"/>
  <c r="H29" i="102"/>
  <c r="C29" i="102" s="1"/>
  <c r="G13" i="102"/>
  <c r="H24" i="102"/>
  <c r="C24" i="102" s="1"/>
  <c r="H26" i="102"/>
  <c r="C26" i="102" s="1"/>
  <c r="H28" i="102"/>
  <c r="C28" i="102" s="1"/>
  <c r="H12" i="102"/>
  <c r="M211" i="99" s="1"/>
  <c r="H23" i="102"/>
  <c r="C23" i="102" s="1"/>
  <c r="H27" i="102"/>
  <c r="C27" i="102" s="1"/>
  <c r="F8" i="102"/>
  <c r="I211" i="99" s="1"/>
  <c r="W211" i="99" s="1"/>
  <c r="H25" i="102"/>
  <c r="C25" i="102" s="1"/>
  <c r="J7" i="101"/>
  <c r="F10" i="104" l="1"/>
  <c r="L9" i="99"/>
  <c r="L233" i="99"/>
  <c r="L80" i="173"/>
  <c r="L85" i="173"/>
  <c r="I9" i="103"/>
  <c r="K233" i="99"/>
  <c r="X211" i="99"/>
  <c r="L124" i="179"/>
  <c r="L129" i="179"/>
  <c r="F12" i="102"/>
  <c r="J13" i="102" s="1"/>
  <c r="M83" i="2"/>
  <c r="M10" i="99"/>
  <c r="J13" i="103"/>
  <c r="F10" i="103"/>
  <c r="I83" i="2"/>
  <c r="W83" i="2" s="1"/>
  <c r="X83" i="2" s="1"/>
  <c r="I10" i="99"/>
  <c r="W10" i="99" s="1"/>
  <c r="X10" i="99" s="1"/>
  <c r="L81" i="2"/>
  <c r="L8" i="99"/>
  <c r="I9" i="104"/>
  <c r="K8" i="99"/>
  <c r="K81" i="2"/>
  <c r="F10" i="102"/>
  <c r="J19" i="102"/>
  <c r="F9" i="102"/>
  <c r="G9" i="102" s="1"/>
  <c r="K211" i="99" s="1"/>
  <c r="J18" i="102"/>
  <c r="J12" i="102"/>
  <c r="F11" i="102" s="1"/>
  <c r="L211" i="99" s="1"/>
  <c r="S11" i="99"/>
  <c r="G11" i="99"/>
  <c r="F11" i="99"/>
  <c r="E11" i="99"/>
  <c r="D11" i="99"/>
  <c r="S84" i="2"/>
  <c r="G84" i="2"/>
  <c r="F84" i="2"/>
  <c r="E84" i="2"/>
  <c r="D84" i="2"/>
  <c r="C32" i="101"/>
  <c r="C33" i="101"/>
  <c r="C34" i="101"/>
  <c r="C35" i="101"/>
  <c r="C36" i="101"/>
  <c r="K23" i="101"/>
  <c r="K24" i="101"/>
  <c r="K25" i="101"/>
  <c r="K26" i="101"/>
  <c r="K27" i="101"/>
  <c r="K28" i="101"/>
  <c r="K29" i="101"/>
  <c r="E43" i="101"/>
  <c r="C43" i="101"/>
  <c r="E42" i="101"/>
  <c r="C42" i="101"/>
  <c r="E41" i="101"/>
  <c r="C41" i="101"/>
  <c r="E40" i="101"/>
  <c r="C40" i="101"/>
  <c r="E39" i="101"/>
  <c r="C39" i="101"/>
  <c r="E38" i="101"/>
  <c r="C38" i="101"/>
  <c r="E37" i="101"/>
  <c r="C37" i="101"/>
  <c r="E36" i="101"/>
  <c r="J16" i="101"/>
  <c r="J15" i="101"/>
  <c r="F7" i="101"/>
  <c r="H136" i="179" l="1"/>
  <c r="L126" i="179"/>
  <c r="L82" i="173"/>
  <c r="H92" i="173"/>
  <c r="H84" i="2"/>
  <c r="V84" i="2" s="1"/>
  <c r="H212" i="99"/>
  <c r="V212" i="99" s="1"/>
  <c r="I9" i="102"/>
  <c r="K10" i="99"/>
  <c r="K83" i="2"/>
  <c r="H11" i="99"/>
  <c r="V11" i="99" s="1"/>
  <c r="L10" i="99"/>
  <c r="L83" i="2"/>
  <c r="F13" i="101"/>
  <c r="F8" i="101"/>
  <c r="I212" i="99" s="1"/>
  <c r="W212" i="99" s="1"/>
  <c r="H29" i="101"/>
  <c r="C29" i="101" s="1"/>
  <c r="G13" i="101"/>
  <c r="C30" i="101"/>
  <c r="H26" i="101"/>
  <c r="C26" i="101" s="1"/>
  <c r="H25" i="101"/>
  <c r="C25" i="101" s="1"/>
  <c r="H28" i="101"/>
  <c r="C28" i="101" s="1"/>
  <c r="H24" i="101"/>
  <c r="C24" i="101" s="1"/>
  <c r="C31" i="101"/>
  <c r="H27" i="101"/>
  <c r="C27" i="101" s="1"/>
  <c r="H23" i="101"/>
  <c r="C23" i="101" s="1"/>
  <c r="H12" i="101"/>
  <c r="F18" i="101"/>
  <c r="J17" i="101" s="1"/>
  <c r="F71" i="99"/>
  <c r="F77" i="99"/>
  <c r="F73" i="99"/>
  <c r="H107" i="173" l="1"/>
  <c r="H93" i="173"/>
  <c r="H101" i="173" s="1"/>
  <c r="H105" i="173"/>
  <c r="X212" i="99"/>
  <c r="L127" i="179"/>
  <c r="H144" i="179" s="1"/>
  <c r="L131" i="179"/>
  <c r="L132" i="179" s="1"/>
  <c r="L87" i="173"/>
  <c r="L88" i="173" s="1"/>
  <c r="L83" i="173"/>
  <c r="H100" i="173" s="1"/>
  <c r="M11" i="99"/>
  <c r="M212" i="99"/>
  <c r="H149" i="179"/>
  <c r="H151" i="179"/>
  <c r="H137" i="179"/>
  <c r="H145" i="179" s="1"/>
  <c r="J19" i="101"/>
  <c r="I11" i="99"/>
  <c r="W11" i="99" s="1"/>
  <c r="X11" i="99" s="1"/>
  <c r="F9" i="101"/>
  <c r="G9" i="101" s="1"/>
  <c r="I84" i="2"/>
  <c r="W84" i="2" s="1"/>
  <c r="X84" i="2" s="1"/>
  <c r="J12" i="101"/>
  <c r="F12" i="101"/>
  <c r="J13" i="101" s="1"/>
  <c r="M84" i="2"/>
  <c r="J18" i="101"/>
  <c r="S12" i="99"/>
  <c r="G12" i="99"/>
  <c r="F12" i="99"/>
  <c r="E12" i="99"/>
  <c r="D12" i="99"/>
  <c r="S85" i="2"/>
  <c r="G85" i="2"/>
  <c r="F85" i="2"/>
  <c r="E85" i="2"/>
  <c r="D85" i="2"/>
  <c r="L24" i="100"/>
  <c r="L25" i="100"/>
  <c r="L26" i="100"/>
  <c r="L27" i="100"/>
  <c r="L23" i="100"/>
  <c r="F7" i="100"/>
  <c r="E43" i="100"/>
  <c r="C43" i="100"/>
  <c r="E42" i="100"/>
  <c r="C42" i="100"/>
  <c r="E41" i="100"/>
  <c r="C41" i="100"/>
  <c r="E40" i="100"/>
  <c r="C40" i="100"/>
  <c r="E39" i="100"/>
  <c r="C39" i="100"/>
  <c r="E38" i="100"/>
  <c r="C38" i="100"/>
  <c r="E37" i="100"/>
  <c r="C37" i="100"/>
  <c r="E36" i="100"/>
  <c r="C36" i="100"/>
  <c r="E35" i="100"/>
  <c r="C35" i="100"/>
  <c r="E34" i="100"/>
  <c r="C34" i="100"/>
  <c r="E33" i="100"/>
  <c r="C33" i="100"/>
  <c r="E32" i="100"/>
  <c r="C32" i="100"/>
  <c r="E31" i="100"/>
  <c r="C31" i="100"/>
  <c r="E30" i="100"/>
  <c r="C30" i="100"/>
  <c r="J16" i="100"/>
  <c r="J15" i="100"/>
  <c r="N11" i="100"/>
  <c r="N10" i="100"/>
  <c r="I9" i="101" l="1"/>
  <c r="K212" i="99"/>
  <c r="H85" i="2"/>
  <c r="V85" i="2" s="1"/>
  <c r="H191" i="99"/>
  <c r="V191" i="99" s="1"/>
  <c r="H12" i="99"/>
  <c r="V12" i="99" s="1"/>
  <c r="K84" i="2"/>
  <c r="K11" i="99"/>
  <c r="F11" i="101"/>
  <c r="L212" i="99" s="1"/>
  <c r="F10" i="101"/>
  <c r="H25" i="100"/>
  <c r="C25" i="100" s="1"/>
  <c r="F13" i="100"/>
  <c r="H27" i="100"/>
  <c r="C27" i="100" s="1"/>
  <c r="F8" i="100"/>
  <c r="I191" i="99" s="1"/>
  <c r="W191" i="99" s="1"/>
  <c r="H26" i="100"/>
  <c r="C26" i="100" s="1"/>
  <c r="H12" i="100"/>
  <c r="M191" i="99" s="1"/>
  <c r="H24" i="100"/>
  <c r="C24" i="100" s="1"/>
  <c r="F18" i="100"/>
  <c r="J17" i="100" s="1"/>
  <c r="H23" i="100"/>
  <c r="G13" i="100"/>
  <c r="H63" i="99"/>
  <c r="G82" i="99" s="1"/>
  <c r="L66" i="99"/>
  <c r="W56" i="99"/>
  <c r="V56" i="99"/>
  <c r="S56" i="99"/>
  <c r="G56" i="99"/>
  <c r="F56" i="99"/>
  <c r="E56" i="99"/>
  <c r="D56" i="99"/>
  <c r="S55" i="99"/>
  <c r="H55" i="99"/>
  <c r="V55" i="99" s="1"/>
  <c r="G55" i="99"/>
  <c r="F55" i="99"/>
  <c r="E55" i="99"/>
  <c r="D55" i="99"/>
  <c r="S54" i="99"/>
  <c r="H54" i="99"/>
  <c r="V54" i="99" s="1"/>
  <c r="G54" i="99"/>
  <c r="F54" i="99"/>
  <c r="E54" i="99"/>
  <c r="D54" i="99"/>
  <c r="S53" i="99"/>
  <c r="H53" i="99"/>
  <c r="V53" i="99" s="1"/>
  <c r="G53" i="99"/>
  <c r="F53" i="99"/>
  <c r="E53" i="99"/>
  <c r="D53" i="99"/>
  <c r="S52" i="99"/>
  <c r="H52" i="99"/>
  <c r="V52" i="99" s="1"/>
  <c r="G52" i="99"/>
  <c r="F52" i="99"/>
  <c r="E52" i="99"/>
  <c r="D52" i="99"/>
  <c r="S51" i="99"/>
  <c r="G51" i="99"/>
  <c r="F51" i="99"/>
  <c r="E51" i="99"/>
  <c r="D51" i="99"/>
  <c r="S50" i="99"/>
  <c r="G50" i="99"/>
  <c r="F50" i="99"/>
  <c r="E50" i="99"/>
  <c r="D50" i="99"/>
  <c r="S49" i="99"/>
  <c r="G49" i="99"/>
  <c r="F49" i="99"/>
  <c r="E49" i="99"/>
  <c r="D49" i="99"/>
  <c r="S48" i="99"/>
  <c r="G48" i="99"/>
  <c r="F48" i="99"/>
  <c r="E48" i="99"/>
  <c r="D48" i="99"/>
  <c r="S47" i="99"/>
  <c r="G47" i="99"/>
  <c r="F47" i="99"/>
  <c r="E47" i="99"/>
  <c r="D47" i="99"/>
  <c r="S46" i="99"/>
  <c r="H46" i="99"/>
  <c r="V46" i="99" s="1"/>
  <c r="G46" i="99"/>
  <c r="F46" i="99"/>
  <c r="E46" i="99"/>
  <c r="D46" i="99"/>
  <c r="S44" i="99"/>
  <c r="H44" i="99"/>
  <c r="V44" i="99" s="1"/>
  <c r="G44" i="99"/>
  <c r="F44" i="99"/>
  <c r="E44" i="99"/>
  <c r="D44" i="99"/>
  <c r="S43" i="99"/>
  <c r="H43" i="99"/>
  <c r="V43" i="99" s="1"/>
  <c r="G43" i="99"/>
  <c r="F43" i="99"/>
  <c r="E43" i="99"/>
  <c r="D43" i="99"/>
  <c r="S42" i="99"/>
  <c r="H42" i="99"/>
  <c r="V42" i="99" s="1"/>
  <c r="G42" i="99"/>
  <c r="F42" i="99"/>
  <c r="E42" i="99"/>
  <c r="D42" i="99"/>
  <c r="S41" i="99"/>
  <c r="H41" i="99"/>
  <c r="V41" i="99" s="1"/>
  <c r="G41" i="99"/>
  <c r="F41" i="99"/>
  <c r="E41" i="99"/>
  <c r="D41" i="99"/>
  <c r="S40" i="99"/>
  <c r="H40" i="99"/>
  <c r="V40" i="99" s="1"/>
  <c r="G40" i="99"/>
  <c r="F40" i="99"/>
  <c r="E40" i="99"/>
  <c r="D40" i="99"/>
  <c r="S39" i="99"/>
  <c r="H39" i="99"/>
  <c r="V39" i="99" s="1"/>
  <c r="G39" i="99"/>
  <c r="F39" i="99"/>
  <c r="E39" i="99"/>
  <c r="D39" i="99"/>
  <c r="S38" i="99"/>
  <c r="H38" i="99"/>
  <c r="V38" i="99" s="1"/>
  <c r="G38" i="99"/>
  <c r="F38" i="99"/>
  <c r="E38" i="99"/>
  <c r="D38" i="99"/>
  <c r="W37" i="99"/>
  <c r="V37" i="99"/>
  <c r="S37" i="99"/>
  <c r="G37" i="99"/>
  <c r="F37" i="99"/>
  <c r="E37" i="99"/>
  <c r="D37" i="99"/>
  <c r="S36" i="99"/>
  <c r="G36" i="99"/>
  <c r="F36" i="99"/>
  <c r="E36" i="99"/>
  <c r="D36" i="99"/>
  <c r="S35" i="99"/>
  <c r="H35" i="99"/>
  <c r="V35" i="99" s="1"/>
  <c r="G35" i="99"/>
  <c r="F35" i="99"/>
  <c r="E35" i="99"/>
  <c r="D35" i="99"/>
  <c r="S34" i="99"/>
  <c r="G34" i="99"/>
  <c r="F34" i="99"/>
  <c r="E34" i="99"/>
  <c r="D34" i="99"/>
  <c r="S33" i="99"/>
  <c r="H33" i="99"/>
  <c r="V33" i="99" s="1"/>
  <c r="G33" i="99"/>
  <c r="F33" i="99"/>
  <c r="E33" i="99"/>
  <c r="D33" i="99"/>
  <c r="S32" i="99"/>
  <c r="G32" i="99"/>
  <c r="F32" i="99"/>
  <c r="E32" i="99"/>
  <c r="D32" i="99"/>
  <c r="S30" i="99"/>
  <c r="G30" i="99"/>
  <c r="F30" i="99"/>
  <c r="E30" i="99"/>
  <c r="D30" i="99"/>
  <c r="S29" i="99"/>
  <c r="H29" i="99"/>
  <c r="V29" i="99" s="1"/>
  <c r="G29" i="99"/>
  <c r="F29" i="99"/>
  <c r="E29" i="99"/>
  <c r="D29" i="99"/>
  <c r="S28" i="99"/>
  <c r="H28" i="99"/>
  <c r="V28" i="99" s="1"/>
  <c r="G28" i="99"/>
  <c r="F28" i="99"/>
  <c r="E28" i="99"/>
  <c r="D28" i="99"/>
  <c r="W27" i="99"/>
  <c r="V27" i="99"/>
  <c r="S27" i="99"/>
  <c r="F27" i="99"/>
  <c r="E27" i="99"/>
  <c r="D27" i="99"/>
  <c r="S26" i="99"/>
  <c r="H26" i="99"/>
  <c r="V26" i="99" s="1"/>
  <c r="G26" i="99"/>
  <c r="F26" i="99"/>
  <c r="E26" i="99"/>
  <c r="D26" i="99"/>
  <c r="S25" i="99"/>
  <c r="H25" i="99"/>
  <c r="V25" i="99" s="1"/>
  <c r="G25" i="99"/>
  <c r="F25" i="99"/>
  <c r="E25" i="99"/>
  <c r="D25" i="99"/>
  <c r="S24" i="99"/>
  <c r="H24" i="99"/>
  <c r="V24" i="99" s="1"/>
  <c r="G24" i="99"/>
  <c r="F24" i="99"/>
  <c r="E24" i="99"/>
  <c r="D24" i="99"/>
  <c r="S23" i="99"/>
  <c r="G23" i="99"/>
  <c r="F23" i="99"/>
  <c r="E23" i="99"/>
  <c r="D23" i="99"/>
  <c r="S22" i="99"/>
  <c r="G22" i="99"/>
  <c r="F22" i="99"/>
  <c r="E22" i="99"/>
  <c r="D22" i="99"/>
  <c r="S20" i="99"/>
  <c r="G20" i="99"/>
  <c r="F20" i="99"/>
  <c r="E20" i="99"/>
  <c r="D20" i="99"/>
  <c r="S19" i="99"/>
  <c r="H19" i="99"/>
  <c r="V19" i="99" s="1"/>
  <c r="G19" i="99"/>
  <c r="F19" i="99"/>
  <c r="E19" i="99"/>
  <c r="D19" i="99"/>
  <c r="S18" i="99"/>
  <c r="G18" i="99"/>
  <c r="F18" i="99"/>
  <c r="E18" i="99"/>
  <c r="D18" i="99"/>
  <c r="S17" i="99"/>
  <c r="H17" i="99"/>
  <c r="V17" i="99" s="1"/>
  <c r="G17" i="99"/>
  <c r="F17" i="99"/>
  <c r="E17" i="99"/>
  <c r="D17" i="99"/>
  <c r="S16" i="99"/>
  <c r="H16" i="99"/>
  <c r="V16" i="99" s="1"/>
  <c r="G16" i="99"/>
  <c r="F16" i="99"/>
  <c r="E16" i="99"/>
  <c r="D16" i="99"/>
  <c r="S15" i="99"/>
  <c r="G15" i="99"/>
  <c r="F15" i="99"/>
  <c r="E15" i="99"/>
  <c r="D15" i="99"/>
  <c r="S14" i="99"/>
  <c r="W14" i="99"/>
  <c r="V14" i="99"/>
  <c r="F14" i="99"/>
  <c r="E14" i="99"/>
  <c r="D14" i="99"/>
  <c r="S13" i="99"/>
  <c r="H13" i="99"/>
  <c r="V13" i="99" s="1"/>
  <c r="G13" i="99"/>
  <c r="F13" i="99"/>
  <c r="E13" i="99"/>
  <c r="D13" i="99"/>
  <c r="S86" i="2"/>
  <c r="H86" i="2"/>
  <c r="V86" i="2" s="1"/>
  <c r="G86" i="2"/>
  <c r="F86" i="2"/>
  <c r="E86" i="2"/>
  <c r="D86" i="2"/>
  <c r="E43" i="98"/>
  <c r="C43" i="98"/>
  <c r="E42" i="98"/>
  <c r="C42" i="98"/>
  <c r="E41" i="98"/>
  <c r="C41" i="98"/>
  <c r="E40" i="98"/>
  <c r="C40" i="98"/>
  <c r="E39" i="98"/>
  <c r="C39" i="98"/>
  <c r="E38" i="98"/>
  <c r="C38" i="98"/>
  <c r="E37" i="98"/>
  <c r="C37" i="98"/>
  <c r="E36" i="98"/>
  <c r="C36" i="98"/>
  <c r="E35" i="98"/>
  <c r="C35" i="98"/>
  <c r="E34" i="98"/>
  <c r="C34" i="98"/>
  <c r="C33" i="98"/>
  <c r="C32" i="98"/>
  <c r="C31" i="98"/>
  <c r="C30" i="98"/>
  <c r="C29" i="98"/>
  <c r="C28" i="98"/>
  <c r="C27" i="98"/>
  <c r="C26" i="98"/>
  <c r="C25" i="98"/>
  <c r="H24" i="98"/>
  <c r="C24" i="98" s="1"/>
  <c r="H23" i="98"/>
  <c r="C23" i="98" s="1"/>
  <c r="J17" i="98"/>
  <c r="J16" i="98"/>
  <c r="J15" i="98"/>
  <c r="G13" i="98"/>
  <c r="F13" i="98"/>
  <c r="H12" i="98"/>
  <c r="F12" i="98"/>
  <c r="F10" i="98" s="1"/>
  <c r="F8" i="98"/>
  <c r="X191" i="99" l="1"/>
  <c r="M13" i="99"/>
  <c r="M192" i="99"/>
  <c r="F9" i="98"/>
  <c r="G9" i="98" s="1"/>
  <c r="I192" i="99"/>
  <c r="W192" i="99" s="1"/>
  <c r="X192" i="99" s="1"/>
  <c r="M86" i="2"/>
  <c r="K13" i="99"/>
  <c r="I86" i="2"/>
  <c r="W86" i="2" s="1"/>
  <c r="X86" i="2" s="1"/>
  <c r="F9" i="100"/>
  <c r="G9" i="100" s="1"/>
  <c r="K191" i="99" s="1"/>
  <c r="I85" i="2"/>
  <c r="W85" i="2" s="1"/>
  <c r="X85" i="2" s="1"/>
  <c r="I12" i="99"/>
  <c r="W12" i="99" s="1"/>
  <c r="X12" i="99" s="1"/>
  <c r="K86" i="2"/>
  <c r="I13" i="99"/>
  <c r="W13" i="99" s="1"/>
  <c r="X13" i="99" s="1"/>
  <c r="F12" i="100"/>
  <c r="J13" i="100" s="1"/>
  <c r="M85" i="2"/>
  <c r="M12" i="99"/>
  <c r="X56" i="99"/>
  <c r="X37" i="99"/>
  <c r="L84" i="2"/>
  <c r="L11" i="99"/>
  <c r="J12" i="100"/>
  <c r="J19" i="100"/>
  <c r="J18" i="100"/>
  <c r="C23" i="100"/>
  <c r="N12" i="100"/>
  <c r="X14" i="99"/>
  <c r="X27" i="99"/>
  <c r="J13" i="98"/>
  <c r="J18" i="98"/>
  <c r="J12" i="98"/>
  <c r="F11" i="98" s="1"/>
  <c r="L192" i="99" s="1"/>
  <c r="J19" i="98"/>
  <c r="S87" i="2"/>
  <c r="W87" i="2"/>
  <c r="V87" i="2"/>
  <c r="F87" i="2"/>
  <c r="E87" i="2"/>
  <c r="D87" i="2"/>
  <c r="H28" i="97"/>
  <c r="C28" i="97" s="1"/>
  <c r="H27" i="97"/>
  <c r="C27" i="97" s="1"/>
  <c r="E43" i="97"/>
  <c r="C43" i="97"/>
  <c r="E42" i="97"/>
  <c r="C42" i="97"/>
  <c r="E41" i="97"/>
  <c r="C41" i="97"/>
  <c r="E40" i="97"/>
  <c r="C40" i="97"/>
  <c r="E39" i="97"/>
  <c r="C39" i="97"/>
  <c r="E38" i="97"/>
  <c r="C38" i="97"/>
  <c r="E37" i="97"/>
  <c r="C37" i="97"/>
  <c r="E36" i="97"/>
  <c r="C36" i="97"/>
  <c r="E35" i="97"/>
  <c r="C35" i="97"/>
  <c r="E34" i="97"/>
  <c r="C34" i="97"/>
  <c r="C33" i="97"/>
  <c r="C32" i="97"/>
  <c r="C31" i="97"/>
  <c r="C30" i="97"/>
  <c r="C29" i="97"/>
  <c r="H26" i="97"/>
  <c r="C26" i="97" s="1"/>
  <c r="H25" i="97"/>
  <c r="C25" i="97" s="1"/>
  <c r="H24" i="97"/>
  <c r="C24" i="97" s="1"/>
  <c r="H23" i="97"/>
  <c r="C23" i="97" s="1"/>
  <c r="J17" i="97"/>
  <c r="J16" i="97"/>
  <c r="J15" i="97"/>
  <c r="G13" i="97"/>
  <c r="F13" i="97"/>
  <c r="H12" i="97"/>
  <c r="F12" i="97" s="1"/>
  <c r="J13" i="97" s="1"/>
  <c r="F8" i="97"/>
  <c r="J18" i="97" s="1"/>
  <c r="F11" i="100" l="1"/>
  <c r="L191" i="99" s="1"/>
  <c r="F10" i="100"/>
  <c r="I9" i="98"/>
  <c r="K192" i="99"/>
  <c r="I9" i="100"/>
  <c r="K12" i="99"/>
  <c r="K85" i="2"/>
  <c r="L86" i="2"/>
  <c r="L13" i="99"/>
  <c r="L12" i="99"/>
  <c r="L85" i="2"/>
  <c r="X87" i="2"/>
  <c r="F10" i="97"/>
  <c r="J12" i="97"/>
  <c r="F11" i="97" s="1"/>
  <c r="J19" i="97"/>
  <c r="F9" i="97"/>
  <c r="G9" i="97" s="1"/>
  <c r="I9" i="97" s="1"/>
  <c r="S88" i="2"/>
  <c r="G88" i="2"/>
  <c r="F88" i="2"/>
  <c r="E88" i="2"/>
  <c r="D88" i="2"/>
  <c r="K31" i="96"/>
  <c r="K30" i="96"/>
  <c r="E43" i="96"/>
  <c r="C43" i="96"/>
  <c r="E42" i="96"/>
  <c r="C42" i="96"/>
  <c r="E41" i="96"/>
  <c r="C41" i="96"/>
  <c r="E40" i="96"/>
  <c r="C40" i="96"/>
  <c r="E39" i="96"/>
  <c r="C39" i="96"/>
  <c r="E38" i="96"/>
  <c r="C38" i="96"/>
  <c r="E37" i="96"/>
  <c r="C37" i="96"/>
  <c r="E36" i="96"/>
  <c r="C36" i="96"/>
  <c r="K29" i="96"/>
  <c r="K28" i="96"/>
  <c r="K27" i="96"/>
  <c r="K26" i="96"/>
  <c r="K25" i="96"/>
  <c r="K24" i="96"/>
  <c r="K23" i="96"/>
  <c r="J16" i="96"/>
  <c r="J15" i="96"/>
  <c r="F7" i="96"/>
  <c r="S91" i="2"/>
  <c r="G91" i="2"/>
  <c r="F91" i="2"/>
  <c r="E91" i="2"/>
  <c r="D91" i="2"/>
  <c r="F7" i="5"/>
  <c r="F7" i="95"/>
  <c r="E43" i="95"/>
  <c r="C43" i="95"/>
  <c r="E42" i="95"/>
  <c r="C42" i="95"/>
  <c r="E41" i="95"/>
  <c r="C41" i="95"/>
  <c r="E40" i="95"/>
  <c r="C40" i="95"/>
  <c r="E39" i="95"/>
  <c r="C39" i="95"/>
  <c r="E38" i="95"/>
  <c r="C38" i="95"/>
  <c r="E37" i="95"/>
  <c r="C37" i="95"/>
  <c r="E36" i="95"/>
  <c r="C36" i="95"/>
  <c r="E35" i="95"/>
  <c r="C35" i="95"/>
  <c r="E34" i="95"/>
  <c r="C34" i="95"/>
  <c r="E33" i="95"/>
  <c r="C33" i="95"/>
  <c r="E32" i="95"/>
  <c r="C32" i="95"/>
  <c r="E31" i="95"/>
  <c r="C31" i="95"/>
  <c r="E30" i="95"/>
  <c r="C30" i="95"/>
  <c r="L29" i="95"/>
  <c r="L28" i="95"/>
  <c r="L27" i="95"/>
  <c r="L26" i="95"/>
  <c r="L25" i="95"/>
  <c r="L24" i="95"/>
  <c r="L23" i="95"/>
  <c r="J16" i="95"/>
  <c r="J15" i="95"/>
  <c r="N11" i="95"/>
  <c r="N10" i="95"/>
  <c r="H18" i="99" l="1"/>
  <c r="V18" i="99" s="1"/>
  <c r="H170" i="99"/>
  <c r="V170" i="99" s="1"/>
  <c r="H15" i="99"/>
  <c r="V15" i="99" s="1"/>
  <c r="H167" i="99"/>
  <c r="V167" i="99" s="1"/>
  <c r="H88" i="2"/>
  <c r="H91" i="2"/>
  <c r="V91" i="2" s="1"/>
  <c r="H30" i="96"/>
  <c r="G13" i="96"/>
  <c r="H31" i="96"/>
  <c r="F13" i="96"/>
  <c r="H24" i="96"/>
  <c r="C24" i="96" s="1"/>
  <c r="H12" i="96"/>
  <c r="M167" i="99" s="1"/>
  <c r="H23" i="96"/>
  <c r="C23" i="96" s="1"/>
  <c r="H26" i="96"/>
  <c r="H28" i="96"/>
  <c r="F18" i="96"/>
  <c r="J17" i="96" s="1"/>
  <c r="F8" i="96"/>
  <c r="I167" i="99" s="1"/>
  <c r="W167" i="99" s="1"/>
  <c r="H25" i="96"/>
  <c r="C25" i="96" s="1"/>
  <c r="H27" i="96"/>
  <c r="H29" i="96"/>
  <c r="G13" i="95"/>
  <c r="H27" i="95"/>
  <c r="C27" i="95" s="1"/>
  <c r="H12" i="95"/>
  <c r="M170" i="99" s="1"/>
  <c r="H24" i="95"/>
  <c r="C24" i="95" s="1"/>
  <c r="H25" i="95"/>
  <c r="C25" i="95" s="1"/>
  <c r="H29" i="95"/>
  <c r="C29" i="95" s="1"/>
  <c r="F13" i="95"/>
  <c r="H28" i="95"/>
  <c r="C28" i="95" s="1"/>
  <c r="F18" i="95"/>
  <c r="J17" i="95" s="1"/>
  <c r="H23" i="95"/>
  <c r="H26" i="95"/>
  <c r="C26" i="95" s="1"/>
  <c r="F8" i="95"/>
  <c r="I170" i="99" s="1"/>
  <c r="W170" i="99" s="1"/>
  <c r="S89" i="2"/>
  <c r="H89" i="2"/>
  <c r="G89" i="2"/>
  <c r="F89" i="2"/>
  <c r="E89" i="2"/>
  <c r="D89" i="2"/>
  <c r="S92" i="2"/>
  <c r="S90" i="2"/>
  <c r="H90" i="2"/>
  <c r="G90" i="2"/>
  <c r="F90" i="2"/>
  <c r="E90" i="2"/>
  <c r="D90" i="2"/>
  <c r="H92" i="2"/>
  <c r="G92" i="2"/>
  <c r="F92" i="2"/>
  <c r="E92" i="2"/>
  <c r="D92" i="2"/>
  <c r="X170" i="99" l="1"/>
  <c r="X167" i="99"/>
  <c r="I18" i="99"/>
  <c r="W18" i="99" s="1"/>
  <c r="X18" i="99" s="1"/>
  <c r="I91" i="2"/>
  <c r="W91" i="2" s="1"/>
  <c r="X91" i="2" s="1"/>
  <c r="I15" i="99"/>
  <c r="I88" i="2"/>
  <c r="W88" i="2" s="1"/>
  <c r="F12" i="95"/>
  <c r="J13" i="95" s="1"/>
  <c r="M18" i="99"/>
  <c r="M91" i="2"/>
  <c r="F12" i="96"/>
  <c r="J13" i="96" s="1"/>
  <c r="M15" i="99"/>
  <c r="M88" i="2"/>
  <c r="J19" i="96"/>
  <c r="J18" i="96"/>
  <c r="J12" i="96"/>
  <c r="F9" i="96"/>
  <c r="G9" i="96" s="1"/>
  <c r="K167" i="99" s="1"/>
  <c r="F9" i="95"/>
  <c r="G9" i="95" s="1"/>
  <c r="K170" i="99" s="1"/>
  <c r="J19" i="95"/>
  <c r="J18" i="95"/>
  <c r="J12" i="95"/>
  <c r="C23" i="95"/>
  <c r="N12" i="95"/>
  <c r="V92" i="2"/>
  <c r="V90" i="2"/>
  <c r="V89" i="2"/>
  <c r="V88" i="2"/>
  <c r="H24" i="93"/>
  <c r="H25" i="93"/>
  <c r="H26" i="93"/>
  <c r="E43" i="93"/>
  <c r="C43" i="93"/>
  <c r="E42" i="93"/>
  <c r="C42" i="93"/>
  <c r="E41" i="93"/>
  <c r="C41" i="93"/>
  <c r="E40" i="93"/>
  <c r="C40" i="93"/>
  <c r="E39" i="93"/>
  <c r="C39" i="93"/>
  <c r="E38" i="93"/>
  <c r="C38" i="93"/>
  <c r="E37" i="93"/>
  <c r="C37" i="93"/>
  <c r="E36" i="93"/>
  <c r="C36" i="93"/>
  <c r="E35" i="93"/>
  <c r="C35" i="93"/>
  <c r="E34" i="93"/>
  <c r="C34" i="93"/>
  <c r="C33" i="93"/>
  <c r="C32" i="93"/>
  <c r="C31" i="93"/>
  <c r="C30" i="93"/>
  <c r="C29" i="93"/>
  <c r="C28" i="93"/>
  <c r="C27" i="93"/>
  <c r="H23" i="93"/>
  <c r="C23" i="93" s="1"/>
  <c r="J17" i="93"/>
  <c r="J16" i="93"/>
  <c r="J15" i="93"/>
  <c r="G13" i="93"/>
  <c r="F13" i="93"/>
  <c r="H12" i="93"/>
  <c r="M168" i="99" s="1"/>
  <c r="F8" i="93"/>
  <c r="I168" i="99" s="1"/>
  <c r="W168" i="99" s="1"/>
  <c r="X168" i="99" s="1"/>
  <c r="E43" i="92"/>
  <c r="C43" i="92"/>
  <c r="E42" i="92"/>
  <c r="C42" i="92"/>
  <c r="E41" i="92"/>
  <c r="C41" i="92"/>
  <c r="E40" i="92"/>
  <c r="C40" i="92"/>
  <c r="E39" i="92"/>
  <c r="C39" i="92"/>
  <c r="E38" i="92"/>
  <c r="C38" i="92"/>
  <c r="E37" i="92"/>
  <c r="C37" i="92"/>
  <c r="E36" i="92"/>
  <c r="C36" i="92"/>
  <c r="E35" i="92"/>
  <c r="C35" i="92"/>
  <c r="E34" i="92"/>
  <c r="C34" i="92"/>
  <c r="C33" i="92"/>
  <c r="C32" i="92"/>
  <c r="C31" i="92"/>
  <c r="C30" i="92"/>
  <c r="C29" i="92"/>
  <c r="C28" i="92"/>
  <c r="C27" i="92"/>
  <c r="H23" i="92"/>
  <c r="C23" i="92" s="1"/>
  <c r="J17" i="92"/>
  <c r="J16" i="92"/>
  <c r="J15" i="92"/>
  <c r="G13" i="92"/>
  <c r="F13" i="92"/>
  <c r="H12" i="92"/>
  <c r="M169" i="99" s="1"/>
  <c r="F8" i="92"/>
  <c r="I169" i="99" s="1"/>
  <c r="W169" i="99" s="1"/>
  <c r="X169" i="99" s="1"/>
  <c r="E43" i="91"/>
  <c r="C43" i="91"/>
  <c r="E42" i="91"/>
  <c r="C42" i="91"/>
  <c r="E41" i="91"/>
  <c r="C41" i="91"/>
  <c r="E40" i="91"/>
  <c r="C40" i="91"/>
  <c r="E39" i="91"/>
  <c r="C39" i="91"/>
  <c r="E38" i="91"/>
  <c r="C38" i="91"/>
  <c r="E37" i="91"/>
  <c r="C37" i="91"/>
  <c r="E36" i="91"/>
  <c r="C36" i="91"/>
  <c r="E35" i="91"/>
  <c r="C35" i="91"/>
  <c r="E34" i="91"/>
  <c r="C34" i="91"/>
  <c r="C33" i="91"/>
  <c r="C32" i="91"/>
  <c r="C31" i="91"/>
  <c r="C30" i="91"/>
  <c r="C29" i="91"/>
  <c r="C28" i="91"/>
  <c r="C27" i="91"/>
  <c r="H24" i="91"/>
  <c r="C24" i="91" s="1"/>
  <c r="H23" i="91"/>
  <c r="C23" i="91" s="1"/>
  <c r="J17" i="91"/>
  <c r="J16" i="91"/>
  <c r="J15" i="91"/>
  <c r="G13" i="91"/>
  <c r="F13" i="91"/>
  <c r="H12" i="91"/>
  <c r="F8" i="91"/>
  <c r="H26" i="90"/>
  <c r="C26" i="90" s="1"/>
  <c r="E43" i="90"/>
  <c r="C43" i="90"/>
  <c r="E42" i="90"/>
  <c r="C42" i="90"/>
  <c r="E41" i="90"/>
  <c r="C41" i="90"/>
  <c r="E40" i="90"/>
  <c r="C40" i="90"/>
  <c r="E39" i="90"/>
  <c r="C39" i="90"/>
  <c r="E38" i="90"/>
  <c r="C38" i="90"/>
  <c r="E37" i="90"/>
  <c r="C37" i="90"/>
  <c r="E36" i="90"/>
  <c r="C36" i="90"/>
  <c r="E35" i="90"/>
  <c r="C35" i="90"/>
  <c r="E34" i="90"/>
  <c r="C34" i="90"/>
  <c r="C33" i="90"/>
  <c r="C32" i="90"/>
  <c r="C31" i="90"/>
  <c r="C30" i="90"/>
  <c r="C29" i="90"/>
  <c r="C28" i="90"/>
  <c r="C27" i="90"/>
  <c r="H25" i="90"/>
  <c r="C25" i="90" s="1"/>
  <c r="H24" i="90"/>
  <c r="C24" i="90" s="1"/>
  <c r="H23" i="90"/>
  <c r="C23" i="90" s="1"/>
  <c r="J17" i="90"/>
  <c r="J16" i="90"/>
  <c r="J15" i="90"/>
  <c r="G13" i="90"/>
  <c r="F13" i="90"/>
  <c r="H12" i="90"/>
  <c r="F12" i="90" s="1"/>
  <c r="F10" i="90" s="1"/>
  <c r="F8" i="90"/>
  <c r="F9" i="90" s="1"/>
  <c r="G9" i="90" s="1"/>
  <c r="I9" i="90" s="1"/>
  <c r="I234" i="99" l="1"/>
  <c r="W234" i="99" s="1"/>
  <c r="X234" i="99" s="1"/>
  <c r="I10" i="138"/>
  <c r="W10" i="138" s="1"/>
  <c r="X10" i="138" s="1"/>
  <c r="F10" i="96"/>
  <c r="M234" i="99"/>
  <c r="M10" i="138"/>
  <c r="F11" i="96"/>
  <c r="L167" i="99" s="1"/>
  <c r="F11" i="95"/>
  <c r="L170" i="99" s="1"/>
  <c r="F10" i="95"/>
  <c r="F9" i="91"/>
  <c r="G9" i="91" s="1"/>
  <c r="I19" i="99"/>
  <c r="W19" i="99" s="1"/>
  <c r="X19" i="99" s="1"/>
  <c r="I92" i="2"/>
  <c r="W92" i="2" s="1"/>
  <c r="X92" i="2" s="1"/>
  <c r="F9" i="92"/>
  <c r="G9" i="92" s="1"/>
  <c r="K169" i="99" s="1"/>
  <c r="I17" i="99"/>
  <c r="W17" i="99" s="1"/>
  <c r="X17" i="99" s="1"/>
  <c r="I90" i="2"/>
  <c r="W90" i="2" s="1"/>
  <c r="X90" i="2" s="1"/>
  <c r="F12" i="93"/>
  <c r="J13" i="93" s="1"/>
  <c r="M16" i="99"/>
  <c r="M89" i="2"/>
  <c r="I9" i="96"/>
  <c r="K15" i="99"/>
  <c r="K88" i="2"/>
  <c r="W15" i="99"/>
  <c r="X15" i="99" s="1"/>
  <c r="F12" i="91"/>
  <c r="F10" i="91" s="1"/>
  <c r="M19" i="99"/>
  <c r="M92" i="2"/>
  <c r="F12" i="92"/>
  <c r="M17" i="99"/>
  <c r="M90" i="2"/>
  <c r="I9" i="95"/>
  <c r="K18" i="99"/>
  <c r="K91" i="2"/>
  <c r="F9" i="93"/>
  <c r="G9" i="93" s="1"/>
  <c r="K168" i="99" s="1"/>
  <c r="I16" i="99"/>
  <c r="W16" i="99" s="1"/>
  <c r="X16" i="99" s="1"/>
  <c r="I89" i="2"/>
  <c r="W89" i="2" s="1"/>
  <c r="X89" i="2" s="1"/>
  <c r="X88" i="2"/>
  <c r="J18" i="93"/>
  <c r="J12" i="93"/>
  <c r="J19" i="93"/>
  <c r="J18" i="92"/>
  <c r="J13" i="92"/>
  <c r="F10" i="92"/>
  <c r="J12" i="92"/>
  <c r="J19" i="92"/>
  <c r="J18" i="91"/>
  <c r="J19" i="91"/>
  <c r="J12" i="91"/>
  <c r="J13" i="90"/>
  <c r="J18" i="90"/>
  <c r="J12" i="90"/>
  <c r="J19" i="90"/>
  <c r="F10" i="93" l="1"/>
  <c r="L91" i="2"/>
  <c r="L88" i="2"/>
  <c r="J13" i="91"/>
  <c r="L18" i="99"/>
  <c r="L15" i="99"/>
  <c r="K234" i="99"/>
  <c r="K10" i="138"/>
  <c r="I9" i="93"/>
  <c r="K16" i="99"/>
  <c r="K89" i="2"/>
  <c r="I9" i="92"/>
  <c r="K17" i="99"/>
  <c r="K90" i="2"/>
  <c r="F11" i="90"/>
  <c r="I9" i="91"/>
  <c r="K19" i="99"/>
  <c r="K92" i="2"/>
  <c r="F11" i="93"/>
  <c r="L168" i="99" s="1"/>
  <c r="F11" i="92"/>
  <c r="L169" i="99" s="1"/>
  <c r="F11" i="91"/>
  <c r="S93" i="2"/>
  <c r="G93" i="2"/>
  <c r="F93" i="2"/>
  <c r="E93" i="2"/>
  <c r="D93" i="2"/>
  <c r="E43" i="89"/>
  <c r="C43" i="89"/>
  <c r="E42" i="89"/>
  <c r="C42" i="89"/>
  <c r="E41" i="89"/>
  <c r="C41" i="89"/>
  <c r="E40" i="89"/>
  <c r="C40" i="89"/>
  <c r="E39" i="89"/>
  <c r="C39" i="89"/>
  <c r="E38" i="89"/>
  <c r="C38" i="89"/>
  <c r="E37" i="89"/>
  <c r="C37" i="89"/>
  <c r="E36" i="89"/>
  <c r="C36" i="89"/>
  <c r="K29" i="89"/>
  <c r="K28" i="89"/>
  <c r="K27" i="89"/>
  <c r="K26" i="89"/>
  <c r="K25" i="89"/>
  <c r="K24" i="89"/>
  <c r="K23" i="89"/>
  <c r="J16" i="89"/>
  <c r="J15" i="89"/>
  <c r="F7" i="89"/>
  <c r="H213" i="99" s="1"/>
  <c r="V213" i="99" s="1"/>
  <c r="H25" i="89" l="1"/>
  <c r="C25" i="89" s="1"/>
  <c r="F13" i="89"/>
  <c r="L234" i="99"/>
  <c r="L10" i="138"/>
  <c r="L16" i="99"/>
  <c r="L89" i="2"/>
  <c r="H93" i="2"/>
  <c r="V93" i="2" s="1"/>
  <c r="H20" i="99"/>
  <c r="L19" i="99"/>
  <c r="L92" i="2"/>
  <c r="L17" i="99"/>
  <c r="L90" i="2"/>
  <c r="H12" i="89"/>
  <c r="M213" i="99" s="1"/>
  <c r="H23" i="89"/>
  <c r="C23" i="89" s="1"/>
  <c r="H29" i="89"/>
  <c r="F8" i="89"/>
  <c r="I213" i="99" s="1"/>
  <c r="W213" i="99" s="1"/>
  <c r="X213" i="99" s="1"/>
  <c r="H27" i="89"/>
  <c r="G13" i="89"/>
  <c r="H24" i="89"/>
  <c r="C24" i="89" s="1"/>
  <c r="F18" i="89"/>
  <c r="J17" i="89" s="1"/>
  <c r="H26" i="89"/>
  <c r="H28" i="89"/>
  <c r="S95" i="2"/>
  <c r="G95" i="2"/>
  <c r="F95" i="2"/>
  <c r="E95" i="2"/>
  <c r="D95" i="2"/>
  <c r="F7" i="88"/>
  <c r="E43" i="88"/>
  <c r="C43" i="88"/>
  <c r="E42" i="88"/>
  <c r="C42" i="88"/>
  <c r="E41" i="88"/>
  <c r="C41" i="88"/>
  <c r="E40" i="88"/>
  <c r="C40" i="88"/>
  <c r="E39" i="88"/>
  <c r="C39" i="88"/>
  <c r="E38" i="88"/>
  <c r="C38" i="88"/>
  <c r="E37" i="88"/>
  <c r="C37" i="88"/>
  <c r="E36" i="88"/>
  <c r="C36" i="88"/>
  <c r="E35" i="88"/>
  <c r="C35" i="88"/>
  <c r="E34" i="88"/>
  <c r="C34" i="88"/>
  <c r="E33" i="88"/>
  <c r="C33" i="88"/>
  <c r="E32" i="88"/>
  <c r="C32" i="88"/>
  <c r="E31" i="88"/>
  <c r="C31" i="88"/>
  <c r="E30" i="88"/>
  <c r="C30" i="88"/>
  <c r="L24" i="88"/>
  <c r="L23" i="88"/>
  <c r="J16" i="88"/>
  <c r="J15" i="88"/>
  <c r="N11" i="88"/>
  <c r="N10" i="88"/>
  <c r="H22" i="99" l="1"/>
  <c r="V22" i="99" s="1"/>
  <c r="H193" i="99"/>
  <c r="V193" i="99" s="1"/>
  <c r="J19" i="89"/>
  <c r="V20" i="99"/>
  <c r="H95" i="2"/>
  <c r="V95" i="2" s="1"/>
  <c r="F12" i="89"/>
  <c r="M20" i="99"/>
  <c r="M93" i="2"/>
  <c r="J12" i="89"/>
  <c r="I20" i="99"/>
  <c r="I93" i="2"/>
  <c r="W93" i="2" s="1"/>
  <c r="X93" i="2" s="1"/>
  <c r="F9" i="89"/>
  <c r="G9" i="89" s="1"/>
  <c r="J18" i="89"/>
  <c r="H12" i="88"/>
  <c r="M193" i="99" s="1"/>
  <c r="H24" i="88"/>
  <c r="C24" i="88" s="1"/>
  <c r="F13" i="88"/>
  <c r="G13" i="88"/>
  <c r="F18" i="88"/>
  <c r="J17" i="88" s="1"/>
  <c r="H23" i="88"/>
  <c r="F8" i="88"/>
  <c r="I193" i="99" s="1"/>
  <c r="W193" i="99" s="1"/>
  <c r="S96" i="2"/>
  <c r="G96" i="2"/>
  <c r="F96" i="2"/>
  <c r="E96" i="2"/>
  <c r="D96" i="2"/>
  <c r="K26" i="87"/>
  <c r="K27" i="87"/>
  <c r="K28" i="87"/>
  <c r="K29" i="87"/>
  <c r="K30" i="87"/>
  <c r="K31" i="87"/>
  <c r="K32" i="87"/>
  <c r="E43" i="87"/>
  <c r="C43" i="87"/>
  <c r="E42" i="87"/>
  <c r="C42" i="87"/>
  <c r="E41" i="87"/>
  <c r="C41" i="87"/>
  <c r="E40" i="87"/>
  <c r="C40" i="87"/>
  <c r="E39" i="87"/>
  <c r="C39" i="87"/>
  <c r="E38" i="87"/>
  <c r="C38" i="87"/>
  <c r="E37" i="87"/>
  <c r="C37" i="87"/>
  <c r="E36" i="87"/>
  <c r="C36" i="87"/>
  <c r="K25" i="87"/>
  <c r="K24" i="87"/>
  <c r="K23" i="87"/>
  <c r="J16" i="87"/>
  <c r="J15" i="87"/>
  <c r="F7" i="87"/>
  <c r="X193" i="99" l="1"/>
  <c r="H23" i="99"/>
  <c r="V23" i="99" s="1"/>
  <c r="H214" i="99"/>
  <c r="V214" i="99" s="1"/>
  <c r="K20" i="99"/>
  <c r="K213" i="99"/>
  <c r="H96" i="2"/>
  <c r="V96" i="2" s="1"/>
  <c r="I22" i="99"/>
  <c r="W22" i="99" s="1"/>
  <c r="X22" i="99" s="1"/>
  <c r="I95" i="2"/>
  <c r="W95" i="2" s="1"/>
  <c r="X95" i="2" s="1"/>
  <c r="F12" i="88"/>
  <c r="M22" i="99"/>
  <c r="M95" i="2"/>
  <c r="W20" i="99"/>
  <c r="X20" i="99" s="1"/>
  <c r="J13" i="89"/>
  <c r="F11" i="89" s="1"/>
  <c r="L213" i="99" s="1"/>
  <c r="F10" i="89"/>
  <c r="I9" i="89"/>
  <c r="K93" i="2"/>
  <c r="J19" i="88"/>
  <c r="F9" i="88"/>
  <c r="G9" i="88" s="1"/>
  <c r="K193" i="99" s="1"/>
  <c r="J18" i="88"/>
  <c r="J12" i="88"/>
  <c r="N12" i="88"/>
  <c r="C23" i="88"/>
  <c r="H31" i="87"/>
  <c r="F13" i="87"/>
  <c r="H28" i="87"/>
  <c r="H27" i="87"/>
  <c r="H32" i="87"/>
  <c r="H12" i="87"/>
  <c r="M214" i="99" s="1"/>
  <c r="H29" i="87"/>
  <c r="H30" i="87"/>
  <c r="H26" i="87"/>
  <c r="H24" i="87"/>
  <c r="C24" i="87" s="1"/>
  <c r="H23" i="87"/>
  <c r="C23" i="87" s="1"/>
  <c r="F8" i="87"/>
  <c r="I214" i="99" s="1"/>
  <c r="W214" i="99" s="1"/>
  <c r="G13" i="87"/>
  <c r="F12" i="87"/>
  <c r="J13" i="87" s="1"/>
  <c r="H25" i="87"/>
  <c r="C25" i="87" s="1"/>
  <c r="F18" i="87"/>
  <c r="J17" i="87" s="1"/>
  <c r="S97" i="2"/>
  <c r="H97" i="2"/>
  <c r="V97" i="2" s="1"/>
  <c r="G97" i="2"/>
  <c r="F97" i="2"/>
  <c r="E97" i="2"/>
  <c r="D97" i="2"/>
  <c r="E43" i="86"/>
  <c r="C43" i="86"/>
  <c r="E42" i="86"/>
  <c r="C42" i="86"/>
  <c r="E41" i="86"/>
  <c r="C41" i="86"/>
  <c r="E40" i="86"/>
  <c r="C40" i="86"/>
  <c r="E39" i="86"/>
  <c r="C39" i="86"/>
  <c r="E38" i="86"/>
  <c r="C38" i="86"/>
  <c r="E37" i="86"/>
  <c r="C37" i="86"/>
  <c r="E36" i="86"/>
  <c r="C36" i="86"/>
  <c r="E35" i="86"/>
  <c r="C35" i="86"/>
  <c r="E34" i="86"/>
  <c r="C34" i="86"/>
  <c r="C33" i="86"/>
  <c r="C32" i="86"/>
  <c r="C31" i="86"/>
  <c r="C30" i="86"/>
  <c r="C29" i="86"/>
  <c r="C28" i="86"/>
  <c r="C27" i="86"/>
  <c r="C26" i="86"/>
  <c r="H25" i="86"/>
  <c r="C25" i="86" s="1"/>
  <c r="H24" i="86"/>
  <c r="C24" i="86" s="1"/>
  <c r="H23" i="86"/>
  <c r="C23" i="86" s="1"/>
  <c r="J17" i="86"/>
  <c r="J16" i="86"/>
  <c r="J15" i="86"/>
  <c r="G13" i="86"/>
  <c r="F13" i="86"/>
  <c r="H12" i="86"/>
  <c r="F12" i="86" s="1"/>
  <c r="F10" i="86" s="1"/>
  <c r="F8" i="86"/>
  <c r="I194" i="99" s="1"/>
  <c r="W194" i="99" s="1"/>
  <c r="X194" i="99" s="1"/>
  <c r="X214" i="99" l="1"/>
  <c r="M24" i="99"/>
  <c r="M194" i="99"/>
  <c r="J19" i="87"/>
  <c r="I23" i="99"/>
  <c r="I96" i="2"/>
  <c r="W96" i="2" s="1"/>
  <c r="X96" i="2" s="1"/>
  <c r="I9" i="88"/>
  <c r="K22" i="99"/>
  <c r="K95" i="2"/>
  <c r="J13" i="88"/>
  <c r="F10" i="88"/>
  <c r="M97" i="2"/>
  <c r="M23" i="99"/>
  <c r="M96" i="2"/>
  <c r="L93" i="2"/>
  <c r="L20" i="99"/>
  <c r="F9" i="86"/>
  <c r="G9" i="86" s="1"/>
  <c r="K194" i="99" s="1"/>
  <c r="I24" i="99"/>
  <c r="W24" i="99" s="1"/>
  <c r="X24" i="99" s="1"/>
  <c r="I97" i="2"/>
  <c r="W97" i="2" s="1"/>
  <c r="X97" i="2" s="1"/>
  <c r="F11" i="88"/>
  <c r="L193" i="99" s="1"/>
  <c r="F10" i="87"/>
  <c r="F9" i="87"/>
  <c r="G9" i="87" s="1"/>
  <c r="K214" i="99" s="1"/>
  <c r="J12" i="87"/>
  <c r="F11" i="87" s="1"/>
  <c r="L214" i="99" s="1"/>
  <c r="J18" i="87"/>
  <c r="J13" i="86"/>
  <c r="J18" i="86"/>
  <c r="J12" i="86"/>
  <c r="F11" i="86" s="1"/>
  <c r="L194" i="99" s="1"/>
  <c r="J19" i="86"/>
  <c r="S98" i="2"/>
  <c r="H98" i="2"/>
  <c r="V98" i="2" s="1"/>
  <c r="G98" i="2"/>
  <c r="F98" i="2"/>
  <c r="E98" i="2"/>
  <c r="D98" i="2"/>
  <c r="E43" i="85"/>
  <c r="C43" i="85"/>
  <c r="E42" i="85"/>
  <c r="C42" i="85"/>
  <c r="E41" i="85"/>
  <c r="C41" i="85"/>
  <c r="E40" i="85"/>
  <c r="C40" i="85"/>
  <c r="E39" i="85"/>
  <c r="C39" i="85"/>
  <c r="E38" i="85"/>
  <c r="C38" i="85"/>
  <c r="E37" i="85"/>
  <c r="C37" i="85"/>
  <c r="E36" i="85"/>
  <c r="C36" i="85"/>
  <c r="E35" i="85"/>
  <c r="C35" i="85"/>
  <c r="E34" i="85"/>
  <c r="C34" i="85"/>
  <c r="C33" i="85"/>
  <c r="C32" i="85"/>
  <c r="C31" i="85"/>
  <c r="C30" i="85"/>
  <c r="C29" i="85"/>
  <c r="H28" i="85"/>
  <c r="C28" i="85" s="1"/>
  <c r="H27" i="85"/>
  <c r="C27" i="85" s="1"/>
  <c r="H26" i="85"/>
  <c r="C26" i="85" s="1"/>
  <c r="H25" i="85"/>
  <c r="C25" i="85" s="1"/>
  <c r="H24" i="85"/>
  <c r="C24" i="85" s="1"/>
  <c r="H23" i="85"/>
  <c r="C23" i="85" s="1"/>
  <c r="J17" i="85"/>
  <c r="J16" i="85"/>
  <c r="J15" i="85"/>
  <c r="G13" i="85"/>
  <c r="F13" i="85"/>
  <c r="H12" i="85"/>
  <c r="F8" i="85"/>
  <c r="M98" i="2" l="1"/>
  <c r="M235" i="99"/>
  <c r="M11" i="138"/>
  <c r="I98" i="2"/>
  <c r="W98" i="2" s="1"/>
  <c r="I235" i="99"/>
  <c r="W235" i="99" s="1"/>
  <c r="X235" i="99" s="1"/>
  <c r="I11" i="138"/>
  <c r="W11" i="138" s="1"/>
  <c r="X11" i="138" s="1"/>
  <c r="L23" i="99"/>
  <c r="L96" i="2"/>
  <c r="I9" i="87"/>
  <c r="K23" i="99"/>
  <c r="K96" i="2"/>
  <c r="J18" i="85"/>
  <c r="I25" i="99"/>
  <c r="W25" i="99" s="1"/>
  <c r="X25" i="99" s="1"/>
  <c r="F12" i="85"/>
  <c r="J13" i="85" s="1"/>
  <c r="M25" i="99"/>
  <c r="I9" i="86"/>
  <c r="K24" i="99"/>
  <c r="K97" i="2"/>
  <c r="W23" i="99"/>
  <c r="X23" i="99" s="1"/>
  <c r="L24" i="99"/>
  <c r="L97" i="2"/>
  <c r="L22" i="99"/>
  <c r="L95" i="2"/>
  <c r="X98" i="2"/>
  <c r="J12" i="85"/>
  <c r="J19" i="85"/>
  <c r="F9" i="85"/>
  <c r="G9" i="85" s="1"/>
  <c r="S134" i="2"/>
  <c r="F10" i="85" l="1"/>
  <c r="F11" i="85"/>
  <c r="L25" i="99" s="1"/>
  <c r="K235" i="99"/>
  <c r="K11" i="138"/>
  <c r="I9" i="85"/>
  <c r="K25" i="99"/>
  <c r="K98" i="2"/>
  <c r="S99" i="2"/>
  <c r="H99" i="2"/>
  <c r="V99" i="2" s="1"/>
  <c r="G99" i="2"/>
  <c r="F99" i="2"/>
  <c r="E99" i="2"/>
  <c r="D99" i="2"/>
  <c r="S100" i="2"/>
  <c r="W100" i="2"/>
  <c r="V100" i="2"/>
  <c r="F100" i="2"/>
  <c r="E100" i="2"/>
  <c r="D100" i="2"/>
  <c r="H28" i="84"/>
  <c r="C28" i="84" s="1"/>
  <c r="H27" i="84"/>
  <c r="C27" i="84" s="1"/>
  <c r="E43" i="84"/>
  <c r="C43" i="84"/>
  <c r="E42" i="84"/>
  <c r="C42" i="84"/>
  <c r="E41" i="84"/>
  <c r="C41" i="84"/>
  <c r="E40" i="84"/>
  <c r="C40" i="84"/>
  <c r="E39" i="84"/>
  <c r="C39" i="84"/>
  <c r="E38" i="84"/>
  <c r="C38" i="84"/>
  <c r="E37" i="84"/>
  <c r="C37" i="84"/>
  <c r="E36" i="84"/>
  <c r="C36" i="84"/>
  <c r="E35" i="84"/>
  <c r="C35" i="84"/>
  <c r="E34" i="84"/>
  <c r="C34" i="84"/>
  <c r="C33" i="84"/>
  <c r="C32" i="84"/>
  <c r="C31" i="84"/>
  <c r="C30" i="84"/>
  <c r="C29" i="84"/>
  <c r="H26" i="84"/>
  <c r="C26" i="84" s="1"/>
  <c r="H25" i="84"/>
  <c r="C25" i="84" s="1"/>
  <c r="H24" i="84"/>
  <c r="C24" i="84" s="1"/>
  <c r="H23" i="84"/>
  <c r="C23" i="84" s="1"/>
  <c r="J17" i="84"/>
  <c r="J16" i="84"/>
  <c r="J15" i="84"/>
  <c r="G13" i="84"/>
  <c r="F13" i="84"/>
  <c r="H12" i="84"/>
  <c r="M171" i="99" s="1"/>
  <c r="F8" i="84"/>
  <c r="E43" i="83"/>
  <c r="C43" i="83"/>
  <c r="E42" i="83"/>
  <c r="C42" i="83"/>
  <c r="E41" i="83"/>
  <c r="C41" i="83"/>
  <c r="E40" i="83"/>
  <c r="C40" i="83"/>
  <c r="E39" i="83"/>
  <c r="C39" i="83"/>
  <c r="E38" i="83"/>
  <c r="C38" i="83"/>
  <c r="E37" i="83"/>
  <c r="C37" i="83"/>
  <c r="E36" i="83"/>
  <c r="C36" i="83"/>
  <c r="E35" i="83"/>
  <c r="C35" i="83"/>
  <c r="E34" i="83"/>
  <c r="C34" i="83"/>
  <c r="C33" i="83"/>
  <c r="C32" i="83"/>
  <c r="C31" i="83"/>
  <c r="C30" i="83"/>
  <c r="C29" i="83"/>
  <c r="C28" i="83"/>
  <c r="C27" i="83"/>
  <c r="H26" i="83"/>
  <c r="C26" i="83" s="1"/>
  <c r="H25" i="83"/>
  <c r="C25" i="83" s="1"/>
  <c r="H24" i="83"/>
  <c r="C24" i="83" s="1"/>
  <c r="H23" i="83"/>
  <c r="C23" i="83" s="1"/>
  <c r="J17" i="83"/>
  <c r="J16" i="83"/>
  <c r="J15" i="83"/>
  <c r="G13" i="83"/>
  <c r="F13" i="83"/>
  <c r="H12" i="83"/>
  <c r="F8" i="83"/>
  <c r="J18" i="83" s="1"/>
  <c r="L98" i="2" l="1"/>
  <c r="I99" i="2"/>
  <c r="W99" i="2" s="1"/>
  <c r="X99" i="2" s="1"/>
  <c r="I171" i="99"/>
  <c r="W171" i="99" s="1"/>
  <c r="X171" i="99" s="1"/>
  <c r="F12" i="83"/>
  <c r="J13" i="83" s="1"/>
  <c r="M172" i="99"/>
  <c r="L235" i="99"/>
  <c r="L11" i="138"/>
  <c r="F12" i="84"/>
  <c r="J13" i="84" s="1"/>
  <c r="M26" i="99"/>
  <c r="F9" i="83"/>
  <c r="G9" i="83" s="1"/>
  <c r="I9" i="83" s="1"/>
  <c r="M27" i="99"/>
  <c r="M100" i="2"/>
  <c r="J19" i="84"/>
  <c r="I26" i="99"/>
  <c r="M99" i="2"/>
  <c r="X100" i="2"/>
  <c r="F9" i="84"/>
  <c r="G9" i="84" s="1"/>
  <c r="K171" i="99" s="1"/>
  <c r="J18" i="84"/>
  <c r="J12" i="84"/>
  <c r="J12" i="83"/>
  <c r="F11" i="83" s="1"/>
  <c r="J19" i="83"/>
  <c r="S101" i="2"/>
  <c r="H101" i="2"/>
  <c r="V101" i="2" s="1"/>
  <c r="G101" i="2"/>
  <c r="F101" i="2"/>
  <c r="E101" i="2"/>
  <c r="D101" i="2"/>
  <c r="E43" i="82"/>
  <c r="C43" i="82"/>
  <c r="E42" i="82"/>
  <c r="C42" i="82"/>
  <c r="E41" i="82"/>
  <c r="C41" i="82"/>
  <c r="E40" i="82"/>
  <c r="C40" i="82"/>
  <c r="E39" i="82"/>
  <c r="C39" i="82"/>
  <c r="E38" i="82"/>
  <c r="C38" i="82"/>
  <c r="E37" i="82"/>
  <c r="C37" i="82"/>
  <c r="E36" i="82"/>
  <c r="C36" i="82"/>
  <c r="E35" i="82"/>
  <c r="C35" i="82"/>
  <c r="E34" i="82"/>
  <c r="C34" i="82"/>
  <c r="C33" i="82"/>
  <c r="C32" i="82"/>
  <c r="C31" i="82"/>
  <c r="C30" i="82"/>
  <c r="C29" i="82"/>
  <c r="C28" i="82"/>
  <c r="C27" i="82"/>
  <c r="H26" i="82"/>
  <c r="C26" i="82" s="1"/>
  <c r="H25" i="82"/>
  <c r="C25" i="82" s="1"/>
  <c r="H24" i="82"/>
  <c r="C24" i="82" s="1"/>
  <c r="H23" i="82"/>
  <c r="C23" i="82" s="1"/>
  <c r="J17" i="82"/>
  <c r="J16" i="82"/>
  <c r="J15" i="82"/>
  <c r="G13" i="82"/>
  <c r="F13" i="82"/>
  <c r="H12" i="82"/>
  <c r="F8" i="82"/>
  <c r="F11" i="84" l="1"/>
  <c r="L171" i="99" s="1"/>
  <c r="F10" i="84"/>
  <c r="I101" i="2"/>
  <c r="W101" i="2" s="1"/>
  <c r="X101" i="2" s="1"/>
  <c r="I173" i="99"/>
  <c r="W173" i="99" s="1"/>
  <c r="X173" i="99" s="1"/>
  <c r="M101" i="2"/>
  <c r="M173" i="99"/>
  <c r="F10" i="83"/>
  <c r="I9" i="84"/>
  <c r="K26" i="99"/>
  <c r="K99" i="2"/>
  <c r="W26" i="99"/>
  <c r="X26" i="99" s="1"/>
  <c r="L26" i="99"/>
  <c r="L99" i="2"/>
  <c r="F12" i="82"/>
  <c r="F10" i="82" s="1"/>
  <c r="M28" i="99"/>
  <c r="J19" i="82"/>
  <c r="I28" i="99"/>
  <c r="W28" i="99" s="1"/>
  <c r="X28" i="99" s="1"/>
  <c r="F9" i="82"/>
  <c r="G9" i="82" s="1"/>
  <c r="K173" i="99" s="1"/>
  <c r="J18" i="82"/>
  <c r="J12" i="82"/>
  <c r="S102" i="2"/>
  <c r="H102" i="2"/>
  <c r="V102" i="2" s="1"/>
  <c r="G102" i="2"/>
  <c r="F102" i="2"/>
  <c r="E102" i="2"/>
  <c r="D102" i="2"/>
  <c r="H31" i="81"/>
  <c r="C31" i="81" s="1"/>
  <c r="H30" i="81"/>
  <c r="C30" i="81" s="1"/>
  <c r="H29" i="81"/>
  <c r="C29" i="81" s="1"/>
  <c r="H28" i="81"/>
  <c r="C28" i="81" s="1"/>
  <c r="H27" i="81"/>
  <c r="C27" i="81" s="1"/>
  <c r="E43" i="81"/>
  <c r="C43" i="81"/>
  <c r="E42" i="81"/>
  <c r="C42" i="81"/>
  <c r="E41" i="81"/>
  <c r="C41" i="81"/>
  <c r="E40" i="81"/>
  <c r="C40" i="81"/>
  <c r="E39" i="81"/>
  <c r="C39" i="81"/>
  <c r="E38" i="81"/>
  <c r="C38" i="81"/>
  <c r="E37" i="81"/>
  <c r="C37" i="81"/>
  <c r="E36" i="81"/>
  <c r="C36" i="81"/>
  <c r="E35" i="81"/>
  <c r="C35" i="81"/>
  <c r="E34" i="81"/>
  <c r="C34" i="81"/>
  <c r="C33" i="81"/>
  <c r="C32" i="81"/>
  <c r="H26" i="81"/>
  <c r="C26" i="81" s="1"/>
  <c r="H25" i="81"/>
  <c r="C25" i="81" s="1"/>
  <c r="H24" i="81"/>
  <c r="C24" i="81" s="1"/>
  <c r="H23" i="81"/>
  <c r="C23" i="81" s="1"/>
  <c r="J17" i="81"/>
  <c r="J16" i="81"/>
  <c r="J15" i="81"/>
  <c r="G13" i="81"/>
  <c r="F13" i="81"/>
  <c r="H12" i="81"/>
  <c r="M195" i="99" s="1"/>
  <c r="F8" i="81"/>
  <c r="I195" i="99" s="1"/>
  <c r="W195" i="99" s="1"/>
  <c r="X195" i="99" s="1"/>
  <c r="J13" i="82" l="1"/>
  <c r="F12" i="81"/>
  <c r="J13" i="81" s="1"/>
  <c r="M29" i="99"/>
  <c r="J18" i="81"/>
  <c r="I29" i="99"/>
  <c r="W29" i="99" s="1"/>
  <c r="X29" i="99" s="1"/>
  <c r="M102" i="2"/>
  <c r="I102" i="2"/>
  <c r="W102" i="2" s="1"/>
  <c r="X102" i="2" s="1"/>
  <c r="I9" i="82"/>
  <c r="K28" i="99"/>
  <c r="K101" i="2"/>
  <c r="F11" i="82"/>
  <c r="L173" i="99" s="1"/>
  <c r="F9" i="81"/>
  <c r="G9" i="81" s="1"/>
  <c r="K195" i="99" s="1"/>
  <c r="J12" i="81"/>
  <c r="F11" i="81" s="1"/>
  <c r="L195" i="99" s="1"/>
  <c r="J19" i="81"/>
  <c r="S103" i="2"/>
  <c r="G103" i="2"/>
  <c r="F103" i="2"/>
  <c r="E103" i="2"/>
  <c r="D103" i="2"/>
  <c r="E43" i="80"/>
  <c r="C43" i="80"/>
  <c r="E42" i="80"/>
  <c r="C42" i="80"/>
  <c r="E41" i="80"/>
  <c r="C41" i="80"/>
  <c r="E40" i="80"/>
  <c r="C40" i="80"/>
  <c r="E39" i="80"/>
  <c r="C39" i="80"/>
  <c r="E38" i="80"/>
  <c r="C38" i="80"/>
  <c r="E37" i="80"/>
  <c r="C37" i="80"/>
  <c r="E36" i="80"/>
  <c r="C36" i="80"/>
  <c r="K25" i="80"/>
  <c r="W66" i="178" s="1"/>
  <c r="K24" i="80"/>
  <c r="V66" i="178" s="1"/>
  <c r="K23" i="80"/>
  <c r="J16" i="80"/>
  <c r="J15" i="80"/>
  <c r="F7" i="80"/>
  <c r="H174" i="99" s="1"/>
  <c r="V174" i="99" s="1"/>
  <c r="F10" i="81" l="1"/>
  <c r="G13" i="80"/>
  <c r="U66" i="178"/>
  <c r="J66" i="178" s="1"/>
  <c r="I9" i="81"/>
  <c r="K29" i="99"/>
  <c r="K102" i="2"/>
  <c r="F13" i="80"/>
  <c r="L29" i="99"/>
  <c r="L102" i="2"/>
  <c r="L28" i="99"/>
  <c r="L101" i="2"/>
  <c r="F18" i="80"/>
  <c r="J17" i="80" s="1"/>
  <c r="H30" i="99"/>
  <c r="H103" i="2"/>
  <c r="V103" i="2" s="1"/>
  <c r="H25" i="80"/>
  <c r="C25" i="80" s="1"/>
  <c r="F8" i="80"/>
  <c r="I174" i="99" s="1"/>
  <c r="W174" i="99" s="1"/>
  <c r="X174" i="99" s="1"/>
  <c r="H23" i="80"/>
  <c r="C23" i="80" s="1"/>
  <c r="H24" i="80"/>
  <c r="C24" i="80" s="1"/>
  <c r="H12" i="80"/>
  <c r="M174" i="99" s="1"/>
  <c r="S106" i="2"/>
  <c r="H106" i="2"/>
  <c r="V106" i="2" s="1"/>
  <c r="G106" i="2"/>
  <c r="F106" i="2"/>
  <c r="E106" i="2"/>
  <c r="D106" i="2"/>
  <c r="E43" i="79"/>
  <c r="C43" i="79"/>
  <c r="E42" i="79"/>
  <c r="C42" i="79"/>
  <c r="E41" i="79"/>
  <c r="C41" i="79"/>
  <c r="E40" i="79"/>
  <c r="C40" i="79"/>
  <c r="E39" i="79"/>
  <c r="C39" i="79"/>
  <c r="E38" i="79"/>
  <c r="C38" i="79"/>
  <c r="E37" i="79"/>
  <c r="C37" i="79"/>
  <c r="E36" i="79"/>
  <c r="C36" i="79"/>
  <c r="E35" i="79"/>
  <c r="C35" i="79"/>
  <c r="E34" i="79"/>
  <c r="C34" i="79"/>
  <c r="C33" i="79"/>
  <c r="C32" i="79"/>
  <c r="C31" i="79"/>
  <c r="C30" i="79"/>
  <c r="C29" i="79"/>
  <c r="C28" i="79"/>
  <c r="C27" i="79"/>
  <c r="H26" i="79"/>
  <c r="C26" i="79" s="1"/>
  <c r="H25" i="79"/>
  <c r="C25" i="79" s="1"/>
  <c r="H24" i="79"/>
  <c r="C24" i="79" s="1"/>
  <c r="H23" i="79"/>
  <c r="C23" i="79" s="1"/>
  <c r="J17" i="79"/>
  <c r="J16" i="79"/>
  <c r="J15" i="79"/>
  <c r="G13" i="79"/>
  <c r="F13" i="79"/>
  <c r="H12" i="79"/>
  <c r="M215" i="99" s="1"/>
  <c r="F8" i="79"/>
  <c r="I106" i="2" l="1"/>
  <c r="W106" i="2" s="1"/>
  <c r="I215" i="99"/>
  <c r="W215" i="99" s="1"/>
  <c r="X215" i="99" s="1"/>
  <c r="M66" i="178"/>
  <c r="J68" i="178"/>
  <c r="F12" i="79"/>
  <c r="J13" i="79" s="1"/>
  <c r="M33" i="99"/>
  <c r="M106" i="2"/>
  <c r="J18" i="80"/>
  <c r="I30" i="99"/>
  <c r="W30" i="99" s="1"/>
  <c r="I103" i="2"/>
  <c r="W103" i="2" s="1"/>
  <c r="X103" i="2" s="1"/>
  <c r="V30" i="99"/>
  <c r="J18" i="79"/>
  <c r="I33" i="99"/>
  <c r="W33" i="99" s="1"/>
  <c r="X33" i="99" s="1"/>
  <c r="F12" i="80"/>
  <c r="F10" i="80" s="1"/>
  <c r="M30" i="99"/>
  <c r="M103" i="2"/>
  <c r="J19" i="80"/>
  <c r="F9" i="80"/>
  <c r="G9" i="80" s="1"/>
  <c r="K174" i="99" s="1"/>
  <c r="J12" i="80"/>
  <c r="X106" i="2"/>
  <c r="J12" i="79"/>
  <c r="F11" i="79" s="1"/>
  <c r="L215" i="99" s="1"/>
  <c r="J19" i="79"/>
  <c r="F9" i="79"/>
  <c r="G9" i="79" s="1"/>
  <c r="K215" i="99" s="1"/>
  <c r="F10" i="79" l="1"/>
  <c r="X30" i="99"/>
  <c r="I9" i="79"/>
  <c r="K33" i="99"/>
  <c r="K106" i="2"/>
  <c r="I9" i="80"/>
  <c r="K30" i="99"/>
  <c r="K103" i="2"/>
  <c r="J13" i="80"/>
  <c r="F11" i="80" s="1"/>
  <c r="L174" i="99" s="1"/>
  <c r="L33" i="99"/>
  <c r="L106" i="2"/>
  <c r="S105" i="2"/>
  <c r="G105" i="2"/>
  <c r="F105" i="2"/>
  <c r="E105" i="2"/>
  <c r="D105" i="2"/>
  <c r="K35" i="78"/>
  <c r="K34" i="78"/>
  <c r="E43" i="78"/>
  <c r="C43" i="78"/>
  <c r="E42" i="78"/>
  <c r="C42" i="78"/>
  <c r="E41" i="78"/>
  <c r="C41" i="78"/>
  <c r="E40" i="78"/>
  <c r="C40" i="78"/>
  <c r="E39" i="78"/>
  <c r="C39" i="78"/>
  <c r="E38" i="78"/>
  <c r="C38" i="78"/>
  <c r="E37" i="78"/>
  <c r="C37" i="78"/>
  <c r="E36" i="78"/>
  <c r="C36" i="78"/>
  <c r="K33" i="78"/>
  <c r="K32" i="78"/>
  <c r="K31" i="78"/>
  <c r="K30" i="78"/>
  <c r="K29" i="78"/>
  <c r="K28" i="78"/>
  <c r="K27" i="78"/>
  <c r="K26" i="78"/>
  <c r="K25" i="78"/>
  <c r="K24" i="78"/>
  <c r="K23" i="78"/>
  <c r="J16" i="78"/>
  <c r="J15" i="78"/>
  <c r="F7" i="78"/>
  <c r="H105" i="2" l="1"/>
  <c r="V105" i="2" s="1"/>
  <c r="H175" i="99"/>
  <c r="V175" i="99" s="1"/>
  <c r="L30" i="99"/>
  <c r="L103" i="2"/>
  <c r="F18" i="78"/>
  <c r="J17" i="78" s="1"/>
  <c r="H32" i="99"/>
  <c r="H34" i="78"/>
  <c r="C34" i="78" s="1"/>
  <c r="H35" i="78"/>
  <c r="C35" i="78" s="1"/>
  <c r="F13" i="78"/>
  <c r="H12" i="78"/>
  <c r="M175" i="99" s="1"/>
  <c r="H24" i="78"/>
  <c r="C24" i="78" s="1"/>
  <c r="H28" i="78"/>
  <c r="C28" i="78" s="1"/>
  <c r="H25" i="78"/>
  <c r="C25" i="78" s="1"/>
  <c r="H29" i="78"/>
  <c r="C29" i="78" s="1"/>
  <c r="H32" i="78"/>
  <c r="C32" i="78" s="1"/>
  <c r="H33" i="78"/>
  <c r="C33" i="78" s="1"/>
  <c r="H23" i="78"/>
  <c r="C23" i="78" s="1"/>
  <c r="H31" i="78"/>
  <c r="C31" i="78" s="1"/>
  <c r="F8" i="78"/>
  <c r="I175" i="99" s="1"/>
  <c r="W175" i="99" s="1"/>
  <c r="H26" i="78"/>
  <c r="C26" i="78" s="1"/>
  <c r="H30" i="78"/>
  <c r="C30" i="78" s="1"/>
  <c r="H27" i="78"/>
  <c r="C27" i="78" s="1"/>
  <c r="G13" i="78"/>
  <c r="S107" i="2"/>
  <c r="D107" i="2"/>
  <c r="X175" i="99" l="1"/>
  <c r="V32" i="99"/>
  <c r="I32" i="99"/>
  <c r="W32" i="99" s="1"/>
  <c r="I105" i="2"/>
  <c r="W105" i="2" s="1"/>
  <c r="X105" i="2" s="1"/>
  <c r="F12" i="78"/>
  <c r="J13" i="78" s="1"/>
  <c r="M32" i="99"/>
  <c r="M105" i="2"/>
  <c r="F10" i="78"/>
  <c r="J19" i="78"/>
  <c r="F9" i="78"/>
  <c r="G9" i="78" s="1"/>
  <c r="K175" i="99" s="1"/>
  <c r="J18" i="78"/>
  <c r="J12" i="78"/>
  <c r="G107" i="2"/>
  <c r="F107" i="2"/>
  <c r="E107" i="2"/>
  <c r="E43" i="76"/>
  <c r="C43" i="76"/>
  <c r="E42" i="76"/>
  <c r="C42" i="76"/>
  <c r="E41" i="76"/>
  <c r="C41" i="76"/>
  <c r="E40" i="76"/>
  <c r="C40" i="76"/>
  <c r="E39" i="76"/>
  <c r="C39" i="76"/>
  <c r="E38" i="76"/>
  <c r="C38" i="76"/>
  <c r="E37" i="76"/>
  <c r="C37" i="76"/>
  <c r="E36" i="76"/>
  <c r="C36" i="76"/>
  <c r="E35" i="76"/>
  <c r="C35" i="76"/>
  <c r="E34" i="76"/>
  <c r="C34" i="76"/>
  <c r="C33" i="76"/>
  <c r="C32" i="76"/>
  <c r="C31" i="76"/>
  <c r="C30" i="76"/>
  <c r="C29" i="76"/>
  <c r="K28" i="76"/>
  <c r="K27" i="76"/>
  <c r="K26" i="76"/>
  <c r="K25" i="76"/>
  <c r="K24" i="76"/>
  <c r="K23" i="76"/>
  <c r="J17" i="76"/>
  <c r="J16" i="76"/>
  <c r="J15" i="76"/>
  <c r="F7" i="76"/>
  <c r="F11" i="78" l="1"/>
  <c r="L175" i="99" s="1"/>
  <c r="H34" i="99"/>
  <c r="V34" i="99" s="1"/>
  <c r="H176" i="99"/>
  <c r="V176" i="99" s="1"/>
  <c r="L32" i="99"/>
  <c r="L105" i="2"/>
  <c r="I9" i="78"/>
  <c r="K32" i="99"/>
  <c r="K105" i="2"/>
  <c r="H107" i="2"/>
  <c r="V107" i="2" s="1"/>
  <c r="X32" i="99"/>
  <c r="H24" i="76"/>
  <c r="C24" i="76" s="1"/>
  <c r="H27" i="76"/>
  <c r="C27" i="76" s="1"/>
  <c r="H25" i="76"/>
  <c r="C25" i="76" s="1"/>
  <c r="H28" i="76"/>
  <c r="C28" i="76" s="1"/>
  <c r="F8" i="76"/>
  <c r="I176" i="99" s="1"/>
  <c r="W176" i="99" s="1"/>
  <c r="G13" i="76"/>
  <c r="F13" i="76"/>
  <c r="H26" i="76"/>
  <c r="C26" i="76" s="1"/>
  <c r="H23" i="76"/>
  <c r="C23" i="76" s="1"/>
  <c r="H12" i="76"/>
  <c r="M176" i="99" s="1"/>
  <c r="S108" i="2"/>
  <c r="H108" i="2"/>
  <c r="V108" i="2" s="1"/>
  <c r="G108" i="2"/>
  <c r="F108" i="2"/>
  <c r="E108" i="2"/>
  <c r="D108" i="2"/>
  <c r="E43" i="75"/>
  <c r="C43" i="75"/>
  <c r="E42" i="75"/>
  <c r="C42" i="75"/>
  <c r="E41" i="75"/>
  <c r="C41" i="75"/>
  <c r="E40" i="75"/>
  <c r="C40" i="75"/>
  <c r="E39" i="75"/>
  <c r="C39" i="75"/>
  <c r="E38" i="75"/>
  <c r="C38" i="75"/>
  <c r="E37" i="75"/>
  <c r="C37" i="75"/>
  <c r="E36" i="75"/>
  <c r="C36" i="75"/>
  <c r="E35" i="75"/>
  <c r="C35" i="75"/>
  <c r="E34" i="75"/>
  <c r="C34" i="75"/>
  <c r="C33" i="75"/>
  <c r="C32" i="75"/>
  <c r="C31" i="75"/>
  <c r="C30" i="75"/>
  <c r="C29" i="75"/>
  <c r="C28" i="75"/>
  <c r="C27" i="75"/>
  <c r="H26" i="75"/>
  <c r="C26" i="75" s="1"/>
  <c r="H25" i="75"/>
  <c r="C25" i="75" s="1"/>
  <c r="H24" i="75"/>
  <c r="C24" i="75" s="1"/>
  <c r="H23" i="75"/>
  <c r="C23" i="75" s="1"/>
  <c r="J17" i="75"/>
  <c r="J16" i="75"/>
  <c r="J15" i="75"/>
  <c r="G13" i="75"/>
  <c r="F13" i="75"/>
  <c r="H12" i="75"/>
  <c r="F12" i="75" s="1"/>
  <c r="J13" i="75" s="1"/>
  <c r="F8" i="75"/>
  <c r="J18" i="76" l="1"/>
  <c r="X176" i="99"/>
  <c r="J12" i="76"/>
  <c r="F9" i="76"/>
  <c r="G9" i="76" s="1"/>
  <c r="K176" i="99" s="1"/>
  <c r="I108" i="2"/>
  <c r="W108" i="2" s="1"/>
  <c r="X108" i="2" s="1"/>
  <c r="I196" i="99"/>
  <c r="W196" i="99" s="1"/>
  <c r="X196" i="99" s="1"/>
  <c r="M35" i="99"/>
  <c r="M196" i="99"/>
  <c r="M108" i="2"/>
  <c r="J19" i="76"/>
  <c r="I34" i="99"/>
  <c r="W34" i="99" s="1"/>
  <c r="X34" i="99" s="1"/>
  <c r="I107" i="2"/>
  <c r="W107" i="2" s="1"/>
  <c r="X107" i="2" s="1"/>
  <c r="J18" i="75"/>
  <c r="I35" i="99"/>
  <c r="W35" i="99" s="1"/>
  <c r="X35" i="99" s="1"/>
  <c r="F12" i="76"/>
  <c r="J13" i="76" s="1"/>
  <c r="M34" i="99"/>
  <c r="M107" i="2"/>
  <c r="F10" i="75"/>
  <c r="J12" i="75"/>
  <c r="F11" i="75" s="1"/>
  <c r="L196" i="99" s="1"/>
  <c r="J19" i="75"/>
  <c r="F9" i="75"/>
  <c r="G9" i="75" s="1"/>
  <c r="K196" i="99" s="1"/>
  <c r="S109" i="2"/>
  <c r="K107" i="2" l="1"/>
  <c r="K34" i="99"/>
  <c r="I9" i="76"/>
  <c r="F11" i="76"/>
  <c r="L176" i="99" s="1"/>
  <c r="F10" i="76"/>
  <c r="I9" i="75"/>
  <c r="K35" i="99"/>
  <c r="K108" i="2"/>
  <c r="L35" i="99"/>
  <c r="L108" i="2"/>
  <c r="G109" i="2"/>
  <c r="F109" i="2"/>
  <c r="E109" i="2"/>
  <c r="D109" i="2"/>
  <c r="K30" i="74"/>
  <c r="K31" i="74"/>
  <c r="K32" i="74"/>
  <c r="K33" i="74"/>
  <c r="F7" i="74"/>
  <c r="H109" i="2" s="1"/>
  <c r="V109" i="2" s="1"/>
  <c r="E43" i="74"/>
  <c r="C43" i="74"/>
  <c r="E42" i="74"/>
  <c r="C42" i="74"/>
  <c r="E41" i="74"/>
  <c r="C41" i="74"/>
  <c r="E40" i="74"/>
  <c r="C40" i="74"/>
  <c r="E39" i="74"/>
  <c r="C39" i="74"/>
  <c r="E38" i="74"/>
  <c r="C38" i="74"/>
  <c r="E37" i="74"/>
  <c r="C37" i="74"/>
  <c r="E36" i="74"/>
  <c r="C36" i="74"/>
  <c r="E35" i="74"/>
  <c r="C35" i="74"/>
  <c r="E34" i="74"/>
  <c r="C34" i="74"/>
  <c r="K23" i="74"/>
  <c r="K24" i="74"/>
  <c r="K25" i="74"/>
  <c r="K26" i="74"/>
  <c r="K27" i="74"/>
  <c r="H27" i="74" s="1"/>
  <c r="C27" i="74" s="1"/>
  <c r="K28" i="74"/>
  <c r="K29" i="74"/>
  <c r="J17" i="74"/>
  <c r="J16" i="74"/>
  <c r="J15" i="74"/>
  <c r="W110" i="2"/>
  <c r="G110" i="2"/>
  <c r="F110" i="2"/>
  <c r="E110" i="2"/>
  <c r="D110" i="2"/>
  <c r="H111" i="2"/>
  <c r="V111" i="2" s="1"/>
  <c r="G111" i="2"/>
  <c r="F111" i="2"/>
  <c r="E111" i="2"/>
  <c r="D111" i="2"/>
  <c r="S111" i="2"/>
  <c r="V110" i="2"/>
  <c r="S110" i="2"/>
  <c r="H31" i="73"/>
  <c r="H26" i="73"/>
  <c r="C26" i="73" s="1"/>
  <c r="H27" i="73"/>
  <c r="C27" i="73" s="1"/>
  <c r="H28" i="73"/>
  <c r="C28" i="73" s="1"/>
  <c r="H29" i="73"/>
  <c r="C29" i="73" s="1"/>
  <c r="H30" i="73"/>
  <c r="E43" i="73"/>
  <c r="C43" i="73"/>
  <c r="E42" i="73"/>
  <c r="C42" i="73"/>
  <c r="E41" i="73"/>
  <c r="C41" i="73"/>
  <c r="E40" i="73"/>
  <c r="C40" i="73"/>
  <c r="E39" i="73"/>
  <c r="C39" i="73"/>
  <c r="E38" i="73"/>
  <c r="C38" i="73"/>
  <c r="E37" i="73"/>
  <c r="C37" i="73"/>
  <c r="E36" i="73"/>
  <c r="C36" i="73"/>
  <c r="E35" i="73"/>
  <c r="C35" i="73"/>
  <c r="E34" i="73"/>
  <c r="C34" i="73"/>
  <c r="C33" i="73"/>
  <c r="C32" i="73"/>
  <c r="C31" i="73"/>
  <c r="C30" i="73"/>
  <c r="H25" i="73"/>
  <c r="C25" i="73" s="1"/>
  <c r="H24" i="73"/>
  <c r="C24" i="73" s="1"/>
  <c r="H23" i="73"/>
  <c r="C23" i="73" s="1"/>
  <c r="F8" i="73"/>
  <c r="J19" i="73" s="1"/>
  <c r="J17" i="73"/>
  <c r="J16" i="73"/>
  <c r="J15" i="73"/>
  <c r="H12" i="73"/>
  <c r="F12" i="73" s="1"/>
  <c r="G13" i="73"/>
  <c r="F13" i="73"/>
  <c r="E43" i="72"/>
  <c r="C43" i="72"/>
  <c r="E42" i="72"/>
  <c r="C42" i="72"/>
  <c r="E41" i="72"/>
  <c r="C41" i="72"/>
  <c r="E40" i="72"/>
  <c r="C40" i="72"/>
  <c r="E39" i="72"/>
  <c r="C39" i="72"/>
  <c r="E38" i="72"/>
  <c r="C38" i="72"/>
  <c r="E37" i="72"/>
  <c r="C37" i="72"/>
  <c r="E36" i="72"/>
  <c r="C36" i="72"/>
  <c r="E35" i="72"/>
  <c r="C35" i="72"/>
  <c r="E34" i="72"/>
  <c r="C34" i="72"/>
  <c r="C33" i="72"/>
  <c r="C32" i="72"/>
  <c r="C31" i="72"/>
  <c r="C30" i="72"/>
  <c r="C29" i="72"/>
  <c r="C28" i="72"/>
  <c r="C27" i="72"/>
  <c r="C26" i="72"/>
  <c r="C25" i="72"/>
  <c r="H24" i="72"/>
  <c r="C24" i="72" s="1"/>
  <c r="H23" i="72"/>
  <c r="C23" i="72" s="1"/>
  <c r="F8" i="72"/>
  <c r="J17" i="72"/>
  <c r="J16" i="72"/>
  <c r="J15" i="72"/>
  <c r="H12" i="72"/>
  <c r="G13" i="72"/>
  <c r="F13" i="72"/>
  <c r="T174" i="2"/>
  <c r="T173" i="2"/>
  <c r="T172" i="2"/>
  <c r="T171" i="2"/>
  <c r="T170" i="2"/>
  <c r="T168" i="2"/>
  <c r="T167" i="2"/>
  <c r="T166" i="2"/>
  <c r="T165" i="2"/>
  <c r="T164" i="2"/>
  <c r="T163" i="2"/>
  <c r="T162" i="2"/>
  <c r="T161" i="2"/>
  <c r="T160" i="2"/>
  <c r="T159" i="2"/>
  <c r="T158" i="2"/>
  <c r="T157" i="2"/>
  <c r="T156" i="2"/>
  <c r="T155" i="2"/>
  <c r="T154" i="2"/>
  <c r="T153" i="2"/>
  <c r="T152" i="2"/>
  <c r="T150" i="2"/>
  <c r="T149" i="2"/>
  <c r="T148" i="2"/>
  <c r="T147" i="2"/>
  <c r="T146" i="2"/>
  <c r="T145" i="2"/>
  <c r="T144" i="2"/>
  <c r="S129" i="2"/>
  <c r="S128" i="2"/>
  <c r="S127" i="2"/>
  <c r="S126" i="2"/>
  <c r="S125" i="2"/>
  <c r="S124" i="2"/>
  <c r="S123" i="2"/>
  <c r="S122" i="2"/>
  <c r="S121" i="2"/>
  <c r="S120" i="2"/>
  <c r="S119" i="2"/>
  <c r="S117" i="2"/>
  <c r="S116" i="2"/>
  <c r="S115" i="2"/>
  <c r="S114" i="2"/>
  <c r="S113" i="2"/>
  <c r="S112" i="2"/>
  <c r="E114" i="2"/>
  <c r="H112" i="2"/>
  <c r="V112" i="2" s="1"/>
  <c r="G112" i="2"/>
  <c r="F112" i="2"/>
  <c r="E112" i="2"/>
  <c r="H113" i="2"/>
  <c r="V113" i="2" s="1"/>
  <c r="G113" i="2"/>
  <c r="F113" i="2"/>
  <c r="D113" i="2"/>
  <c r="D112" i="2"/>
  <c r="E113" i="2"/>
  <c r="H29" i="71"/>
  <c r="H28" i="71"/>
  <c r="C28" i="71" s="1"/>
  <c r="E43" i="71"/>
  <c r="C43" i="71"/>
  <c r="E42" i="71"/>
  <c r="C42" i="71"/>
  <c r="E41" i="71"/>
  <c r="C41" i="71"/>
  <c r="E40" i="71"/>
  <c r="C40" i="71"/>
  <c r="E39" i="71"/>
  <c r="C39" i="71"/>
  <c r="E38" i="71"/>
  <c r="C38" i="71"/>
  <c r="E37" i="71"/>
  <c r="C37" i="71"/>
  <c r="E36" i="71"/>
  <c r="C36" i="71"/>
  <c r="E35" i="71"/>
  <c r="C35" i="71"/>
  <c r="E34" i="71"/>
  <c r="C34" i="71"/>
  <c r="C33" i="71"/>
  <c r="C32" i="71"/>
  <c r="C31" i="71"/>
  <c r="C30" i="71"/>
  <c r="C29" i="71"/>
  <c r="H27" i="71"/>
  <c r="C27" i="71" s="1"/>
  <c r="H26" i="71"/>
  <c r="C26" i="71" s="1"/>
  <c r="H25" i="71"/>
  <c r="C25" i="71" s="1"/>
  <c r="H24" i="71"/>
  <c r="C24" i="71" s="1"/>
  <c r="H23" i="71"/>
  <c r="C23" i="71" s="1"/>
  <c r="F8" i="71"/>
  <c r="J17" i="71"/>
  <c r="J16" i="71"/>
  <c r="J15" i="71"/>
  <c r="H12" i="71"/>
  <c r="G13" i="71"/>
  <c r="F13" i="71"/>
  <c r="E43" i="70"/>
  <c r="C43" i="70"/>
  <c r="E42" i="70"/>
  <c r="C42" i="70"/>
  <c r="E41" i="70"/>
  <c r="C41" i="70"/>
  <c r="E40" i="70"/>
  <c r="C40" i="70"/>
  <c r="E39" i="70"/>
  <c r="C39" i="70"/>
  <c r="E38" i="70"/>
  <c r="C38" i="70"/>
  <c r="E37" i="70"/>
  <c r="C37" i="70"/>
  <c r="E36" i="70"/>
  <c r="C36" i="70"/>
  <c r="E35" i="70"/>
  <c r="C35" i="70"/>
  <c r="E34" i="70"/>
  <c r="C34" i="70"/>
  <c r="C33" i="70"/>
  <c r="C32" i="70"/>
  <c r="C31" i="70"/>
  <c r="C30" i="70"/>
  <c r="C29" i="70"/>
  <c r="C28" i="70"/>
  <c r="C27" i="70"/>
  <c r="C26" i="70"/>
  <c r="H25" i="70"/>
  <c r="C25" i="70" s="1"/>
  <c r="H24" i="70"/>
  <c r="C24" i="70" s="1"/>
  <c r="H23" i="70"/>
  <c r="C23" i="70" s="1"/>
  <c r="F8" i="70"/>
  <c r="J18" i="70" s="1"/>
  <c r="J17" i="70"/>
  <c r="J16" i="70"/>
  <c r="J15" i="70"/>
  <c r="H12" i="70"/>
  <c r="F12" i="70" s="1"/>
  <c r="J13" i="70" s="1"/>
  <c r="G13" i="70"/>
  <c r="F13" i="70"/>
  <c r="H114" i="2"/>
  <c r="G114" i="2"/>
  <c r="F114" i="2"/>
  <c r="D114" i="2"/>
  <c r="V114" i="2"/>
  <c r="E43" i="69"/>
  <c r="C43" i="69"/>
  <c r="E42" i="69"/>
  <c r="C42" i="69"/>
  <c r="E41" i="69"/>
  <c r="C41" i="69"/>
  <c r="E40" i="69"/>
  <c r="C40" i="69"/>
  <c r="E39" i="69"/>
  <c r="C39" i="69"/>
  <c r="E38" i="69"/>
  <c r="C38" i="69"/>
  <c r="E37" i="69"/>
  <c r="C37" i="69"/>
  <c r="E36" i="69"/>
  <c r="C36" i="69"/>
  <c r="E35" i="69"/>
  <c r="C35" i="69"/>
  <c r="E34" i="69"/>
  <c r="C34" i="69"/>
  <c r="C33" i="69"/>
  <c r="C32" i="69"/>
  <c r="C31" i="69"/>
  <c r="C30" i="69"/>
  <c r="C29" i="69"/>
  <c r="C28" i="69"/>
  <c r="H27" i="69"/>
  <c r="E27" i="69" s="1"/>
  <c r="H26" i="69"/>
  <c r="C26" i="69" s="1"/>
  <c r="H25" i="69"/>
  <c r="C25" i="69" s="1"/>
  <c r="H24" i="69"/>
  <c r="C24" i="69" s="1"/>
  <c r="H23" i="69"/>
  <c r="C23" i="69" s="1"/>
  <c r="F8" i="69"/>
  <c r="J12" i="69" s="1"/>
  <c r="F11" i="69" s="1"/>
  <c r="L197" i="99" s="1"/>
  <c r="J17" i="69"/>
  <c r="J16" i="69"/>
  <c r="J15" i="69"/>
  <c r="H12" i="69"/>
  <c r="G13" i="69"/>
  <c r="F13" i="69"/>
  <c r="H115" i="2"/>
  <c r="V115" i="2" s="1"/>
  <c r="G115" i="2"/>
  <c r="F115" i="2"/>
  <c r="E115" i="2"/>
  <c r="D115" i="2"/>
  <c r="E43" i="68"/>
  <c r="C43" i="68"/>
  <c r="E42" i="68"/>
  <c r="C42" i="68"/>
  <c r="E41" i="68"/>
  <c r="C41" i="68"/>
  <c r="E40" i="68"/>
  <c r="C40" i="68"/>
  <c r="E39" i="68"/>
  <c r="C39" i="68"/>
  <c r="E38" i="68"/>
  <c r="C38" i="68"/>
  <c r="E37" i="68"/>
  <c r="C37" i="68"/>
  <c r="E36" i="68"/>
  <c r="C36" i="68"/>
  <c r="E35" i="68"/>
  <c r="C35" i="68"/>
  <c r="E34" i="68"/>
  <c r="C34" i="68"/>
  <c r="C33" i="68"/>
  <c r="C32" i="68"/>
  <c r="C31" i="68"/>
  <c r="C30" i="68"/>
  <c r="C29" i="68"/>
  <c r="H28" i="68"/>
  <c r="E28" i="68" s="1"/>
  <c r="H27" i="68"/>
  <c r="E27" i="68" s="1"/>
  <c r="H26" i="68"/>
  <c r="C26" i="68" s="1"/>
  <c r="H25" i="68"/>
  <c r="C25" i="68" s="1"/>
  <c r="H24" i="68"/>
  <c r="C24" i="68" s="1"/>
  <c r="H23" i="68"/>
  <c r="C23" i="68" s="1"/>
  <c r="F8" i="68"/>
  <c r="J18" i="68" s="1"/>
  <c r="J17" i="68"/>
  <c r="J16" i="68"/>
  <c r="J15" i="68"/>
  <c r="H12" i="68"/>
  <c r="G13" i="68"/>
  <c r="F13" i="68"/>
  <c r="H116" i="2"/>
  <c r="V116" i="2" s="1"/>
  <c r="G116" i="2"/>
  <c r="F116" i="2"/>
  <c r="E116" i="2"/>
  <c r="D116" i="2"/>
  <c r="H33" i="67"/>
  <c r="E33" i="67" s="1"/>
  <c r="H32" i="67"/>
  <c r="E32" i="67" s="1"/>
  <c r="H31" i="67"/>
  <c r="E31" i="67" s="1"/>
  <c r="H30" i="67"/>
  <c r="C30" i="67" s="1"/>
  <c r="H29" i="67"/>
  <c r="E43" i="67"/>
  <c r="C43" i="67"/>
  <c r="E42" i="67"/>
  <c r="C42" i="67"/>
  <c r="E41" i="67"/>
  <c r="C41" i="67"/>
  <c r="E40" i="67"/>
  <c r="C40" i="67"/>
  <c r="E39" i="67"/>
  <c r="C39" i="67"/>
  <c r="E38" i="67"/>
  <c r="C38" i="67"/>
  <c r="E37" i="67"/>
  <c r="C37" i="67"/>
  <c r="E36" i="67"/>
  <c r="C36" i="67"/>
  <c r="E35" i="67"/>
  <c r="C35" i="67"/>
  <c r="E34" i="67"/>
  <c r="C34" i="67"/>
  <c r="C33" i="67"/>
  <c r="E30" i="67"/>
  <c r="E29" i="67"/>
  <c r="C29" i="67"/>
  <c r="H28" i="67"/>
  <c r="E28" i="67" s="1"/>
  <c r="H27" i="67"/>
  <c r="E27" i="67" s="1"/>
  <c r="H26" i="67"/>
  <c r="C26" i="67" s="1"/>
  <c r="H25" i="67"/>
  <c r="C25" i="67" s="1"/>
  <c r="H24" i="67"/>
  <c r="C24" i="67" s="1"/>
  <c r="H23" i="67"/>
  <c r="C23" i="67" s="1"/>
  <c r="F8" i="67"/>
  <c r="J18" i="67" s="1"/>
  <c r="J17" i="67"/>
  <c r="J16" i="67"/>
  <c r="J15" i="67"/>
  <c r="H12" i="67"/>
  <c r="G13" i="67"/>
  <c r="F13" i="67"/>
  <c r="H117" i="2"/>
  <c r="V117" i="2" s="1"/>
  <c r="D117" i="2"/>
  <c r="G117" i="2"/>
  <c r="F117" i="2"/>
  <c r="E117" i="2"/>
  <c r="H28" i="66"/>
  <c r="C28" i="66" s="1"/>
  <c r="H27" i="66"/>
  <c r="C27" i="66" s="1"/>
  <c r="E43" i="66"/>
  <c r="C43" i="66"/>
  <c r="E42" i="66"/>
  <c r="C42" i="66"/>
  <c r="E41" i="66"/>
  <c r="C41" i="66"/>
  <c r="E40" i="66"/>
  <c r="C40" i="66"/>
  <c r="E39" i="66"/>
  <c r="C39" i="66"/>
  <c r="E38" i="66"/>
  <c r="C38" i="66"/>
  <c r="E37" i="66"/>
  <c r="C37" i="66"/>
  <c r="E36" i="66"/>
  <c r="C36" i="66"/>
  <c r="E35" i="66"/>
  <c r="C35" i="66"/>
  <c r="E34" i="66"/>
  <c r="C34" i="66"/>
  <c r="E33" i="66"/>
  <c r="C33" i="66"/>
  <c r="E32" i="66"/>
  <c r="C32" i="66"/>
  <c r="E31" i="66"/>
  <c r="C31" i="66"/>
  <c r="E30" i="66"/>
  <c r="C30" i="66"/>
  <c r="E29" i="66"/>
  <c r="C29" i="66"/>
  <c r="E28" i="66"/>
  <c r="E27" i="66"/>
  <c r="H26" i="66"/>
  <c r="C26" i="66" s="1"/>
  <c r="H25" i="66"/>
  <c r="C25" i="66" s="1"/>
  <c r="H24" i="66"/>
  <c r="C24" i="66" s="1"/>
  <c r="H23" i="66"/>
  <c r="C23" i="66" s="1"/>
  <c r="F8" i="66"/>
  <c r="J17" i="66"/>
  <c r="J16" i="66"/>
  <c r="J15" i="66"/>
  <c r="H12" i="66"/>
  <c r="G13" i="66"/>
  <c r="F13" i="66"/>
  <c r="F12" i="65"/>
  <c r="F11" i="65"/>
  <c r="V129" i="2"/>
  <c r="W129" i="2"/>
  <c r="V140" i="2"/>
  <c r="W140" i="2"/>
  <c r="H119" i="2"/>
  <c r="V119" i="2" s="1"/>
  <c r="G119" i="2"/>
  <c r="F119" i="2"/>
  <c r="E119" i="2"/>
  <c r="D119" i="2"/>
  <c r="H27" i="64"/>
  <c r="C27" i="64" s="1"/>
  <c r="E43" i="64"/>
  <c r="C43" i="64"/>
  <c r="E42" i="64"/>
  <c r="C42" i="64"/>
  <c r="E41" i="64"/>
  <c r="C41" i="64"/>
  <c r="E40" i="64"/>
  <c r="C40" i="64"/>
  <c r="E39" i="64"/>
  <c r="C39" i="64"/>
  <c r="E38" i="64"/>
  <c r="C38" i="64"/>
  <c r="E37" i="64"/>
  <c r="C37" i="64"/>
  <c r="E36" i="64"/>
  <c r="C36" i="64"/>
  <c r="E35" i="64"/>
  <c r="C35" i="64"/>
  <c r="E34" i="64"/>
  <c r="C34" i="64"/>
  <c r="E33" i="64"/>
  <c r="C33" i="64"/>
  <c r="E32" i="64"/>
  <c r="C32" i="64"/>
  <c r="E31" i="64"/>
  <c r="C31" i="64"/>
  <c r="E30" i="64"/>
  <c r="C30" i="64"/>
  <c r="E29" i="64"/>
  <c r="C29" i="64"/>
  <c r="E28" i="64"/>
  <c r="C28" i="64"/>
  <c r="H26" i="64"/>
  <c r="C26" i="64" s="1"/>
  <c r="H25" i="64"/>
  <c r="C25" i="64" s="1"/>
  <c r="H24" i="64"/>
  <c r="C24" i="64" s="1"/>
  <c r="H23" i="64"/>
  <c r="C23" i="64" s="1"/>
  <c r="J17" i="64"/>
  <c r="J16" i="64"/>
  <c r="J15" i="64"/>
  <c r="G13" i="64"/>
  <c r="F13" i="64"/>
  <c r="H12" i="64"/>
  <c r="F8" i="64"/>
  <c r="J12" i="64" s="1"/>
  <c r="G120" i="2"/>
  <c r="F120" i="2"/>
  <c r="E120" i="2"/>
  <c r="D120" i="2"/>
  <c r="J35" i="63"/>
  <c r="K35" i="63" s="1"/>
  <c r="J34" i="63"/>
  <c r="K34" i="63" s="1"/>
  <c r="J33" i="63"/>
  <c r="K33" i="63" s="1"/>
  <c r="J23" i="63"/>
  <c r="K23" i="63" s="1"/>
  <c r="J32" i="63"/>
  <c r="J31" i="63"/>
  <c r="K31" i="63" s="1"/>
  <c r="J30" i="63"/>
  <c r="K30" i="63" s="1"/>
  <c r="J29" i="63"/>
  <c r="K29" i="63" s="1"/>
  <c r="J28" i="63"/>
  <c r="J27" i="63"/>
  <c r="K27" i="63" s="1"/>
  <c r="J26" i="63"/>
  <c r="K26" i="63" s="1"/>
  <c r="J25" i="63"/>
  <c r="K25" i="63" s="1"/>
  <c r="J24" i="63"/>
  <c r="K24" i="63" s="1"/>
  <c r="J7" i="63"/>
  <c r="E43" i="63"/>
  <c r="C43" i="63"/>
  <c r="E42" i="63"/>
  <c r="C42" i="63"/>
  <c r="E41" i="63"/>
  <c r="C41" i="63"/>
  <c r="E40" i="63"/>
  <c r="C40" i="63"/>
  <c r="E39" i="63"/>
  <c r="C39" i="63"/>
  <c r="E38" i="63"/>
  <c r="C38" i="63"/>
  <c r="E37" i="63"/>
  <c r="C37" i="63"/>
  <c r="E36" i="63"/>
  <c r="C36" i="63"/>
  <c r="K32" i="63"/>
  <c r="K28" i="63"/>
  <c r="J16" i="63"/>
  <c r="J15" i="63"/>
  <c r="F7" i="63"/>
  <c r="J17" i="63"/>
  <c r="S131" i="2"/>
  <c r="T143" i="2"/>
  <c r="G123" i="2"/>
  <c r="F123" i="2"/>
  <c r="E123" i="2"/>
  <c r="D123" i="2"/>
  <c r="H125" i="2"/>
  <c r="V125" i="2" s="1"/>
  <c r="G125" i="2"/>
  <c r="F125" i="2"/>
  <c r="E125" i="2"/>
  <c r="D125" i="2"/>
  <c r="E43" i="62"/>
  <c r="C43" i="62"/>
  <c r="E42" i="62"/>
  <c r="C42" i="62"/>
  <c r="E41" i="62"/>
  <c r="C41" i="62"/>
  <c r="E40" i="62"/>
  <c r="C40" i="62"/>
  <c r="E39" i="62"/>
  <c r="C39" i="62"/>
  <c r="E38" i="62"/>
  <c r="C38" i="62"/>
  <c r="E37" i="62"/>
  <c r="C37" i="62"/>
  <c r="E36" i="62"/>
  <c r="C36" i="62"/>
  <c r="E35" i="62"/>
  <c r="C35" i="62"/>
  <c r="E34" i="62"/>
  <c r="C34" i="62"/>
  <c r="E33" i="62"/>
  <c r="C33" i="62"/>
  <c r="E32" i="62"/>
  <c r="C32" i="62"/>
  <c r="E31" i="62"/>
  <c r="C31" i="62"/>
  <c r="E30" i="62"/>
  <c r="C30" i="62"/>
  <c r="E29" i="62"/>
  <c r="C29" i="62"/>
  <c r="H26" i="62"/>
  <c r="C26" i="62" s="1"/>
  <c r="H25" i="62"/>
  <c r="C25" i="62" s="1"/>
  <c r="H24" i="62"/>
  <c r="C24" i="62" s="1"/>
  <c r="H23" i="62"/>
  <c r="C23" i="62" s="1"/>
  <c r="J17" i="62"/>
  <c r="J16" i="62"/>
  <c r="J15" i="62"/>
  <c r="G13" i="62"/>
  <c r="F13" i="62"/>
  <c r="H12" i="62"/>
  <c r="F12" i="62" s="1"/>
  <c r="F8" i="62"/>
  <c r="E43" i="61"/>
  <c r="C43" i="61"/>
  <c r="E42" i="61"/>
  <c r="C42" i="61"/>
  <c r="E41" i="61"/>
  <c r="C41" i="61"/>
  <c r="E40" i="61"/>
  <c r="C40" i="61"/>
  <c r="E39" i="61"/>
  <c r="C39" i="61"/>
  <c r="E38" i="61"/>
  <c r="C38" i="61"/>
  <c r="E37" i="61"/>
  <c r="C37" i="61"/>
  <c r="E36" i="61"/>
  <c r="C36" i="61"/>
  <c r="E35" i="61"/>
  <c r="C35" i="61"/>
  <c r="E34" i="61"/>
  <c r="C34" i="61"/>
  <c r="K25" i="61"/>
  <c r="K24" i="61"/>
  <c r="K23" i="61"/>
  <c r="J17" i="61"/>
  <c r="J16" i="61"/>
  <c r="J15" i="61"/>
  <c r="F7" i="61"/>
  <c r="I125" i="2"/>
  <c r="W125" i="2" s="1"/>
  <c r="F9" i="62"/>
  <c r="G9" i="62" s="1"/>
  <c r="J19" i="62"/>
  <c r="J12" i="62"/>
  <c r="D55" i="59"/>
  <c r="D51" i="59"/>
  <c r="F51" i="59"/>
  <c r="D52" i="59"/>
  <c r="F52" i="59"/>
  <c r="D53" i="59"/>
  <c r="G53" i="59"/>
  <c r="I53" i="59"/>
  <c r="L53" i="59"/>
  <c r="D54" i="59"/>
  <c r="I54" i="59"/>
  <c r="J54" i="59"/>
  <c r="K54" i="59"/>
  <c r="L54" i="59"/>
  <c r="F50" i="59"/>
  <c r="I50" i="59"/>
  <c r="J50" i="59"/>
  <c r="D50" i="59"/>
  <c r="G121" i="2"/>
  <c r="F121" i="2"/>
  <c r="E121" i="2"/>
  <c r="D121" i="2"/>
  <c r="K34" i="60"/>
  <c r="E43" i="60"/>
  <c r="C43" i="60"/>
  <c r="E42" i="60"/>
  <c r="C42" i="60"/>
  <c r="E41" i="60"/>
  <c r="C41" i="60"/>
  <c r="E40" i="60"/>
  <c r="C40" i="60"/>
  <c r="E39" i="60"/>
  <c r="C39" i="60"/>
  <c r="E38" i="60"/>
  <c r="C38" i="60"/>
  <c r="E37" i="60"/>
  <c r="C37" i="60"/>
  <c r="E36" i="60"/>
  <c r="C36" i="60"/>
  <c r="E35" i="60"/>
  <c r="C35" i="60"/>
  <c r="K33" i="60"/>
  <c r="K32" i="60"/>
  <c r="K31" i="60"/>
  <c r="K30" i="60"/>
  <c r="K29" i="60"/>
  <c r="K28" i="60"/>
  <c r="K27" i="60"/>
  <c r="K26" i="60"/>
  <c r="K25" i="60"/>
  <c r="K24" i="60"/>
  <c r="K23" i="60"/>
  <c r="J16" i="60"/>
  <c r="J15" i="60"/>
  <c r="F7" i="60"/>
  <c r="H121" i="2" s="1"/>
  <c r="V121" i="2" s="1"/>
  <c r="J17" i="60"/>
  <c r="J24" i="59"/>
  <c r="G122" i="2"/>
  <c r="F122" i="2"/>
  <c r="E122" i="2"/>
  <c r="D122" i="2"/>
  <c r="J7" i="59"/>
  <c r="J33" i="59"/>
  <c r="J32" i="59"/>
  <c r="J31" i="59"/>
  <c r="J30" i="59"/>
  <c r="J29" i="59"/>
  <c r="J28" i="59"/>
  <c r="J27" i="59"/>
  <c r="J26" i="59"/>
  <c r="J23" i="59"/>
  <c r="J25" i="59"/>
  <c r="K7" i="59"/>
  <c r="L33" i="59" s="1"/>
  <c r="E43" i="59"/>
  <c r="C43" i="59"/>
  <c r="E42" i="59"/>
  <c r="C42" i="59"/>
  <c r="E41" i="59"/>
  <c r="C41" i="59"/>
  <c r="E40" i="59"/>
  <c r="C40" i="59"/>
  <c r="E39" i="59"/>
  <c r="C39" i="59"/>
  <c r="E38" i="59"/>
  <c r="C38" i="59"/>
  <c r="E37" i="59"/>
  <c r="C37" i="59"/>
  <c r="E36" i="59"/>
  <c r="C36" i="59"/>
  <c r="E35" i="59"/>
  <c r="C35" i="59"/>
  <c r="J16" i="59"/>
  <c r="J15" i="59"/>
  <c r="N11" i="59"/>
  <c r="N10" i="59"/>
  <c r="J17" i="59"/>
  <c r="G124" i="2"/>
  <c r="F124" i="2"/>
  <c r="E124" i="2"/>
  <c r="D124" i="2"/>
  <c r="F7" i="58"/>
  <c r="E43" i="58"/>
  <c r="C43" i="58"/>
  <c r="E42" i="58"/>
  <c r="C42" i="58"/>
  <c r="E41" i="58"/>
  <c r="C41" i="58"/>
  <c r="E40" i="58"/>
  <c r="C40" i="58"/>
  <c r="E39" i="58"/>
  <c r="C39" i="58"/>
  <c r="E38" i="58"/>
  <c r="C38" i="58"/>
  <c r="E37" i="58"/>
  <c r="C37" i="58"/>
  <c r="E36" i="58"/>
  <c r="C36" i="58"/>
  <c r="E35" i="58"/>
  <c r="C35" i="58"/>
  <c r="E34" i="58"/>
  <c r="C34" i="58"/>
  <c r="K29" i="58"/>
  <c r="K28" i="58"/>
  <c r="K27" i="58"/>
  <c r="K26" i="58"/>
  <c r="K25" i="58"/>
  <c r="K24" i="58"/>
  <c r="K23" i="58"/>
  <c r="J16" i="58"/>
  <c r="J15" i="58"/>
  <c r="J17" i="58"/>
  <c r="H126" i="2"/>
  <c r="V126" i="2" s="1"/>
  <c r="G126" i="2"/>
  <c r="F126" i="2"/>
  <c r="E126" i="2"/>
  <c r="D126" i="2"/>
  <c r="H28" i="57"/>
  <c r="H27" i="57"/>
  <c r="E43" i="57"/>
  <c r="C43" i="57"/>
  <c r="E42" i="57"/>
  <c r="C42" i="57"/>
  <c r="E41" i="57"/>
  <c r="C41" i="57"/>
  <c r="E40" i="57"/>
  <c r="C40" i="57"/>
  <c r="E39" i="57"/>
  <c r="C39" i="57"/>
  <c r="E38" i="57"/>
  <c r="C38" i="57"/>
  <c r="E37" i="57"/>
  <c r="C37" i="57"/>
  <c r="E36" i="57"/>
  <c r="C36" i="57"/>
  <c r="E35" i="57"/>
  <c r="C35" i="57"/>
  <c r="E34" i="57"/>
  <c r="C34" i="57"/>
  <c r="E33" i="57"/>
  <c r="C33" i="57"/>
  <c r="E32" i="57"/>
  <c r="C32" i="57"/>
  <c r="E31" i="57"/>
  <c r="C31" i="57"/>
  <c r="E30" i="57"/>
  <c r="C30" i="57"/>
  <c r="E29" i="57"/>
  <c r="C29" i="57"/>
  <c r="E28" i="57"/>
  <c r="C28" i="57"/>
  <c r="H26" i="57"/>
  <c r="C26" i="57" s="1"/>
  <c r="H25" i="57"/>
  <c r="C25" i="57" s="1"/>
  <c r="H24" i="57"/>
  <c r="C24" i="57" s="1"/>
  <c r="H23" i="57"/>
  <c r="C23" i="57" s="1"/>
  <c r="F18" i="57"/>
  <c r="J17" i="57" s="1"/>
  <c r="J16" i="57"/>
  <c r="J15" i="57"/>
  <c r="G13" i="57"/>
  <c r="F13" i="57"/>
  <c r="H12" i="57"/>
  <c r="F12" i="57" s="1"/>
  <c r="F10" i="57" s="1"/>
  <c r="F8" i="57"/>
  <c r="G129" i="2"/>
  <c r="F129" i="2"/>
  <c r="E129" i="2"/>
  <c r="D129" i="2"/>
  <c r="H127" i="2"/>
  <c r="V127" i="2" s="1"/>
  <c r="G127" i="2"/>
  <c r="F127" i="2"/>
  <c r="E127" i="2"/>
  <c r="D127" i="2"/>
  <c r="E43" i="56"/>
  <c r="C43" i="56"/>
  <c r="E42" i="56"/>
  <c r="C42" i="56"/>
  <c r="E41" i="56"/>
  <c r="C41" i="56"/>
  <c r="E40" i="56"/>
  <c r="C40" i="56"/>
  <c r="E39" i="56"/>
  <c r="C39" i="56"/>
  <c r="E38" i="56"/>
  <c r="C38" i="56"/>
  <c r="E37" i="56"/>
  <c r="C37" i="56"/>
  <c r="E36" i="56"/>
  <c r="C36" i="56"/>
  <c r="E35" i="56"/>
  <c r="C35" i="56"/>
  <c r="E34" i="56"/>
  <c r="C34" i="56"/>
  <c r="E33" i="56"/>
  <c r="C33" i="56"/>
  <c r="E32" i="56"/>
  <c r="C32" i="56"/>
  <c r="E31" i="56"/>
  <c r="C31" i="56"/>
  <c r="E30" i="56"/>
  <c r="C30" i="56"/>
  <c r="E29" i="56"/>
  <c r="C29" i="56"/>
  <c r="E28" i="56"/>
  <c r="C28" i="56"/>
  <c r="E27" i="56"/>
  <c r="C27" i="56"/>
  <c r="H25" i="56"/>
  <c r="C25" i="56" s="1"/>
  <c r="H24" i="56"/>
  <c r="C24" i="56" s="1"/>
  <c r="H23" i="56"/>
  <c r="C23" i="56" s="1"/>
  <c r="J17" i="56"/>
  <c r="J16" i="56"/>
  <c r="J15" i="56"/>
  <c r="G13" i="56"/>
  <c r="F13" i="56"/>
  <c r="H12" i="56"/>
  <c r="F8" i="56"/>
  <c r="I54" i="99" s="1"/>
  <c r="W54" i="99" s="1"/>
  <c r="X54" i="99" s="1"/>
  <c r="H128" i="2"/>
  <c r="V128" i="2" s="1"/>
  <c r="G128" i="2"/>
  <c r="F128" i="2"/>
  <c r="E128" i="2"/>
  <c r="D128" i="2"/>
  <c r="H28" i="55"/>
  <c r="C28" i="55" s="1"/>
  <c r="H27" i="55"/>
  <c r="E27" i="55" s="1"/>
  <c r="E43" i="55"/>
  <c r="C43" i="55"/>
  <c r="E42" i="55"/>
  <c r="C42" i="55"/>
  <c r="E41" i="55"/>
  <c r="C41" i="55"/>
  <c r="E40" i="55"/>
  <c r="C40" i="55"/>
  <c r="E39" i="55"/>
  <c r="C39" i="55"/>
  <c r="E38" i="55"/>
  <c r="C38" i="55"/>
  <c r="E37" i="55"/>
  <c r="C37" i="55"/>
  <c r="E36" i="55"/>
  <c r="C36" i="55"/>
  <c r="E35" i="55"/>
  <c r="C35" i="55"/>
  <c r="E34" i="55"/>
  <c r="C34" i="55"/>
  <c r="E33" i="55"/>
  <c r="C33" i="55"/>
  <c r="E32" i="55"/>
  <c r="C32" i="55"/>
  <c r="E31" i="55"/>
  <c r="C31" i="55"/>
  <c r="E30" i="55"/>
  <c r="C30" i="55"/>
  <c r="E29" i="55"/>
  <c r="C29" i="55"/>
  <c r="C27" i="55"/>
  <c r="H26" i="55"/>
  <c r="C26" i="55" s="1"/>
  <c r="H25" i="55"/>
  <c r="C25" i="55" s="1"/>
  <c r="H24" i="55"/>
  <c r="C24" i="55" s="1"/>
  <c r="H23" i="55"/>
  <c r="C23" i="55" s="1"/>
  <c r="J17" i="55"/>
  <c r="J16" i="55"/>
  <c r="J15" i="55"/>
  <c r="G13" i="55"/>
  <c r="F13" i="55"/>
  <c r="H12" i="55"/>
  <c r="F8" i="55"/>
  <c r="I128" i="2" s="1"/>
  <c r="W128" i="2" s="1"/>
  <c r="H70" i="54"/>
  <c r="G70" i="54"/>
  <c r="F70" i="54"/>
  <c r="E70" i="54"/>
  <c r="D70" i="54"/>
  <c r="G50" i="54"/>
  <c r="F50" i="54"/>
  <c r="E50" i="54"/>
  <c r="D50" i="54"/>
  <c r="G49" i="54"/>
  <c r="F49" i="54"/>
  <c r="E49" i="54"/>
  <c r="D49" i="54"/>
  <c r="H48" i="54"/>
  <c r="G48" i="54"/>
  <c r="F48" i="54"/>
  <c r="E48" i="54"/>
  <c r="D48" i="54"/>
  <c r="G29" i="54"/>
  <c r="F29" i="54"/>
  <c r="E29" i="54"/>
  <c r="D29" i="54"/>
  <c r="H59" i="54"/>
  <c r="G59" i="54"/>
  <c r="F59" i="54"/>
  <c r="E59" i="54"/>
  <c r="D59" i="54"/>
  <c r="H28" i="54"/>
  <c r="G28" i="54"/>
  <c r="F28" i="54"/>
  <c r="E28" i="54"/>
  <c r="D28" i="54"/>
  <c r="H47" i="54"/>
  <c r="G47" i="54"/>
  <c r="F47" i="54"/>
  <c r="E47" i="54"/>
  <c r="D47" i="54"/>
  <c r="H46" i="54"/>
  <c r="G46" i="54"/>
  <c r="F46" i="54"/>
  <c r="E46" i="54"/>
  <c r="D46" i="54"/>
  <c r="G45" i="54"/>
  <c r="F45" i="54"/>
  <c r="E45" i="54"/>
  <c r="D45" i="54"/>
  <c r="G44" i="54"/>
  <c r="F44" i="54"/>
  <c r="E44" i="54"/>
  <c r="D44" i="54"/>
  <c r="H58" i="54"/>
  <c r="G58" i="54"/>
  <c r="F58" i="54"/>
  <c r="E58" i="54"/>
  <c r="D58" i="54"/>
  <c r="H27" i="54"/>
  <c r="G27" i="54"/>
  <c r="F27" i="54"/>
  <c r="E27" i="54"/>
  <c r="D27" i="54"/>
  <c r="H43" i="54"/>
  <c r="G43" i="54"/>
  <c r="F43" i="54"/>
  <c r="E43" i="54"/>
  <c r="D43" i="54"/>
  <c r="H18" i="54"/>
  <c r="G18" i="54"/>
  <c r="F18" i="54"/>
  <c r="E18" i="54"/>
  <c r="D18" i="54"/>
  <c r="H42" i="54"/>
  <c r="G42" i="54"/>
  <c r="F42" i="54"/>
  <c r="E42" i="54"/>
  <c r="D42" i="54"/>
  <c r="G57" i="54"/>
  <c r="F57" i="54"/>
  <c r="E57" i="54"/>
  <c r="D57" i="54"/>
  <c r="G26" i="54"/>
  <c r="F26" i="54"/>
  <c r="E26" i="54"/>
  <c r="D26" i="54"/>
  <c r="H41" i="54"/>
  <c r="G41" i="54"/>
  <c r="F41" i="54"/>
  <c r="E41" i="54"/>
  <c r="D41" i="54"/>
  <c r="G25" i="54"/>
  <c r="F25" i="54"/>
  <c r="E25" i="54"/>
  <c r="D25" i="54"/>
  <c r="H24" i="54"/>
  <c r="G24" i="54"/>
  <c r="F24" i="54"/>
  <c r="E24" i="54"/>
  <c r="D24" i="54"/>
  <c r="H17" i="54"/>
  <c r="G17" i="54"/>
  <c r="F17" i="54"/>
  <c r="E17" i="54"/>
  <c r="D17" i="54"/>
  <c r="H16" i="54"/>
  <c r="G16" i="54"/>
  <c r="F16" i="54"/>
  <c r="E16" i="54"/>
  <c r="D16" i="54"/>
  <c r="H40" i="54"/>
  <c r="G40" i="54"/>
  <c r="F40" i="54"/>
  <c r="E40" i="54"/>
  <c r="D40" i="54"/>
  <c r="H39" i="54"/>
  <c r="G39" i="54"/>
  <c r="F39" i="54"/>
  <c r="E39" i="54"/>
  <c r="D39" i="54"/>
  <c r="H38" i="54"/>
  <c r="G38" i="54"/>
  <c r="F38" i="54"/>
  <c r="E38" i="54"/>
  <c r="D38" i="54"/>
  <c r="H37" i="54"/>
  <c r="G37" i="54"/>
  <c r="F37" i="54"/>
  <c r="E37" i="54"/>
  <c r="D37" i="54"/>
  <c r="H36" i="54"/>
  <c r="G36" i="54"/>
  <c r="F36" i="54"/>
  <c r="E36" i="54"/>
  <c r="D36" i="54"/>
  <c r="H23" i="54"/>
  <c r="G23" i="54"/>
  <c r="F23" i="54"/>
  <c r="E23" i="54"/>
  <c r="D23" i="54"/>
  <c r="G15" i="54"/>
  <c r="F15" i="54"/>
  <c r="E15" i="54"/>
  <c r="D15" i="54"/>
  <c r="H35" i="54"/>
  <c r="G35" i="54"/>
  <c r="F35" i="54"/>
  <c r="E35" i="54"/>
  <c r="D35" i="54"/>
  <c r="G14" i="54"/>
  <c r="F14" i="54"/>
  <c r="E14" i="54"/>
  <c r="D14" i="54"/>
  <c r="G13" i="54"/>
  <c r="F13" i="54"/>
  <c r="E13" i="54"/>
  <c r="D13" i="54"/>
  <c r="H56" i="54"/>
  <c r="G56" i="54"/>
  <c r="F56" i="54"/>
  <c r="E56" i="54"/>
  <c r="D56" i="54"/>
  <c r="H12" i="54"/>
  <c r="G12" i="54"/>
  <c r="F12" i="54"/>
  <c r="E12" i="54"/>
  <c r="D12" i="54"/>
  <c r="G11" i="54"/>
  <c r="F11" i="54"/>
  <c r="E11" i="54"/>
  <c r="D11" i="54"/>
  <c r="G34" i="54"/>
  <c r="F34" i="54"/>
  <c r="E34" i="54"/>
  <c r="D34" i="54"/>
  <c r="H10" i="54"/>
  <c r="G10" i="54"/>
  <c r="F10" i="54"/>
  <c r="E10" i="54"/>
  <c r="D10" i="54"/>
  <c r="H33" i="54"/>
  <c r="G33" i="54"/>
  <c r="F33" i="54"/>
  <c r="E33" i="54"/>
  <c r="D33" i="54"/>
  <c r="H9" i="54"/>
  <c r="G9" i="54"/>
  <c r="F9" i="54"/>
  <c r="E9" i="54"/>
  <c r="D9" i="54"/>
  <c r="H22" i="54"/>
  <c r="G22" i="54"/>
  <c r="F22" i="54"/>
  <c r="E22" i="54"/>
  <c r="D22" i="54"/>
  <c r="I126" i="2"/>
  <c r="W126" i="2" s="1"/>
  <c r="M128" i="2"/>
  <c r="I127" i="2"/>
  <c r="W127" i="2" s="1"/>
  <c r="J18" i="57"/>
  <c r="F9" i="57"/>
  <c r="G9" i="57" s="1"/>
  <c r="J19" i="57"/>
  <c r="J12" i="57"/>
  <c r="F9" i="56"/>
  <c r="G9" i="56" s="1"/>
  <c r="J18" i="56"/>
  <c r="J12" i="56"/>
  <c r="J18" i="55"/>
  <c r="E43" i="53"/>
  <c r="C43" i="53"/>
  <c r="E42" i="53"/>
  <c r="C42" i="53"/>
  <c r="E41" i="53"/>
  <c r="C41" i="53"/>
  <c r="E40" i="53"/>
  <c r="C40" i="53"/>
  <c r="E39" i="53"/>
  <c r="C39" i="53"/>
  <c r="E38" i="53"/>
  <c r="C38" i="53"/>
  <c r="E37" i="53"/>
  <c r="C37" i="53"/>
  <c r="E36" i="53"/>
  <c r="C36" i="53"/>
  <c r="E35" i="53"/>
  <c r="C35" i="53"/>
  <c r="E34" i="53"/>
  <c r="C34" i="53"/>
  <c r="E33" i="53"/>
  <c r="C33" i="53"/>
  <c r="E32" i="53"/>
  <c r="C32" i="53"/>
  <c r="E31" i="53"/>
  <c r="C31" i="53"/>
  <c r="E30" i="53"/>
  <c r="C30" i="53"/>
  <c r="E29" i="53"/>
  <c r="C29" i="53"/>
  <c r="E28" i="53"/>
  <c r="C28" i="53"/>
  <c r="E27" i="53"/>
  <c r="C27" i="53"/>
  <c r="H25" i="53"/>
  <c r="C25" i="53" s="1"/>
  <c r="H24" i="53"/>
  <c r="C24" i="53" s="1"/>
  <c r="H23" i="53"/>
  <c r="C23" i="53" s="1"/>
  <c r="J17" i="53"/>
  <c r="J16" i="53"/>
  <c r="J15" i="53"/>
  <c r="G13" i="53"/>
  <c r="F13" i="53"/>
  <c r="H12" i="53"/>
  <c r="M56" i="99" s="1"/>
  <c r="F8" i="53"/>
  <c r="V131" i="2"/>
  <c r="G131" i="2"/>
  <c r="F131" i="2"/>
  <c r="E131" i="2"/>
  <c r="D131" i="2"/>
  <c r="T131" i="2" s="1"/>
  <c r="E43" i="52"/>
  <c r="C43" i="52"/>
  <c r="E42" i="52"/>
  <c r="C42" i="52"/>
  <c r="E41" i="52"/>
  <c r="C41" i="52"/>
  <c r="E40" i="52"/>
  <c r="C40" i="52"/>
  <c r="E39" i="52"/>
  <c r="C39" i="52"/>
  <c r="E38" i="52"/>
  <c r="C38" i="52"/>
  <c r="E37" i="52"/>
  <c r="C37" i="52"/>
  <c r="E36" i="52"/>
  <c r="C36" i="52"/>
  <c r="E35" i="52"/>
  <c r="C35" i="52"/>
  <c r="E34" i="52"/>
  <c r="C34" i="52"/>
  <c r="E33" i="52"/>
  <c r="C33" i="52"/>
  <c r="E32" i="52"/>
  <c r="C32" i="52"/>
  <c r="E31" i="52"/>
  <c r="C31" i="52"/>
  <c r="E30" i="52"/>
  <c r="C30" i="52"/>
  <c r="E29" i="52"/>
  <c r="C29" i="52"/>
  <c r="E28" i="52"/>
  <c r="C28" i="52"/>
  <c r="E27" i="52"/>
  <c r="C27" i="52"/>
  <c r="C26" i="52"/>
  <c r="H25" i="52"/>
  <c r="C25" i="52" s="1"/>
  <c r="H24" i="52"/>
  <c r="C24" i="52" s="1"/>
  <c r="H23" i="52"/>
  <c r="C23" i="52" s="1"/>
  <c r="F18" i="52"/>
  <c r="J17" i="52" s="1"/>
  <c r="J16" i="52"/>
  <c r="J15" i="52"/>
  <c r="G13" i="52"/>
  <c r="F13" i="52"/>
  <c r="H12" i="52"/>
  <c r="O72" i="178" s="1"/>
  <c r="O80" i="178" s="1"/>
  <c r="F8" i="52"/>
  <c r="I72" i="178" s="1"/>
  <c r="W131" i="2"/>
  <c r="H132" i="2"/>
  <c r="V132" i="2" s="1"/>
  <c r="G132" i="2"/>
  <c r="F132" i="2"/>
  <c r="E132" i="2"/>
  <c r="D132" i="2"/>
  <c r="T132" i="2" s="1"/>
  <c r="E43" i="51"/>
  <c r="C43" i="51"/>
  <c r="E42" i="51"/>
  <c r="C42" i="51"/>
  <c r="E41" i="51"/>
  <c r="C41" i="51"/>
  <c r="E40" i="51"/>
  <c r="C40" i="51"/>
  <c r="E39" i="51"/>
  <c r="C39" i="51"/>
  <c r="E38" i="51"/>
  <c r="C38" i="51"/>
  <c r="E37" i="51"/>
  <c r="C37" i="51"/>
  <c r="E36" i="51"/>
  <c r="C36" i="51"/>
  <c r="E35" i="51"/>
  <c r="C35" i="51"/>
  <c r="E34" i="51"/>
  <c r="C34" i="51"/>
  <c r="E33" i="51"/>
  <c r="C33" i="51"/>
  <c r="E32" i="51"/>
  <c r="C32" i="51"/>
  <c r="E31" i="51"/>
  <c r="C31" i="51"/>
  <c r="E30" i="51"/>
  <c r="C30" i="51"/>
  <c r="E29" i="51"/>
  <c r="C29" i="51"/>
  <c r="E28" i="51"/>
  <c r="C28" i="51"/>
  <c r="E27" i="51"/>
  <c r="C27" i="51"/>
  <c r="H26" i="51"/>
  <c r="C26" i="51" s="1"/>
  <c r="H25" i="51"/>
  <c r="C25" i="51" s="1"/>
  <c r="H24" i="51"/>
  <c r="C24" i="51" s="1"/>
  <c r="H23" i="51"/>
  <c r="C23" i="51" s="1"/>
  <c r="J17" i="51"/>
  <c r="J16" i="51"/>
  <c r="J15" i="51"/>
  <c r="G13" i="51"/>
  <c r="F13" i="51"/>
  <c r="H12" i="51"/>
  <c r="M132" i="2" s="1"/>
  <c r="F8" i="51"/>
  <c r="H133" i="2"/>
  <c r="V133" i="2" s="1"/>
  <c r="G133" i="2"/>
  <c r="F133" i="2"/>
  <c r="E133" i="2"/>
  <c r="D133" i="2"/>
  <c r="H28" i="50"/>
  <c r="C28" i="50" s="1"/>
  <c r="H27" i="50"/>
  <c r="E43" i="50"/>
  <c r="C43" i="50"/>
  <c r="E42" i="50"/>
  <c r="C42" i="50"/>
  <c r="E41" i="50"/>
  <c r="C41" i="50"/>
  <c r="E40" i="50"/>
  <c r="C40" i="50"/>
  <c r="E39" i="50"/>
  <c r="C39" i="50"/>
  <c r="E38" i="50"/>
  <c r="C38" i="50"/>
  <c r="E37" i="50"/>
  <c r="C37" i="50"/>
  <c r="E36" i="50"/>
  <c r="C36" i="50"/>
  <c r="E35" i="50"/>
  <c r="C35" i="50"/>
  <c r="E34" i="50"/>
  <c r="C34" i="50"/>
  <c r="E33" i="50"/>
  <c r="C33" i="50"/>
  <c r="E32" i="50"/>
  <c r="C32" i="50"/>
  <c r="E31" i="50"/>
  <c r="C31" i="50"/>
  <c r="E30" i="50"/>
  <c r="C30" i="50"/>
  <c r="E29" i="50"/>
  <c r="C29" i="50"/>
  <c r="E28" i="50"/>
  <c r="H26" i="50"/>
  <c r="C26" i="50" s="1"/>
  <c r="H25" i="50"/>
  <c r="C25" i="50" s="1"/>
  <c r="H24" i="50"/>
  <c r="C24" i="50" s="1"/>
  <c r="H23" i="50"/>
  <c r="C23" i="50" s="1"/>
  <c r="J17" i="50"/>
  <c r="J16" i="50"/>
  <c r="J15" i="50"/>
  <c r="G13" i="50"/>
  <c r="F13" i="50"/>
  <c r="H12" i="50"/>
  <c r="F8" i="50"/>
  <c r="I133" i="2" s="1"/>
  <c r="W133" i="2" s="1"/>
  <c r="G174" i="2"/>
  <c r="G173" i="2"/>
  <c r="G172" i="2"/>
  <c r="G171" i="2"/>
  <c r="G170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0" i="2"/>
  <c r="G149" i="2"/>
  <c r="G148" i="2"/>
  <c r="G147" i="2"/>
  <c r="G146" i="2"/>
  <c r="G145" i="2"/>
  <c r="G144" i="2"/>
  <c r="G142" i="2"/>
  <c r="G141" i="2"/>
  <c r="G140" i="2"/>
  <c r="G139" i="2"/>
  <c r="G138" i="2"/>
  <c r="G137" i="2"/>
  <c r="G136" i="2"/>
  <c r="G135" i="2"/>
  <c r="G134" i="2"/>
  <c r="F174" i="2"/>
  <c r="E174" i="2"/>
  <c r="D174" i="2"/>
  <c r="F173" i="2"/>
  <c r="E173" i="2"/>
  <c r="D173" i="2"/>
  <c r="H172" i="2"/>
  <c r="V172" i="2" s="1"/>
  <c r="F172" i="2"/>
  <c r="E172" i="2"/>
  <c r="D172" i="2"/>
  <c r="F171" i="2"/>
  <c r="E171" i="2"/>
  <c r="D171" i="2"/>
  <c r="H170" i="2"/>
  <c r="V170" i="2" s="1"/>
  <c r="F170" i="2"/>
  <c r="E170" i="2"/>
  <c r="D170" i="2"/>
  <c r="H168" i="2"/>
  <c r="V168" i="2" s="1"/>
  <c r="F168" i="2"/>
  <c r="E168" i="2"/>
  <c r="D168" i="2"/>
  <c r="V167" i="2"/>
  <c r="F167" i="2"/>
  <c r="E167" i="2"/>
  <c r="D167" i="2"/>
  <c r="H166" i="2"/>
  <c r="V166" i="2" s="1"/>
  <c r="F166" i="2"/>
  <c r="E166" i="2"/>
  <c r="D166" i="2"/>
  <c r="F165" i="2"/>
  <c r="E165" i="2"/>
  <c r="D165" i="2"/>
  <c r="F164" i="2"/>
  <c r="E164" i="2"/>
  <c r="D164" i="2"/>
  <c r="H163" i="2"/>
  <c r="V163" i="2" s="1"/>
  <c r="F163" i="2"/>
  <c r="E163" i="2"/>
  <c r="D163" i="2"/>
  <c r="H162" i="2"/>
  <c r="V162" i="2" s="1"/>
  <c r="F162" i="2"/>
  <c r="E162" i="2"/>
  <c r="D162" i="2"/>
  <c r="H161" i="2"/>
  <c r="V161" i="2" s="1"/>
  <c r="F161" i="2"/>
  <c r="E161" i="2"/>
  <c r="D161" i="2"/>
  <c r="H160" i="2"/>
  <c r="V160" i="2" s="1"/>
  <c r="F160" i="2"/>
  <c r="E160" i="2"/>
  <c r="D160" i="2"/>
  <c r="H159" i="2"/>
  <c r="V159" i="2" s="1"/>
  <c r="F159" i="2"/>
  <c r="E159" i="2"/>
  <c r="D159" i="2"/>
  <c r="F158" i="2"/>
  <c r="E158" i="2"/>
  <c r="D158" i="2"/>
  <c r="F157" i="2"/>
  <c r="E157" i="2"/>
  <c r="D157" i="2"/>
  <c r="H156" i="2"/>
  <c r="V156" i="2" s="1"/>
  <c r="F156" i="2"/>
  <c r="E156" i="2"/>
  <c r="D156" i="2"/>
  <c r="F155" i="2"/>
  <c r="E155" i="2"/>
  <c r="D155" i="2"/>
  <c r="H154" i="2"/>
  <c r="V154" i="2" s="1"/>
  <c r="F154" i="2"/>
  <c r="E154" i="2"/>
  <c r="D154" i="2"/>
  <c r="D153" i="2"/>
  <c r="H153" i="2"/>
  <c r="V153" i="2" s="1"/>
  <c r="F153" i="2"/>
  <c r="E153" i="2"/>
  <c r="H152" i="2"/>
  <c r="V152" i="2" s="1"/>
  <c r="F152" i="2"/>
  <c r="E152" i="2"/>
  <c r="D152" i="2"/>
  <c r="V150" i="2"/>
  <c r="F150" i="2"/>
  <c r="E150" i="2"/>
  <c r="D150" i="2"/>
  <c r="H149" i="2"/>
  <c r="V149" i="2" s="1"/>
  <c r="F149" i="2"/>
  <c r="E149" i="2"/>
  <c r="D149" i="2"/>
  <c r="H148" i="2"/>
  <c r="V148" i="2" s="1"/>
  <c r="F148" i="2"/>
  <c r="E148" i="2"/>
  <c r="D148" i="2"/>
  <c r="H147" i="2"/>
  <c r="V147" i="2" s="1"/>
  <c r="F147" i="2"/>
  <c r="E147" i="2"/>
  <c r="D147" i="2"/>
  <c r="H146" i="2"/>
  <c r="V146" i="2" s="1"/>
  <c r="E43" i="49"/>
  <c r="C43" i="49"/>
  <c r="E42" i="49"/>
  <c r="C42" i="49"/>
  <c r="E41" i="49"/>
  <c r="C41" i="49"/>
  <c r="E40" i="49"/>
  <c r="C40" i="49"/>
  <c r="E39" i="49"/>
  <c r="C39" i="49"/>
  <c r="E38" i="49"/>
  <c r="C38" i="49"/>
  <c r="E37" i="49"/>
  <c r="C37" i="49"/>
  <c r="E36" i="49"/>
  <c r="C36" i="49"/>
  <c r="E35" i="49"/>
  <c r="C35" i="49"/>
  <c r="E34" i="49"/>
  <c r="C34" i="49"/>
  <c r="E33" i="49"/>
  <c r="C33" i="49"/>
  <c r="E32" i="49"/>
  <c r="C32" i="49"/>
  <c r="E31" i="49"/>
  <c r="C31" i="49"/>
  <c r="E30" i="49"/>
  <c r="C30" i="49"/>
  <c r="E29" i="49"/>
  <c r="C29" i="49"/>
  <c r="E28" i="49"/>
  <c r="C28" i="49"/>
  <c r="E27" i="49"/>
  <c r="C27" i="49"/>
  <c r="H23" i="49"/>
  <c r="C23" i="49" s="1"/>
  <c r="J17" i="49"/>
  <c r="J16" i="49"/>
  <c r="J15" i="49"/>
  <c r="G13" i="49"/>
  <c r="F13" i="49"/>
  <c r="H12" i="49"/>
  <c r="M160" i="2" s="1"/>
  <c r="F8" i="49"/>
  <c r="J18" i="49" s="1"/>
  <c r="E43" i="48"/>
  <c r="C43" i="48"/>
  <c r="E42" i="48"/>
  <c r="C42" i="48"/>
  <c r="E41" i="48"/>
  <c r="C41" i="48"/>
  <c r="E40" i="48"/>
  <c r="C40" i="48"/>
  <c r="E39" i="48"/>
  <c r="C39" i="48"/>
  <c r="E38" i="48"/>
  <c r="C38" i="48"/>
  <c r="E37" i="48"/>
  <c r="C37" i="48"/>
  <c r="E36" i="48"/>
  <c r="C36" i="48"/>
  <c r="E35" i="48"/>
  <c r="C35" i="48"/>
  <c r="E34" i="48"/>
  <c r="C34" i="48"/>
  <c r="K25" i="48"/>
  <c r="K24" i="48"/>
  <c r="K23" i="48"/>
  <c r="J16" i="48"/>
  <c r="J15" i="48"/>
  <c r="F7" i="48"/>
  <c r="E43" i="46"/>
  <c r="C43" i="46"/>
  <c r="E42" i="46"/>
  <c r="C42" i="46"/>
  <c r="E41" i="46"/>
  <c r="C41" i="46"/>
  <c r="E40" i="46"/>
  <c r="C40" i="46"/>
  <c r="E39" i="46"/>
  <c r="C39" i="46"/>
  <c r="E38" i="46"/>
  <c r="C38" i="46"/>
  <c r="E37" i="46"/>
  <c r="C37" i="46"/>
  <c r="E36" i="46"/>
  <c r="C36" i="46"/>
  <c r="E35" i="46"/>
  <c r="C35" i="46"/>
  <c r="K25" i="46"/>
  <c r="G13" i="46" s="1"/>
  <c r="K24" i="46"/>
  <c r="K23" i="46"/>
  <c r="J16" i="46"/>
  <c r="J15" i="46"/>
  <c r="F7" i="46"/>
  <c r="E43" i="45"/>
  <c r="C43" i="45"/>
  <c r="E42" i="45"/>
  <c r="C42" i="45"/>
  <c r="E41" i="45"/>
  <c r="C41" i="45"/>
  <c r="E40" i="45"/>
  <c r="C40" i="45"/>
  <c r="E39" i="45"/>
  <c r="C39" i="45"/>
  <c r="E38" i="45"/>
  <c r="C38" i="45"/>
  <c r="E37" i="45"/>
  <c r="C37" i="45"/>
  <c r="E36" i="45"/>
  <c r="C36" i="45"/>
  <c r="E35" i="45"/>
  <c r="C35" i="45"/>
  <c r="E34" i="45"/>
  <c r="C34" i="45"/>
  <c r="E33" i="45"/>
  <c r="C33" i="45"/>
  <c r="E32" i="45"/>
  <c r="C32" i="45"/>
  <c r="E31" i="45"/>
  <c r="C31" i="45"/>
  <c r="E30" i="45"/>
  <c r="C30" i="45"/>
  <c r="E29" i="45"/>
  <c r="C29" i="45"/>
  <c r="E28" i="45"/>
  <c r="C28" i="45"/>
  <c r="E27" i="45"/>
  <c r="C27" i="45"/>
  <c r="H26" i="45"/>
  <c r="C26" i="45" s="1"/>
  <c r="H25" i="45"/>
  <c r="C25" i="45" s="1"/>
  <c r="H24" i="45"/>
  <c r="C24" i="45" s="1"/>
  <c r="H23" i="45"/>
  <c r="C23" i="45" s="1"/>
  <c r="J17" i="45"/>
  <c r="J16" i="45"/>
  <c r="J15" i="45"/>
  <c r="G13" i="45"/>
  <c r="F13" i="45"/>
  <c r="H12" i="45"/>
  <c r="F8" i="45"/>
  <c r="K33" i="44"/>
  <c r="E44" i="44"/>
  <c r="C44" i="44"/>
  <c r="E43" i="44"/>
  <c r="C43" i="44"/>
  <c r="E42" i="44"/>
  <c r="C42" i="44"/>
  <c r="E41" i="44"/>
  <c r="C41" i="44"/>
  <c r="E40" i="44"/>
  <c r="C40" i="44"/>
  <c r="E39" i="44"/>
  <c r="C39" i="44"/>
  <c r="E38" i="44"/>
  <c r="C38" i="44"/>
  <c r="E37" i="44"/>
  <c r="C37" i="44"/>
  <c r="E36" i="44"/>
  <c r="C36" i="44"/>
  <c r="E35" i="44"/>
  <c r="C35" i="44"/>
  <c r="K34" i="44"/>
  <c r="K32" i="44"/>
  <c r="K31" i="44"/>
  <c r="K30" i="44"/>
  <c r="K29" i="44"/>
  <c r="K28" i="44"/>
  <c r="K27" i="44"/>
  <c r="K26" i="44"/>
  <c r="K25" i="44"/>
  <c r="K24" i="44"/>
  <c r="K23" i="44"/>
  <c r="J16" i="44"/>
  <c r="J15" i="44"/>
  <c r="F7" i="44"/>
  <c r="E43" i="43"/>
  <c r="C43" i="43"/>
  <c r="E42" i="43"/>
  <c r="C42" i="43"/>
  <c r="E41" i="43"/>
  <c r="C41" i="43"/>
  <c r="E40" i="43"/>
  <c r="C40" i="43"/>
  <c r="E39" i="43"/>
  <c r="C39" i="43"/>
  <c r="E38" i="43"/>
  <c r="C38" i="43"/>
  <c r="E37" i="43"/>
  <c r="C37" i="43"/>
  <c r="E36" i="43"/>
  <c r="C36" i="43"/>
  <c r="E35" i="43"/>
  <c r="C35" i="43"/>
  <c r="E34" i="43"/>
  <c r="C34" i="43"/>
  <c r="E33" i="43"/>
  <c r="C33" i="43"/>
  <c r="E32" i="43"/>
  <c r="C32" i="43"/>
  <c r="E31" i="43"/>
  <c r="C31" i="43"/>
  <c r="E30" i="43"/>
  <c r="C30" i="43"/>
  <c r="E29" i="43"/>
  <c r="C29" i="43"/>
  <c r="E28" i="43"/>
  <c r="C28" i="43"/>
  <c r="E27" i="43"/>
  <c r="C27" i="43"/>
  <c r="H25" i="43"/>
  <c r="C25" i="43" s="1"/>
  <c r="H24" i="43"/>
  <c r="C24" i="43" s="1"/>
  <c r="H23" i="43"/>
  <c r="C23" i="43" s="1"/>
  <c r="J17" i="43"/>
  <c r="J16" i="43"/>
  <c r="J15" i="43"/>
  <c r="G13" i="43"/>
  <c r="F13" i="43"/>
  <c r="H12" i="43"/>
  <c r="M170" i="2" s="1"/>
  <c r="F8" i="43"/>
  <c r="I170" i="2" s="1"/>
  <c r="W170" i="2" s="1"/>
  <c r="H29" i="42"/>
  <c r="H28" i="42"/>
  <c r="C28" i="42" s="1"/>
  <c r="H27" i="42"/>
  <c r="C27" i="42" s="1"/>
  <c r="H23" i="42"/>
  <c r="C23" i="42" s="1"/>
  <c r="E43" i="42"/>
  <c r="C43" i="42"/>
  <c r="E42" i="42"/>
  <c r="C42" i="42"/>
  <c r="E41" i="42"/>
  <c r="C41" i="42"/>
  <c r="E40" i="42"/>
  <c r="C40" i="42"/>
  <c r="E39" i="42"/>
  <c r="C39" i="42"/>
  <c r="E38" i="42"/>
  <c r="C38" i="42"/>
  <c r="E37" i="42"/>
  <c r="C37" i="42"/>
  <c r="E36" i="42"/>
  <c r="C36" i="42"/>
  <c r="E35" i="42"/>
  <c r="C35" i="42"/>
  <c r="E34" i="42"/>
  <c r="C34" i="42"/>
  <c r="E33" i="42"/>
  <c r="C33" i="42"/>
  <c r="E32" i="42"/>
  <c r="C32" i="42"/>
  <c r="E31" i="42"/>
  <c r="C31" i="42"/>
  <c r="E30" i="42"/>
  <c r="C30" i="42"/>
  <c r="H26" i="42"/>
  <c r="C26" i="42" s="1"/>
  <c r="H25" i="42"/>
  <c r="C25" i="42" s="1"/>
  <c r="H24" i="42"/>
  <c r="C24" i="42" s="1"/>
  <c r="J17" i="42"/>
  <c r="J16" i="42"/>
  <c r="J15" i="42"/>
  <c r="G13" i="42"/>
  <c r="F13" i="42"/>
  <c r="H12" i="42"/>
  <c r="M28" i="54" s="1"/>
  <c r="F8" i="42"/>
  <c r="I168" i="2" s="1"/>
  <c r="W168" i="2" s="1"/>
  <c r="H31" i="41"/>
  <c r="E31" i="41" s="1"/>
  <c r="H30" i="41"/>
  <c r="C30" i="41" s="1"/>
  <c r="H29" i="41"/>
  <c r="C29" i="41" s="1"/>
  <c r="H28" i="41"/>
  <c r="E28" i="41" s="1"/>
  <c r="H27" i="41"/>
  <c r="C27" i="41" s="1"/>
  <c r="E43" i="41"/>
  <c r="C43" i="41"/>
  <c r="E42" i="41"/>
  <c r="C42" i="41"/>
  <c r="E41" i="41"/>
  <c r="C41" i="41"/>
  <c r="E40" i="41"/>
  <c r="C40" i="41"/>
  <c r="E39" i="41"/>
  <c r="C39" i="41"/>
  <c r="E38" i="41"/>
  <c r="C38" i="41"/>
  <c r="E37" i="41"/>
  <c r="C37" i="41"/>
  <c r="E36" i="41"/>
  <c r="C36" i="41"/>
  <c r="E35" i="41"/>
  <c r="C35" i="41"/>
  <c r="E34" i="41"/>
  <c r="C34" i="41"/>
  <c r="E33" i="41"/>
  <c r="C33" i="41"/>
  <c r="E32" i="41"/>
  <c r="C32" i="41"/>
  <c r="H26" i="41"/>
  <c r="C26" i="41" s="1"/>
  <c r="H25" i="41"/>
  <c r="C25" i="41" s="1"/>
  <c r="H24" i="41"/>
  <c r="C24" i="41" s="1"/>
  <c r="H23" i="41"/>
  <c r="C23" i="41" s="1"/>
  <c r="J17" i="41"/>
  <c r="J16" i="41"/>
  <c r="J15" i="41"/>
  <c r="G13" i="41"/>
  <c r="F13" i="41"/>
  <c r="H12" i="41"/>
  <c r="F8" i="41"/>
  <c r="J19" i="41" s="1"/>
  <c r="W167" i="2"/>
  <c r="H30" i="40"/>
  <c r="H29" i="40"/>
  <c r="H28" i="40"/>
  <c r="C28" i="40" s="1"/>
  <c r="H27" i="40"/>
  <c r="C27" i="40" s="1"/>
  <c r="E43" i="40"/>
  <c r="C43" i="40"/>
  <c r="E42" i="40"/>
  <c r="C42" i="40"/>
  <c r="E41" i="40"/>
  <c r="C41" i="40"/>
  <c r="E40" i="40"/>
  <c r="C40" i="40"/>
  <c r="E39" i="40"/>
  <c r="C39" i="40"/>
  <c r="E38" i="40"/>
  <c r="C38" i="40"/>
  <c r="E37" i="40"/>
  <c r="C37" i="40"/>
  <c r="E36" i="40"/>
  <c r="C36" i="40"/>
  <c r="E35" i="40"/>
  <c r="C35" i="40"/>
  <c r="E34" i="40"/>
  <c r="C34" i="40"/>
  <c r="E33" i="40"/>
  <c r="C33" i="40"/>
  <c r="E32" i="40"/>
  <c r="C32" i="40"/>
  <c r="E31" i="40"/>
  <c r="C31" i="40"/>
  <c r="E30" i="40"/>
  <c r="C30" i="40"/>
  <c r="H26" i="40"/>
  <c r="C26" i="40" s="1"/>
  <c r="H25" i="40"/>
  <c r="C25" i="40" s="1"/>
  <c r="H24" i="40"/>
  <c r="C24" i="40" s="1"/>
  <c r="H23" i="40"/>
  <c r="C23" i="40" s="1"/>
  <c r="J17" i="40"/>
  <c r="J16" i="40"/>
  <c r="J15" i="40"/>
  <c r="G13" i="40"/>
  <c r="F13" i="40"/>
  <c r="H12" i="40"/>
  <c r="F8" i="40"/>
  <c r="I166" i="2" s="1"/>
  <c r="W166" i="2" s="1"/>
  <c r="E43" i="39"/>
  <c r="C43" i="39"/>
  <c r="E42" i="39"/>
  <c r="C42" i="39"/>
  <c r="E41" i="39"/>
  <c r="C41" i="39"/>
  <c r="E40" i="39"/>
  <c r="C40" i="39"/>
  <c r="E39" i="39"/>
  <c r="C39" i="39"/>
  <c r="E38" i="39"/>
  <c r="C38" i="39"/>
  <c r="E37" i="39"/>
  <c r="C37" i="39"/>
  <c r="E36" i="39"/>
  <c r="C36" i="39"/>
  <c r="E35" i="39"/>
  <c r="C35" i="39"/>
  <c r="E34" i="39"/>
  <c r="C34" i="39"/>
  <c r="K32" i="39"/>
  <c r="K31" i="39"/>
  <c r="K30" i="39"/>
  <c r="K29" i="39"/>
  <c r="K28" i="39"/>
  <c r="K27" i="39"/>
  <c r="K26" i="39"/>
  <c r="K25" i="39"/>
  <c r="K24" i="39"/>
  <c r="K23" i="39"/>
  <c r="J16" i="39"/>
  <c r="J15" i="39"/>
  <c r="F7" i="39"/>
  <c r="E43" i="38"/>
  <c r="C43" i="38"/>
  <c r="E42" i="38"/>
  <c r="C42" i="38"/>
  <c r="E41" i="38"/>
  <c r="C41" i="38"/>
  <c r="E40" i="38"/>
  <c r="C40" i="38"/>
  <c r="E39" i="38"/>
  <c r="C39" i="38"/>
  <c r="E38" i="38"/>
  <c r="C38" i="38"/>
  <c r="E37" i="38"/>
  <c r="C37" i="38"/>
  <c r="E36" i="38"/>
  <c r="C36" i="38"/>
  <c r="E35" i="38"/>
  <c r="C35" i="38"/>
  <c r="E34" i="38"/>
  <c r="C34" i="38"/>
  <c r="K32" i="38"/>
  <c r="K31" i="38"/>
  <c r="K30" i="38"/>
  <c r="K29" i="38"/>
  <c r="K28" i="38"/>
  <c r="K27" i="38"/>
  <c r="K26" i="38"/>
  <c r="F13" i="38" s="1"/>
  <c r="K25" i="38"/>
  <c r="K24" i="38"/>
  <c r="K23" i="38"/>
  <c r="J16" i="38"/>
  <c r="J15" i="38"/>
  <c r="F7" i="38"/>
  <c r="E43" i="37"/>
  <c r="C43" i="37"/>
  <c r="E42" i="37"/>
  <c r="C42" i="37"/>
  <c r="E41" i="37"/>
  <c r="C41" i="37"/>
  <c r="E40" i="37"/>
  <c r="C40" i="37"/>
  <c r="E39" i="37"/>
  <c r="C39" i="37"/>
  <c r="E38" i="37"/>
  <c r="C38" i="37"/>
  <c r="E37" i="37"/>
  <c r="C37" i="37"/>
  <c r="E36" i="37"/>
  <c r="C36" i="37"/>
  <c r="E35" i="37"/>
  <c r="C35" i="37"/>
  <c r="E34" i="37"/>
  <c r="C34" i="37"/>
  <c r="E33" i="37"/>
  <c r="C33" i="37"/>
  <c r="E32" i="37"/>
  <c r="C32" i="37"/>
  <c r="E31" i="37"/>
  <c r="C31" i="37"/>
  <c r="E30" i="37"/>
  <c r="C30" i="37"/>
  <c r="E29" i="37"/>
  <c r="C29" i="37"/>
  <c r="E28" i="37"/>
  <c r="C28" i="37"/>
  <c r="E27" i="37"/>
  <c r="C27" i="37"/>
  <c r="H25" i="37"/>
  <c r="C25" i="37" s="1"/>
  <c r="H24" i="37"/>
  <c r="C24" i="37" s="1"/>
  <c r="H23" i="37"/>
  <c r="C23" i="37" s="1"/>
  <c r="J17" i="37"/>
  <c r="J16" i="37"/>
  <c r="J15" i="37"/>
  <c r="G13" i="37"/>
  <c r="F13" i="37"/>
  <c r="H12" i="37"/>
  <c r="F8" i="37"/>
  <c r="I163" i="2" s="1"/>
  <c r="W163" i="2" s="1"/>
  <c r="H31" i="36"/>
  <c r="H30" i="36"/>
  <c r="C30" i="36" s="1"/>
  <c r="H29" i="36"/>
  <c r="E29" i="36" s="1"/>
  <c r="H28" i="36"/>
  <c r="E28" i="36" s="1"/>
  <c r="H27" i="36"/>
  <c r="E27" i="36" s="1"/>
  <c r="E43" i="36"/>
  <c r="C43" i="36"/>
  <c r="E42" i="36"/>
  <c r="C42" i="36"/>
  <c r="E41" i="36"/>
  <c r="C41" i="36"/>
  <c r="E40" i="36"/>
  <c r="C40" i="36"/>
  <c r="E39" i="36"/>
  <c r="C39" i="36"/>
  <c r="E38" i="36"/>
  <c r="C38" i="36"/>
  <c r="E37" i="36"/>
  <c r="C37" i="36"/>
  <c r="E36" i="36"/>
  <c r="C36" i="36"/>
  <c r="E35" i="36"/>
  <c r="C35" i="36"/>
  <c r="E34" i="36"/>
  <c r="C34" i="36"/>
  <c r="E33" i="36"/>
  <c r="C33" i="36"/>
  <c r="E32" i="36"/>
  <c r="C32" i="36"/>
  <c r="E30" i="36"/>
  <c r="H26" i="36"/>
  <c r="C26" i="36" s="1"/>
  <c r="H25" i="36"/>
  <c r="C25" i="36" s="1"/>
  <c r="H24" i="36"/>
  <c r="C24" i="36" s="1"/>
  <c r="H23" i="36"/>
  <c r="C23" i="36" s="1"/>
  <c r="J17" i="36"/>
  <c r="J16" i="36"/>
  <c r="J15" i="36"/>
  <c r="G13" i="36"/>
  <c r="F13" i="36"/>
  <c r="H12" i="36"/>
  <c r="F8" i="36"/>
  <c r="H25" i="35"/>
  <c r="C25" i="35" s="1"/>
  <c r="H26" i="35"/>
  <c r="C26" i="35" s="1"/>
  <c r="H27" i="35"/>
  <c r="C27" i="35" s="1"/>
  <c r="H28" i="35"/>
  <c r="C28" i="35" s="1"/>
  <c r="H29" i="35"/>
  <c r="H30" i="35"/>
  <c r="C30" i="35" s="1"/>
  <c r="H31" i="35"/>
  <c r="E31" i="35" s="1"/>
  <c r="E43" i="35"/>
  <c r="C43" i="35"/>
  <c r="E42" i="35"/>
  <c r="C42" i="35"/>
  <c r="E41" i="35"/>
  <c r="C41" i="35"/>
  <c r="E40" i="35"/>
  <c r="C40" i="35"/>
  <c r="E39" i="35"/>
  <c r="C39" i="35"/>
  <c r="E38" i="35"/>
  <c r="C38" i="35"/>
  <c r="E37" i="35"/>
  <c r="C37" i="35"/>
  <c r="E36" i="35"/>
  <c r="C36" i="35"/>
  <c r="E35" i="35"/>
  <c r="C35" i="35"/>
  <c r="E34" i="35"/>
  <c r="C34" i="35"/>
  <c r="H24" i="35"/>
  <c r="C24" i="35" s="1"/>
  <c r="H23" i="35"/>
  <c r="C23" i="35" s="1"/>
  <c r="J17" i="35"/>
  <c r="J16" i="35"/>
  <c r="J15" i="35"/>
  <c r="G13" i="35"/>
  <c r="F13" i="35"/>
  <c r="H12" i="35"/>
  <c r="F8" i="35"/>
  <c r="I161" i="2" s="1"/>
  <c r="W161" i="2" s="1"/>
  <c r="E43" i="33"/>
  <c r="C43" i="33"/>
  <c r="E42" i="33"/>
  <c r="C42" i="33"/>
  <c r="E41" i="33"/>
  <c r="C41" i="33"/>
  <c r="E40" i="33"/>
  <c r="C40" i="33"/>
  <c r="E39" i="33"/>
  <c r="C39" i="33"/>
  <c r="E38" i="33"/>
  <c r="C38" i="33"/>
  <c r="E37" i="33"/>
  <c r="C37" i="33"/>
  <c r="E36" i="33"/>
  <c r="C36" i="33"/>
  <c r="E35" i="33"/>
  <c r="C35" i="33"/>
  <c r="E34" i="33"/>
  <c r="C34" i="33"/>
  <c r="E33" i="33"/>
  <c r="C33" i="33"/>
  <c r="E32" i="33"/>
  <c r="C32" i="33"/>
  <c r="E31" i="33"/>
  <c r="C31" i="33"/>
  <c r="E30" i="33"/>
  <c r="C30" i="33"/>
  <c r="E29" i="33"/>
  <c r="C29" i="33"/>
  <c r="E28" i="33"/>
  <c r="C28" i="33"/>
  <c r="E27" i="33"/>
  <c r="C27" i="33"/>
  <c r="H23" i="33"/>
  <c r="C23" i="33" s="1"/>
  <c r="J17" i="33"/>
  <c r="J16" i="33"/>
  <c r="J15" i="33"/>
  <c r="G13" i="33"/>
  <c r="F13" i="33"/>
  <c r="H12" i="33"/>
  <c r="F8" i="33"/>
  <c r="F7" i="32"/>
  <c r="E43" i="32"/>
  <c r="C43" i="32"/>
  <c r="E42" i="32"/>
  <c r="C42" i="32"/>
  <c r="E41" i="32"/>
  <c r="C41" i="32"/>
  <c r="E40" i="32"/>
  <c r="C40" i="32"/>
  <c r="E39" i="32"/>
  <c r="C39" i="32"/>
  <c r="E38" i="32"/>
  <c r="C38" i="32"/>
  <c r="E37" i="32"/>
  <c r="C37" i="32"/>
  <c r="E36" i="32"/>
  <c r="C36" i="32"/>
  <c r="E35" i="32"/>
  <c r="C35" i="32"/>
  <c r="E34" i="32"/>
  <c r="C34" i="32"/>
  <c r="K25" i="32"/>
  <c r="K24" i="32"/>
  <c r="K23" i="32"/>
  <c r="J16" i="32"/>
  <c r="J15" i="32"/>
  <c r="J17" i="32"/>
  <c r="E43" i="31"/>
  <c r="C43" i="31"/>
  <c r="E42" i="31"/>
  <c r="C42" i="31"/>
  <c r="E41" i="31"/>
  <c r="C41" i="31"/>
  <c r="E40" i="31"/>
  <c r="C40" i="31"/>
  <c r="E39" i="31"/>
  <c r="C39" i="31"/>
  <c r="E38" i="31"/>
  <c r="C38" i="31"/>
  <c r="E37" i="31"/>
  <c r="C37" i="31"/>
  <c r="E36" i="31"/>
  <c r="C36" i="31"/>
  <c r="E35" i="31"/>
  <c r="C35" i="31"/>
  <c r="E34" i="31"/>
  <c r="C34" i="31"/>
  <c r="E33" i="31"/>
  <c r="C33" i="31"/>
  <c r="E32" i="31"/>
  <c r="C32" i="31"/>
  <c r="E31" i="31"/>
  <c r="C31" i="31"/>
  <c r="E30" i="31"/>
  <c r="C30" i="31"/>
  <c r="L29" i="31"/>
  <c r="L28" i="31"/>
  <c r="L27" i="31"/>
  <c r="L26" i="31"/>
  <c r="L25" i="31"/>
  <c r="L24" i="31"/>
  <c r="L23" i="31"/>
  <c r="J16" i="31"/>
  <c r="J15" i="31"/>
  <c r="N11" i="31"/>
  <c r="N10" i="31"/>
  <c r="F7" i="31"/>
  <c r="E43" i="30"/>
  <c r="C43" i="30"/>
  <c r="E42" i="30"/>
  <c r="C42" i="30"/>
  <c r="E41" i="30"/>
  <c r="C41" i="30"/>
  <c r="E40" i="30"/>
  <c r="C40" i="30"/>
  <c r="E39" i="30"/>
  <c r="C39" i="30"/>
  <c r="E38" i="30"/>
  <c r="C38" i="30"/>
  <c r="E37" i="30"/>
  <c r="C37" i="30"/>
  <c r="E36" i="30"/>
  <c r="C36" i="30"/>
  <c r="E35" i="30"/>
  <c r="C35" i="30"/>
  <c r="E34" i="30"/>
  <c r="C34" i="30"/>
  <c r="E33" i="30"/>
  <c r="C33" i="30"/>
  <c r="E32" i="30"/>
  <c r="C32" i="30"/>
  <c r="E31" i="30"/>
  <c r="C31" i="30"/>
  <c r="E30" i="30"/>
  <c r="C30" i="30"/>
  <c r="E29" i="30"/>
  <c r="C29" i="30"/>
  <c r="E28" i="30"/>
  <c r="C28" i="30"/>
  <c r="E27" i="30"/>
  <c r="C27" i="30"/>
  <c r="H24" i="30"/>
  <c r="C24" i="30" s="1"/>
  <c r="H23" i="30"/>
  <c r="C23" i="30" s="1"/>
  <c r="J17" i="30"/>
  <c r="J16" i="30"/>
  <c r="J15" i="30"/>
  <c r="G13" i="30"/>
  <c r="F13" i="30"/>
  <c r="H12" i="30"/>
  <c r="F12" i="30" s="1"/>
  <c r="F8" i="30"/>
  <c r="E43" i="29"/>
  <c r="C43" i="29"/>
  <c r="E42" i="29"/>
  <c r="C42" i="29"/>
  <c r="E41" i="29"/>
  <c r="C41" i="29"/>
  <c r="E40" i="29"/>
  <c r="C40" i="29"/>
  <c r="E39" i="29"/>
  <c r="C39" i="29"/>
  <c r="E38" i="29"/>
  <c r="C38" i="29"/>
  <c r="E37" i="29"/>
  <c r="C37" i="29"/>
  <c r="E36" i="29"/>
  <c r="C36" i="29"/>
  <c r="E35" i="29"/>
  <c r="C35" i="29"/>
  <c r="E34" i="29"/>
  <c r="C34" i="29"/>
  <c r="K33" i="29"/>
  <c r="K32" i="29"/>
  <c r="K31" i="29"/>
  <c r="K30" i="29"/>
  <c r="K29" i="29"/>
  <c r="K28" i="29"/>
  <c r="K27" i="29"/>
  <c r="K26" i="29"/>
  <c r="K25" i="29"/>
  <c r="K24" i="29"/>
  <c r="K23" i="29"/>
  <c r="J16" i="29"/>
  <c r="J15" i="29"/>
  <c r="F7" i="29"/>
  <c r="H155" i="2" s="1"/>
  <c r="V155" i="2" s="1"/>
  <c r="H28" i="28"/>
  <c r="C28" i="28" s="1"/>
  <c r="H27" i="28"/>
  <c r="E27" i="28" s="1"/>
  <c r="E43" i="28"/>
  <c r="C43" i="28"/>
  <c r="E42" i="28"/>
  <c r="C42" i="28"/>
  <c r="E41" i="28"/>
  <c r="C41" i="28"/>
  <c r="E40" i="28"/>
  <c r="C40" i="28"/>
  <c r="E39" i="28"/>
  <c r="C39" i="28"/>
  <c r="E38" i="28"/>
  <c r="C38" i="28"/>
  <c r="E37" i="28"/>
  <c r="C37" i="28"/>
  <c r="E36" i="28"/>
  <c r="C36" i="28"/>
  <c r="E35" i="28"/>
  <c r="C35" i="28"/>
  <c r="E34" i="28"/>
  <c r="C34" i="28"/>
  <c r="E33" i="28"/>
  <c r="C33" i="28"/>
  <c r="E32" i="28"/>
  <c r="C32" i="28"/>
  <c r="E31" i="28"/>
  <c r="C31" i="28"/>
  <c r="E30" i="28"/>
  <c r="C30" i="28"/>
  <c r="E29" i="28"/>
  <c r="C29" i="28"/>
  <c r="E28" i="28"/>
  <c r="H26" i="28"/>
  <c r="C26" i="28" s="1"/>
  <c r="H25" i="28"/>
  <c r="C25" i="28" s="1"/>
  <c r="H24" i="28"/>
  <c r="C24" i="28" s="1"/>
  <c r="H23" i="28"/>
  <c r="C23" i="28" s="1"/>
  <c r="J17" i="28"/>
  <c r="J16" i="28"/>
  <c r="J15" i="28"/>
  <c r="G13" i="28"/>
  <c r="F13" i="28"/>
  <c r="H12" i="28"/>
  <c r="F8" i="28"/>
  <c r="F9" i="28" s="1"/>
  <c r="G9" i="28" s="1"/>
  <c r="H29" i="27"/>
  <c r="H28" i="27"/>
  <c r="H27" i="27"/>
  <c r="E27" i="27" s="1"/>
  <c r="E43" i="27"/>
  <c r="C43" i="27"/>
  <c r="E42" i="27"/>
  <c r="C42" i="27"/>
  <c r="E41" i="27"/>
  <c r="C41" i="27"/>
  <c r="E40" i="27"/>
  <c r="C40" i="27"/>
  <c r="E39" i="27"/>
  <c r="C39" i="27"/>
  <c r="E38" i="27"/>
  <c r="C38" i="27"/>
  <c r="E37" i="27"/>
  <c r="C37" i="27"/>
  <c r="E36" i="27"/>
  <c r="C36" i="27"/>
  <c r="E35" i="27"/>
  <c r="C35" i="27"/>
  <c r="E34" i="27"/>
  <c r="C34" i="27"/>
  <c r="E33" i="27"/>
  <c r="C33" i="27"/>
  <c r="E32" i="27"/>
  <c r="C32" i="27"/>
  <c r="E31" i="27"/>
  <c r="C31" i="27"/>
  <c r="E30" i="27"/>
  <c r="C30" i="27"/>
  <c r="E29" i="27"/>
  <c r="C29" i="27"/>
  <c r="H26" i="27"/>
  <c r="C26" i="27" s="1"/>
  <c r="H25" i="27"/>
  <c r="C25" i="27" s="1"/>
  <c r="H24" i="27"/>
  <c r="C24" i="27" s="1"/>
  <c r="H23" i="27"/>
  <c r="C23" i="27" s="1"/>
  <c r="J17" i="27"/>
  <c r="J16" i="27"/>
  <c r="J15" i="27"/>
  <c r="G13" i="27"/>
  <c r="F13" i="27"/>
  <c r="H12" i="27"/>
  <c r="M153" i="2" s="1"/>
  <c r="F8" i="27"/>
  <c r="E43" i="26"/>
  <c r="C43" i="26"/>
  <c r="E42" i="26"/>
  <c r="C42" i="26"/>
  <c r="E41" i="26"/>
  <c r="C41" i="26"/>
  <c r="E40" i="26"/>
  <c r="C40" i="26"/>
  <c r="E39" i="26"/>
  <c r="C39" i="26"/>
  <c r="E38" i="26"/>
  <c r="C38" i="26"/>
  <c r="E37" i="26"/>
  <c r="C37" i="26"/>
  <c r="E36" i="26"/>
  <c r="C36" i="26"/>
  <c r="E35" i="26"/>
  <c r="C35" i="26"/>
  <c r="E34" i="26"/>
  <c r="C34" i="26"/>
  <c r="E33" i="26"/>
  <c r="C33" i="26"/>
  <c r="E32" i="26"/>
  <c r="C32" i="26"/>
  <c r="E31" i="26"/>
  <c r="C31" i="26"/>
  <c r="E30" i="26"/>
  <c r="C30" i="26"/>
  <c r="E29" i="26"/>
  <c r="C29" i="26"/>
  <c r="E28" i="26"/>
  <c r="C28" i="26"/>
  <c r="E27" i="26"/>
  <c r="C27" i="26"/>
  <c r="H24" i="26"/>
  <c r="C24" i="26" s="1"/>
  <c r="H23" i="26"/>
  <c r="C23" i="26" s="1"/>
  <c r="J17" i="26"/>
  <c r="J16" i="26"/>
  <c r="J15" i="26"/>
  <c r="G13" i="26"/>
  <c r="F13" i="26"/>
  <c r="H12" i="26"/>
  <c r="F12" i="26" s="1"/>
  <c r="F8" i="26"/>
  <c r="H29" i="25"/>
  <c r="E29" i="25" s="1"/>
  <c r="H28" i="25"/>
  <c r="C28" i="25" s="1"/>
  <c r="H27" i="25"/>
  <c r="E27" i="25" s="1"/>
  <c r="E43" i="25"/>
  <c r="C43" i="25"/>
  <c r="E42" i="25"/>
  <c r="C42" i="25"/>
  <c r="E41" i="25"/>
  <c r="C41" i="25"/>
  <c r="E40" i="25"/>
  <c r="C40" i="25"/>
  <c r="E39" i="25"/>
  <c r="C39" i="25"/>
  <c r="E38" i="25"/>
  <c r="C38" i="25"/>
  <c r="E37" i="25"/>
  <c r="C37" i="25"/>
  <c r="E36" i="25"/>
  <c r="C36" i="25"/>
  <c r="E35" i="25"/>
  <c r="C35" i="25"/>
  <c r="E34" i="25"/>
  <c r="C34" i="25"/>
  <c r="E33" i="25"/>
  <c r="C33" i="25"/>
  <c r="E32" i="25"/>
  <c r="C32" i="25"/>
  <c r="E31" i="25"/>
  <c r="C31" i="25"/>
  <c r="E30" i="25"/>
  <c r="C30" i="25"/>
  <c r="C29" i="25"/>
  <c r="H26" i="25"/>
  <c r="C26" i="25" s="1"/>
  <c r="H25" i="25"/>
  <c r="C25" i="25" s="1"/>
  <c r="H24" i="25"/>
  <c r="C24" i="25" s="1"/>
  <c r="H23" i="25"/>
  <c r="C23" i="25" s="1"/>
  <c r="J17" i="25"/>
  <c r="J16" i="25"/>
  <c r="J15" i="25"/>
  <c r="G13" i="25"/>
  <c r="F13" i="25"/>
  <c r="H12" i="25"/>
  <c r="F8" i="25"/>
  <c r="J19" i="25" s="1"/>
  <c r="H34" i="24"/>
  <c r="C34" i="24" s="1"/>
  <c r="H33" i="24"/>
  <c r="E33" i="24" s="1"/>
  <c r="H32" i="24"/>
  <c r="E32" i="24" s="1"/>
  <c r="H31" i="24"/>
  <c r="C31" i="24" s="1"/>
  <c r="H30" i="24"/>
  <c r="C30" i="24" s="1"/>
  <c r="H29" i="24"/>
  <c r="E29" i="24" s="1"/>
  <c r="H28" i="24"/>
  <c r="C28" i="24" s="1"/>
  <c r="H27" i="24"/>
  <c r="E27" i="24" s="1"/>
  <c r="E43" i="24"/>
  <c r="C43" i="24"/>
  <c r="E42" i="24"/>
  <c r="C42" i="24"/>
  <c r="E41" i="24"/>
  <c r="C41" i="24"/>
  <c r="E40" i="24"/>
  <c r="C40" i="24"/>
  <c r="E39" i="24"/>
  <c r="C39" i="24"/>
  <c r="E38" i="24"/>
  <c r="C38" i="24"/>
  <c r="E37" i="24"/>
  <c r="C37" i="24"/>
  <c r="E36" i="24"/>
  <c r="C36" i="24"/>
  <c r="E35" i="24"/>
  <c r="C35" i="24"/>
  <c r="C32" i="24"/>
  <c r="H26" i="24"/>
  <c r="C26" i="24" s="1"/>
  <c r="H25" i="24"/>
  <c r="C25" i="24" s="1"/>
  <c r="H24" i="24"/>
  <c r="C24" i="24" s="1"/>
  <c r="H23" i="24"/>
  <c r="C23" i="24" s="1"/>
  <c r="J17" i="24"/>
  <c r="J16" i="24"/>
  <c r="J15" i="24"/>
  <c r="G13" i="24"/>
  <c r="F13" i="24"/>
  <c r="H12" i="24"/>
  <c r="M40" i="54" s="1"/>
  <c r="F8" i="24"/>
  <c r="I149" i="2"/>
  <c r="W149" i="2" s="1"/>
  <c r="E43" i="23"/>
  <c r="C43" i="23"/>
  <c r="E42" i="23"/>
  <c r="C42" i="23"/>
  <c r="E41" i="23"/>
  <c r="C41" i="23"/>
  <c r="E40" i="23"/>
  <c r="C40" i="23"/>
  <c r="E39" i="23"/>
  <c r="C39" i="23"/>
  <c r="E38" i="23"/>
  <c r="C38" i="23"/>
  <c r="E37" i="23"/>
  <c r="C37" i="23"/>
  <c r="E36" i="23"/>
  <c r="C36" i="23"/>
  <c r="E35" i="23"/>
  <c r="C35" i="23"/>
  <c r="E34" i="23"/>
  <c r="C34" i="23"/>
  <c r="E33" i="23"/>
  <c r="C33" i="23"/>
  <c r="E32" i="23"/>
  <c r="C32" i="23"/>
  <c r="E31" i="23"/>
  <c r="C31" i="23"/>
  <c r="E30" i="23"/>
  <c r="C30" i="23"/>
  <c r="E29" i="23"/>
  <c r="C29" i="23"/>
  <c r="E28" i="23"/>
  <c r="C28" i="23"/>
  <c r="E27" i="23"/>
  <c r="C27" i="23"/>
  <c r="H25" i="23"/>
  <c r="C25" i="23" s="1"/>
  <c r="H24" i="23"/>
  <c r="C24" i="23" s="1"/>
  <c r="H23" i="23"/>
  <c r="C23" i="23" s="1"/>
  <c r="J17" i="23"/>
  <c r="J16" i="23"/>
  <c r="J15" i="23"/>
  <c r="G13" i="23"/>
  <c r="F13" i="23"/>
  <c r="H12" i="23"/>
  <c r="F8" i="23"/>
  <c r="J18" i="23" s="1"/>
  <c r="E43" i="22"/>
  <c r="C43" i="22"/>
  <c r="E42" i="22"/>
  <c r="C42" i="22"/>
  <c r="E41" i="22"/>
  <c r="C41" i="22"/>
  <c r="E40" i="22"/>
  <c r="C40" i="22"/>
  <c r="E39" i="22"/>
  <c r="C39" i="22"/>
  <c r="E38" i="22"/>
  <c r="C38" i="22"/>
  <c r="E37" i="22"/>
  <c r="C37" i="22"/>
  <c r="E36" i="22"/>
  <c r="C36" i="22"/>
  <c r="E35" i="22"/>
  <c r="C35" i="22"/>
  <c r="E34" i="22"/>
  <c r="C34" i="22"/>
  <c r="E33" i="22"/>
  <c r="C33" i="22"/>
  <c r="E32" i="22"/>
  <c r="C32" i="22"/>
  <c r="E31" i="22"/>
  <c r="C31" i="22"/>
  <c r="E30" i="22"/>
  <c r="C30" i="22"/>
  <c r="E29" i="22"/>
  <c r="C29" i="22"/>
  <c r="E28" i="22"/>
  <c r="C28" i="22"/>
  <c r="E27" i="22"/>
  <c r="C27" i="22"/>
  <c r="H26" i="22"/>
  <c r="C26" i="22" s="1"/>
  <c r="H25" i="22"/>
  <c r="C25" i="22" s="1"/>
  <c r="H24" i="22"/>
  <c r="C24" i="22" s="1"/>
  <c r="H23" i="22"/>
  <c r="C23" i="22" s="1"/>
  <c r="J17" i="22"/>
  <c r="J16" i="22"/>
  <c r="J15" i="22"/>
  <c r="G13" i="22"/>
  <c r="F13" i="22"/>
  <c r="H12" i="22"/>
  <c r="F8" i="22"/>
  <c r="J18" i="22" s="1"/>
  <c r="H12" i="14"/>
  <c r="M23" i="54" s="1"/>
  <c r="F146" i="2"/>
  <c r="E146" i="2"/>
  <c r="D146" i="2"/>
  <c r="H145" i="2"/>
  <c r="V145" i="2" s="1"/>
  <c r="F145" i="2"/>
  <c r="E145" i="2"/>
  <c r="D145" i="2"/>
  <c r="H144" i="2"/>
  <c r="V144" i="2" s="1"/>
  <c r="F144" i="2"/>
  <c r="E144" i="2"/>
  <c r="D144" i="2"/>
  <c r="F142" i="2"/>
  <c r="E142" i="2"/>
  <c r="D142" i="2"/>
  <c r="H141" i="2"/>
  <c r="V141" i="2" s="1"/>
  <c r="F141" i="2"/>
  <c r="E141" i="2"/>
  <c r="D141" i="2"/>
  <c r="T141" i="2" s="1"/>
  <c r="F140" i="2"/>
  <c r="E140" i="2"/>
  <c r="D140" i="2"/>
  <c r="T140" i="2" s="1"/>
  <c r="I156" i="2"/>
  <c r="W156" i="2" s="1"/>
  <c r="M129" i="2"/>
  <c r="F12" i="25"/>
  <c r="J19" i="30"/>
  <c r="I41" i="54"/>
  <c r="F12" i="36"/>
  <c r="F10" i="36" s="1"/>
  <c r="M27" i="54"/>
  <c r="I39" i="54"/>
  <c r="C27" i="28"/>
  <c r="J17" i="31"/>
  <c r="H26" i="54"/>
  <c r="J19" i="33"/>
  <c r="I42" i="54"/>
  <c r="J18" i="36"/>
  <c r="I27" i="54"/>
  <c r="F12" i="40"/>
  <c r="F10" i="40" s="1"/>
  <c r="M59" i="54"/>
  <c r="W150" i="2"/>
  <c r="I159" i="2"/>
  <c r="W159" i="2" s="1"/>
  <c r="I162" i="2"/>
  <c r="W162" i="2" s="1"/>
  <c r="F12" i="52"/>
  <c r="J13" i="52" s="1"/>
  <c r="M70" i="54"/>
  <c r="M22" i="54"/>
  <c r="M131" i="2"/>
  <c r="F12" i="33"/>
  <c r="M42" i="54"/>
  <c r="J18" i="24"/>
  <c r="I40" i="54"/>
  <c r="F12" i="28"/>
  <c r="J13" i="28" s="1"/>
  <c r="M24" i="54"/>
  <c r="J19" i="35"/>
  <c r="I43" i="54"/>
  <c r="F12" i="37"/>
  <c r="F10" i="37" s="1"/>
  <c r="M58" i="54"/>
  <c r="J17" i="39"/>
  <c r="H45" i="54"/>
  <c r="F12" i="49"/>
  <c r="F10" i="49" s="1"/>
  <c r="M18" i="54"/>
  <c r="J18" i="50"/>
  <c r="I33" i="54"/>
  <c r="J19" i="37"/>
  <c r="I58" i="54"/>
  <c r="J17" i="38"/>
  <c r="H44" i="54"/>
  <c r="J19" i="51"/>
  <c r="I9" i="54"/>
  <c r="F12" i="23"/>
  <c r="M39" i="54"/>
  <c r="F12" i="24"/>
  <c r="J13" i="24" s="1"/>
  <c r="I16" i="54"/>
  <c r="F12" i="27"/>
  <c r="M17" i="54"/>
  <c r="J17" i="29"/>
  <c r="H25" i="54"/>
  <c r="C28" i="36"/>
  <c r="F9" i="40"/>
  <c r="G9" i="40" s="1"/>
  <c r="I46" i="54"/>
  <c r="J18" i="42"/>
  <c r="I28" i="54"/>
  <c r="J19" i="43"/>
  <c r="I59" i="54"/>
  <c r="J17" i="44"/>
  <c r="H29" i="54"/>
  <c r="F12" i="45"/>
  <c r="J13" i="45" s="1"/>
  <c r="M48" i="54"/>
  <c r="J17" i="46"/>
  <c r="H49" i="54"/>
  <c r="J17" i="48"/>
  <c r="H50" i="54"/>
  <c r="M148" i="2"/>
  <c r="M149" i="2"/>
  <c r="M150" i="2"/>
  <c r="M154" i="2"/>
  <c r="H157" i="2"/>
  <c r="V157" i="2" s="1"/>
  <c r="M159" i="2"/>
  <c r="M162" i="2"/>
  <c r="M163" i="2"/>
  <c r="H164" i="2"/>
  <c r="V164" i="2" s="1"/>
  <c r="H165" i="2"/>
  <c r="V165" i="2" s="1"/>
  <c r="H171" i="2"/>
  <c r="V171" i="2" s="1"/>
  <c r="M172" i="2"/>
  <c r="H173" i="2"/>
  <c r="V173" i="2" s="1"/>
  <c r="H174" i="2"/>
  <c r="V174" i="2" s="1"/>
  <c r="I132" i="2"/>
  <c r="W132" i="2" s="1"/>
  <c r="J19" i="52"/>
  <c r="I22" i="54"/>
  <c r="I70" i="54"/>
  <c r="I9" i="57"/>
  <c r="J19" i="53"/>
  <c r="F9" i="52"/>
  <c r="G9" i="52" s="1"/>
  <c r="L72" i="178" s="1"/>
  <c r="F10" i="52"/>
  <c r="J12" i="52"/>
  <c r="F11" i="52" s="1"/>
  <c r="J12" i="51"/>
  <c r="J18" i="51"/>
  <c r="F9" i="51"/>
  <c r="G9" i="51" s="1"/>
  <c r="K9" i="54" s="1"/>
  <c r="F9" i="50"/>
  <c r="G9" i="50" s="1"/>
  <c r="J19" i="50"/>
  <c r="J12" i="50"/>
  <c r="H25" i="48"/>
  <c r="C25" i="48" s="1"/>
  <c r="F8" i="46"/>
  <c r="I173" i="2" s="1"/>
  <c r="W173" i="2" s="1"/>
  <c r="F9" i="45"/>
  <c r="G9" i="45" s="1"/>
  <c r="J18" i="45"/>
  <c r="F10" i="45"/>
  <c r="J12" i="45"/>
  <c r="H27" i="44"/>
  <c r="C27" i="44" s="1"/>
  <c r="H24" i="44"/>
  <c r="C24" i="44" s="1"/>
  <c r="F9" i="43"/>
  <c r="G9" i="43" s="1"/>
  <c r="J18" i="43"/>
  <c r="J12" i="43"/>
  <c r="E28" i="42"/>
  <c r="E27" i="42"/>
  <c r="F9" i="42"/>
  <c r="G9" i="42" s="1"/>
  <c r="J19" i="42"/>
  <c r="J12" i="42"/>
  <c r="C28" i="41"/>
  <c r="E28" i="40"/>
  <c r="E27" i="40"/>
  <c r="J19" i="40"/>
  <c r="J18" i="40"/>
  <c r="J12" i="40"/>
  <c r="H29" i="39"/>
  <c r="C29" i="39" s="1"/>
  <c r="H32" i="39"/>
  <c r="C32" i="39" s="1"/>
  <c r="H32" i="38"/>
  <c r="C32" i="38" s="1"/>
  <c r="H29" i="38"/>
  <c r="C29" i="38" s="1"/>
  <c r="F9" i="37"/>
  <c r="G9" i="37" s="1"/>
  <c r="J18" i="37"/>
  <c r="J13" i="37"/>
  <c r="J12" i="37"/>
  <c r="F11" i="37" s="1"/>
  <c r="C29" i="36"/>
  <c r="C27" i="36"/>
  <c r="F9" i="36"/>
  <c r="G9" i="36" s="1"/>
  <c r="J19" i="36"/>
  <c r="J12" i="36"/>
  <c r="E27" i="35"/>
  <c r="C31" i="35"/>
  <c r="E30" i="35"/>
  <c r="F9" i="35"/>
  <c r="G9" i="35" s="1"/>
  <c r="J18" i="35"/>
  <c r="J12" i="35"/>
  <c r="F9" i="33"/>
  <c r="G9" i="33" s="1"/>
  <c r="J18" i="33"/>
  <c r="F10" i="33"/>
  <c r="J13" i="33"/>
  <c r="J12" i="33"/>
  <c r="H23" i="32"/>
  <c r="C23" i="32" s="1"/>
  <c r="H25" i="32"/>
  <c r="C25" i="32" s="1"/>
  <c r="H12" i="32"/>
  <c r="M158" i="2" s="1"/>
  <c r="G13" i="32"/>
  <c r="F8" i="32"/>
  <c r="I57" i="54" s="1"/>
  <c r="H26" i="31"/>
  <c r="C26" i="31" s="1"/>
  <c r="F9" i="30"/>
  <c r="G9" i="30" s="1"/>
  <c r="J18" i="30"/>
  <c r="J12" i="30"/>
  <c r="F11" i="30" s="1"/>
  <c r="H24" i="29"/>
  <c r="C24" i="29" s="1"/>
  <c r="H12" i="29"/>
  <c r="F12" i="29" s="1"/>
  <c r="J13" i="29" s="1"/>
  <c r="F10" i="28"/>
  <c r="F9" i="27"/>
  <c r="G9" i="27" s="1"/>
  <c r="J18" i="27"/>
  <c r="F10" i="27"/>
  <c r="J13" i="27"/>
  <c r="J12" i="27"/>
  <c r="F9" i="26"/>
  <c r="G9" i="26" s="1"/>
  <c r="J18" i="26"/>
  <c r="J12" i="26"/>
  <c r="F11" i="26" s="1"/>
  <c r="L152" i="2" s="1"/>
  <c r="F9" i="25"/>
  <c r="G9" i="25" s="1"/>
  <c r="I9" i="25" s="1"/>
  <c r="J18" i="25"/>
  <c r="F10" i="25"/>
  <c r="J13" i="25"/>
  <c r="J12" i="25"/>
  <c r="E31" i="24"/>
  <c r="E30" i="24"/>
  <c r="C29" i="24"/>
  <c r="E28" i="24"/>
  <c r="C27" i="24"/>
  <c r="F9" i="24"/>
  <c r="G9" i="24" s="1"/>
  <c r="J19" i="24"/>
  <c r="J12" i="24"/>
  <c r="F11" i="24" s="1"/>
  <c r="F9" i="23"/>
  <c r="G9" i="23" s="1"/>
  <c r="J19" i="23"/>
  <c r="F10" i="23"/>
  <c r="J13" i="23"/>
  <c r="J12" i="23"/>
  <c r="F139" i="2"/>
  <c r="E139" i="2"/>
  <c r="D139" i="2"/>
  <c r="T139" i="2" s="1"/>
  <c r="V138" i="2"/>
  <c r="F138" i="2"/>
  <c r="E138" i="2"/>
  <c r="D138" i="2"/>
  <c r="T138" i="2" s="1"/>
  <c r="H137" i="2"/>
  <c r="V137" i="2" s="1"/>
  <c r="F137" i="2"/>
  <c r="E137" i="2"/>
  <c r="D137" i="2"/>
  <c r="T137" i="2" s="1"/>
  <c r="F136" i="2"/>
  <c r="E136" i="2"/>
  <c r="D136" i="2"/>
  <c r="T136" i="2" s="1"/>
  <c r="F7" i="17"/>
  <c r="H135" i="2" s="1"/>
  <c r="V135" i="2" s="1"/>
  <c r="F135" i="2"/>
  <c r="E135" i="2"/>
  <c r="D135" i="2"/>
  <c r="T135" i="2" s="1"/>
  <c r="H134" i="2"/>
  <c r="V134" i="2" s="1"/>
  <c r="F134" i="2"/>
  <c r="D134" i="2"/>
  <c r="T134" i="2" s="1"/>
  <c r="E134" i="2"/>
  <c r="F7" i="18"/>
  <c r="H11" i="54" s="1"/>
  <c r="F7" i="19"/>
  <c r="E43" i="20"/>
  <c r="C43" i="20"/>
  <c r="E42" i="20"/>
  <c r="C42" i="20"/>
  <c r="E41" i="20"/>
  <c r="C41" i="20"/>
  <c r="E40" i="20"/>
  <c r="C40" i="20"/>
  <c r="E39" i="20"/>
  <c r="C39" i="20"/>
  <c r="E38" i="20"/>
  <c r="C38" i="20"/>
  <c r="E37" i="20"/>
  <c r="C37" i="20"/>
  <c r="E36" i="20"/>
  <c r="C36" i="20"/>
  <c r="E35" i="20"/>
  <c r="C35" i="20"/>
  <c r="E34" i="20"/>
  <c r="C34" i="20"/>
  <c r="K26" i="20"/>
  <c r="K25" i="20"/>
  <c r="K24" i="20"/>
  <c r="K23" i="20"/>
  <c r="J16" i="20"/>
  <c r="J15" i="20"/>
  <c r="F7" i="20"/>
  <c r="H15" i="54" s="1"/>
  <c r="E43" i="19"/>
  <c r="C43" i="19"/>
  <c r="E42" i="19"/>
  <c r="C42" i="19"/>
  <c r="E41" i="19"/>
  <c r="C41" i="19"/>
  <c r="E40" i="19"/>
  <c r="C40" i="19"/>
  <c r="E39" i="19"/>
  <c r="C39" i="19"/>
  <c r="E38" i="19"/>
  <c r="C38" i="19"/>
  <c r="E37" i="19"/>
  <c r="C37" i="19"/>
  <c r="E36" i="19"/>
  <c r="C36" i="19"/>
  <c r="E35" i="19"/>
  <c r="C35" i="19"/>
  <c r="E34" i="19"/>
  <c r="C34" i="19"/>
  <c r="K31" i="19"/>
  <c r="K30" i="19"/>
  <c r="K29" i="19"/>
  <c r="K28" i="19"/>
  <c r="K27" i="19"/>
  <c r="K26" i="19"/>
  <c r="K25" i="19"/>
  <c r="K24" i="19"/>
  <c r="K23" i="19"/>
  <c r="J16" i="19"/>
  <c r="J15" i="19"/>
  <c r="J17" i="19"/>
  <c r="E43" i="18"/>
  <c r="C43" i="18"/>
  <c r="E42" i="18"/>
  <c r="C42" i="18"/>
  <c r="E41" i="18"/>
  <c r="C41" i="18"/>
  <c r="E40" i="18"/>
  <c r="C40" i="18"/>
  <c r="E39" i="18"/>
  <c r="C39" i="18"/>
  <c r="E38" i="18"/>
  <c r="C38" i="18"/>
  <c r="E37" i="18"/>
  <c r="C37" i="18"/>
  <c r="E36" i="18"/>
  <c r="C36" i="18"/>
  <c r="E35" i="18"/>
  <c r="C35" i="18"/>
  <c r="E34" i="18"/>
  <c r="C34" i="18"/>
  <c r="K33" i="18"/>
  <c r="K32" i="18"/>
  <c r="K31" i="18"/>
  <c r="K30" i="18"/>
  <c r="K29" i="18"/>
  <c r="K28" i="18"/>
  <c r="K27" i="18"/>
  <c r="K26" i="18"/>
  <c r="K25" i="18"/>
  <c r="K24" i="18"/>
  <c r="K23" i="18"/>
  <c r="J16" i="18"/>
  <c r="J15" i="18"/>
  <c r="J17" i="18"/>
  <c r="L23" i="17"/>
  <c r="L24" i="17"/>
  <c r="L25" i="17"/>
  <c r="E43" i="17"/>
  <c r="C43" i="17"/>
  <c r="E42" i="17"/>
  <c r="C42" i="17"/>
  <c r="E41" i="17"/>
  <c r="C41" i="17"/>
  <c r="E40" i="17"/>
  <c r="C40" i="17"/>
  <c r="E39" i="17"/>
  <c r="C39" i="17"/>
  <c r="E38" i="17"/>
  <c r="C38" i="17"/>
  <c r="E37" i="17"/>
  <c r="C37" i="17"/>
  <c r="E36" i="17"/>
  <c r="C36" i="17"/>
  <c r="E35" i="17"/>
  <c r="C35" i="17"/>
  <c r="E34" i="17"/>
  <c r="C34" i="17"/>
  <c r="E33" i="17"/>
  <c r="C33" i="17"/>
  <c r="E32" i="17"/>
  <c r="C32" i="17"/>
  <c r="E31" i="17"/>
  <c r="C31" i="17"/>
  <c r="J16" i="17"/>
  <c r="J15" i="17"/>
  <c r="N11" i="17"/>
  <c r="N10" i="17"/>
  <c r="J17" i="17"/>
  <c r="E43" i="16"/>
  <c r="C43" i="16"/>
  <c r="H28" i="16"/>
  <c r="H27" i="16"/>
  <c r="C27" i="16" s="1"/>
  <c r="H26" i="16"/>
  <c r="C26" i="16" s="1"/>
  <c r="H25" i="16"/>
  <c r="C25" i="16" s="1"/>
  <c r="H24" i="16"/>
  <c r="C24" i="16" s="1"/>
  <c r="H23" i="16"/>
  <c r="C23" i="16" s="1"/>
  <c r="J17" i="16"/>
  <c r="J16" i="16"/>
  <c r="J15" i="16"/>
  <c r="G13" i="16"/>
  <c r="F13" i="16"/>
  <c r="H12" i="16"/>
  <c r="F8" i="16"/>
  <c r="H38" i="15"/>
  <c r="C38" i="15" s="1"/>
  <c r="H27" i="15"/>
  <c r="E27" i="15" s="1"/>
  <c r="H28" i="15"/>
  <c r="C28" i="15" s="1"/>
  <c r="H29" i="15"/>
  <c r="E29" i="15" s="1"/>
  <c r="H30" i="15"/>
  <c r="E30" i="15" s="1"/>
  <c r="H31" i="15"/>
  <c r="C31" i="15" s="1"/>
  <c r="H32" i="15"/>
  <c r="C32" i="15" s="1"/>
  <c r="H33" i="15"/>
  <c r="E33" i="15" s="1"/>
  <c r="H34" i="15"/>
  <c r="C34" i="15" s="1"/>
  <c r="H35" i="15"/>
  <c r="E35" i="15" s="1"/>
  <c r="H36" i="15"/>
  <c r="C36" i="15" s="1"/>
  <c r="H37" i="15"/>
  <c r="C37" i="15" s="1"/>
  <c r="H39" i="15"/>
  <c r="C39" i="15" s="1"/>
  <c r="H40" i="15"/>
  <c r="E40" i="15" s="1"/>
  <c r="E43" i="15"/>
  <c r="C43" i="15"/>
  <c r="H26" i="15"/>
  <c r="C26" i="15" s="1"/>
  <c r="H25" i="15"/>
  <c r="C25" i="15" s="1"/>
  <c r="H24" i="15"/>
  <c r="C24" i="15" s="1"/>
  <c r="H23" i="15"/>
  <c r="C23" i="15" s="1"/>
  <c r="J17" i="15"/>
  <c r="J16" i="15"/>
  <c r="J15" i="15"/>
  <c r="G13" i="15"/>
  <c r="F13" i="15"/>
  <c r="H12" i="15"/>
  <c r="F8" i="15"/>
  <c r="J19" i="15" s="1"/>
  <c r="H27" i="14"/>
  <c r="C27" i="14" s="1"/>
  <c r="H28" i="14"/>
  <c r="C28" i="14" s="1"/>
  <c r="H29" i="14"/>
  <c r="C29" i="14" s="1"/>
  <c r="H30" i="14"/>
  <c r="E30" i="14" s="1"/>
  <c r="H31" i="14"/>
  <c r="C31" i="14" s="1"/>
  <c r="H32" i="14"/>
  <c r="C32" i="14" s="1"/>
  <c r="H33" i="14"/>
  <c r="C33" i="14" s="1"/>
  <c r="H34" i="14"/>
  <c r="C34" i="14" s="1"/>
  <c r="H35" i="14"/>
  <c r="C35" i="14" s="1"/>
  <c r="H36" i="14"/>
  <c r="C36" i="14" s="1"/>
  <c r="H37" i="14"/>
  <c r="C37" i="14" s="1"/>
  <c r="H38" i="14"/>
  <c r="E43" i="14"/>
  <c r="C43" i="14"/>
  <c r="E42" i="14"/>
  <c r="C42" i="14"/>
  <c r="H26" i="14"/>
  <c r="C26" i="14" s="1"/>
  <c r="H25" i="14"/>
  <c r="C25" i="14" s="1"/>
  <c r="H24" i="14"/>
  <c r="C24" i="14" s="1"/>
  <c r="H23" i="14"/>
  <c r="C23" i="14" s="1"/>
  <c r="J17" i="14"/>
  <c r="J16" i="14"/>
  <c r="J15" i="14"/>
  <c r="G13" i="14"/>
  <c r="F13" i="14"/>
  <c r="F12" i="14"/>
  <c r="J13" i="14" s="1"/>
  <c r="F8" i="14"/>
  <c r="H27" i="13"/>
  <c r="C27" i="13" s="1"/>
  <c r="H28" i="13"/>
  <c r="C28" i="13" s="1"/>
  <c r="H24" i="13"/>
  <c r="C24" i="13" s="1"/>
  <c r="H25" i="13"/>
  <c r="C25" i="13" s="1"/>
  <c r="H26" i="13"/>
  <c r="C26" i="13" s="1"/>
  <c r="H23" i="13"/>
  <c r="C23" i="13" s="1"/>
  <c r="J17" i="13"/>
  <c r="J16" i="13"/>
  <c r="J15" i="13"/>
  <c r="G13" i="13"/>
  <c r="F13" i="13"/>
  <c r="H12" i="13"/>
  <c r="F8" i="13"/>
  <c r="I35" i="54" s="1"/>
  <c r="C27" i="1"/>
  <c r="C28" i="1"/>
  <c r="E41" i="12"/>
  <c r="C41" i="12"/>
  <c r="E40" i="12"/>
  <c r="C40" i="12"/>
  <c r="E39" i="12"/>
  <c r="C39" i="12"/>
  <c r="E38" i="12"/>
  <c r="C38" i="12"/>
  <c r="E37" i="12"/>
  <c r="C37" i="12"/>
  <c r="E36" i="12"/>
  <c r="C36" i="12"/>
  <c r="E35" i="12"/>
  <c r="C35" i="12"/>
  <c r="E34" i="12"/>
  <c r="C34" i="12"/>
  <c r="E33" i="12"/>
  <c r="C33" i="12"/>
  <c r="E32" i="12"/>
  <c r="C32" i="12"/>
  <c r="E31" i="12"/>
  <c r="C31" i="12"/>
  <c r="E30" i="12"/>
  <c r="C30" i="12"/>
  <c r="E29" i="12"/>
  <c r="C29" i="12"/>
  <c r="E28" i="12"/>
  <c r="C28" i="12"/>
  <c r="E27" i="12"/>
  <c r="C27" i="12"/>
  <c r="E26" i="12"/>
  <c r="C26" i="12"/>
  <c r="E25" i="12"/>
  <c r="C25" i="12"/>
  <c r="H24" i="12"/>
  <c r="C24" i="12" s="1"/>
  <c r="H23" i="12"/>
  <c r="C23" i="12" s="1"/>
  <c r="J17" i="12"/>
  <c r="J16" i="12"/>
  <c r="J15" i="12"/>
  <c r="G13" i="12"/>
  <c r="F13" i="12"/>
  <c r="H12" i="12"/>
  <c r="F8" i="12"/>
  <c r="J19" i="12" s="1"/>
  <c r="E41" i="11"/>
  <c r="C41" i="11"/>
  <c r="E40" i="11"/>
  <c r="C40" i="11"/>
  <c r="E39" i="11"/>
  <c r="C39" i="11"/>
  <c r="E38" i="11"/>
  <c r="C38" i="11"/>
  <c r="E37" i="11"/>
  <c r="C37" i="11"/>
  <c r="E36" i="11"/>
  <c r="C36" i="11"/>
  <c r="E35" i="11"/>
  <c r="C35" i="11"/>
  <c r="E34" i="11"/>
  <c r="C34" i="11"/>
  <c r="E33" i="11"/>
  <c r="C33" i="11"/>
  <c r="E32" i="11"/>
  <c r="C32" i="11"/>
  <c r="E31" i="11"/>
  <c r="C31" i="11"/>
  <c r="E30" i="11"/>
  <c r="C30" i="11"/>
  <c r="E29" i="11"/>
  <c r="C29" i="11"/>
  <c r="E28" i="11"/>
  <c r="C28" i="11"/>
  <c r="E27" i="11"/>
  <c r="C27" i="11"/>
  <c r="E26" i="11"/>
  <c r="C26" i="11"/>
  <c r="E25" i="11"/>
  <c r="C25" i="11"/>
  <c r="H24" i="11"/>
  <c r="C24" i="11" s="1"/>
  <c r="H23" i="11"/>
  <c r="C23" i="11" s="1"/>
  <c r="J17" i="11"/>
  <c r="J16" i="11"/>
  <c r="J15" i="11"/>
  <c r="G13" i="11"/>
  <c r="F13" i="11"/>
  <c r="H12" i="11"/>
  <c r="M138" i="2" s="1"/>
  <c r="F8" i="11"/>
  <c r="E43" i="10"/>
  <c r="C43" i="10"/>
  <c r="E42" i="10"/>
  <c r="C42" i="10"/>
  <c r="E41" i="10"/>
  <c r="C41" i="10"/>
  <c r="E40" i="10"/>
  <c r="C40" i="10"/>
  <c r="E39" i="10"/>
  <c r="C39" i="10"/>
  <c r="E38" i="10"/>
  <c r="C38" i="10"/>
  <c r="E37" i="10"/>
  <c r="C37" i="10"/>
  <c r="E36" i="10"/>
  <c r="C36" i="10"/>
  <c r="E35" i="10"/>
  <c r="C35" i="10"/>
  <c r="E34" i="10"/>
  <c r="C34" i="10"/>
  <c r="E33" i="10"/>
  <c r="C33" i="10"/>
  <c r="E32" i="10"/>
  <c r="C32" i="10"/>
  <c r="E31" i="10"/>
  <c r="C31" i="10"/>
  <c r="E30" i="10"/>
  <c r="C30" i="10"/>
  <c r="E29" i="10"/>
  <c r="C29" i="10"/>
  <c r="E28" i="10"/>
  <c r="C28" i="10"/>
  <c r="E27" i="10"/>
  <c r="C27" i="10"/>
  <c r="H26" i="10"/>
  <c r="C26" i="10" s="1"/>
  <c r="H25" i="10"/>
  <c r="C25" i="10"/>
  <c r="H24" i="10"/>
  <c r="C24" i="10" s="1"/>
  <c r="H23" i="10"/>
  <c r="C23" i="10" s="1"/>
  <c r="J17" i="10"/>
  <c r="J16" i="10"/>
  <c r="J15" i="10"/>
  <c r="G13" i="10"/>
  <c r="F13" i="10"/>
  <c r="H12" i="10"/>
  <c r="M137" i="2" s="1"/>
  <c r="F8" i="10"/>
  <c r="J18" i="10" s="1"/>
  <c r="E42" i="8"/>
  <c r="C42" i="8"/>
  <c r="E41" i="8"/>
  <c r="C41" i="8"/>
  <c r="E40" i="8"/>
  <c r="C40" i="8"/>
  <c r="E39" i="8"/>
  <c r="C39" i="8"/>
  <c r="E38" i="8"/>
  <c r="C38" i="8"/>
  <c r="E37" i="8"/>
  <c r="C37" i="8"/>
  <c r="E36" i="8"/>
  <c r="C36" i="8"/>
  <c r="E35" i="8"/>
  <c r="C35" i="8"/>
  <c r="E34" i="8"/>
  <c r="C34" i="8"/>
  <c r="E33" i="8"/>
  <c r="C33" i="8"/>
  <c r="E32" i="8"/>
  <c r="C32" i="8"/>
  <c r="E31" i="8"/>
  <c r="C31" i="8"/>
  <c r="E30" i="8"/>
  <c r="C30" i="8"/>
  <c r="E29" i="8"/>
  <c r="C29" i="8"/>
  <c r="E28" i="8"/>
  <c r="C28" i="8"/>
  <c r="E27" i="8"/>
  <c r="C27" i="8"/>
  <c r="E26" i="8"/>
  <c r="C26" i="8"/>
  <c r="H25" i="8"/>
  <c r="C25" i="8" s="1"/>
  <c r="H24" i="8"/>
  <c r="C24" i="8" s="1"/>
  <c r="H23" i="8"/>
  <c r="C23" i="8" s="1"/>
  <c r="J17" i="8"/>
  <c r="J16" i="8"/>
  <c r="J15" i="8"/>
  <c r="G13" i="8"/>
  <c r="F13" i="8"/>
  <c r="H12" i="8"/>
  <c r="M10" i="54" s="1"/>
  <c r="F8" i="8"/>
  <c r="I134" i="2" s="1"/>
  <c r="W134" i="2" s="1"/>
  <c r="F12" i="11"/>
  <c r="J13" i="11" s="1"/>
  <c r="I158" i="2"/>
  <c r="W158" i="2" s="1"/>
  <c r="F12" i="8"/>
  <c r="J13" i="8" s="1"/>
  <c r="J19" i="11"/>
  <c r="I56" i="54"/>
  <c r="F12" i="15"/>
  <c r="J13" i="15" s="1"/>
  <c r="M36" i="54"/>
  <c r="M145" i="2"/>
  <c r="H139" i="2"/>
  <c r="V139" i="2" s="1"/>
  <c r="H13" i="54"/>
  <c r="W138" i="2"/>
  <c r="K58" i="54"/>
  <c r="J13" i="49"/>
  <c r="F12" i="13"/>
  <c r="J13" i="13" s="1"/>
  <c r="M35" i="54"/>
  <c r="M141" i="2"/>
  <c r="J12" i="14"/>
  <c r="I23" i="54"/>
  <c r="I144" i="2"/>
  <c r="W144" i="2" s="1"/>
  <c r="F12" i="16"/>
  <c r="J13" i="16" s="1"/>
  <c r="M37" i="54"/>
  <c r="M146" i="2"/>
  <c r="K168" i="2"/>
  <c r="I10" i="54"/>
  <c r="F9" i="11"/>
  <c r="G9" i="11" s="1"/>
  <c r="F12" i="12"/>
  <c r="J13" i="12" s="1"/>
  <c r="M140" i="2"/>
  <c r="I141" i="2"/>
  <c r="W141" i="2" s="1"/>
  <c r="J19" i="16"/>
  <c r="I37" i="54"/>
  <c r="I146" i="2"/>
  <c r="W146" i="2" s="1"/>
  <c r="J17" i="20"/>
  <c r="H136" i="2"/>
  <c r="V136" i="2" s="1"/>
  <c r="I137" i="2"/>
  <c r="W137" i="2" s="1"/>
  <c r="F12" i="32"/>
  <c r="J13" i="32" s="1"/>
  <c r="I9" i="35"/>
  <c r="I9" i="40"/>
  <c r="K46" i="54"/>
  <c r="K166" i="2"/>
  <c r="F11" i="40"/>
  <c r="L166" i="2" s="1"/>
  <c r="F11" i="33"/>
  <c r="J19" i="32"/>
  <c r="F11" i="27"/>
  <c r="F11" i="23"/>
  <c r="L148" i="2" s="1"/>
  <c r="E31" i="14"/>
  <c r="E27" i="14"/>
  <c r="H23" i="20"/>
  <c r="C23" i="20" s="1"/>
  <c r="H26" i="20"/>
  <c r="C26" i="20" s="1"/>
  <c r="G13" i="20"/>
  <c r="H32" i="18"/>
  <c r="C32" i="18" s="1"/>
  <c r="H12" i="17"/>
  <c r="H23" i="17"/>
  <c r="H24" i="17"/>
  <c r="C24" i="17" s="1"/>
  <c r="H25" i="17"/>
  <c r="C25" i="17" s="1"/>
  <c r="G13" i="17"/>
  <c r="F8" i="17"/>
  <c r="I34" i="54" s="1"/>
  <c r="F13" i="17"/>
  <c r="F9" i="16"/>
  <c r="G9" i="16" s="1"/>
  <c r="J18" i="16"/>
  <c r="J12" i="16"/>
  <c r="F11" i="16" s="1"/>
  <c r="C28" i="16"/>
  <c r="E39" i="15"/>
  <c r="E28" i="15"/>
  <c r="E32" i="15"/>
  <c r="C30" i="15"/>
  <c r="E34" i="15"/>
  <c r="E38" i="15"/>
  <c r="E36" i="15"/>
  <c r="C29" i="15"/>
  <c r="C40" i="15"/>
  <c r="F10" i="15"/>
  <c r="C30" i="14"/>
  <c r="E32" i="14"/>
  <c r="F9" i="14"/>
  <c r="G9" i="14" s="1"/>
  <c r="J19" i="14"/>
  <c r="E28" i="14"/>
  <c r="E36" i="14"/>
  <c r="E29" i="14"/>
  <c r="E37" i="14"/>
  <c r="J18" i="14"/>
  <c r="E27" i="13"/>
  <c r="F10" i="13"/>
  <c r="J18" i="11"/>
  <c r="F10" i="11"/>
  <c r="J12" i="11"/>
  <c r="F11" i="11" s="1"/>
  <c r="L56" i="54" s="1"/>
  <c r="J19" i="10"/>
  <c r="F9" i="10"/>
  <c r="G9" i="10" s="1"/>
  <c r="J12" i="10"/>
  <c r="F11" i="10" s="1"/>
  <c r="F9" i="8"/>
  <c r="G9" i="8" s="1"/>
  <c r="J18" i="8"/>
  <c r="J12" i="8"/>
  <c r="F11" i="8" s="1"/>
  <c r="F10" i="8"/>
  <c r="E43" i="4"/>
  <c r="E42" i="4"/>
  <c r="E41" i="4"/>
  <c r="E40" i="4"/>
  <c r="E39" i="4"/>
  <c r="E38" i="4"/>
  <c r="E37" i="4"/>
  <c r="E36" i="4"/>
  <c r="E35" i="4"/>
  <c r="E34" i="4"/>
  <c r="L46" i="54"/>
  <c r="F12" i="17"/>
  <c r="F10" i="17" s="1"/>
  <c r="M34" i="54"/>
  <c r="M135" i="2"/>
  <c r="F10" i="12"/>
  <c r="L42" i="54"/>
  <c r="L159" i="2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43" i="4"/>
  <c r="C42" i="4"/>
  <c r="C41" i="4"/>
  <c r="C40" i="4"/>
  <c r="C39" i="4"/>
  <c r="C38" i="4"/>
  <c r="C37" i="4"/>
  <c r="C36" i="4"/>
  <c r="C35" i="4"/>
  <c r="C34" i="4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J13" i="17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N11" i="5"/>
  <c r="N10" i="5"/>
  <c r="F10" i="3"/>
  <c r="F9" i="3"/>
  <c r="F8" i="3"/>
  <c r="F7" i="3"/>
  <c r="F6" i="3"/>
  <c r="F5" i="3"/>
  <c r="F12" i="3"/>
  <c r="F13" i="3"/>
  <c r="F14" i="3"/>
  <c r="F15" i="3"/>
  <c r="F16" i="3"/>
  <c r="F17" i="3"/>
  <c r="F11" i="3"/>
  <c r="L24" i="5"/>
  <c r="L25" i="5"/>
  <c r="L26" i="5"/>
  <c r="L27" i="5"/>
  <c r="L28" i="5"/>
  <c r="L29" i="5"/>
  <c r="L23" i="5"/>
  <c r="F7" i="4"/>
  <c r="F18" i="4" s="1"/>
  <c r="J17" i="4" s="1"/>
  <c r="J16" i="5"/>
  <c r="J15" i="5"/>
  <c r="K24" i="4"/>
  <c r="K25" i="4"/>
  <c r="K26" i="4"/>
  <c r="K27" i="4"/>
  <c r="K28" i="4"/>
  <c r="K29" i="4"/>
  <c r="K30" i="4"/>
  <c r="K31" i="4"/>
  <c r="K32" i="4"/>
  <c r="K33" i="4"/>
  <c r="K23" i="4"/>
  <c r="J16" i="4"/>
  <c r="J15" i="4"/>
  <c r="H24" i="1"/>
  <c r="C24" i="1" s="1"/>
  <c r="H25" i="1"/>
  <c r="C25" i="1" s="1"/>
  <c r="H26" i="1"/>
  <c r="C26" i="1" s="1"/>
  <c r="H23" i="1"/>
  <c r="C23" i="1" s="1"/>
  <c r="G13" i="1"/>
  <c r="F13" i="1"/>
  <c r="F8" i="1"/>
  <c r="J19" i="1" s="1"/>
  <c r="H12" i="1"/>
  <c r="F12" i="1" s="1"/>
  <c r="J16" i="1"/>
  <c r="J15" i="1"/>
  <c r="F18" i="1"/>
  <c r="J17" i="1" s="1"/>
  <c r="J12" i="1"/>
  <c r="F9" i="1"/>
  <c r="G9" i="1" s="1"/>
  <c r="I9" i="1" s="1"/>
  <c r="F18" i="5"/>
  <c r="J17" i="5" s="1"/>
  <c r="K54" i="99" l="1"/>
  <c r="K127" i="2"/>
  <c r="I9" i="56"/>
  <c r="F8" i="74"/>
  <c r="F9" i="74" s="1"/>
  <c r="G9" i="74" s="1"/>
  <c r="K216" i="99" s="1"/>
  <c r="H23" i="29"/>
  <c r="C23" i="29" s="1"/>
  <c r="H31" i="29"/>
  <c r="C31" i="29" s="1"/>
  <c r="H23" i="31"/>
  <c r="L31" i="59"/>
  <c r="G13" i="59" s="1"/>
  <c r="F8" i="60"/>
  <c r="H29" i="18"/>
  <c r="C29" i="18" s="1"/>
  <c r="H24" i="19"/>
  <c r="C24" i="19" s="1"/>
  <c r="C27" i="25"/>
  <c r="E27" i="41"/>
  <c r="H29" i="74"/>
  <c r="C29" i="74" s="1"/>
  <c r="M134" i="2"/>
  <c r="H25" i="44"/>
  <c r="C25" i="44" s="1"/>
  <c r="H34" i="44"/>
  <c r="C34" i="44" s="1"/>
  <c r="H12" i="48"/>
  <c r="F12" i="48" s="1"/>
  <c r="H12" i="60"/>
  <c r="H34" i="60"/>
  <c r="C34" i="60" s="1"/>
  <c r="J12" i="17"/>
  <c r="F11" i="45"/>
  <c r="F8" i="5"/>
  <c r="J19" i="5" s="1"/>
  <c r="F8" i="39"/>
  <c r="J18" i="39" s="1"/>
  <c r="L29" i="59"/>
  <c r="F9" i="73"/>
  <c r="G9" i="73" s="1"/>
  <c r="I9" i="73" s="1"/>
  <c r="K48" i="54"/>
  <c r="I9" i="45"/>
  <c r="F10" i="30"/>
  <c r="J13" i="30"/>
  <c r="C23" i="31"/>
  <c r="N12" i="31"/>
  <c r="M50" i="54"/>
  <c r="I9" i="33"/>
  <c r="K42" i="54"/>
  <c r="K159" i="2"/>
  <c r="K146" i="2"/>
  <c r="K37" i="54"/>
  <c r="I9" i="16"/>
  <c r="F10" i="26"/>
  <c r="J13" i="26"/>
  <c r="L37" i="54"/>
  <c r="L146" i="2"/>
  <c r="J12" i="39"/>
  <c r="G13" i="63"/>
  <c r="H27" i="18"/>
  <c r="C27" i="18" s="1"/>
  <c r="J12" i="32"/>
  <c r="F9" i="46"/>
  <c r="G9" i="46" s="1"/>
  <c r="K49" i="54" s="1"/>
  <c r="H142" i="2"/>
  <c r="V142" i="2" s="1"/>
  <c r="Z131" i="2" s="1"/>
  <c r="I49" i="54"/>
  <c r="H30" i="29"/>
  <c r="C30" i="29" s="1"/>
  <c r="G13" i="29"/>
  <c r="H27" i="31"/>
  <c r="C27" i="31" s="1"/>
  <c r="G13" i="38"/>
  <c r="H28" i="38"/>
  <c r="C28" i="38" s="1"/>
  <c r="H28" i="39"/>
  <c r="C28" i="39" s="1"/>
  <c r="H25" i="39"/>
  <c r="C25" i="39" s="1"/>
  <c r="H12" i="44"/>
  <c r="M171" i="2" s="1"/>
  <c r="G13" i="44"/>
  <c r="H23" i="44"/>
  <c r="C23" i="44" s="1"/>
  <c r="H25" i="46"/>
  <c r="C25" i="46" s="1"/>
  <c r="F13" i="48"/>
  <c r="M156" i="2"/>
  <c r="F12" i="43"/>
  <c r="J12" i="55"/>
  <c r="K53" i="59"/>
  <c r="L30" i="59"/>
  <c r="J12" i="70"/>
  <c r="F11" i="70" s="1"/>
  <c r="L180" i="99" s="1"/>
  <c r="E28" i="35"/>
  <c r="F13" i="19"/>
  <c r="J18" i="32"/>
  <c r="J19" i="46"/>
  <c r="F13" i="18"/>
  <c r="H26" i="29"/>
  <c r="C26" i="29" s="1"/>
  <c r="H33" i="29"/>
  <c r="C33" i="29" s="1"/>
  <c r="H24" i="31"/>
  <c r="C24" i="31" s="1"/>
  <c r="J13" i="36"/>
  <c r="F11" i="36" s="1"/>
  <c r="H30" i="38"/>
  <c r="C30" i="38" s="1"/>
  <c r="H25" i="38"/>
  <c r="C25" i="38" s="1"/>
  <c r="H23" i="39"/>
  <c r="C23" i="39" s="1"/>
  <c r="J12" i="41"/>
  <c r="H30" i="44"/>
  <c r="C30" i="44" s="1"/>
  <c r="F8" i="44"/>
  <c r="F13" i="46"/>
  <c r="H23" i="48"/>
  <c r="C23" i="48" s="1"/>
  <c r="M16" i="54"/>
  <c r="F9" i="55"/>
  <c r="G9" i="55" s="1"/>
  <c r="M126" i="2"/>
  <c r="M125" i="2"/>
  <c r="F13" i="74"/>
  <c r="F10" i="16"/>
  <c r="H27" i="19"/>
  <c r="C27" i="19" s="1"/>
  <c r="J12" i="46"/>
  <c r="M155" i="2"/>
  <c r="J12" i="22"/>
  <c r="F11" i="22" s="1"/>
  <c r="J12" i="28"/>
  <c r="F11" i="28" s="1"/>
  <c r="F13" i="29"/>
  <c r="G13" i="31"/>
  <c r="H12" i="38"/>
  <c r="F12" i="38" s="1"/>
  <c r="H23" i="38"/>
  <c r="C23" i="38" s="1"/>
  <c r="H24" i="39"/>
  <c r="C24" i="39" s="1"/>
  <c r="J18" i="41"/>
  <c r="H26" i="44"/>
  <c r="C26" i="44" s="1"/>
  <c r="H23" i="46"/>
  <c r="C23" i="46" s="1"/>
  <c r="G13" i="48"/>
  <c r="M152" i="2"/>
  <c r="I47" i="54"/>
  <c r="I24" i="54"/>
  <c r="L25" i="59"/>
  <c r="H12" i="74"/>
  <c r="F13" i="4"/>
  <c r="J12" i="12"/>
  <c r="F11" i="12" s="1"/>
  <c r="E33" i="14"/>
  <c r="J12" i="15"/>
  <c r="F11" i="15" s="1"/>
  <c r="L36" i="54" s="1"/>
  <c r="H26" i="19"/>
  <c r="C26" i="19" s="1"/>
  <c r="J18" i="46"/>
  <c r="M25" i="54"/>
  <c r="J19" i="22"/>
  <c r="H32" i="29"/>
  <c r="C32" i="29" s="1"/>
  <c r="H29" i="29"/>
  <c r="C29" i="29" s="1"/>
  <c r="H29" i="31"/>
  <c r="C29" i="31" s="1"/>
  <c r="H31" i="38"/>
  <c r="C31" i="38" s="1"/>
  <c r="H12" i="39"/>
  <c r="G13" i="39"/>
  <c r="J13" i="40"/>
  <c r="F9" i="41"/>
  <c r="G9" i="41" s="1"/>
  <c r="F13" i="44"/>
  <c r="H31" i="44"/>
  <c r="C31" i="44" s="1"/>
  <c r="H12" i="46"/>
  <c r="F8" i="48"/>
  <c r="H33" i="44"/>
  <c r="C33" i="44" s="1"/>
  <c r="I154" i="2"/>
  <c r="W154" i="2" s="1"/>
  <c r="J18" i="28"/>
  <c r="C31" i="41"/>
  <c r="L24" i="59"/>
  <c r="L23" i="59"/>
  <c r="C31" i="67"/>
  <c r="J18" i="12"/>
  <c r="I145" i="2"/>
  <c r="W145" i="2" s="1"/>
  <c r="H28" i="29"/>
  <c r="C28" i="29" s="1"/>
  <c r="H25" i="29"/>
  <c r="C25" i="29" s="1"/>
  <c r="F13" i="31"/>
  <c r="H25" i="31"/>
  <c r="C25" i="31" s="1"/>
  <c r="H27" i="38"/>
  <c r="C27" i="38" s="1"/>
  <c r="H30" i="39"/>
  <c r="C30" i="39" s="1"/>
  <c r="H31" i="39"/>
  <c r="C31" i="39" s="1"/>
  <c r="H24" i="46"/>
  <c r="C24" i="46" s="1"/>
  <c r="C33" i="24"/>
  <c r="L32" i="59"/>
  <c r="L26" i="59"/>
  <c r="J18" i="15"/>
  <c r="M12" i="54"/>
  <c r="I36" i="54"/>
  <c r="G13" i="19"/>
  <c r="F13" i="20"/>
  <c r="F9" i="22"/>
  <c r="G9" i="22" s="1"/>
  <c r="K147" i="2" s="1"/>
  <c r="J19" i="28"/>
  <c r="F8" i="29"/>
  <c r="F8" i="31"/>
  <c r="H12" i="31"/>
  <c r="M157" i="2" s="1"/>
  <c r="H26" i="38"/>
  <c r="C26" i="38" s="1"/>
  <c r="H24" i="38"/>
  <c r="C24" i="38" s="1"/>
  <c r="H26" i="39"/>
  <c r="C26" i="39" s="1"/>
  <c r="H27" i="39"/>
  <c r="C27" i="39" s="1"/>
  <c r="E29" i="41"/>
  <c r="H32" i="44"/>
  <c r="C32" i="44" s="1"/>
  <c r="H29" i="44"/>
  <c r="C29" i="44" s="1"/>
  <c r="J18" i="52"/>
  <c r="M41" i="54"/>
  <c r="I148" i="2"/>
  <c r="W148" i="2" s="1"/>
  <c r="X148" i="2" s="1"/>
  <c r="I38" i="54"/>
  <c r="E28" i="25"/>
  <c r="C27" i="27"/>
  <c r="L27" i="59"/>
  <c r="C32" i="67"/>
  <c r="F9" i="70"/>
  <c r="G9" i="70" s="1"/>
  <c r="K180" i="99" s="1"/>
  <c r="F9" i="12"/>
  <c r="G9" i="12" s="1"/>
  <c r="I9" i="12" s="1"/>
  <c r="F9" i="15"/>
  <c r="G9" i="15" s="1"/>
  <c r="I9" i="15" s="1"/>
  <c r="F12" i="10"/>
  <c r="H27" i="29"/>
  <c r="C27" i="29" s="1"/>
  <c r="H28" i="31"/>
  <c r="C28" i="31" s="1"/>
  <c r="F8" i="38"/>
  <c r="F13" i="39"/>
  <c r="H28" i="44"/>
  <c r="C28" i="44" s="1"/>
  <c r="I147" i="2"/>
  <c r="W147" i="2" s="1"/>
  <c r="X147" i="2" s="1"/>
  <c r="L28" i="59"/>
  <c r="H25" i="63"/>
  <c r="C25" i="63" s="1"/>
  <c r="K40" i="54"/>
  <c r="I9" i="24"/>
  <c r="J18" i="1"/>
  <c r="F10" i="32"/>
  <c r="J19" i="8"/>
  <c r="F11" i="25"/>
  <c r="J12" i="67"/>
  <c r="J19" i="67"/>
  <c r="J19" i="70"/>
  <c r="E35" i="14"/>
  <c r="H34" i="54"/>
  <c r="F9" i="32"/>
  <c r="G9" i="32" s="1"/>
  <c r="K158" i="2" s="1"/>
  <c r="H30" i="4"/>
  <c r="C30" i="4" s="1"/>
  <c r="H29" i="5"/>
  <c r="C29" i="5" s="1"/>
  <c r="F13" i="5"/>
  <c r="H28" i="18"/>
  <c r="C28" i="18" s="1"/>
  <c r="H30" i="19"/>
  <c r="C30" i="19" s="1"/>
  <c r="H29" i="58"/>
  <c r="C29" i="58" s="1"/>
  <c r="H34" i="63"/>
  <c r="C34" i="63" s="1"/>
  <c r="F9" i="67"/>
  <c r="G9" i="67" s="1"/>
  <c r="C27" i="67"/>
  <c r="J12" i="73"/>
  <c r="F11" i="73" s="1"/>
  <c r="L156" i="2"/>
  <c r="L41" i="54"/>
  <c r="L39" i="54"/>
  <c r="F9" i="17"/>
  <c r="G9" i="17" s="1"/>
  <c r="I135" i="2"/>
  <c r="W135" i="2" s="1"/>
  <c r="X135" i="2" s="1"/>
  <c r="J18" i="17"/>
  <c r="J19" i="17"/>
  <c r="C23" i="17"/>
  <c r="N12" i="17"/>
  <c r="L17" i="54"/>
  <c r="L153" i="2"/>
  <c r="L149" i="2"/>
  <c r="L40" i="54"/>
  <c r="I9" i="37"/>
  <c r="K163" i="2"/>
  <c r="K170" i="2"/>
  <c r="I9" i="43"/>
  <c r="K59" i="54"/>
  <c r="N72" i="178"/>
  <c r="L22" i="54"/>
  <c r="L70" i="54"/>
  <c r="J12" i="5"/>
  <c r="J18" i="5"/>
  <c r="H12" i="4"/>
  <c r="F12" i="4" s="1"/>
  <c r="F8" i="4"/>
  <c r="H23" i="5"/>
  <c r="N12" i="5" s="1"/>
  <c r="H25" i="5"/>
  <c r="C25" i="5" s="1"/>
  <c r="L16" i="54"/>
  <c r="K43" i="54"/>
  <c r="K161" i="2"/>
  <c r="K28" i="54"/>
  <c r="I9" i="42"/>
  <c r="I9" i="51"/>
  <c r="K132" i="2"/>
  <c r="K134" i="2"/>
  <c r="I9" i="8"/>
  <c r="K10" i="54"/>
  <c r="I9" i="46"/>
  <c r="K173" i="2"/>
  <c r="L147" i="2"/>
  <c r="L38" i="54"/>
  <c r="K39" i="54"/>
  <c r="K148" i="2"/>
  <c r="I9" i="23"/>
  <c r="F10" i="38"/>
  <c r="J13" i="38"/>
  <c r="C27" i="57"/>
  <c r="E27" i="57"/>
  <c r="G13" i="58"/>
  <c r="H25" i="58"/>
  <c r="C25" i="58" s="1"/>
  <c r="H12" i="58"/>
  <c r="F8" i="58"/>
  <c r="H28" i="58"/>
  <c r="C28" i="58" s="1"/>
  <c r="H23" i="58"/>
  <c r="C23" i="58" s="1"/>
  <c r="H27" i="58"/>
  <c r="C27" i="58" s="1"/>
  <c r="H26" i="58"/>
  <c r="C26" i="58" s="1"/>
  <c r="H12" i="61"/>
  <c r="M201" i="99" s="1"/>
  <c r="H23" i="61"/>
  <c r="C23" i="61" s="1"/>
  <c r="H25" i="61"/>
  <c r="C25" i="61" s="1"/>
  <c r="G13" i="61"/>
  <c r="F8" i="61"/>
  <c r="K236" i="99"/>
  <c r="K12" i="138"/>
  <c r="M38" i="99"/>
  <c r="M178" i="99"/>
  <c r="F12" i="72"/>
  <c r="H33" i="4"/>
  <c r="C33" i="4" s="1"/>
  <c r="J19" i="13"/>
  <c r="F10" i="14"/>
  <c r="H12" i="18"/>
  <c r="F8" i="18"/>
  <c r="H25" i="18"/>
  <c r="C25" i="18" s="1"/>
  <c r="F8" i="19"/>
  <c r="H23" i="19"/>
  <c r="C23" i="19" s="1"/>
  <c r="H12" i="20"/>
  <c r="H25" i="20"/>
  <c r="C25" i="20" s="1"/>
  <c r="H24" i="20"/>
  <c r="C24" i="20" s="1"/>
  <c r="F10" i="29"/>
  <c r="K172" i="2"/>
  <c r="M57" i="54"/>
  <c r="M26" i="54"/>
  <c r="K149" i="2"/>
  <c r="M164" i="2"/>
  <c r="K38" i="54"/>
  <c r="M56" i="54"/>
  <c r="E34" i="14"/>
  <c r="E31" i="15"/>
  <c r="F10" i="24"/>
  <c r="M168" i="2"/>
  <c r="F12" i="22"/>
  <c r="M147" i="2"/>
  <c r="M38" i="54"/>
  <c r="E34" i="24"/>
  <c r="E28" i="27"/>
  <c r="C28" i="27"/>
  <c r="E31" i="36"/>
  <c r="C31" i="36"/>
  <c r="M46" i="54"/>
  <c r="M166" i="2"/>
  <c r="E29" i="40"/>
  <c r="C29" i="40"/>
  <c r="M47" i="54"/>
  <c r="M167" i="2"/>
  <c r="F12" i="41"/>
  <c r="H24" i="48"/>
  <c r="C24" i="48" s="1"/>
  <c r="M33" i="54"/>
  <c r="M133" i="2"/>
  <c r="F12" i="50"/>
  <c r="F13" i="58"/>
  <c r="H31" i="60"/>
  <c r="C31" i="60" s="1"/>
  <c r="F13" i="60"/>
  <c r="H24" i="60"/>
  <c r="C24" i="60" s="1"/>
  <c r="H32" i="60"/>
  <c r="C32" i="60" s="1"/>
  <c r="G13" i="60"/>
  <c r="H23" i="60"/>
  <c r="C23" i="60" s="1"/>
  <c r="H30" i="60"/>
  <c r="C30" i="60" s="1"/>
  <c r="H25" i="60"/>
  <c r="C25" i="60" s="1"/>
  <c r="H29" i="60"/>
  <c r="C29" i="60" s="1"/>
  <c r="H33" i="60"/>
  <c r="C33" i="60" s="1"/>
  <c r="H24" i="61"/>
  <c r="C24" i="61" s="1"/>
  <c r="I39" i="99"/>
  <c r="W39" i="99" s="1"/>
  <c r="X39" i="99" s="1"/>
  <c r="I179" i="99"/>
  <c r="W179" i="99" s="1"/>
  <c r="X179" i="99" s="1"/>
  <c r="J18" i="71"/>
  <c r="M216" i="99"/>
  <c r="F12" i="74"/>
  <c r="I36" i="99"/>
  <c r="W36" i="99" s="1"/>
  <c r="I216" i="99"/>
  <c r="W216" i="99" s="1"/>
  <c r="J12" i="74"/>
  <c r="H31" i="74"/>
  <c r="C31" i="74" s="1"/>
  <c r="H25" i="74"/>
  <c r="C25" i="74" s="1"/>
  <c r="G13" i="74"/>
  <c r="H26" i="74"/>
  <c r="C26" i="74" s="1"/>
  <c r="H23" i="74"/>
  <c r="C23" i="74" s="1"/>
  <c r="H33" i="74"/>
  <c r="C33" i="74" s="1"/>
  <c r="F12" i="35"/>
  <c r="M161" i="2"/>
  <c r="M43" i="54"/>
  <c r="J19" i="49"/>
  <c r="I160" i="2"/>
  <c r="W160" i="2" s="1"/>
  <c r="X160" i="2" s="1"/>
  <c r="I48" i="99"/>
  <c r="W48" i="99" s="1"/>
  <c r="I200" i="99"/>
  <c r="W200" i="99" s="1"/>
  <c r="J18" i="60"/>
  <c r="I121" i="2"/>
  <c r="W121" i="2" s="1"/>
  <c r="X121" i="2" s="1"/>
  <c r="J19" i="60"/>
  <c r="H29" i="63"/>
  <c r="C29" i="63" s="1"/>
  <c r="I38" i="99"/>
  <c r="W38" i="99" s="1"/>
  <c r="X38" i="99" s="1"/>
  <c r="I178" i="99"/>
  <c r="W178" i="99" s="1"/>
  <c r="X178" i="99" s="1"/>
  <c r="J12" i="72"/>
  <c r="F11" i="17"/>
  <c r="J12" i="13"/>
  <c r="F11" i="13" s="1"/>
  <c r="L35" i="54" s="1"/>
  <c r="E28" i="13"/>
  <c r="C33" i="15"/>
  <c r="C35" i="15"/>
  <c r="H33" i="18"/>
  <c r="C33" i="18" s="1"/>
  <c r="H30" i="18"/>
  <c r="C30" i="18" s="1"/>
  <c r="H31" i="18"/>
  <c r="C31" i="18" s="1"/>
  <c r="H23" i="18"/>
  <c r="C23" i="18" s="1"/>
  <c r="H25" i="19"/>
  <c r="C25" i="19" s="1"/>
  <c r="H31" i="19"/>
  <c r="C31" i="19" s="1"/>
  <c r="F8" i="20"/>
  <c r="F12" i="31"/>
  <c r="F9" i="13"/>
  <c r="G9" i="13" s="1"/>
  <c r="M44" i="54"/>
  <c r="I9" i="22"/>
  <c r="H24" i="18"/>
  <c r="C24" i="18" s="1"/>
  <c r="I12" i="54"/>
  <c r="E37" i="15"/>
  <c r="C27" i="15"/>
  <c r="F9" i="49"/>
  <c r="G9" i="49" s="1"/>
  <c r="I18" i="54"/>
  <c r="I152" i="2"/>
  <c r="W152" i="2" s="1"/>
  <c r="J19" i="26"/>
  <c r="J19" i="27"/>
  <c r="I17" i="54"/>
  <c r="I153" i="2"/>
  <c r="W153" i="2" s="1"/>
  <c r="X153" i="2" s="1"/>
  <c r="E27" i="50"/>
  <c r="C27" i="50"/>
  <c r="M9" i="54"/>
  <c r="F12" i="51"/>
  <c r="J18" i="53"/>
  <c r="F9" i="53"/>
  <c r="G9" i="53" s="1"/>
  <c r="I9" i="53" s="1"/>
  <c r="J12" i="53"/>
  <c r="J13" i="57"/>
  <c r="F11" i="57" s="1"/>
  <c r="H24" i="58"/>
  <c r="C24" i="58" s="1"/>
  <c r="J53" i="59"/>
  <c r="F7" i="59"/>
  <c r="H33" i="63"/>
  <c r="C33" i="63" s="1"/>
  <c r="H26" i="63"/>
  <c r="C26" i="63" s="1"/>
  <c r="H30" i="63"/>
  <c r="C30" i="63" s="1"/>
  <c r="I46" i="99"/>
  <c r="W46" i="99" s="1"/>
  <c r="X46" i="99" s="1"/>
  <c r="I218" i="99"/>
  <c r="W218" i="99" s="1"/>
  <c r="K19" i="64"/>
  <c r="J19" i="64"/>
  <c r="J18" i="64"/>
  <c r="I119" i="2"/>
  <c r="W119" i="2" s="1"/>
  <c r="X119" i="2" s="1"/>
  <c r="F9" i="64"/>
  <c r="G9" i="64" s="1"/>
  <c r="F9" i="71"/>
  <c r="G9" i="71" s="1"/>
  <c r="K179" i="99" s="1"/>
  <c r="H28" i="74"/>
  <c r="C28" i="74" s="1"/>
  <c r="H24" i="74"/>
  <c r="C24" i="74" s="1"/>
  <c r="H158" i="2"/>
  <c r="V158" i="2" s="1"/>
  <c r="Z152" i="2" s="1"/>
  <c r="H57" i="54"/>
  <c r="E29" i="35"/>
  <c r="C29" i="35"/>
  <c r="M54" i="99"/>
  <c r="M127" i="2"/>
  <c r="F12" i="56"/>
  <c r="J12" i="60"/>
  <c r="H50" i="99"/>
  <c r="V50" i="99" s="1"/>
  <c r="H201" i="99"/>
  <c r="V201" i="99" s="1"/>
  <c r="F10" i="62"/>
  <c r="J13" i="62"/>
  <c r="F11" i="62" s="1"/>
  <c r="M43" i="99"/>
  <c r="M236" i="99"/>
  <c r="M12" i="138"/>
  <c r="M42" i="99"/>
  <c r="M217" i="99"/>
  <c r="H29" i="4"/>
  <c r="C29" i="4" s="1"/>
  <c r="J18" i="13"/>
  <c r="G13" i="18"/>
  <c r="H26" i="18"/>
  <c r="C26" i="18" s="1"/>
  <c r="H12" i="19"/>
  <c r="H28" i="19"/>
  <c r="C28" i="19" s="1"/>
  <c r="H29" i="19"/>
  <c r="C29" i="19" s="1"/>
  <c r="F11" i="32"/>
  <c r="F11" i="14"/>
  <c r="J12" i="49"/>
  <c r="F11" i="49" s="1"/>
  <c r="F12" i="42"/>
  <c r="E29" i="42"/>
  <c r="C29" i="42"/>
  <c r="I172" i="2"/>
  <c r="W172" i="2" s="1"/>
  <c r="X172" i="2" s="1"/>
  <c r="I48" i="54"/>
  <c r="J19" i="45"/>
  <c r="K55" i="99"/>
  <c r="K220" i="99"/>
  <c r="I9" i="55"/>
  <c r="K128" i="2"/>
  <c r="K53" i="99"/>
  <c r="K219" i="99"/>
  <c r="K126" i="2"/>
  <c r="M48" i="99"/>
  <c r="M200" i="99"/>
  <c r="K52" i="99"/>
  <c r="K237" i="99"/>
  <c r="K13" i="138"/>
  <c r="K125" i="2"/>
  <c r="I9" i="62"/>
  <c r="H31" i="63"/>
  <c r="C31" i="63" s="1"/>
  <c r="H24" i="63"/>
  <c r="C24" i="63" s="1"/>
  <c r="H32" i="63"/>
  <c r="C32" i="63" s="1"/>
  <c r="F8" i="63"/>
  <c r="H23" i="63"/>
  <c r="C23" i="63" s="1"/>
  <c r="H28" i="63"/>
  <c r="C28" i="63" s="1"/>
  <c r="H27" i="63"/>
  <c r="C27" i="63" s="1"/>
  <c r="H12" i="63"/>
  <c r="F13" i="63"/>
  <c r="H35" i="63"/>
  <c r="C35" i="63" s="1"/>
  <c r="M44" i="99"/>
  <c r="M198" i="99"/>
  <c r="F12" i="66"/>
  <c r="I44" i="99"/>
  <c r="W44" i="99" s="1"/>
  <c r="X44" i="99" s="1"/>
  <c r="I198" i="99"/>
  <c r="W198" i="99" s="1"/>
  <c r="X198" i="99" s="1"/>
  <c r="J12" i="66"/>
  <c r="F9" i="72"/>
  <c r="G9" i="72" s="1"/>
  <c r="K178" i="99" s="1"/>
  <c r="J13" i="73"/>
  <c r="F10" i="73"/>
  <c r="I80" i="178"/>
  <c r="M72" i="178"/>
  <c r="M55" i="99"/>
  <c r="M220" i="99"/>
  <c r="H28" i="60"/>
  <c r="C28" i="60" s="1"/>
  <c r="H27" i="60"/>
  <c r="C27" i="60" s="1"/>
  <c r="M46" i="99"/>
  <c r="M218" i="99"/>
  <c r="I43" i="99"/>
  <c r="W43" i="99" s="1"/>
  <c r="X43" i="99" s="1"/>
  <c r="I236" i="99"/>
  <c r="W236" i="99" s="1"/>
  <c r="X236" i="99" s="1"/>
  <c r="I12" i="138"/>
  <c r="W12" i="138" s="1"/>
  <c r="X12" i="138" s="1"/>
  <c r="I42" i="99"/>
  <c r="W42" i="99" s="1"/>
  <c r="X42" i="99" s="1"/>
  <c r="I217" i="99"/>
  <c r="W217" i="99" s="1"/>
  <c r="X217" i="99" s="1"/>
  <c r="M41" i="99"/>
  <c r="M197" i="99"/>
  <c r="I41" i="99"/>
  <c r="W41" i="99" s="1"/>
  <c r="X41" i="99" s="1"/>
  <c r="I197" i="99"/>
  <c r="W197" i="99" s="1"/>
  <c r="X197" i="99" s="1"/>
  <c r="H32" i="74"/>
  <c r="C32" i="74" s="1"/>
  <c r="H30" i="74"/>
  <c r="C30" i="74" s="1"/>
  <c r="L107" i="2"/>
  <c r="I55" i="99"/>
  <c r="I220" i="99"/>
  <c r="W220" i="99" s="1"/>
  <c r="X220" i="99" s="1"/>
  <c r="M53" i="99"/>
  <c r="M219" i="99"/>
  <c r="H48" i="99"/>
  <c r="V48" i="99" s="1"/>
  <c r="H200" i="99"/>
  <c r="V200" i="99" s="1"/>
  <c r="I52" i="99"/>
  <c r="W52" i="99" s="1"/>
  <c r="X52" i="99" s="1"/>
  <c r="I237" i="99"/>
  <c r="W237" i="99" s="1"/>
  <c r="X237" i="99" s="1"/>
  <c r="I13" i="138"/>
  <c r="W13" i="138" s="1"/>
  <c r="X13" i="138" s="1"/>
  <c r="H47" i="99"/>
  <c r="V47" i="99" s="1"/>
  <c r="H199" i="99"/>
  <c r="V199" i="99" s="1"/>
  <c r="M40" i="99"/>
  <c r="M180" i="99"/>
  <c r="M39" i="99"/>
  <c r="M179" i="99"/>
  <c r="M37" i="99"/>
  <c r="M177" i="99"/>
  <c r="H36" i="99"/>
  <c r="V36" i="99" s="1"/>
  <c r="H216" i="99"/>
  <c r="V216" i="99" s="1"/>
  <c r="X216" i="99" s="1"/>
  <c r="L34" i="99"/>
  <c r="F13" i="32"/>
  <c r="F12" i="55"/>
  <c r="J19" i="56"/>
  <c r="I53" i="99"/>
  <c r="W53" i="99" s="1"/>
  <c r="X53" i="99" s="1"/>
  <c r="I219" i="99"/>
  <c r="W219" i="99" s="1"/>
  <c r="X219" i="99" s="1"/>
  <c r="H51" i="99"/>
  <c r="V51" i="99" s="1"/>
  <c r="H202" i="99"/>
  <c r="V202" i="99" s="1"/>
  <c r="F13" i="61"/>
  <c r="M52" i="99"/>
  <c r="M237" i="99"/>
  <c r="M13" i="138"/>
  <c r="F12" i="64"/>
  <c r="J13" i="64" s="1"/>
  <c r="F11" i="64" s="1"/>
  <c r="L218" i="99" s="1"/>
  <c r="F9" i="68"/>
  <c r="G9" i="68" s="1"/>
  <c r="K217" i="99" s="1"/>
  <c r="J19" i="68"/>
  <c r="F12" i="69"/>
  <c r="C27" i="69"/>
  <c r="I40" i="99"/>
  <c r="W40" i="99" s="1"/>
  <c r="X40" i="99" s="1"/>
  <c r="I180" i="99"/>
  <c r="W180" i="99" s="1"/>
  <c r="X180" i="99" s="1"/>
  <c r="E27" i="71"/>
  <c r="T142" i="2"/>
  <c r="T133" i="2"/>
  <c r="X129" i="2"/>
  <c r="H28" i="5"/>
  <c r="C28" i="5" s="1"/>
  <c r="G13" i="5"/>
  <c r="H24" i="5"/>
  <c r="C24" i="5" s="1"/>
  <c r="H26" i="5"/>
  <c r="C26" i="5" s="1"/>
  <c r="H27" i="5"/>
  <c r="C27" i="5" s="1"/>
  <c r="H12" i="5"/>
  <c r="F12" i="5" s="1"/>
  <c r="I9" i="10"/>
  <c r="K12" i="54"/>
  <c r="K137" i="2"/>
  <c r="I9" i="26"/>
  <c r="K16" i="54"/>
  <c r="K152" i="2"/>
  <c r="I9" i="36"/>
  <c r="K27" i="54"/>
  <c r="K162" i="2"/>
  <c r="I9" i="41"/>
  <c r="K47" i="54"/>
  <c r="H28" i="4"/>
  <c r="C28" i="4" s="1"/>
  <c r="H25" i="4"/>
  <c r="C25" i="4" s="1"/>
  <c r="H27" i="4"/>
  <c r="C27" i="4" s="1"/>
  <c r="H23" i="4"/>
  <c r="C23" i="4" s="1"/>
  <c r="H24" i="4"/>
  <c r="C24" i="4" s="1"/>
  <c r="H32" i="4"/>
  <c r="C32" i="4" s="1"/>
  <c r="H31" i="4"/>
  <c r="C31" i="4" s="1"/>
  <c r="H26" i="4"/>
  <c r="C26" i="4" s="1"/>
  <c r="L10" i="54"/>
  <c r="L134" i="2"/>
  <c r="L12" i="54"/>
  <c r="L137" i="2"/>
  <c r="I9" i="14"/>
  <c r="K23" i="54"/>
  <c r="K144" i="2"/>
  <c r="L144" i="2"/>
  <c r="L23" i="54"/>
  <c r="I9" i="27"/>
  <c r="K17" i="54"/>
  <c r="K153" i="2"/>
  <c r="I9" i="52"/>
  <c r="K70" i="54"/>
  <c r="K22" i="54"/>
  <c r="F9" i="5"/>
  <c r="G9" i="5" s="1"/>
  <c r="I9" i="5" s="1"/>
  <c r="G13" i="4"/>
  <c r="F10" i="1"/>
  <c r="J13" i="1"/>
  <c r="F11" i="1" s="1"/>
  <c r="I9" i="28"/>
  <c r="K24" i="54"/>
  <c r="K154" i="2"/>
  <c r="K133" i="2"/>
  <c r="I9" i="50"/>
  <c r="K33" i="54"/>
  <c r="I9" i="11"/>
  <c r="K56" i="54"/>
  <c r="K41" i="54"/>
  <c r="K156" i="2"/>
  <c r="I9" i="30"/>
  <c r="L163" i="2"/>
  <c r="L58" i="54"/>
  <c r="K18" i="54"/>
  <c r="K160" i="2"/>
  <c r="I9" i="49"/>
  <c r="M144" i="2"/>
  <c r="H24" i="32"/>
  <c r="C24" i="32" s="1"/>
  <c r="M123" i="2"/>
  <c r="K43" i="99"/>
  <c r="K116" i="2"/>
  <c r="I9" i="67"/>
  <c r="K36" i="99"/>
  <c r="K109" i="2"/>
  <c r="I9" i="74"/>
  <c r="L41" i="99"/>
  <c r="L114" i="2"/>
  <c r="K40" i="99"/>
  <c r="K113" i="2"/>
  <c r="I9" i="70"/>
  <c r="L40" i="99"/>
  <c r="L113" i="2"/>
  <c r="W55" i="99"/>
  <c r="X55" i="99" s="1"/>
  <c r="F12" i="60"/>
  <c r="H120" i="2"/>
  <c r="V120" i="2" s="1"/>
  <c r="M116" i="2"/>
  <c r="M114" i="2"/>
  <c r="F10" i="70"/>
  <c r="J19" i="72"/>
  <c r="I111" i="2"/>
  <c r="W111" i="2" s="1"/>
  <c r="X111" i="2" s="1"/>
  <c r="M36" i="99"/>
  <c r="M109" i="2"/>
  <c r="J18" i="74"/>
  <c r="F12" i="53"/>
  <c r="L125" i="2"/>
  <c r="M117" i="2"/>
  <c r="I116" i="2"/>
  <c r="W116" i="2" s="1"/>
  <c r="X116" i="2" s="1"/>
  <c r="C28" i="68"/>
  <c r="M115" i="2"/>
  <c r="J18" i="69"/>
  <c r="F9" i="69"/>
  <c r="G9" i="69" s="1"/>
  <c r="K197" i="99" s="1"/>
  <c r="J12" i="71"/>
  <c r="F12" i="71"/>
  <c r="M113" i="2"/>
  <c r="M112" i="2"/>
  <c r="J18" i="73"/>
  <c r="M110" i="2"/>
  <c r="J19" i="74"/>
  <c r="E28" i="55"/>
  <c r="M121" i="2"/>
  <c r="F9" i="66"/>
  <c r="G9" i="66" s="1"/>
  <c r="K198" i="99" s="1"/>
  <c r="J18" i="66"/>
  <c r="I117" i="2"/>
  <c r="W117" i="2" s="1"/>
  <c r="X117" i="2" s="1"/>
  <c r="C28" i="67"/>
  <c r="J12" i="68"/>
  <c r="F12" i="68"/>
  <c r="C27" i="68"/>
  <c r="I115" i="2"/>
  <c r="W115" i="2" s="1"/>
  <c r="X115" i="2" s="1"/>
  <c r="J19" i="69"/>
  <c r="I114" i="2"/>
  <c r="W114" i="2" s="1"/>
  <c r="X114" i="2" s="1"/>
  <c r="I113" i="2"/>
  <c r="W113" i="2" s="1"/>
  <c r="X113" i="2" s="1"/>
  <c r="I112" i="2"/>
  <c r="W112" i="2" s="1"/>
  <c r="X112" i="2" s="1"/>
  <c r="I109" i="2"/>
  <c r="W109" i="2" s="1"/>
  <c r="X109" i="2" s="1"/>
  <c r="J19" i="55"/>
  <c r="H124" i="2"/>
  <c r="V124" i="2" s="1"/>
  <c r="F9" i="60"/>
  <c r="G9" i="60" s="1"/>
  <c r="K200" i="99" s="1"/>
  <c r="H26" i="60"/>
  <c r="C26" i="60" s="1"/>
  <c r="H123" i="2"/>
  <c r="V123" i="2" s="1"/>
  <c r="J18" i="62"/>
  <c r="M119" i="2"/>
  <c r="J19" i="66"/>
  <c r="F12" i="67"/>
  <c r="J19" i="71"/>
  <c r="J18" i="72"/>
  <c r="M111" i="2"/>
  <c r="X36" i="99"/>
  <c r="H61" i="54"/>
  <c r="X140" i="2"/>
  <c r="X131" i="2"/>
  <c r="X161" i="2"/>
  <c r="X134" i="2"/>
  <c r="X110" i="2"/>
  <c r="X145" i="2"/>
  <c r="X159" i="2"/>
  <c r="X149" i="2"/>
  <c r="X167" i="2"/>
  <c r="X168" i="2"/>
  <c r="X128" i="2"/>
  <c r="X125" i="2"/>
  <c r="X141" i="2"/>
  <c r="X137" i="2"/>
  <c r="X138" i="2"/>
  <c r="X162" i="2"/>
  <c r="X152" i="2"/>
  <c r="Z144" i="2"/>
  <c r="X146" i="2"/>
  <c r="X154" i="2"/>
  <c r="X170" i="2"/>
  <c r="Z170" i="2"/>
  <c r="X126" i="2"/>
  <c r="X144" i="2"/>
  <c r="X156" i="2"/>
  <c r="X163" i="2"/>
  <c r="X132" i="2"/>
  <c r="X127" i="2"/>
  <c r="X173" i="2"/>
  <c r="X133" i="2"/>
  <c r="X150" i="2"/>
  <c r="X166" i="2"/>
  <c r="I9" i="71" l="1"/>
  <c r="F9" i="39"/>
  <c r="G9" i="39" s="1"/>
  <c r="K112" i="2"/>
  <c r="X200" i="99"/>
  <c r="I165" i="2"/>
  <c r="W165" i="2" s="1"/>
  <c r="X165" i="2" s="1"/>
  <c r="L48" i="54"/>
  <c r="L172" i="2"/>
  <c r="K39" i="99"/>
  <c r="J19" i="39"/>
  <c r="M174" i="2"/>
  <c r="I45" i="54"/>
  <c r="L46" i="99"/>
  <c r="K57" i="54"/>
  <c r="H30" i="59"/>
  <c r="C30" i="59" s="1"/>
  <c r="L27" i="54"/>
  <c r="L162" i="2"/>
  <c r="M49" i="54"/>
  <c r="M173" i="2"/>
  <c r="F12" i="46"/>
  <c r="J13" i="48"/>
  <c r="F10" i="48"/>
  <c r="L24" i="54"/>
  <c r="L154" i="2"/>
  <c r="F10" i="43"/>
  <c r="J13" i="43"/>
  <c r="F11" i="43" s="1"/>
  <c r="J12" i="48"/>
  <c r="F11" i="48" s="1"/>
  <c r="J19" i="48"/>
  <c r="I174" i="2"/>
  <c r="W174" i="2" s="1"/>
  <c r="X174" i="2" s="1"/>
  <c r="H33" i="59"/>
  <c r="C33" i="59" s="1"/>
  <c r="J12" i="31"/>
  <c r="I26" i="54"/>
  <c r="J18" i="31"/>
  <c r="J19" i="31"/>
  <c r="F9" i="31"/>
  <c r="G9" i="31" s="1"/>
  <c r="I157" i="2"/>
  <c r="W157" i="2" s="1"/>
  <c r="X157" i="2" s="1"/>
  <c r="F8" i="59"/>
  <c r="I181" i="99" s="1"/>
  <c r="W181" i="99" s="1"/>
  <c r="H31" i="59"/>
  <c r="C31" i="59" s="1"/>
  <c r="H29" i="59"/>
  <c r="C29" i="59" s="1"/>
  <c r="F13" i="59"/>
  <c r="H28" i="59"/>
  <c r="C28" i="59" s="1"/>
  <c r="L145" i="2"/>
  <c r="I164" i="2"/>
  <c r="W164" i="2" s="1"/>
  <c r="X164" i="2" s="1"/>
  <c r="J18" i="38"/>
  <c r="J12" i="38"/>
  <c r="F11" i="38" s="1"/>
  <c r="I44" i="54"/>
  <c r="J19" i="38"/>
  <c r="F9" i="38"/>
  <c r="G9" i="38" s="1"/>
  <c r="F9" i="29"/>
  <c r="G9" i="29" s="1"/>
  <c r="J19" i="29"/>
  <c r="J18" i="29"/>
  <c r="I25" i="54"/>
  <c r="I155" i="2"/>
  <c r="W155" i="2" s="1"/>
  <c r="X155" i="2" s="1"/>
  <c r="J12" i="29"/>
  <c r="F11" i="29" s="1"/>
  <c r="H27" i="59"/>
  <c r="C27" i="59" s="1"/>
  <c r="H23" i="59"/>
  <c r="H12" i="59"/>
  <c r="M181" i="99" s="1"/>
  <c r="I9" i="68"/>
  <c r="I9" i="72"/>
  <c r="C23" i="5"/>
  <c r="K145" i="2"/>
  <c r="I50" i="54"/>
  <c r="X158" i="2"/>
  <c r="H24" i="59"/>
  <c r="C24" i="59" s="1"/>
  <c r="H32" i="59"/>
  <c r="C32" i="59" s="1"/>
  <c r="K115" i="2"/>
  <c r="K111" i="2"/>
  <c r="K36" i="54"/>
  <c r="J18" i="48"/>
  <c r="M29" i="54"/>
  <c r="F12" i="44"/>
  <c r="H25" i="59"/>
  <c r="C25" i="59" s="1"/>
  <c r="AA144" i="2"/>
  <c r="D7" i="65" s="1"/>
  <c r="H26" i="59"/>
  <c r="C26" i="59" s="1"/>
  <c r="K42" i="99"/>
  <c r="K38" i="99"/>
  <c r="F9" i="48"/>
  <c r="G9" i="48" s="1"/>
  <c r="I9" i="32"/>
  <c r="F10" i="10"/>
  <c r="J13" i="10"/>
  <c r="F12" i="39"/>
  <c r="M45" i="54"/>
  <c r="M165" i="2"/>
  <c r="I29" i="54"/>
  <c r="J19" i="44"/>
  <c r="I171" i="2"/>
  <c r="W171" i="2" s="1"/>
  <c r="J12" i="44"/>
  <c r="J18" i="44"/>
  <c r="F9" i="44"/>
  <c r="G9" i="44" s="1"/>
  <c r="X48" i="99"/>
  <c r="M47" i="99"/>
  <c r="M199" i="99"/>
  <c r="F12" i="63"/>
  <c r="I47" i="99"/>
  <c r="W47" i="99" s="1"/>
  <c r="X47" i="99" s="1"/>
  <c r="I199" i="99"/>
  <c r="W199" i="99" s="1"/>
  <c r="J18" i="63"/>
  <c r="J19" i="63"/>
  <c r="F9" i="63"/>
  <c r="G9" i="63" s="1"/>
  <c r="J12" i="63"/>
  <c r="L18" i="54"/>
  <c r="L160" i="2"/>
  <c r="L52" i="99"/>
  <c r="L237" i="99"/>
  <c r="L13" i="138"/>
  <c r="AA218" i="99"/>
  <c r="AB218" i="99" s="1"/>
  <c r="X218" i="99"/>
  <c r="L53" i="99"/>
  <c r="L219" i="99"/>
  <c r="L126" i="2"/>
  <c r="J13" i="51"/>
  <c r="F11" i="51" s="1"/>
  <c r="F10" i="51"/>
  <c r="I142" i="2"/>
  <c r="W142" i="2" s="1"/>
  <c r="X142" i="2" s="1"/>
  <c r="I15" i="54"/>
  <c r="J12" i="20"/>
  <c r="F9" i="20"/>
  <c r="G9" i="20" s="1"/>
  <c r="J18" i="20"/>
  <c r="J19" i="20"/>
  <c r="F10" i="50"/>
  <c r="J13" i="50"/>
  <c r="F11" i="50" s="1"/>
  <c r="J13" i="41"/>
  <c r="F11" i="41" s="1"/>
  <c r="L47" i="54" s="1"/>
  <c r="F10" i="41"/>
  <c r="I50" i="99"/>
  <c r="W50" i="99" s="1"/>
  <c r="X50" i="99" s="1"/>
  <c r="I201" i="99"/>
  <c r="W201" i="99" s="1"/>
  <c r="X201" i="99" s="1"/>
  <c r="F9" i="61"/>
  <c r="G9" i="61" s="1"/>
  <c r="J19" i="61"/>
  <c r="J12" i="61"/>
  <c r="J18" i="61"/>
  <c r="L164" i="2"/>
  <c r="L44" i="54"/>
  <c r="F9" i="4"/>
  <c r="G9" i="4" s="1"/>
  <c r="I9" i="4" s="1"/>
  <c r="J18" i="4"/>
  <c r="J12" i="4"/>
  <c r="M120" i="2"/>
  <c r="M50" i="99"/>
  <c r="J13" i="69"/>
  <c r="F10" i="69"/>
  <c r="X199" i="99"/>
  <c r="J13" i="56"/>
  <c r="F11" i="56" s="1"/>
  <c r="F10" i="56"/>
  <c r="H49" i="99"/>
  <c r="H181" i="99"/>
  <c r="V181" i="99" s="1"/>
  <c r="X181" i="99" s="1"/>
  <c r="H122" i="2"/>
  <c r="V122" i="2" s="1"/>
  <c r="F53" i="59"/>
  <c r="F10" i="35"/>
  <c r="J13" i="35"/>
  <c r="F11" i="35" s="1"/>
  <c r="I11" i="54"/>
  <c r="I136" i="2"/>
  <c r="W136" i="2" s="1"/>
  <c r="X136" i="2" s="1"/>
  <c r="J12" i="18"/>
  <c r="F9" i="18"/>
  <c r="G9" i="18" s="1"/>
  <c r="J19" i="18"/>
  <c r="J18" i="18"/>
  <c r="I51" i="99"/>
  <c r="W51" i="99" s="1"/>
  <c r="X51" i="99" s="1"/>
  <c r="I202" i="99"/>
  <c r="W202" i="99" s="1"/>
  <c r="X202" i="99" s="1"/>
  <c r="F9" i="58"/>
  <c r="G9" i="58" s="1"/>
  <c r="J12" i="58"/>
  <c r="J19" i="58"/>
  <c r="J18" i="58"/>
  <c r="I124" i="2"/>
  <c r="W124" i="2" s="1"/>
  <c r="X124" i="2" s="1"/>
  <c r="J13" i="4"/>
  <c r="F10" i="4"/>
  <c r="I123" i="2"/>
  <c r="W123" i="2" s="1"/>
  <c r="X123" i="2" s="1"/>
  <c r="F10" i="64"/>
  <c r="L141" i="2"/>
  <c r="F10" i="55"/>
  <c r="J13" i="55"/>
  <c r="F11" i="55" s="1"/>
  <c r="M13" i="54"/>
  <c r="F12" i="19"/>
  <c r="M139" i="2"/>
  <c r="K35" i="54"/>
  <c r="I9" i="13"/>
  <c r="K141" i="2"/>
  <c r="J13" i="22"/>
  <c r="F10" i="22"/>
  <c r="M136" i="2"/>
  <c r="F12" i="18"/>
  <c r="M11" i="54"/>
  <c r="M51" i="99"/>
  <c r="M202" i="99"/>
  <c r="F12" i="58"/>
  <c r="M124" i="2"/>
  <c r="M15" i="54"/>
  <c r="M142" i="2"/>
  <c r="F12" i="20"/>
  <c r="K34" i="54"/>
  <c r="I9" i="17"/>
  <c r="K135" i="2"/>
  <c r="I120" i="2"/>
  <c r="W120" i="2" s="1"/>
  <c r="L119" i="2"/>
  <c r="F12" i="61"/>
  <c r="J13" i="61" s="1"/>
  <c r="F11" i="61" s="1"/>
  <c r="L201" i="99" s="1"/>
  <c r="J19" i="4"/>
  <c r="F10" i="66"/>
  <c r="J13" i="66"/>
  <c r="F11" i="66" s="1"/>
  <c r="F10" i="42"/>
  <c r="J13" i="42"/>
  <c r="F11" i="42" s="1"/>
  <c r="L158" i="2"/>
  <c r="L57" i="54"/>
  <c r="K46" i="99"/>
  <c r="K218" i="99"/>
  <c r="K119" i="2"/>
  <c r="I9" i="64"/>
  <c r="F10" i="31"/>
  <c r="J13" i="31"/>
  <c r="F11" i="31" s="1"/>
  <c r="L135" i="2"/>
  <c r="L34" i="54"/>
  <c r="F10" i="74"/>
  <c r="J13" i="74"/>
  <c r="F11" i="74" s="1"/>
  <c r="I139" i="2"/>
  <c r="W139" i="2" s="1"/>
  <c r="X139" i="2" s="1"/>
  <c r="I13" i="54"/>
  <c r="J18" i="19"/>
  <c r="J19" i="19"/>
  <c r="J12" i="19"/>
  <c r="F11" i="19" s="1"/>
  <c r="F9" i="19"/>
  <c r="G9" i="19" s="1"/>
  <c r="F10" i="72"/>
  <c r="J13" i="72"/>
  <c r="F11" i="72" s="1"/>
  <c r="Z119" i="2"/>
  <c r="X120" i="2"/>
  <c r="K48" i="99"/>
  <c r="K121" i="2"/>
  <c r="I9" i="60"/>
  <c r="K44" i="99"/>
  <c r="K117" i="2"/>
  <c r="I9" i="66"/>
  <c r="K41" i="99"/>
  <c r="K114" i="2"/>
  <c r="I9" i="69"/>
  <c r="C23" i="59"/>
  <c r="I49" i="99"/>
  <c r="F54" i="59"/>
  <c r="F9" i="59"/>
  <c r="J19" i="59"/>
  <c r="I122" i="2"/>
  <c r="W122" i="2" s="1"/>
  <c r="J12" i="59"/>
  <c r="F10" i="5"/>
  <c r="J13" i="5"/>
  <c r="F11" i="5" s="1"/>
  <c r="F10" i="71"/>
  <c r="J13" i="71"/>
  <c r="F10" i="60"/>
  <c r="J13" i="60"/>
  <c r="F11" i="60" s="1"/>
  <c r="L121" i="2" s="1"/>
  <c r="F10" i="61"/>
  <c r="J13" i="67"/>
  <c r="F11" i="67" s="1"/>
  <c r="F10" i="67"/>
  <c r="J13" i="68"/>
  <c r="F11" i="68" s="1"/>
  <c r="L217" i="99" s="1"/>
  <c r="F10" i="68"/>
  <c r="F11" i="71"/>
  <c r="L179" i="99" s="1"/>
  <c r="F10" i="53"/>
  <c r="J13" i="53"/>
  <c r="F11" i="53" s="1"/>
  <c r="C7" i="65"/>
  <c r="C8" i="65"/>
  <c r="C6" i="65"/>
  <c r="C5" i="65"/>
  <c r="C9" i="65"/>
  <c r="M122" i="2" l="1"/>
  <c r="AB144" i="2"/>
  <c r="E7" i="65" s="1"/>
  <c r="M49" i="99"/>
  <c r="N12" i="59"/>
  <c r="F12" i="59"/>
  <c r="K165" i="2"/>
  <c r="K45" i="54"/>
  <c r="I9" i="39"/>
  <c r="J18" i="59"/>
  <c r="I9" i="48"/>
  <c r="K50" i="54"/>
  <c r="K174" i="2"/>
  <c r="K157" i="2"/>
  <c r="I9" i="31"/>
  <c r="K26" i="54"/>
  <c r="L50" i="54"/>
  <c r="L174" i="2"/>
  <c r="F10" i="46"/>
  <c r="J13" i="46"/>
  <c r="F11" i="46" s="1"/>
  <c r="AA152" i="2"/>
  <c r="L155" i="2"/>
  <c r="L25" i="54"/>
  <c r="K29" i="54"/>
  <c r="K171" i="2"/>
  <c r="I9" i="44"/>
  <c r="F10" i="39"/>
  <c r="J13" i="39"/>
  <c r="F11" i="39" s="1"/>
  <c r="K155" i="2"/>
  <c r="K25" i="54"/>
  <c r="I9" i="29"/>
  <c r="L170" i="2"/>
  <c r="L59" i="54"/>
  <c r="AA170" i="2"/>
  <c r="X171" i="2"/>
  <c r="I9" i="38"/>
  <c r="K164" i="2"/>
  <c r="K44" i="54"/>
  <c r="J13" i="44"/>
  <c r="F11" i="44" s="1"/>
  <c r="F10" i="44"/>
  <c r="L38" i="99"/>
  <c r="L178" i="99"/>
  <c r="L111" i="2"/>
  <c r="L44" i="99"/>
  <c r="L198" i="99"/>
  <c r="L117" i="2"/>
  <c r="L36" i="99"/>
  <c r="L216" i="99"/>
  <c r="L109" i="2"/>
  <c r="J13" i="19"/>
  <c r="F10" i="19"/>
  <c r="L236" i="99"/>
  <c r="L12" i="138"/>
  <c r="L157" i="2"/>
  <c r="L26" i="54"/>
  <c r="L28" i="54"/>
  <c r="L168" i="2"/>
  <c r="J13" i="20"/>
  <c r="F10" i="20"/>
  <c r="J13" i="58"/>
  <c r="F11" i="58" s="1"/>
  <c r="F10" i="58"/>
  <c r="J13" i="18"/>
  <c r="F11" i="18" s="1"/>
  <c r="F10" i="18"/>
  <c r="V49" i="99"/>
  <c r="Z46" i="99" s="1"/>
  <c r="H65" i="99"/>
  <c r="L133" i="2"/>
  <c r="L33" i="54"/>
  <c r="F10" i="63"/>
  <c r="J13" i="63"/>
  <c r="F11" i="63" s="1"/>
  <c r="K139" i="2"/>
  <c r="K13" i="54"/>
  <c r="I9" i="19"/>
  <c r="K51" i="99"/>
  <c r="K202" i="99"/>
  <c r="K124" i="2"/>
  <c r="I9" i="58"/>
  <c r="I61" i="54"/>
  <c r="K61" i="54" s="1"/>
  <c r="L54" i="99"/>
  <c r="L127" i="2"/>
  <c r="AA131" i="2"/>
  <c r="K15" i="54"/>
  <c r="I9" i="20"/>
  <c r="K142" i="2"/>
  <c r="L13" i="54"/>
  <c r="L139" i="2"/>
  <c r="L55" i="99"/>
  <c r="L220" i="99"/>
  <c r="L128" i="2"/>
  <c r="K11" i="54"/>
  <c r="I9" i="18"/>
  <c r="K136" i="2"/>
  <c r="L161" i="2"/>
  <c r="L43" i="54"/>
  <c r="F11" i="4"/>
  <c r="K50" i="99"/>
  <c r="K201" i="99"/>
  <c r="K123" i="2"/>
  <c r="I9" i="61"/>
  <c r="F11" i="20"/>
  <c r="L9" i="54"/>
  <c r="L132" i="2"/>
  <c r="K199" i="99"/>
  <c r="K47" i="99"/>
  <c r="K120" i="2"/>
  <c r="I9" i="63"/>
  <c r="L42" i="99"/>
  <c r="L115" i="2"/>
  <c r="J13" i="59"/>
  <c r="F11" i="59" s="1"/>
  <c r="F10" i="59"/>
  <c r="X122" i="2"/>
  <c r="AA119" i="2"/>
  <c r="W49" i="99"/>
  <c r="I65" i="99"/>
  <c r="J65" i="99" s="1"/>
  <c r="G76" i="99"/>
  <c r="G78" i="99"/>
  <c r="L43" i="99"/>
  <c r="L116" i="2"/>
  <c r="L39" i="99"/>
  <c r="L112" i="2"/>
  <c r="L50" i="99"/>
  <c r="L123" i="2"/>
  <c r="G9" i="59"/>
  <c r="K181" i="99" s="1"/>
  <c r="F55" i="59"/>
  <c r="C11" i="65"/>
  <c r="C12" i="65"/>
  <c r="L29" i="54" l="1"/>
  <c r="L171" i="2"/>
  <c r="D9" i="65"/>
  <c r="AB170" i="2"/>
  <c r="E9" i="65" s="1"/>
  <c r="D8" i="65"/>
  <c r="AB152" i="2"/>
  <c r="E8" i="65" s="1"/>
  <c r="L45" i="54"/>
  <c r="L165" i="2"/>
  <c r="L173" i="2"/>
  <c r="L49" i="54"/>
  <c r="L200" i="99"/>
  <c r="L181" i="99"/>
  <c r="L15" i="54"/>
  <c r="L142" i="2"/>
  <c r="L11" i="54"/>
  <c r="L136" i="2"/>
  <c r="D6" i="65"/>
  <c r="AB131" i="2"/>
  <c r="E6" i="65" s="1"/>
  <c r="L202" i="99"/>
  <c r="L51" i="99"/>
  <c r="L124" i="2"/>
  <c r="L199" i="99"/>
  <c r="L120" i="2"/>
  <c r="L47" i="99"/>
  <c r="X49" i="99"/>
  <c r="AA46" i="99"/>
  <c r="AB46" i="99" s="1"/>
  <c r="K49" i="99"/>
  <c r="I9" i="59"/>
  <c r="K122" i="2"/>
  <c r="D5" i="65"/>
  <c r="D11" i="65" s="1"/>
  <c r="E11" i="65" s="1"/>
  <c r="AB119" i="2"/>
  <c r="E5" i="65" s="1"/>
  <c r="L49" i="99"/>
  <c r="L48" i="99"/>
  <c r="L122" i="2"/>
  <c r="D12" i="65" l="1"/>
  <c r="E12" i="65" s="1"/>
  <c r="L65" i="99"/>
  <c r="L60" i="99"/>
  <c r="L62" i="99" s="1"/>
  <c r="G72" i="99" l="1"/>
  <c r="G73" i="99" s="1"/>
  <c r="L67" i="99"/>
  <c r="L68" i="99" s="1"/>
  <c r="G81" i="99" s="1"/>
  <c r="L63" i="99"/>
  <c r="G80" i="99" s="1"/>
  <c r="G77" i="99" l="1"/>
</calcChain>
</file>

<file path=xl/sharedStrings.xml><?xml version="1.0" encoding="utf-8"?>
<sst xmlns="http://schemas.openxmlformats.org/spreadsheetml/2006/main" count="25820" uniqueCount="1591">
  <si>
    <t>Project # :</t>
  </si>
  <si>
    <t>Project Name :</t>
  </si>
  <si>
    <t>Bid Date :</t>
  </si>
  <si>
    <t>PANYNJ Engr's Estimate:</t>
  </si>
  <si>
    <t>Est Prepared By :</t>
  </si>
  <si>
    <t>AAV</t>
  </si>
  <si>
    <t>LGA-124.229</t>
  </si>
  <si>
    <t>LaGuardia Airport - Watch Engineer's Office Relocation</t>
  </si>
  <si>
    <t>Budget History:</t>
  </si>
  <si>
    <t>= Stage 0</t>
  </si>
  <si>
    <t>= Stage 1</t>
  </si>
  <si>
    <t>= Stage 2</t>
  </si>
  <si>
    <t>= Stage 3</t>
  </si>
  <si>
    <t>Var 2 -&gt; 3 :</t>
  </si>
  <si>
    <t>Var 1 -&gt; 2 :</t>
  </si>
  <si>
    <t>Var 0 -&gt; 1 :</t>
  </si>
  <si>
    <t>Var 3 -&gt; B :</t>
  </si>
  <si>
    <t>Lump Sum Format Results</t>
  </si>
  <si>
    <t>Low Bidder :</t>
  </si>
  <si>
    <t>Variance :</t>
  </si>
  <si>
    <t xml:space="preserve"> -&gt;</t>
  </si>
  <si>
    <t>Contractor Name</t>
  </si>
  <si>
    <t>City</t>
  </si>
  <si>
    <t>State</t>
  </si>
  <si>
    <t>LS Bid</t>
  </si>
  <si>
    <t>NJ</t>
  </si>
  <si>
    <t>PRELIMINARY BID RESULTS LOG AND DATA ANALYSIS</t>
  </si>
  <si>
    <t>Rank</t>
  </si>
  <si>
    <t>Average :</t>
  </si>
  <si>
    <t>Spread :</t>
  </si>
  <si>
    <t>= Median</t>
  </si>
  <si>
    <t>= # Bids</t>
  </si>
  <si>
    <t>Port Authority of New York and New Jersey</t>
  </si>
  <si>
    <t>Engineering Department - Engineering Cost Management</t>
  </si>
  <si>
    <t>Public</t>
  </si>
  <si>
    <t>NYNJRR-644.531</t>
  </si>
  <si>
    <t>NY and NJ Rail - Transfer Bridge #10 Reconstruction and Fender Modifications at 65th St Yard, Brooklyn</t>
  </si>
  <si>
    <t>Unclassified</t>
  </si>
  <si>
    <t>Classified</t>
  </si>
  <si>
    <t>Total</t>
  </si>
  <si>
    <t>Carteret</t>
  </si>
  <si>
    <t>Var 0 -&gt; B :</t>
  </si>
  <si>
    <t>+ % on Net</t>
  </si>
  <si>
    <t>^^ Classified ^^</t>
  </si>
  <si>
    <t>^^Unclassified^^</t>
  </si>
  <si>
    <t>PN-654.545</t>
  </si>
  <si>
    <t>Port Newark Berth 19 Wharf Restoration</t>
  </si>
  <si>
    <t>Classified + Unclassified Format Results</t>
  </si>
  <si>
    <t>Classified + Unclassified + Net Cost Format Results</t>
  </si>
  <si>
    <t>^^  Net Cost  ^^</t>
  </si>
  <si>
    <t>^^  % on Net  ^^</t>
  </si>
  <si>
    <t>Overall Unit of Measure :</t>
  </si>
  <si>
    <t>sf</t>
  </si>
  <si>
    <t>SUMMARY OF BID RESULTS</t>
  </si>
  <si>
    <t>FOR THE YEAR</t>
  </si>
  <si>
    <t>Proj #</t>
  </si>
  <si>
    <t>Proj Name</t>
  </si>
  <si>
    <t>Bid Date</t>
  </si>
  <si>
    <t>Engr Est</t>
  </si>
  <si>
    <t>Low Bid</t>
  </si>
  <si>
    <t>Var</t>
  </si>
  <si>
    <t>Result</t>
  </si>
  <si>
    <t># Bids</t>
  </si>
  <si>
    <t>Notes</t>
  </si>
  <si>
    <t>Acceptable range:</t>
  </si>
  <si>
    <t>+10% above average bidder</t>
  </si>
  <si>
    <t>-10% below low bidder</t>
  </si>
  <si>
    <t>Variance to Low :</t>
  </si>
  <si>
    <t>Variance to Average :</t>
  </si>
  <si>
    <t>= lower limit</t>
  </si>
  <si>
    <t>= upper limit</t>
  </si>
  <si>
    <t>Acceptability to Standard :</t>
  </si>
  <si>
    <t>&lt;-   Stretch Goal</t>
  </si>
  <si>
    <t>abcdefghijklmnopqrstuvwxyz</t>
  </si>
  <si>
    <t>ABCDEFGHIJKLMNOPQRSTUVWXYZ</t>
  </si>
  <si>
    <t>!@#$%^&amp;*()</t>
  </si>
  <si>
    <t>t</t>
  </si>
  <si>
    <t>u</t>
  </si>
  <si>
    <t>For questions please contact Andrew A. Victors CPE, Chief Estimator, or your assigned project estimator.</t>
  </si>
  <si>
    <t>Input no data below this line. Copy/insert lines above to increase the number of bidders; do not add lines without embedded formulae and formats.</t>
  </si>
  <si>
    <t>George Washington Bridge-Facility Wide Prioirty Rehabilitation</t>
  </si>
  <si>
    <t>Iron Bridge Constructors Inc.</t>
  </si>
  <si>
    <t xml:space="preserve">New Brunswick </t>
  </si>
  <si>
    <t>Skanska Koch, Inc.</t>
  </si>
  <si>
    <t>Unicorn Construction Enterprises, Inc.</t>
  </si>
  <si>
    <t>Montvale</t>
  </si>
  <si>
    <t>GWB-566</t>
  </si>
  <si>
    <t>VRH Construction Corp.</t>
  </si>
  <si>
    <t>Englewood</t>
  </si>
  <si>
    <t>Belmont Construction Corp.</t>
  </si>
  <si>
    <t>Maywood</t>
  </si>
  <si>
    <t>J-Track, LLC</t>
  </si>
  <si>
    <t>College Point</t>
  </si>
  <si>
    <t>NY</t>
  </si>
  <si>
    <t>Lanmark Group, Inc.</t>
  </si>
  <si>
    <t>Brooklyn</t>
  </si>
  <si>
    <t>PAT-024.069</t>
  </si>
  <si>
    <t>PATH-30th Street Mezzanine Rehabilitation</t>
  </si>
  <si>
    <t>T. Moriarty &amp; Son, Inc.</t>
  </si>
  <si>
    <t>Paul J. Scariano, Inc.</t>
  </si>
  <si>
    <t>New Rochelle</t>
  </si>
  <si>
    <t>GWB-924.092</t>
  </si>
  <si>
    <t>GWB-924.159</t>
  </si>
  <si>
    <t xml:space="preserve">New York </t>
  </si>
  <si>
    <t>Megrant Corporation</t>
  </si>
  <si>
    <t>West Babylon</t>
  </si>
  <si>
    <t>EWR-154.184</t>
  </si>
  <si>
    <t>Newark Liberty International Airport-Central Heating &amp; Refirgeration Plant Substation and Pumps Upgrade</t>
  </si>
  <si>
    <t>A&amp;A industrial Piping, Inc.</t>
  </si>
  <si>
    <t>Fairfield</t>
  </si>
  <si>
    <t>The Bennett Company, Inc.</t>
  </si>
  <si>
    <t>Passaic</t>
  </si>
  <si>
    <t>S &amp; J Electrical Contractors, Inc.</t>
  </si>
  <si>
    <t>Newark</t>
  </si>
  <si>
    <t>Skanska USA Building, Inc.</t>
  </si>
  <si>
    <t>Parsippany</t>
  </si>
  <si>
    <t>Daidone Electric, Inc.</t>
  </si>
  <si>
    <t>PN-654.036</t>
  </si>
  <si>
    <t>Port Newark-Water System Rehabilitation At Central And South Sections</t>
  </si>
  <si>
    <t>Montana  Construction Corp., Inc.</t>
  </si>
  <si>
    <t>Lodi</t>
  </si>
  <si>
    <t>Tomco Construction, Inc.</t>
  </si>
  <si>
    <t>Mt. Arlington</t>
  </si>
  <si>
    <t>Underground Utilities Corp.</t>
  </si>
  <si>
    <t>Linden</t>
  </si>
  <si>
    <t>Reivax Contracting Corp</t>
  </si>
  <si>
    <t>Hutton Construction, L.L.C.</t>
  </si>
  <si>
    <t>Cedar Grove</t>
  </si>
  <si>
    <t>Tarheel Enterprises, Inc.</t>
  </si>
  <si>
    <t>Morgan</t>
  </si>
  <si>
    <t>J. Fletcher Creamer &amp; Son, Inc.</t>
  </si>
  <si>
    <t>Hackensack</t>
  </si>
  <si>
    <t>Vollers Excavating &amp; Construction, Inc.</t>
  </si>
  <si>
    <t>North Branch</t>
  </si>
  <si>
    <t>EIC Associates, Inc.</t>
  </si>
  <si>
    <t>Springfield</t>
  </si>
  <si>
    <t>D'Annunzio &amp; Sons, Inc.</t>
  </si>
  <si>
    <t>Clark</t>
  </si>
  <si>
    <t>Crisdel Group, Inc.</t>
  </si>
  <si>
    <t>Plainfield</t>
  </si>
  <si>
    <t>Petillo, Inc.</t>
  </si>
  <si>
    <t xml:space="preserve">Flanders </t>
  </si>
  <si>
    <t>Cruz Contractors LLC</t>
  </si>
  <si>
    <t>Holmdel</t>
  </si>
  <si>
    <t>Schiavone Construction Co. LLC</t>
  </si>
  <si>
    <t>Secaucus</t>
  </si>
  <si>
    <t>Nagori Contracting Corp.</t>
  </si>
  <si>
    <t>Staten Island</t>
  </si>
  <si>
    <t>Green Construction, Inc.</t>
  </si>
  <si>
    <t>South River</t>
  </si>
  <si>
    <t>Incomplete Bid</t>
  </si>
  <si>
    <t>LGA-124.226</t>
  </si>
  <si>
    <t>LaGuardia Airport-Hanger 7 South Build Out</t>
  </si>
  <si>
    <t>Megrant Corportation</t>
  </si>
  <si>
    <t>VRH Construction Corp</t>
  </si>
  <si>
    <t>Prismatic Development Corp.</t>
  </si>
  <si>
    <t>Peter Scalamandre &amp; Sons, Inc.</t>
  </si>
  <si>
    <t>Freeport</t>
  </si>
  <si>
    <t>DMR Construction Services, Inc.</t>
  </si>
  <si>
    <t>Flushing</t>
  </si>
  <si>
    <t>U.S. Tech Construction Corp.</t>
  </si>
  <si>
    <t>Astoria</t>
  </si>
  <si>
    <t>Tully Construction Company, Inc.</t>
  </si>
  <si>
    <t>LoSardo General Contractor, Inc.</t>
  </si>
  <si>
    <t>Cinalta Construction Corp.</t>
  </si>
  <si>
    <t>Bohemia</t>
  </si>
  <si>
    <t>Ashnu International, Inc.</t>
  </si>
  <si>
    <t>Woodside</t>
  </si>
  <si>
    <t>Fortunato Sons Contracting, Inc.</t>
  </si>
  <si>
    <t>National Environmental Saftey Co., Inc.</t>
  </si>
  <si>
    <t>Long Island City</t>
  </si>
  <si>
    <t>The Urban Group, Ltd.</t>
  </si>
  <si>
    <t>D'Onofrio General Contactors Corp.</t>
  </si>
  <si>
    <t>Iannelli Construction Co., Inc.</t>
  </si>
  <si>
    <t>Padilla Construction Services, Inc.</t>
  </si>
  <si>
    <t>Westburry</t>
  </si>
  <si>
    <t>EWR-924.320</t>
  </si>
  <si>
    <t>M/WBE</t>
  </si>
  <si>
    <t>Berto Construction, Inc.</t>
  </si>
  <si>
    <t>Rahway</t>
  </si>
  <si>
    <t>Deborah Bradley Construction and Management Service, Inc.</t>
  </si>
  <si>
    <t>New York</t>
  </si>
  <si>
    <t>PSP Construction, Inc.</t>
  </si>
  <si>
    <t>Jorrey Excavating, Inc.</t>
  </si>
  <si>
    <t>Middletown</t>
  </si>
  <si>
    <t>RML Construction, Inc.</t>
  </si>
  <si>
    <t>Carlstadt</t>
  </si>
  <si>
    <t>Mentor Protégé Program</t>
  </si>
  <si>
    <t>MFA-924.283</t>
  </si>
  <si>
    <t>Newark Liberty International Airport and Teterboro Airport  Asphalt Concrete Pavement Repairs Via Work Order</t>
  </si>
  <si>
    <t>PQL</t>
  </si>
  <si>
    <t>Tilcon New York, Inc.</t>
  </si>
  <si>
    <t>Wharton</t>
  </si>
  <si>
    <t>South Plainfield</t>
  </si>
  <si>
    <t>Intercounty Paving Associates, LLC</t>
  </si>
  <si>
    <t>Westbury</t>
  </si>
  <si>
    <t>HT-224.116</t>
  </si>
  <si>
    <t>Holland Tunnel-Concrete Repairs at Air Supply Ports</t>
  </si>
  <si>
    <t>Gateway Industries, Inc.</t>
  </si>
  <si>
    <t>Hicksville</t>
  </si>
  <si>
    <t>Railroad Construction Company, Inc.</t>
  </si>
  <si>
    <t>Paterson</t>
  </si>
  <si>
    <t>The Morganti Group, Inc.</t>
  </si>
  <si>
    <t>Danbury</t>
  </si>
  <si>
    <t>CT</t>
  </si>
  <si>
    <t>Gazebo Contracting, Inc.</t>
  </si>
  <si>
    <t>Citnalta Construction Corp.</t>
  </si>
  <si>
    <t>Halmar International LLC</t>
  </si>
  <si>
    <t>Nanuet</t>
  </si>
  <si>
    <t>Crisdel group, Inc.</t>
  </si>
  <si>
    <t>SCC-JPP-III Joint Venture Comprise Schiavone Construction Co. LLC</t>
  </si>
  <si>
    <t>George Washington Bridge-Improvements to Bruce Reynolds Boulevard</t>
  </si>
  <si>
    <t>Tarheel Enterprises Inc.</t>
  </si>
  <si>
    <t>Creamer-Sanzari, a joint venture. Fletcher Creamer &amp; Son, Inc. and Joseph M. Sanzarie</t>
  </si>
  <si>
    <t>Assuncao Brothers, Inc.</t>
  </si>
  <si>
    <t>Edison</t>
  </si>
  <si>
    <t>Primer Construction Corp.</t>
  </si>
  <si>
    <t>RML Construction Corp.</t>
  </si>
  <si>
    <t>Arch Builders &amp; Developers, Inc.</t>
  </si>
  <si>
    <t>GWB-244.256</t>
  </si>
  <si>
    <t>George Washington Bridge-Pavement Rehabilitation of the Lower Level eastbound Approch Roadways, Lower Level Eastbound Bridge Span and Lower Expressway East Ramp</t>
  </si>
  <si>
    <t>Restani Construction Corp</t>
  </si>
  <si>
    <t>Hackettstown</t>
  </si>
  <si>
    <t>Telcon New York, Inc.</t>
  </si>
  <si>
    <t>GWB-564</t>
  </si>
  <si>
    <t>Loc</t>
  </si>
  <si>
    <t>Both</t>
  </si>
  <si>
    <t>Will be rebid.</t>
  </si>
  <si>
    <t>George Washington Bridge-New Jersey Administration Building Hot Water/Chilled Water Piping Replacement</t>
  </si>
  <si>
    <t>BID RESULTS AND PERFORMANCE</t>
  </si>
  <si>
    <t>The Morganti Group, Inc</t>
  </si>
  <si>
    <t>CRC Associates, Inc.</t>
  </si>
  <si>
    <t>South Planfield</t>
  </si>
  <si>
    <t>WRH Construction Corp.</t>
  </si>
  <si>
    <t>Attri Enterprises, Inc.</t>
  </si>
  <si>
    <t>EWR-924.175A</t>
  </si>
  <si>
    <t>Newark Liberty International Airport-Building No. 105 Roof Replacement</t>
  </si>
  <si>
    <t>Pravco, Inc.</t>
  </si>
  <si>
    <t>NCC, Inc.</t>
  </si>
  <si>
    <t>Inventive Builders General &amp; Contractor, Inc.</t>
  </si>
  <si>
    <t>Bronx</t>
  </si>
  <si>
    <t>EWR-154.239</t>
  </si>
  <si>
    <t>Newark Liberty International Airport- Rehabilitation of Expansion Joints of Bridges N3, N9, N13, N17, N19 and N29, and Structural Elements</t>
  </si>
  <si>
    <t>Tony &amp; Son, Inc.</t>
  </si>
  <si>
    <t>Colonia</t>
  </si>
  <si>
    <t>Ritacco Construction, Inc.</t>
  </si>
  <si>
    <t>Belleville</t>
  </si>
  <si>
    <t>Halmar international LLC</t>
  </si>
  <si>
    <t>Nagi Constructions Co., Inc.</t>
  </si>
  <si>
    <t>Millburn</t>
  </si>
  <si>
    <t>Beaver Concrete Construction Co., Inc.</t>
  </si>
  <si>
    <t>Hazlet</t>
  </si>
  <si>
    <t>Mugrose Construction, Inc.</t>
  </si>
  <si>
    <t>West Caldwell</t>
  </si>
  <si>
    <t>Power Concrete Co., Inc.</t>
  </si>
  <si>
    <t>Creamer Sanzari a joint Venture with J. Fletcher Creamer and Songs, Inc. and Jospeh M. Sanzari, Inc.</t>
  </si>
  <si>
    <t>Raildroad Construction Company</t>
  </si>
  <si>
    <t>NY Asphalt, Inc.</t>
  </si>
  <si>
    <t>LGA-774.133A</t>
  </si>
  <si>
    <t>LaGuardia Airport-Emergency Storm Drainage Outfalls</t>
  </si>
  <si>
    <t>Bove Industries, Inc.</t>
  </si>
  <si>
    <t>East Setauket</t>
  </si>
  <si>
    <t>Restani Construction Corp.</t>
  </si>
  <si>
    <t>Galvin Bros, Inc. /Madhue Contracting Inc.</t>
  </si>
  <si>
    <t>Great Neck</t>
  </si>
  <si>
    <t>Lincoln Tunnel-Water Leak Repairs</t>
  </si>
  <si>
    <t>LT-924.014</t>
  </si>
  <si>
    <t>J. Fletcher Creamer &amp; Sons, Inc.</t>
  </si>
  <si>
    <t>GWB-244.240</t>
  </si>
  <si>
    <t>George Washington Bridge-Lower Level Priority Steel and Concrete Prepairs, Rehabilitation of Catwalks and Plaintenace Platform Travelers</t>
  </si>
  <si>
    <t>J.D' Annunzio &amp; Sons, Inc.</t>
  </si>
  <si>
    <t>Ahern Painting Contractors, Inc.</t>
  </si>
  <si>
    <t>Iron Bridge Constructors, Inc.</t>
  </si>
  <si>
    <t>New Brunswick</t>
  </si>
  <si>
    <t>Joseph M. Sanzari, Inc.</t>
  </si>
  <si>
    <t>Vista Engineering Corportation</t>
  </si>
  <si>
    <t>Ridgefield</t>
  </si>
  <si>
    <t>IEW Construction Group, Inc.</t>
  </si>
  <si>
    <t>Trenton</t>
  </si>
  <si>
    <t>MFP-924.623</t>
  </si>
  <si>
    <t>New York Marine Terminals-Paving and Utility Rehabilitation Via Work Order</t>
  </si>
  <si>
    <t>Tully Construction Co. Inc.</t>
  </si>
  <si>
    <t xml:space="preserve">Flushing </t>
  </si>
  <si>
    <t>DiFazio Industries, Inc.</t>
  </si>
  <si>
    <t>Trevcon Construction Co., Inc.</t>
  </si>
  <si>
    <t>Liberty Conrner</t>
  </si>
  <si>
    <t>CCA Civil, Inc.</t>
  </si>
  <si>
    <t>Jersey City</t>
  </si>
  <si>
    <t>Yonkers Contracting Company, Inc.</t>
  </si>
  <si>
    <t>Yonkers</t>
  </si>
  <si>
    <t>D'Annunzio and Songs, Inc.</t>
  </si>
  <si>
    <t>Weeks Marine, Inc.</t>
  </si>
  <si>
    <t>Cranford</t>
  </si>
  <si>
    <t>TBC Joint Venture Comprise Schiavone Construction Co. LLC</t>
  </si>
  <si>
    <t>Kiewit Infrastructure Co.</t>
  </si>
  <si>
    <t>Woodcliff Lake</t>
  </si>
  <si>
    <t>Conti Enterprises, Inc.</t>
  </si>
  <si>
    <t>JFK-914.209</t>
  </si>
  <si>
    <t>John F. Kennedy International Airport-Former Hangar 12 Site-West Area Lighting</t>
  </si>
  <si>
    <t>MBE</t>
  </si>
  <si>
    <t>D'Annunsio &amp; Sons, Inc.</t>
  </si>
  <si>
    <t>Cladwell Marine International, LLC</t>
  </si>
  <si>
    <t>Farmingdale</t>
  </si>
  <si>
    <t>Nj</t>
  </si>
  <si>
    <t>J.E. Hannon Inc. T/A Bird Construction</t>
  </si>
  <si>
    <t>Bayville</t>
  </si>
  <si>
    <t>Creamer-Sanzari, A Joint Venture J. Fletcher Creamer &amp; Son Inc. Joseph M. Sanzari, Inc.</t>
  </si>
  <si>
    <t>Trevcon Constructions Co., Inc.</t>
  </si>
  <si>
    <t>Liberty Corner</t>
  </si>
  <si>
    <t>PAT-131.000</t>
  </si>
  <si>
    <t>Path-Hackensack River Bridge Emergency Generator Fuel Tank</t>
  </si>
  <si>
    <t>Agate Construction Company, Inc.</t>
  </si>
  <si>
    <t>Clermont</t>
  </si>
  <si>
    <t>SWF-164.031A</t>
  </si>
  <si>
    <t>Stewart International-Passenger Loading Bridges Pressurization Fans</t>
  </si>
  <si>
    <t>TEB-914.203</t>
  </si>
  <si>
    <t>Teterboro Airport-Installation of Fencing to Mitigate Wildlife Hazards</t>
  </si>
  <si>
    <t>G.B. Hastie Fence Co.</t>
  </si>
  <si>
    <t>Garjeen Fence Co., Inc</t>
  </si>
  <si>
    <t>Peekskill</t>
  </si>
  <si>
    <t>Agawan</t>
  </si>
  <si>
    <t>MA</t>
  </si>
  <si>
    <t>Precision General Contractors, Inc.</t>
  </si>
  <si>
    <t>Livingston</t>
  </si>
  <si>
    <t>Mohegan Associates, Inc.</t>
  </si>
  <si>
    <t>Carmel</t>
  </si>
  <si>
    <t>Consolidated Steele &amp; Aluminum Fence</t>
  </si>
  <si>
    <t>Kenilworth</t>
  </si>
  <si>
    <t>Dobtol Construction, LLC</t>
  </si>
  <si>
    <t>National Fence Systems, Inc.</t>
  </si>
  <si>
    <t>Avenel</t>
  </si>
  <si>
    <t>Abel Fence LLC</t>
  </si>
  <si>
    <t>Wrightville</t>
  </si>
  <si>
    <t>PA</t>
  </si>
  <si>
    <t>MFP-924.630</t>
  </si>
  <si>
    <t>New Jersey Marine Terminals-Paving and Utility Rehabilitation via Work Order</t>
  </si>
  <si>
    <t>J.A. Alexander, Inc.</t>
  </si>
  <si>
    <t>Bloomfield</t>
  </si>
  <si>
    <t>Perfetto Enterprises, Co., Inc.</t>
  </si>
  <si>
    <t>Precision general Contractors, Inc.</t>
  </si>
  <si>
    <t>Cardinal Contracting Co., LLC</t>
  </si>
  <si>
    <t>South Hampton</t>
  </si>
  <si>
    <t>Path-Tunnels E&amp;F Temporary Event detection Systems (TEDS)</t>
  </si>
  <si>
    <t>Mass. Electric Construction Co.</t>
  </si>
  <si>
    <t>LGA-774.234</t>
  </si>
  <si>
    <t>Laguardia Airport-Flood Protection at the West Field Lighting Vault</t>
  </si>
  <si>
    <t>Bove Industries, Inc</t>
  </si>
  <si>
    <t>Nagori Contracting</t>
  </si>
  <si>
    <t>Tully Construction Co., Inc.</t>
  </si>
  <si>
    <t>Eastern Excavation, Inc.</t>
  </si>
  <si>
    <t>Elmsford</t>
  </si>
  <si>
    <t>Galvin Bros Inc./Maduhe Contracting, Inc. a Joint Venture</t>
  </si>
  <si>
    <t>Laguardia airport-Flood Protection at the West End Substation</t>
  </si>
  <si>
    <t>Tully Construction Company</t>
  </si>
  <si>
    <t>Morton Grove</t>
  </si>
  <si>
    <t>IL</t>
  </si>
  <si>
    <t>T. Moriarty &amp; Sons, Inc.</t>
  </si>
  <si>
    <t>Galvin Bros Inc./Maduhe Contracting, Inc. a joint venture</t>
  </si>
  <si>
    <t>JFK-1050</t>
  </si>
  <si>
    <t>John F. Kennedy International Airport-Replacement of Fire Alarm System at the Airport Traffic Control Tower</t>
  </si>
  <si>
    <t>PJS Electric, Inc</t>
  </si>
  <si>
    <t>Unity Electric, Co., Inc.</t>
  </si>
  <si>
    <t>East Rutherford</t>
  </si>
  <si>
    <t>Yonkers Electric Contracting Corpor.</t>
  </si>
  <si>
    <t>H.M. Hughes Co., Inc.</t>
  </si>
  <si>
    <t>Kanta Electric Corp.</t>
  </si>
  <si>
    <t>Community Electric Inc.</t>
  </si>
  <si>
    <t>Positive Electrical Associates, Inc.</t>
  </si>
  <si>
    <t>LGA-774.133</t>
  </si>
  <si>
    <t>LaGuardia Airport-Emergency Storm Drainage</t>
  </si>
  <si>
    <t>Lomma Construction Corp.</t>
  </si>
  <si>
    <t>Triumph Construction, Corp.</t>
  </si>
  <si>
    <t>PJ-924.624</t>
  </si>
  <si>
    <t>Port Jersey Marine Terminal-Paving and Utility Rehabilitation via Work Order</t>
  </si>
  <si>
    <t>MBE/WBE</t>
  </si>
  <si>
    <t>Sita Construction Co., Inc.</t>
  </si>
  <si>
    <t>Goshen</t>
  </si>
  <si>
    <t>MZM Construction Corp.</t>
  </si>
  <si>
    <t>Prescision General Contractor, Inc.</t>
  </si>
  <si>
    <t>PETK, Inc.</t>
  </si>
  <si>
    <t>West Hempstead</t>
  </si>
  <si>
    <t>Chestnut Ridge</t>
  </si>
  <si>
    <t>PSP Construction Inc.</t>
  </si>
  <si>
    <t>PAT-084.057</t>
  </si>
  <si>
    <t>PATH-Access Control and CCTV at Substation and Communications Rooms</t>
  </si>
  <si>
    <t>S and J Electric Contractor</t>
  </si>
  <si>
    <t>Scotch Plains</t>
  </si>
  <si>
    <t>PJS. Electric Inc.</t>
  </si>
  <si>
    <t>PN-654.004</t>
  </si>
  <si>
    <t>Port Newark-Berths 30, 32, and 34 Fender Systems Reconstruction</t>
  </si>
  <si>
    <t>Conway Marine Construction, Inc.</t>
  </si>
  <si>
    <t>Melville</t>
  </si>
  <si>
    <t>George Harms Constructions Co., Inc.</t>
  </si>
  <si>
    <t>Howell</t>
  </si>
  <si>
    <t>Agate Construction Co., Inc.</t>
  </si>
  <si>
    <t>J.H. Reid General Contractor</t>
  </si>
  <si>
    <t>Anselmi &amp; DeCicco, Inc.</t>
  </si>
  <si>
    <t>Maplewood</t>
  </si>
  <si>
    <t>Lomma Construction Corporation</t>
  </si>
  <si>
    <t>Caldwell Marine International, LLC</t>
  </si>
  <si>
    <t>JE Hannon, Inc/TA Bird Construction</t>
  </si>
  <si>
    <t>Reicon Group, LLC</t>
  </si>
  <si>
    <t>JFK-134.025</t>
  </si>
  <si>
    <t>John F. Kennedy International Airport-Unmanned AOA Gates and Perimeter Fence Enhancement-Phase II</t>
  </si>
  <si>
    <t>Ahura Construction Mgmt, Inc.</t>
  </si>
  <si>
    <t>Bayside</t>
  </si>
  <si>
    <t>Genesus One Enterprises Inc.</t>
  </si>
  <si>
    <t>Maspeth</t>
  </si>
  <si>
    <t>RML Construction Inc.</t>
  </si>
  <si>
    <t>PSP Construction , Inc.</t>
  </si>
  <si>
    <t>LGA-124.231</t>
  </si>
  <si>
    <t>Laguardia Airport-Rehabilitation of Taxiways West of Runway 4-22</t>
  </si>
  <si>
    <t>Grace Industries, LLC</t>
  </si>
  <si>
    <t>Plainview</t>
  </si>
  <si>
    <t>LGA-124.166</t>
  </si>
  <si>
    <t>Laguardia Airport-Rehabilitation of Runway 13-31 and Associated Taxiways</t>
  </si>
  <si>
    <t>George Washington Bridge-Temporary Semac Relocation</t>
  </si>
  <si>
    <t>Newark Liberty International Airport-Terminal 'C' Level 1 Drainage Improvements</t>
  </si>
  <si>
    <t>GWB-924.044</t>
  </si>
  <si>
    <t xml:space="preserve">George Washington Bridge-Electrical Bus Replacement </t>
  </si>
  <si>
    <t>PAT-643-Work Order No. 2</t>
  </si>
  <si>
    <t>LGA-774.236</t>
  </si>
  <si>
    <t>Qtr</t>
  </si>
  <si>
    <t>Year</t>
  </si>
  <si>
    <t>Format</t>
  </si>
  <si>
    <t>TP-104.006</t>
  </si>
  <si>
    <t>Backflow Prevention Devices</t>
  </si>
  <si>
    <t>Unicorn Construction</t>
  </si>
  <si>
    <t>Chestnut Ridge,</t>
  </si>
  <si>
    <t>PSP Construction</t>
  </si>
  <si>
    <t>RML Construction</t>
  </si>
  <si>
    <t>PETK Inc</t>
  </si>
  <si>
    <t>W Hempstead</t>
  </si>
  <si>
    <t>DASNY Mechanical</t>
  </si>
  <si>
    <t>AK-195</t>
  </si>
  <si>
    <t>Gunda</t>
  </si>
  <si>
    <t>Staten Island Bridges - Maint Pvmt Repairs via WO</t>
  </si>
  <si>
    <t>Restani Construction</t>
  </si>
  <si>
    <t>Joseph M Sanzari</t>
  </si>
  <si>
    <t>NY Asphalt</t>
  </si>
  <si>
    <t>Crisdel Group</t>
  </si>
  <si>
    <t>EP-684.509</t>
  </si>
  <si>
    <t>Wen Chang</t>
  </si>
  <si>
    <t>Bldg 1400 Upgrade of Fire Supression System</t>
  </si>
  <si>
    <t>RAMS Mechanical</t>
  </si>
  <si>
    <t>Corona</t>
  </si>
  <si>
    <t>TJ Piping and Heating</t>
  </si>
  <si>
    <t>Nathan Demaisip</t>
  </si>
  <si>
    <t>WTC-222.004</t>
  </si>
  <si>
    <t>WTC - Tower One Public Safety Radio Room</t>
  </si>
  <si>
    <t>Bel-Air Electric</t>
  </si>
  <si>
    <t>Hewlett</t>
  </si>
  <si>
    <t>Paul J. Scarano</t>
  </si>
  <si>
    <t>Turner Construction</t>
  </si>
  <si>
    <t>LD</t>
  </si>
  <si>
    <t>Sec</t>
  </si>
  <si>
    <t>Award Value</t>
  </si>
  <si>
    <t>TB&amp;T</t>
  </si>
  <si>
    <t>Avi</t>
  </si>
  <si>
    <t>PATH</t>
  </si>
  <si>
    <t>ANALYSIS OF BID RESULTS - 2015</t>
  </si>
  <si>
    <r>
      <rPr>
        <b/>
        <sz val="10"/>
        <color theme="1"/>
        <rFont val="Calibri"/>
        <family val="2"/>
        <scheme val="minor"/>
      </rPr>
      <t xml:space="preserve">TB&amp;T </t>
    </r>
    <r>
      <rPr>
        <sz val="10"/>
        <color theme="1"/>
        <rFont val="Calibri"/>
        <family val="2"/>
        <scheme val="minor"/>
      </rPr>
      <t>By Line Department:</t>
    </r>
  </si>
  <si>
    <r>
      <rPr>
        <b/>
        <sz val="10"/>
        <color theme="1"/>
        <rFont val="Calibri"/>
        <family val="2"/>
        <scheme val="minor"/>
      </rPr>
      <t xml:space="preserve">AVIATION </t>
    </r>
    <r>
      <rPr>
        <sz val="10"/>
        <color theme="1"/>
        <rFont val="Calibri"/>
        <family val="2"/>
        <scheme val="minor"/>
      </rPr>
      <t>By Line Department:</t>
    </r>
  </si>
  <si>
    <r>
      <rPr>
        <b/>
        <sz val="10"/>
        <color theme="1"/>
        <rFont val="Calibri"/>
        <family val="2"/>
        <scheme val="minor"/>
      </rPr>
      <t xml:space="preserve">PATH </t>
    </r>
    <r>
      <rPr>
        <sz val="10"/>
        <color theme="1"/>
        <rFont val="Calibri"/>
        <family val="2"/>
        <scheme val="minor"/>
      </rPr>
      <t>By Line Department:</t>
    </r>
  </si>
  <si>
    <t>GOOD</t>
  </si>
  <si>
    <t>FAIL</t>
  </si>
  <si>
    <r>
      <rPr>
        <b/>
        <sz val="10"/>
        <color theme="1"/>
        <rFont val="Calibri"/>
        <family val="2"/>
        <scheme val="minor"/>
      </rPr>
      <t>MWBE and MENTOR</t>
    </r>
    <r>
      <rPr>
        <sz val="10"/>
        <color theme="1"/>
        <rFont val="Calibri"/>
        <family val="2"/>
        <scheme val="minor"/>
      </rPr>
      <t xml:space="preserve"> by Contract Type:</t>
    </r>
  </si>
  <si>
    <t>PN-654.041</t>
  </si>
  <si>
    <t>Port Newark - Davit Street Extension</t>
  </si>
  <si>
    <t>Hutton Construction</t>
  </si>
  <si>
    <t>MZM Construction</t>
  </si>
  <si>
    <t>Sita Construction</t>
  </si>
  <si>
    <t>Will be rebid due to proposal errors.</t>
  </si>
  <si>
    <r>
      <rPr>
        <b/>
        <sz val="10"/>
        <color theme="1"/>
        <rFont val="Calibri"/>
        <family val="2"/>
        <scheme val="minor"/>
      </rPr>
      <t>PQL</t>
    </r>
    <r>
      <rPr>
        <sz val="10"/>
        <color theme="1"/>
        <rFont val="Calibri"/>
        <family val="2"/>
        <scheme val="minor"/>
      </rPr>
      <t xml:space="preserve"> by Contract Type:</t>
    </r>
  </si>
  <si>
    <r>
      <rPr>
        <b/>
        <sz val="10"/>
        <color theme="1"/>
        <rFont val="Calibri"/>
        <family val="2"/>
        <scheme val="minor"/>
      </rPr>
      <t>PUBLIC</t>
    </r>
    <r>
      <rPr>
        <sz val="10"/>
        <color theme="1"/>
        <rFont val="Calibri"/>
        <family val="2"/>
        <scheme val="minor"/>
      </rPr>
      <t xml:space="preserve"> by Contract Type:</t>
    </r>
  </si>
  <si>
    <r>
      <rPr>
        <b/>
        <sz val="10"/>
        <color theme="1"/>
        <rFont val="Calibri"/>
        <family val="2"/>
        <scheme val="minor"/>
      </rPr>
      <t>NJ</t>
    </r>
    <r>
      <rPr>
        <sz val="10"/>
        <color theme="1"/>
        <rFont val="Calibri"/>
        <family val="2"/>
        <scheme val="minor"/>
      </rPr>
      <t xml:space="preserve"> by Location:</t>
    </r>
  </si>
  <si>
    <r>
      <rPr>
        <b/>
        <sz val="10"/>
        <color theme="1"/>
        <rFont val="Calibri"/>
        <family val="2"/>
        <scheme val="minor"/>
      </rPr>
      <t>NY</t>
    </r>
    <r>
      <rPr>
        <sz val="10"/>
        <color theme="1"/>
        <rFont val="Calibri"/>
        <family val="2"/>
        <scheme val="minor"/>
      </rPr>
      <t xml:space="preserve"> by Location:</t>
    </r>
  </si>
  <si>
    <r>
      <rPr>
        <b/>
        <sz val="10"/>
        <color theme="1"/>
        <rFont val="Calibri"/>
        <family val="2"/>
        <scheme val="minor"/>
      </rPr>
      <t>UNDER $2mil</t>
    </r>
    <r>
      <rPr>
        <sz val="10"/>
        <color theme="1"/>
        <rFont val="Calibri"/>
        <family val="2"/>
        <scheme val="minor"/>
      </rPr>
      <t xml:space="preserve"> in Low Bid Value:</t>
    </r>
  </si>
  <si>
    <r>
      <t>OVER</t>
    </r>
    <r>
      <rPr>
        <b/>
        <sz val="10"/>
        <color theme="1"/>
        <rFont val="Calibri"/>
        <family val="2"/>
        <scheme val="minor"/>
      </rPr>
      <t xml:space="preserve"> $5mil</t>
    </r>
    <r>
      <rPr>
        <sz val="10"/>
        <color theme="1"/>
        <rFont val="Calibri"/>
        <family val="2"/>
        <scheme val="minor"/>
      </rPr>
      <t xml:space="preserve"> in Low Bid Value:</t>
    </r>
  </si>
  <si>
    <r>
      <rPr>
        <b/>
        <sz val="10"/>
        <color theme="1"/>
        <rFont val="Calibri"/>
        <family val="2"/>
        <scheme val="minor"/>
      </rPr>
      <t xml:space="preserve">PORTS </t>
    </r>
    <r>
      <rPr>
        <sz val="10"/>
        <color theme="1"/>
        <rFont val="Calibri"/>
        <family val="2"/>
        <scheme val="minor"/>
      </rPr>
      <t>By Line Department:</t>
    </r>
  </si>
  <si>
    <t>Rebid of 5 Jan 16</t>
  </si>
  <si>
    <t>PN-654.544</t>
  </si>
  <si>
    <t>Port Newark - Install Intelligent Transport Devices and Traffic Signals</t>
  </si>
  <si>
    <t>Aldridge Electric</t>
  </si>
  <si>
    <t>Libertyville</t>
  </si>
  <si>
    <t>Union Paving &amp; Constr</t>
  </si>
  <si>
    <t>Mountainside</t>
  </si>
  <si>
    <t>Daidone Electric</t>
  </si>
  <si>
    <t>HBC Company Inc.</t>
  </si>
  <si>
    <t>Con-El Electric</t>
  </si>
  <si>
    <t>Hillside</t>
  </si>
  <si>
    <t>Morganti Group</t>
  </si>
  <si>
    <t>Ports</t>
  </si>
  <si>
    <t>LGA-103.014</t>
  </si>
  <si>
    <t>Lucita Mendoza</t>
  </si>
  <si>
    <t>LGA - Pump Houses 2 and 3 Rehabilitation</t>
  </si>
  <si>
    <t>Mass Electric</t>
  </si>
  <si>
    <t>LK Comstock</t>
  </si>
  <si>
    <t>E Farmingdale</t>
  </si>
  <si>
    <t>PJS Electric</t>
  </si>
  <si>
    <t>ACS Systems</t>
  </si>
  <si>
    <t>Mt Vernon</t>
  </si>
  <si>
    <t>T. Moriarty &amp; Son</t>
  </si>
  <si>
    <t>GWB-244.150</t>
  </si>
  <si>
    <t>Reddy Gunda and Henry Yu</t>
  </si>
  <si>
    <t>Yonkers Contracting</t>
  </si>
  <si>
    <t>Skanska Koch</t>
  </si>
  <si>
    <t>D'Annunzio</t>
  </si>
  <si>
    <t>EE Cruz</t>
  </si>
  <si>
    <t>New York City</t>
  </si>
  <si>
    <t>Union Paving</t>
  </si>
  <si>
    <t>CCA Civil</t>
  </si>
  <si>
    <t>Morristown</t>
  </si>
  <si>
    <t>Anselmi &amp; DeCiccio</t>
  </si>
  <si>
    <t>Creamer/Sanzari JV</t>
  </si>
  <si>
    <t>Judlau</t>
  </si>
  <si>
    <t>Schiavone/Halmar JV</t>
  </si>
  <si>
    <t>Kiska Constr</t>
  </si>
  <si>
    <t>GWB - Replacement of PIP Helix, et. al.</t>
  </si>
  <si>
    <t>x</t>
  </si>
  <si>
    <t>LGA-774.133B</t>
  </si>
  <si>
    <t>Beaver Concrete</t>
  </si>
  <si>
    <t>Paul J. Scariano</t>
  </si>
  <si>
    <t>Mugrose Construction</t>
  </si>
  <si>
    <t>G&amp;M Earthmoving</t>
  </si>
  <si>
    <t>Holbrook</t>
  </si>
  <si>
    <t>Delaney Assoc</t>
  </si>
  <si>
    <t>Halmar</t>
  </si>
  <si>
    <t>Tully Construction</t>
  </si>
  <si>
    <t>CAC Industries</t>
  </si>
  <si>
    <t>Primer Construction</t>
  </si>
  <si>
    <t>Triumph Construction</t>
  </si>
  <si>
    <t>The Bronx</t>
  </si>
  <si>
    <t>J-Track</t>
  </si>
  <si>
    <t>GENERAL NOTES ABOUT THE BID RESULTS</t>
  </si>
  <si>
    <t>Notes Prepared By :</t>
  </si>
  <si>
    <t>Andy Victors</t>
  </si>
  <si>
    <t>Prepared Date:</t>
  </si>
  <si>
    <t>LGA-124.240</t>
  </si>
  <si>
    <t>LGA - Rehab Taxiway B between G and CY</t>
  </si>
  <si>
    <t>Intercounty Paving</t>
  </si>
  <si>
    <t>Tully Constr</t>
  </si>
  <si>
    <t>Restani Constr</t>
  </si>
  <si>
    <t>PAT-774.154</t>
  </si>
  <si>
    <t>PATH - Hoboken Station Under-Platform Fan Replacement</t>
  </si>
  <si>
    <t>Framan Mechanical</t>
  </si>
  <si>
    <t>Fords</t>
  </si>
  <si>
    <t>VRH Constr</t>
  </si>
  <si>
    <t>Ex Air DBA DDC Air Cond</t>
  </si>
  <si>
    <t>Teterboro</t>
  </si>
  <si>
    <t>LGA - Emergency Storm Drainage Outfalls</t>
  </si>
  <si>
    <t>By</t>
  </si>
  <si>
    <t>EWR-154.197</t>
  </si>
  <si>
    <t>Newark - Infrastructure Renewal, Electrical</t>
  </si>
  <si>
    <t>Anselmi &amp; DeCicco</t>
  </si>
  <si>
    <t>Tarheel Enterprises</t>
  </si>
  <si>
    <t>Railroad Construction</t>
  </si>
  <si>
    <t>Kyle Conti</t>
  </si>
  <si>
    <t>Hillsborough</t>
  </si>
  <si>
    <t>George Harms</t>
  </si>
  <si>
    <t>Creamer Sanzari JV</t>
  </si>
  <si>
    <t>Conti Enterprises</t>
  </si>
  <si>
    <t>Walsh Constr</t>
  </si>
  <si>
    <t>Rutherford</t>
  </si>
  <si>
    <t>Carbro Constructors</t>
  </si>
  <si>
    <t>MFP-924.638</t>
  </si>
  <si>
    <t>NJ Marine Terminals - Dredging via Work Order</t>
  </si>
  <si>
    <t>cy</t>
  </si>
  <si>
    <t>Weeks Marine</t>
  </si>
  <si>
    <t>Covington</t>
  </si>
  <si>
    <t>LA</t>
  </si>
  <si>
    <t>Jay Cashman</t>
  </si>
  <si>
    <t>Quincy</t>
  </si>
  <si>
    <t>Donjon Marine</t>
  </si>
  <si>
    <t>Clean Earth Dredging</t>
  </si>
  <si>
    <t>Hatboro</t>
  </si>
  <si>
    <t>Great Lakes Dredge &amp; Dock</t>
  </si>
  <si>
    <t>Oak Brook</t>
  </si>
  <si>
    <t>1Q2016</t>
  </si>
  <si>
    <t>4Q2015</t>
  </si>
  <si>
    <t>3Q2015</t>
  </si>
  <si>
    <t>2Q2015</t>
  </si>
  <si>
    <t>1Q2015</t>
  </si>
  <si>
    <t>Quarter</t>
  </si>
  <si>
    <t>Total EE</t>
  </si>
  <si>
    <t>Total LB</t>
  </si>
  <si>
    <t>%</t>
  </si>
  <si>
    <t>Last 4 Q</t>
  </si>
  <si>
    <t>Existing Metric</t>
  </si>
  <si>
    <r>
      <t>BETW</t>
    </r>
    <r>
      <rPr>
        <b/>
        <sz val="10"/>
        <color theme="1"/>
        <rFont val="Calibri"/>
        <family val="2"/>
        <scheme val="minor"/>
      </rPr>
      <t xml:space="preserve"> $2-5mil</t>
    </r>
    <r>
      <rPr>
        <sz val="10"/>
        <color theme="1"/>
        <rFont val="Calibri"/>
        <family val="2"/>
        <scheme val="minor"/>
      </rPr>
      <t xml:space="preserve"> in Low Bid Value:</t>
    </r>
  </si>
  <si>
    <t>SWF-164.054</t>
  </si>
  <si>
    <t>Stewart Airport - Backflow Prevention and Sump Pumps</t>
  </si>
  <si>
    <t>VRH Construction</t>
  </si>
  <si>
    <t>KUNJ Construction</t>
  </si>
  <si>
    <t>Northvale</t>
  </si>
  <si>
    <t>LJ Coppola</t>
  </si>
  <si>
    <t>Thornwood</t>
  </si>
  <si>
    <t>McNamee Construction</t>
  </si>
  <si>
    <t>Lincolndale</t>
  </si>
  <si>
    <t>PAT-784.163</t>
  </si>
  <si>
    <t>PATH - Infrastructure for Standby Generators</t>
  </si>
  <si>
    <t>Beach Electric</t>
  </si>
  <si>
    <t>Ex Air Inc.</t>
  </si>
  <si>
    <t>Austral Construction</t>
  </si>
  <si>
    <t>S&amp;J Electric</t>
  </si>
  <si>
    <t>HBC Company</t>
  </si>
  <si>
    <t>Paul J Scariano</t>
  </si>
  <si>
    <t>E-J Electric</t>
  </si>
  <si>
    <t>Low bidder is exceptionaly low.</t>
  </si>
  <si>
    <t>EP-684.509A</t>
  </si>
  <si>
    <t>EACM Corp.</t>
  </si>
  <si>
    <t>Sea Bright</t>
  </si>
  <si>
    <t>NCC Inc.</t>
  </si>
  <si>
    <t>K&amp;D Contractors</t>
  </si>
  <si>
    <t>EWR-924.281</t>
  </si>
  <si>
    <t>Peripheral Ditch Tide Gate Valve Repairs</t>
  </si>
  <si>
    <t>Henry Yu</t>
  </si>
  <si>
    <t>Fred Devins Constr</t>
  </si>
  <si>
    <t>Ringwood</t>
  </si>
  <si>
    <t>Lucas Construction</t>
  </si>
  <si>
    <t>Morganville</t>
  </si>
  <si>
    <t>Waterware Corp</t>
  </si>
  <si>
    <t>Philadelphia</t>
  </si>
  <si>
    <t>Atlantic Subsea</t>
  </si>
  <si>
    <t>Bridgeport</t>
  </si>
  <si>
    <t>HT-224.117</t>
  </si>
  <si>
    <t>Trevcon Constr</t>
  </si>
  <si>
    <t>Lomma Constr</t>
  </si>
  <si>
    <t>Primer Constr</t>
  </si>
  <si>
    <t>GWB-244.246</t>
  </si>
  <si>
    <t>Reddy Gunda</t>
  </si>
  <si>
    <t>PSP Constr</t>
  </si>
  <si>
    <t>Waterside Buffer Zone Protection</t>
  </si>
  <si>
    <t>Access Ramp Crash Barrier</t>
  </si>
  <si>
    <t>Ramani Sundaram</t>
  </si>
  <si>
    <t>LT-924.014A</t>
  </si>
  <si>
    <t>Water Line Leak Repairs</t>
  </si>
  <si>
    <t>J. Fletcher Creamer</t>
  </si>
  <si>
    <t>HT-473A</t>
  </si>
  <si>
    <t>Emerg Gen Infrastructure at NY &amp; NJ Ventilation Bldgs</t>
  </si>
  <si>
    <t>EJ Electric</t>
  </si>
  <si>
    <t>S&amp;V Electric</t>
  </si>
  <si>
    <t>Raymond Electric</t>
  </si>
  <si>
    <t>S Hackensack</t>
  </si>
  <si>
    <t>Arco Constructors</t>
  </si>
  <si>
    <t>Elizabeth</t>
  </si>
  <si>
    <t>Innovative Electric of NY</t>
  </si>
  <si>
    <t>Adnet Enterprises</t>
  </si>
  <si>
    <t>NYNJRR-644.537</t>
  </si>
  <si>
    <t>Repl Barge Mooring Structures at Greenville Yard</t>
  </si>
  <si>
    <t>Trevcon Construction</t>
  </si>
  <si>
    <t>Halmar International</t>
  </si>
  <si>
    <t>Simpson &amp; Brown</t>
  </si>
  <si>
    <t>Conway Marine</t>
  </si>
  <si>
    <t>JE Hannon</t>
  </si>
  <si>
    <t>EIC Associates</t>
  </si>
  <si>
    <t>Agate Construction</t>
  </si>
  <si>
    <t>MFM Contracting</t>
  </si>
  <si>
    <t>Mamaroneck</t>
  </si>
  <si>
    <t>Doyle Contracting</t>
  </si>
  <si>
    <t>Cashman Dredging &amp; Marine</t>
  </si>
  <si>
    <t>Pearl River</t>
  </si>
  <si>
    <t>Excess schedule time allotment influenced EE</t>
  </si>
  <si>
    <t>LGA-124.086</t>
  </si>
  <si>
    <t>Rehab of Runway 22 Deck Wearing Course</t>
  </si>
  <si>
    <t>Grace Industries</t>
  </si>
  <si>
    <t>Lucita Mendoza and Nathan Demaisip</t>
  </si>
  <si>
    <t>Anticipated 9 bids</t>
  </si>
  <si>
    <t>HT-469</t>
  </si>
  <si>
    <t>Mitigate Water Leakage at Ventilation Ducts and Mid-River Pump Room</t>
  </si>
  <si>
    <t>LT-924.028</t>
  </si>
  <si>
    <t>Priority Repairs on NY Approach Retaining Walls (Dyer Ave.)</t>
  </si>
  <si>
    <t>Vista Engineering</t>
  </si>
  <si>
    <t>TA Ahern Painting</t>
  </si>
  <si>
    <t>Oliviera Contracting</t>
  </si>
  <si>
    <t>Albertson</t>
  </si>
  <si>
    <t>Unicorn Constr</t>
  </si>
  <si>
    <t>PMY Constr</t>
  </si>
  <si>
    <t>Sharan Builders</t>
  </si>
  <si>
    <t>D'Annunzio &amp; Sons</t>
  </si>
  <si>
    <t>John Civetta &amp; Sons</t>
  </si>
  <si>
    <t>Gateway Industries</t>
  </si>
  <si>
    <t>PN-654.038</t>
  </si>
  <si>
    <t>RCC Builders &amp; Developers</t>
  </si>
  <si>
    <t>DMR Constr Serv</t>
  </si>
  <si>
    <t>Waldwick</t>
  </si>
  <si>
    <t>Arco Electric</t>
  </si>
  <si>
    <t>APS Contractors</t>
  </si>
  <si>
    <t>Expressrail Port Newark Administration Building</t>
  </si>
  <si>
    <t>D-B</t>
  </si>
  <si>
    <t>Quantity error drove high EE, subsequently contract cancelled, will be done by SEMAC.</t>
  </si>
  <si>
    <t>LT-800.382</t>
  </si>
  <si>
    <t>North Tube Pump Discharge Line</t>
  </si>
  <si>
    <t>MWBE</t>
  </si>
  <si>
    <t>JFK-1064</t>
  </si>
  <si>
    <t>Bulk Fuel Farm West End &amp; Satellite Remediation Upgrades</t>
  </si>
  <si>
    <t>VPH Mechanical</t>
  </si>
  <si>
    <t>Jamaica</t>
  </si>
  <si>
    <t>The Franklin Company</t>
  </si>
  <si>
    <t>SCE Environmental</t>
  </si>
  <si>
    <t>T Moriarty &amp; Son</t>
  </si>
  <si>
    <t>Aventura Constr</t>
  </si>
  <si>
    <t>Holtsville</t>
  </si>
  <si>
    <t>RJ Industries</t>
  </si>
  <si>
    <t>Jefferson Twsp</t>
  </si>
  <si>
    <t>LT-934.027</t>
  </si>
  <si>
    <t>NJ Admin Bldg - Emergency Power Modifications</t>
  </si>
  <si>
    <t>Twin Towers Enterprises</t>
  </si>
  <si>
    <t>Earth Constr</t>
  </si>
  <si>
    <t>Queens Village</t>
  </si>
  <si>
    <t>S&amp;J Electrical</t>
  </si>
  <si>
    <t>LT-944.096</t>
  </si>
  <si>
    <t>Replacement of Aboveground Storage Tanks</t>
  </si>
  <si>
    <t>DDC Air Conditioning</t>
  </si>
  <si>
    <t>Frankin Company</t>
  </si>
  <si>
    <t>Glass Armor DBA Empire Enviro</t>
  </si>
  <si>
    <t>LT-534</t>
  </si>
  <si>
    <t>Maintenance Pavement Repairs via Work Order</t>
  </si>
  <si>
    <t>PCI Industries</t>
  </si>
  <si>
    <t>PAT-784.164</t>
  </si>
  <si>
    <t>Replace Roof - MacMillian-Bloedel Building</t>
  </si>
  <si>
    <t>APS Contracting</t>
  </si>
  <si>
    <t>Pravco</t>
  </si>
  <si>
    <t>Sea Breeze GC</t>
  </si>
  <si>
    <t>Safeway Contracting</t>
  </si>
  <si>
    <t>Neelam Constr</t>
  </si>
  <si>
    <t>Additional bid of $5,783,554 rec'd but incomplete.</t>
  </si>
  <si>
    <t>EWR-924.366</t>
  </si>
  <si>
    <t>Bridge N5 Flooding Mitigation</t>
  </si>
  <si>
    <t>Verdugos Gen Contr</t>
  </si>
  <si>
    <t>Woodhaven</t>
  </si>
  <si>
    <t>PN-654.042A</t>
  </si>
  <si>
    <t>Demo Buildings 269 and 270</t>
  </si>
  <si>
    <t>Montana Constr</t>
  </si>
  <si>
    <t>Wild Heart Industries</t>
  </si>
  <si>
    <t>Breeze National</t>
  </si>
  <si>
    <t>S&amp;R Corp</t>
  </si>
  <si>
    <t>Lowell</t>
  </si>
  <si>
    <t>Gramercy Group</t>
  </si>
  <si>
    <t>Wantagh</t>
  </si>
  <si>
    <t>Green Constr</t>
  </si>
  <si>
    <t>Hudson Valley Environmental</t>
  </si>
  <si>
    <t>Pt Pleasant Beach</t>
  </si>
  <si>
    <t>JFK-144.019</t>
  </si>
  <si>
    <t>Rehab Runway4R-22L and Associated Taxiways</t>
  </si>
  <si>
    <t>Tully/Intercounty JV</t>
  </si>
  <si>
    <t>PJ-664.527</t>
  </si>
  <si>
    <t>Bldg 108 Switchgear Replacement</t>
  </si>
  <si>
    <t>Meridian Property Services</t>
  </si>
  <si>
    <t>Hamilton</t>
  </si>
  <si>
    <t>Drill Construction</t>
  </si>
  <si>
    <t>West Orange</t>
  </si>
  <si>
    <t>Ramani Sundaram and Ed Minall</t>
  </si>
  <si>
    <t>Will be rebid due to bidder withdrawl and extremely high bids.</t>
  </si>
  <si>
    <t>JFK-124.027</t>
  </si>
  <si>
    <t>CCTV at Terminal Baggage Areas</t>
  </si>
  <si>
    <t>VVP</t>
  </si>
  <si>
    <t>Securitas Electronic Sec</t>
  </si>
  <si>
    <t>PAT-024.069A</t>
  </si>
  <si>
    <t>30th Street Mezzanine Rehab</t>
  </si>
  <si>
    <t>AKO-924.054</t>
  </si>
  <si>
    <t>OBX - Structural Rehabilitation</t>
  </si>
  <si>
    <t>Ahearn Painting</t>
  </si>
  <si>
    <t>HT-924.097</t>
  </si>
  <si>
    <t>Ventilation Bldg Evac Stack Inspection Structures</t>
  </si>
  <si>
    <t>GCCOM Constr</t>
  </si>
  <si>
    <t>Builders 2000 LLC</t>
  </si>
  <si>
    <t>HT-224.127</t>
  </si>
  <si>
    <t>Replacement of Piers 9 and 204 Phase II</t>
  </si>
  <si>
    <t>Cashman Dredge &amp; Marine</t>
  </si>
  <si>
    <t>GWB-563</t>
  </si>
  <si>
    <t>Sanitary Sewer Rehab at NJ Admin Bldg Lower Parking Lot</t>
  </si>
  <si>
    <t>Inter-County Paving</t>
  </si>
  <si>
    <t>Acme Skillman Concrete</t>
  </si>
  <si>
    <t>Perfetto Industries</t>
  </si>
  <si>
    <t>Awarded Contract</t>
  </si>
  <si>
    <t>GWB-924.159A</t>
  </si>
  <si>
    <t>NJ Admin Building Heating Hot Water &amp; Chilled Water Piping Replacement</t>
  </si>
  <si>
    <t>Ocean</t>
  </si>
  <si>
    <t>A&amp;A Industrial Piping</t>
  </si>
  <si>
    <t>Nothvale</t>
  </si>
  <si>
    <t>Infinity Contracting</t>
  </si>
  <si>
    <t>Note one bid received.</t>
  </si>
  <si>
    <t>SWF-017</t>
  </si>
  <si>
    <t>Joe Lucin</t>
  </si>
  <si>
    <t>Asphalt and Concrete Repairs via Work Order</t>
  </si>
  <si>
    <t>Argenio Bros</t>
  </si>
  <si>
    <t>New Windsor</t>
  </si>
  <si>
    <t>Tilcon NY</t>
  </si>
  <si>
    <t>fail</t>
  </si>
  <si>
    <t>good</t>
  </si>
  <si>
    <t>over 5 mil</t>
  </si>
  <si>
    <t>Kappa Constr</t>
  </si>
  <si>
    <t>Deborah Bradley Constr</t>
  </si>
  <si>
    <t>^^  Maint  ^^</t>
  </si>
  <si>
    <t>Maintenance</t>
  </si>
  <si>
    <t>LGA-124.236</t>
  </si>
  <si>
    <t>Wetland Mitigation at Westchester Creek</t>
  </si>
  <si>
    <t>Galvin/Madhue JV</t>
  </si>
  <si>
    <t>Coastal Contracting</t>
  </si>
  <si>
    <t>Number of Bids</t>
  </si>
  <si>
    <t>Bids under $5 Million</t>
  </si>
  <si>
    <t>Bids over $5 Million</t>
  </si>
  <si>
    <t>Success Rate - Overall</t>
  </si>
  <si>
    <t>Success Rate - under $5 Million</t>
  </si>
  <si>
    <t>Success Rate - over $5 Million</t>
  </si>
  <si>
    <t>Participants per Bid</t>
  </si>
  <si>
    <t>Overall Bid vs Budget %</t>
  </si>
  <si>
    <t>Total $ of Bids (x 1 Million)</t>
  </si>
  <si>
    <t>PJ-664.503</t>
  </si>
  <si>
    <t>Greenville Yard Phase 1</t>
  </si>
  <si>
    <t>Geo. Harms Constr</t>
  </si>
  <si>
    <t>PN-654.551</t>
  </si>
  <si>
    <t>Tyler Street Pavement Rehab</t>
  </si>
  <si>
    <t>Sita Constr</t>
  </si>
  <si>
    <t>MZM Constr</t>
  </si>
  <si>
    <t>Ed Minall</t>
  </si>
  <si>
    <t>PAT-534.316</t>
  </si>
  <si>
    <t>Journal Square Transport Center - Hardening phase 2</t>
  </si>
  <si>
    <t>&lt;- manually update</t>
  </si>
  <si>
    <t>Will be rebid due to scope issues.</t>
  </si>
  <si>
    <t>EWR-924.288</t>
  </si>
  <si>
    <t>Fuel Farm Roadway Drainage Improvements</t>
  </si>
  <si>
    <t>Deborah Bradley Mgt Serv</t>
  </si>
  <si>
    <t>RML Constr</t>
  </si>
  <si>
    <t>PAT-084.039</t>
  </si>
  <si>
    <t>Event Detection Systems for Tunnels E and F</t>
  </si>
  <si>
    <t>Note bid after the Xmas holiday.</t>
  </si>
  <si>
    <t>JFK-124.016</t>
  </si>
  <si>
    <t>Rehab Taxiway Q, QG and Restricted Vehicle Service Road</t>
  </si>
  <si>
    <t>JFK-1067</t>
  </si>
  <si>
    <t>Asphalt Pavement Repairs via Work Order</t>
  </si>
  <si>
    <t>MFP-924.644</t>
  </si>
  <si>
    <t>NJ Marine Terminals Railroad Rehab via Work Order</t>
  </si>
  <si>
    <t>Railroad Constr of S Jersey</t>
  </si>
  <si>
    <t>Paulsboro</t>
  </si>
  <si>
    <t>Tracks Unlimited</t>
  </si>
  <si>
    <t>NJ BIDS</t>
  </si>
  <si>
    <t>NY BIDS</t>
  </si>
  <si>
    <t>BOTH BIDS</t>
  </si>
  <si>
    <r>
      <rPr>
        <b/>
        <sz val="10"/>
        <color theme="1"/>
        <rFont val="Calibri"/>
        <family val="2"/>
        <scheme val="minor"/>
      </rPr>
      <t>Reddy Gunda</t>
    </r>
    <r>
      <rPr>
        <sz val="10"/>
        <color theme="1"/>
        <rFont val="Calibri"/>
        <family val="2"/>
        <scheme val="minor"/>
      </rPr>
      <t xml:space="preserve"> and Henry Yu</t>
    </r>
  </si>
  <si>
    <r>
      <rPr>
        <b/>
        <sz val="10"/>
        <color theme="1"/>
        <rFont val="Calibri"/>
        <family val="2"/>
        <scheme val="minor"/>
      </rPr>
      <t>Lucita Mendoza</t>
    </r>
    <r>
      <rPr>
        <sz val="10"/>
        <color theme="1"/>
        <rFont val="Calibri"/>
        <family val="2"/>
        <scheme val="minor"/>
      </rPr>
      <t xml:space="preserve"> and Nathan Demaisip</t>
    </r>
  </si>
  <si>
    <t>Good</t>
  </si>
  <si>
    <t>Fail</t>
  </si>
  <si>
    <t>Nathan</t>
  </si>
  <si>
    <t>Henry</t>
  </si>
  <si>
    <t>Reddy</t>
  </si>
  <si>
    <t>Joe</t>
  </si>
  <si>
    <t>Wen</t>
  </si>
  <si>
    <t>Ed</t>
  </si>
  <si>
    <t>Ramani</t>
  </si>
  <si>
    <t>Lucita</t>
  </si>
  <si>
    <t>Performance %</t>
  </si>
  <si>
    <t>Regional Breakdown</t>
  </si>
  <si>
    <t>EE</t>
  </si>
  <si>
    <t>Participants</t>
  </si>
  <si>
    <t>Success</t>
  </si>
  <si>
    <t>HT-924.089</t>
  </si>
  <si>
    <t>NJ Service Building 1 and 2 Priority Repairs</t>
  </si>
  <si>
    <t>Precision Bldg</t>
  </si>
  <si>
    <t>Earth Construction</t>
  </si>
  <si>
    <t>Bound Brook</t>
  </si>
  <si>
    <t>EWR-154.392</t>
  </si>
  <si>
    <t xml:space="preserve">Terminal A Redev - Bridges N57, N58, N59 and Utilities </t>
  </si>
  <si>
    <t>Servidone/Anthony/Halmar JV</t>
  </si>
  <si>
    <t>Old Bridge</t>
  </si>
  <si>
    <t>Geo Harms Constr</t>
  </si>
  <si>
    <t>Schiavone Constr</t>
  </si>
  <si>
    <t>LGA-103.015</t>
  </si>
  <si>
    <t>Pump House 6 Substation</t>
  </si>
  <si>
    <t>Verde Electric</t>
  </si>
  <si>
    <t>Mount Vernon</t>
  </si>
  <si>
    <t>Positive Electrical</t>
  </si>
  <si>
    <t>L I City</t>
  </si>
  <si>
    <t>Hellman Electric</t>
  </si>
  <si>
    <t>PJ Scariano</t>
  </si>
  <si>
    <t>JFK-154.022</t>
  </si>
  <si>
    <t>Vehicle Gates Security Upgrade</t>
  </si>
  <si>
    <t>MFP-924.645</t>
  </si>
  <si>
    <t>NJ Paving and Utility Rehab by Work Order</t>
  </si>
  <si>
    <t>JFK-124.009</t>
  </si>
  <si>
    <t>Bldg 14 Roof Replacement, East Wing</t>
  </si>
  <si>
    <t>Proton Constr</t>
  </si>
  <si>
    <t>RSN Construction</t>
  </si>
  <si>
    <t>Roslyn Heights</t>
  </si>
  <si>
    <t>Imperium Constr</t>
  </si>
  <si>
    <t>Sea Breeze</t>
  </si>
  <si>
    <t>Armstrong Roofing</t>
  </si>
  <si>
    <t>Echostar Constr</t>
  </si>
  <si>
    <t>D'Onofrio Gen Contractors</t>
  </si>
  <si>
    <t>DA Nolt</t>
  </si>
  <si>
    <t>Berlin</t>
  </si>
  <si>
    <t>Astivida Constr</t>
  </si>
  <si>
    <t>Metropolitan Constr</t>
  </si>
  <si>
    <t>Lighthouse Builders</t>
  </si>
  <si>
    <t>Attri Enterprises</t>
  </si>
  <si>
    <t>Greenwood Industries</t>
  </si>
  <si>
    <t>Worchester</t>
  </si>
  <si>
    <t>GWB-924.170</t>
  </si>
  <si>
    <t>S Plainfield</t>
  </si>
  <si>
    <t>Low bidder is onsite at GWB-563.</t>
  </si>
  <si>
    <t>EWR-924.375</t>
  </si>
  <si>
    <t>Peripheral Ditch Containment Boom Anchor Walls</t>
  </si>
  <si>
    <t>JE Hannon TA Bird Constr</t>
  </si>
  <si>
    <t>Lucas Constr</t>
  </si>
  <si>
    <t>Tinton Falls</t>
  </si>
  <si>
    <t>North-East Constr &amp; Mgt</t>
  </si>
  <si>
    <t>Agate Constr</t>
  </si>
  <si>
    <t>Creamer-Sanzari JV</t>
  </si>
  <si>
    <t>YP Constr</t>
  </si>
  <si>
    <t>Low bidder is exceptionally low and has unbalanced CL/UCL.</t>
  </si>
  <si>
    <t>Will be rebid; one bid received.</t>
  </si>
  <si>
    <t>GWB-244.048</t>
  </si>
  <si>
    <t>American Bridge</t>
  </si>
  <si>
    <t>LGA-124.250</t>
  </si>
  <si>
    <t>Inter-County</t>
  </si>
  <si>
    <t>TEB-144.045</t>
  </si>
  <si>
    <t>Storm Drainage System Rehab Phase 1</t>
  </si>
  <si>
    <t>Hackensak</t>
  </si>
  <si>
    <t>The Shauger Group</t>
  </si>
  <si>
    <t>East Orange</t>
  </si>
  <si>
    <t>Reivax Contracting</t>
  </si>
  <si>
    <t>Petillo Inc</t>
  </si>
  <si>
    <t>Flanders</t>
  </si>
  <si>
    <t>Black Rock Enterprises</t>
  </si>
  <si>
    <t>Crisdel</t>
  </si>
  <si>
    <t>Hutton Constr</t>
  </si>
  <si>
    <t>Paving Mat's &amp; Contracting</t>
  </si>
  <si>
    <t>Montville</t>
  </si>
  <si>
    <t>HC Constructors</t>
  </si>
  <si>
    <t>Whitehouse</t>
  </si>
  <si>
    <t>New Prince Concrete</t>
  </si>
  <si>
    <t>Low bidder is exceptionally low.</t>
  </si>
  <si>
    <t>Rehab Taxiways B, AA, BB, and Associated Taxiways</t>
  </si>
  <si>
    <t>^^Maintenance^^</t>
  </si>
  <si>
    <t>Replacement of Suspender Ropes and Rehab of Main Cables &amp; Strands</t>
  </si>
  <si>
    <t>Engineering Department - Engineering Cost Management - Estimating Unit</t>
  </si>
  <si>
    <t>Fort Lee</t>
  </si>
  <si>
    <t>Tutor Perini/IHI JV</t>
  </si>
  <si>
    <t>Kiewit</t>
  </si>
  <si>
    <t>Replacement of Automatic Transfer Switches</t>
  </si>
  <si>
    <t>GWB-244.263</t>
  </si>
  <si>
    <t>JG Salas &amp; Sons</t>
  </si>
  <si>
    <t>Union Beach</t>
  </si>
  <si>
    <t>NCC Inc</t>
  </si>
  <si>
    <t>Lerco Electric</t>
  </si>
  <si>
    <t>Levest Electric</t>
  </si>
  <si>
    <t>Sciavone/Halmar/Piasecki JV</t>
  </si>
  <si>
    <t>Explanation of Bid vs Budget Performance:</t>
  </si>
  <si>
    <t>by:</t>
  </si>
  <si>
    <t xml:space="preserve">The LaGuardia Airport Rehabilitation of Taxiway B, AA, BB and associated Taxiways contract, was bid with an engineer’s estimate of </t>
  </si>
  <si>
    <t xml:space="preserve">$10,393.000. The Low bidder Tully Construction was at $7,913,950.  Second bidder Intercounty Paving Associates at $9,176,000, also </t>
  </si>
  <si>
    <t xml:space="preserve">the third and last bidder Grace Industries at $9,664,000. The Engineers Estimate is 16.5% higher than the average of the three bids </t>
  </si>
  <si>
    <t xml:space="preserve">received. The delta is mostly in the electrical unclassified lump sum part of the Estimate. Tully was not willing to identify his electrical </t>
  </si>
  <si>
    <t xml:space="preserve">subcontractor at the Pre-award meeting. The Low bidder Tully is mobilized on site and working at LaGuardia Airport. This is Tully’s </t>
  </si>
  <si>
    <t>advantage. Tully has completed many projects for the Port Authority.</t>
  </si>
  <si>
    <t>MFP-072.016</t>
  </si>
  <si>
    <t>NY Marine Terminals - Paving and Utilities by Work Order</t>
  </si>
  <si>
    <t>SH5 Constr</t>
  </si>
  <si>
    <t>Gateway Demo &amp; Civil</t>
  </si>
  <si>
    <t>PETK Inc.</t>
  </si>
  <si>
    <t>LGA-774.237</t>
  </si>
  <si>
    <t>Gennadiy Zavolkovskiy</t>
  </si>
  <si>
    <t>Rehab SCADA System at Various Substations</t>
  </si>
  <si>
    <t>LGA-124.255</t>
  </si>
  <si>
    <t>Rehab of Runway 22 Deck Wearing Course Panel 1A</t>
  </si>
  <si>
    <t>BT-254.123</t>
  </si>
  <si>
    <t>PABT Supplemental Fire Alarm Systems</t>
  </si>
  <si>
    <t>The Morganti Group</t>
  </si>
  <si>
    <t>Jemco Electrical Contr</t>
  </si>
  <si>
    <t>PyroSignal &amp; Supression</t>
  </si>
  <si>
    <t>Saijun Electric</t>
  </si>
  <si>
    <t>Interphase Electric</t>
  </si>
  <si>
    <t>Lynbrook</t>
  </si>
  <si>
    <t>Hylan Datacom &amp; Electric</t>
  </si>
  <si>
    <t>AAV 29 Mar 2017</t>
  </si>
  <si>
    <t>Low bidder is exceptionally low and has requested withdrawl.</t>
  </si>
  <si>
    <t>MFP-924.634</t>
  </si>
  <si>
    <t>NY Marine Terminals - Rail Rehab via Work Order</t>
  </si>
  <si>
    <t>Railroad Constr Co</t>
  </si>
  <si>
    <t>good =</t>
  </si>
  <si>
    <t>EWR-154.234</t>
  </si>
  <si>
    <t>AOA Light Circuit Replacement</t>
  </si>
  <si>
    <t>PAT-084.001</t>
  </si>
  <si>
    <t>Halmar/LB Electric JV</t>
  </si>
  <si>
    <t>Replacement of Substation 9</t>
  </si>
  <si>
    <t>TEB-144.048</t>
  </si>
  <si>
    <t>PN-654.558</t>
  </si>
  <si>
    <t>Berths 26, 28, 32, 34 Dredging</t>
  </si>
  <si>
    <t>MFP-924.645A</t>
  </si>
  <si>
    <t>Whitehouse Sta</t>
  </si>
  <si>
    <t>GWB-924.176</t>
  </si>
  <si>
    <t>Upper Level Sidewalk Repairs via Work Order</t>
  </si>
  <si>
    <t>Creamer-Senzari JV</t>
  </si>
  <si>
    <t>AAV 24 Apr 2017</t>
  </si>
  <si>
    <t>LT-234.179</t>
  </si>
  <si>
    <t>JT Cleary</t>
  </si>
  <si>
    <t>Phoenix Marine</t>
  </si>
  <si>
    <t>Sayreville</t>
  </si>
  <si>
    <t>EP-924.643</t>
  </si>
  <si>
    <t>Priority Marine Rehab via Work Order</t>
  </si>
  <si>
    <t>MFP-924.641</t>
  </si>
  <si>
    <t>JE Hannon T/A Bird Constr</t>
  </si>
  <si>
    <t>Simpson and Brown</t>
  </si>
  <si>
    <t>Reicon Group</t>
  </si>
  <si>
    <t>D'Onofrio Gen Contr</t>
  </si>
  <si>
    <t>Tully - Cleary JV</t>
  </si>
  <si>
    <t>Tomar Constr</t>
  </si>
  <si>
    <t>NY &amp; NJ Marine Terminals - Multi-Facility Fender System Rehab via WO</t>
  </si>
  <si>
    <t>JFK-154.019</t>
  </si>
  <si>
    <t>Install Gate/Check Valves for Exist Stormwater Outfalls 2-3-4-5-6</t>
  </si>
  <si>
    <t xml:space="preserve">Tully Constr </t>
  </si>
  <si>
    <t>Bond Brothers</t>
  </si>
  <si>
    <t>Everitt</t>
  </si>
  <si>
    <t>EWR-924.233</t>
  </si>
  <si>
    <t>Priority Repair of Bridges N14, N15, N18, N19, N21, N42, N43</t>
  </si>
  <si>
    <t>Kinturk Contracting</t>
  </si>
  <si>
    <t>Railroad Constr</t>
  </si>
  <si>
    <t>PAT-024.031</t>
  </si>
  <si>
    <t>Replacement of Substation 7</t>
  </si>
  <si>
    <t>Low bidder withdrawn.</t>
  </si>
  <si>
    <t>GWB-924.159B</t>
  </si>
  <si>
    <t>NJ Admin Bldg HW/CW Piping Replacement</t>
  </si>
  <si>
    <t>EWR-154.264</t>
  </si>
  <si>
    <t>Rehab CTA Frontage Bridges N18 and N20 Longitudinal Joints</t>
  </si>
  <si>
    <t>EWR-154.271</t>
  </si>
  <si>
    <t>Central Heating and Refrigeration Plant South Substation Roof Replacement</t>
  </si>
  <si>
    <t>NCC</t>
  </si>
  <si>
    <t>LGA-774.235</t>
  </si>
  <si>
    <t>Emergency Generators at Various Locations</t>
  </si>
  <si>
    <t>Transit Constr</t>
  </si>
  <si>
    <t>Positive Electrical Assoc</t>
  </si>
  <si>
    <t>TAP Electrical</t>
  </si>
  <si>
    <t>Everett</t>
  </si>
  <si>
    <t>Haugland Energy Group</t>
  </si>
  <si>
    <t>EWR-154.227</t>
  </si>
  <si>
    <t>Terminal B CCTV at Baggage Areas</t>
  </si>
  <si>
    <t>Plugout LLC</t>
  </si>
  <si>
    <t>EWR-154.240</t>
  </si>
  <si>
    <t>Meeter-Greeter Queuing Area Modifications</t>
  </si>
  <si>
    <t>Floracon LLC</t>
  </si>
  <si>
    <t>Fresh Meadows</t>
  </si>
  <si>
    <t>PAT-024.002</t>
  </si>
  <si>
    <t>Exchange Place Underwater Netting</t>
  </si>
  <si>
    <t>Seward Marine</t>
  </si>
  <si>
    <t>Chesapeake</t>
  </si>
  <si>
    <t>VA</t>
  </si>
  <si>
    <t>LGA-124.244</t>
  </si>
  <si>
    <t xml:space="preserve">EJ Electric </t>
  </si>
  <si>
    <t>HT-224.120</t>
  </si>
  <si>
    <t>Rehabilitation of Bronze Doors at Spring Street</t>
  </si>
  <si>
    <t>Builders 2000</t>
  </si>
  <si>
    <t>JFK-154.024</t>
  </si>
  <si>
    <t>Backflow Prevention &amp; Water Meters Phase 4</t>
  </si>
  <si>
    <t>UTB United Technology</t>
  </si>
  <si>
    <t>Mineola</t>
  </si>
  <si>
    <t>Dasny Mechanical</t>
  </si>
  <si>
    <t>JFK-1070</t>
  </si>
  <si>
    <t>Landside Asphalt Repairs via Work Ouder</t>
  </si>
  <si>
    <t>Trac Constr Group</t>
  </si>
  <si>
    <t>MFP-924.662</t>
  </si>
  <si>
    <t>NJ Marine Terminals - Maintenance Dredging via Work Order</t>
  </si>
  <si>
    <t>Clean Earth Dredging Tech</t>
  </si>
  <si>
    <t>LGA-154.251</t>
  </si>
  <si>
    <t>Rehab of Runway Deck Structural Elements phase 3</t>
  </si>
  <si>
    <t>J&amp;N Constr</t>
  </si>
  <si>
    <t>Ozone Park</t>
  </si>
  <si>
    <t>Caldwell Marine</t>
  </si>
  <si>
    <t>EWR-251</t>
  </si>
  <si>
    <t>Rehab of Taxiway Z from Runway 11 Edge to UA</t>
  </si>
  <si>
    <t>MF-924.022</t>
  </si>
  <si>
    <t>LT and GWB - Rock Slope Priority Repairs</t>
  </si>
  <si>
    <t>Merco of NJ</t>
  </si>
  <si>
    <t>Lebanon</t>
  </si>
  <si>
    <t>J Fletcher Creamer &amp; Son</t>
  </si>
  <si>
    <t>BP-694.510</t>
  </si>
  <si>
    <t>Brooklyn Pier 10 Concrete Girder Repairs</t>
  </si>
  <si>
    <t>Eastco Shotcrete</t>
  </si>
  <si>
    <t>Manville</t>
  </si>
  <si>
    <t>Empire Con/Wittich Bros JV</t>
  </si>
  <si>
    <t>H&amp;L Contracting</t>
  </si>
  <si>
    <t>Bay Shore</t>
  </si>
  <si>
    <t>Beaver Concrete Constr</t>
  </si>
  <si>
    <t>Perfetto Contracting</t>
  </si>
  <si>
    <t>GWB-244.042</t>
  </si>
  <si>
    <t>Replacement of 178/179 St Ramps, Bus Ramps and Bus Turnaround</t>
  </si>
  <si>
    <t>El Sol</t>
  </si>
  <si>
    <t>Halmar/Sciavone JV</t>
  </si>
  <si>
    <t>Tully</t>
  </si>
  <si>
    <t>HT-924.106</t>
  </si>
  <si>
    <t>Replace Missing Tiles at Walls and Ceiling</t>
  </si>
  <si>
    <t>HT-924.144</t>
  </si>
  <si>
    <t>Heat Tracing and Insulation in Discharge Pipes, N&amp;S Tubes</t>
  </si>
  <si>
    <t>EWR-924.384</t>
  </si>
  <si>
    <t>Bus Canopy B1, C1 and Gas Island Improvements and Roofing</t>
  </si>
  <si>
    <t>Northeast Roof Maintenance</t>
  </si>
  <si>
    <t>Perth Amboy</t>
  </si>
  <si>
    <t>Dobtol Constr</t>
  </si>
  <si>
    <t>D'Onofrio Gen Constr</t>
  </si>
  <si>
    <t>EWR-154.254</t>
  </si>
  <si>
    <t>Rehab of Terminal Frontage Bridges - Ph1 - Bridge N18, N20 Pier Caps</t>
  </si>
  <si>
    <t>JFK-154.021</t>
  </si>
  <si>
    <t>Airside Switchgear Replacement</t>
  </si>
  <si>
    <t>Welsbach Electric</t>
  </si>
  <si>
    <t>Mnew Rochelle</t>
  </si>
  <si>
    <t>Haugland Energy Grp</t>
  </si>
  <si>
    <t>T Moriarty &amp; Sons</t>
  </si>
  <si>
    <t>PAT-534.316A</t>
  </si>
  <si>
    <t>Atlas Concrete</t>
  </si>
  <si>
    <t>JSQ Transportation Center - Hardening Phase 2</t>
  </si>
  <si>
    <t>LT-234.194</t>
  </si>
  <si>
    <t>Flood Protection for Ventilation Bldgs and Emergency Generators</t>
  </si>
  <si>
    <t>Nagan Constr</t>
  </si>
  <si>
    <t>Inwood</t>
  </si>
  <si>
    <t>JR Cruz</t>
  </si>
  <si>
    <t>Aberdeen</t>
  </si>
  <si>
    <t>EWR-154.383</t>
  </si>
  <si>
    <t>Terminal A Redev - Airside Paving and Utilities South phase 1</t>
  </si>
  <si>
    <t>PJ-654.502</t>
  </si>
  <si>
    <t>Greenville Yard phase 2</t>
  </si>
  <si>
    <t>Tomco Constr</t>
  </si>
  <si>
    <t>Mt Arlington</t>
  </si>
  <si>
    <t>Flanagan's Contracting</t>
  </si>
  <si>
    <t>Hackesack</t>
  </si>
  <si>
    <t>EWR-154.247</t>
  </si>
  <si>
    <t>Terminal B Automated Passport System Kiosks</t>
  </si>
  <si>
    <t>JG Salas and Sons</t>
  </si>
  <si>
    <t>BT-254.085</t>
  </si>
  <si>
    <t>Internal Structural Enhancements (Column Hardening)</t>
  </si>
  <si>
    <t>EWR-154.235</t>
  </si>
  <si>
    <t>Rehab CTA Entrance and Bridges N1, N2, N5, N6</t>
  </si>
  <si>
    <t>IEW Constr Group</t>
  </si>
  <si>
    <t>Northeast Remsco Constr</t>
  </si>
  <si>
    <t>Ferreira Constr</t>
  </si>
  <si>
    <t>Branchburg</t>
  </si>
  <si>
    <t>JFK-144.023</t>
  </si>
  <si>
    <t>EWR-154.263</t>
  </si>
  <si>
    <t>Terminal B Satellite B2 Sterile Corridor Glass Door Replacement</t>
  </si>
  <si>
    <t>RCC Bldrs &amp; Developers</t>
  </si>
  <si>
    <t>LT-234.193</t>
  </si>
  <si>
    <t>Latent Salt Damage Repairs</t>
  </si>
  <si>
    <t>Projects with 1, 2 or 3 Bidders</t>
  </si>
  <si>
    <t>Rejected or Re- Bids</t>
  </si>
  <si>
    <t>% of overall bids</t>
  </si>
  <si>
    <t>Total $ of Bids (x 1 Million) (Low)</t>
  </si>
  <si>
    <t>LGA-924.287</t>
  </si>
  <si>
    <t>Airside Asphalt Paving Repairs via Work Order</t>
  </si>
  <si>
    <t>PN-654.562</t>
  </si>
  <si>
    <t>Building 267 Roof Collapse Repair</t>
  </si>
  <si>
    <t>Sea Breeze Gen Constr</t>
  </si>
  <si>
    <t>TEB-144.056</t>
  </si>
  <si>
    <t>Rehabilitation of Sewage Pumps</t>
  </si>
  <si>
    <t>Infinity Contr dba DASNY Mech</t>
  </si>
  <si>
    <t>Gennadiy Zavokovsky</t>
  </si>
  <si>
    <t>Rehab of Low Voltage Power Systems</t>
  </si>
  <si>
    <t>Deborah Bradley CM</t>
  </si>
  <si>
    <t>Energize Electrical</t>
  </si>
  <si>
    <t>Denal Constr</t>
  </si>
  <si>
    <t>Raymond Electrical Contr</t>
  </si>
  <si>
    <t>GWB-244.261</t>
  </si>
  <si>
    <t>AAV 20 Dec 2017</t>
  </si>
  <si>
    <t>Engineering Department - Estimating Unit</t>
  </si>
  <si>
    <t>Gennadiy</t>
  </si>
  <si>
    <t>Boris</t>
  </si>
  <si>
    <t>Andy</t>
  </si>
  <si>
    <t>NA</t>
  </si>
  <si>
    <t>Personnel Performance %</t>
  </si>
  <si>
    <t xml:space="preserve">  % workload</t>
  </si>
  <si>
    <t>OVERALL BID RESULTS and COMPARISON</t>
  </si>
  <si>
    <t>Rebids as a % of all bids</t>
  </si>
  <si>
    <t>TB&amp;T BID RESULTS and COMPARISON</t>
  </si>
  <si>
    <t>PORTS BID RESULTS and COMPARISON</t>
  </si>
  <si>
    <t>PATH BID RESULTS and COMPARISON</t>
  </si>
  <si>
    <t>---</t>
  </si>
  <si>
    <t>percentage work order bids</t>
  </si>
  <si>
    <t>win</t>
  </si>
  <si>
    <t>loss</t>
  </si>
  <si>
    <t>definition - est is within the range of bids received</t>
  </si>
  <si>
    <t>AVIATION (Overall) BID RESULTS and COMPARISON</t>
  </si>
  <si>
    <t>AVIATION (EWR Only) BID RESULTS</t>
  </si>
  <si>
    <t>AVIATION (JFK Only) BID RESULTS</t>
  </si>
  <si>
    <t>AVIATION (LGA Only) BID RESULTS</t>
  </si>
  <si>
    <t>AVIATION (TEB Only) BID RESULTS</t>
  </si>
  <si>
    <t>By Contract Type:</t>
  </si>
  <si>
    <t>1 bidder</t>
  </si>
  <si>
    <t>2 bidders</t>
  </si>
  <si>
    <t>3 bidders</t>
  </si>
  <si>
    <t>4 bidders</t>
  </si>
  <si>
    <t>5 bidders</t>
  </si>
  <si>
    <t>6 bidders</t>
  </si>
  <si>
    <t>7 bidders</t>
  </si>
  <si>
    <t>8 bidders</t>
  </si>
  <si>
    <t>9 bidders</t>
  </si>
  <si>
    <t>10 or more bidders</t>
  </si>
  <si>
    <t>Rate</t>
  </si>
  <si>
    <t>Success based on Bid Count</t>
  </si>
  <si>
    <t>Awaiting disqualification of 1st and 2nd bidders.</t>
  </si>
  <si>
    <t>% Success Rate by Year</t>
  </si>
  <si>
    <t>Average Number of Bidders per Project</t>
  </si>
  <si>
    <t>SCROLL RIGHT for Unified Aviation Results by Facility ---&gt;</t>
  </si>
  <si>
    <t>AVIATION (By Facility) BID RESULTS and COMPARISON</t>
  </si>
  <si>
    <t>EWR</t>
  </si>
  <si>
    <t>JFK</t>
  </si>
  <si>
    <t>LGA</t>
  </si>
  <si>
    <t>TEB</t>
  </si>
  <si>
    <t>NOTE - No bids for SWF or ACY in 2017.</t>
  </si>
  <si>
    <t>Public Adv</t>
  </si>
  <si>
    <t>Mentor Protégé</t>
  </si>
  <si>
    <t>Contract</t>
  </si>
  <si>
    <t>Name</t>
  </si>
  <si>
    <t>Contract Type</t>
  </si>
  <si>
    <t>% OH&amp;P</t>
  </si>
  <si>
    <t>Q</t>
  </si>
  <si>
    <t>High Bid</t>
  </si>
  <si>
    <t>Data -&gt;</t>
  </si>
  <si>
    <t>Summary = &gt;</t>
  </si>
  <si>
    <t>Delta EE-Low</t>
  </si>
  <si>
    <t>Range   Lo-Hi</t>
  </si>
  <si>
    <t>Engineer's Estimate</t>
  </si>
  <si>
    <t>Voided by Procurement</t>
  </si>
  <si>
    <t>1st and 2nd bidders disqualified</t>
  </si>
  <si>
    <t>1st and 2nd bidders disqualified.</t>
  </si>
  <si>
    <t>= historical average</t>
  </si>
  <si>
    <t>GWB-924.137</t>
  </si>
  <si>
    <t>NJ Administration Building - Sprinkler System Rehabiliation</t>
  </si>
  <si>
    <t>SBE</t>
  </si>
  <si>
    <t>Boris Lenderman</t>
  </si>
  <si>
    <t>LT-924.183</t>
  </si>
  <si>
    <t>South Tube Pavement Fine Milling</t>
  </si>
  <si>
    <t>PN-654.562A</t>
  </si>
  <si>
    <t>Bldg 267 Roof Collapse Repair</t>
  </si>
  <si>
    <t>LT-924.121</t>
  </si>
  <si>
    <t>Steel Repairs at 38th St Bridge and Concrete Repairs at NY Vent Bldg South</t>
  </si>
  <si>
    <t>LT-924.175</t>
  </si>
  <si>
    <t>Helix Guiderail Repair and Manhole Cover Relocation</t>
  </si>
  <si>
    <t>C</t>
  </si>
  <si>
    <t>GWB-244.265</t>
  </si>
  <si>
    <t>Pedestrian Safety Fencing on NJ Approach Parapets</t>
  </si>
  <si>
    <t>S</t>
  </si>
  <si>
    <t>'18 YTD</t>
  </si>
  <si>
    <t>= qtr</t>
  </si>
  <si>
    <t>= 2018 running total</t>
  </si>
  <si>
    <t>M</t>
  </si>
  <si>
    <t>A</t>
  </si>
  <si>
    <t>Low bidder has math errors on form.</t>
  </si>
  <si>
    <t>G</t>
  </si>
  <si>
    <t>E</t>
  </si>
  <si>
    <t>3Q 2018 only</t>
  </si>
  <si>
    <t>MFP-694.514</t>
  </si>
  <si>
    <t>NY and NJ Marine Terminals - CCTV Upgrade and Expansion (Port Newark and Brooklyn)</t>
  </si>
  <si>
    <t>MFP-924.650</t>
  </si>
  <si>
    <t>NY Marine Terminals - Maintenance Dredging via Work Order</t>
  </si>
  <si>
    <t>MFP-824.016</t>
  </si>
  <si>
    <t>NY Marine Terminals Priority Repairs by Work Order</t>
  </si>
  <si>
    <t>HH-634.514</t>
  </si>
  <si>
    <t>Howland Hook Upgrade of Pavement Subgrade</t>
  </si>
  <si>
    <t>GWB-244.204A</t>
  </si>
  <si>
    <t>Rehab Center and Lemoine Avenue Bridges</t>
  </si>
  <si>
    <t>LT-944.096B</t>
  </si>
  <si>
    <t>GWB-244.049</t>
  </si>
  <si>
    <t>Trans-Manhattan Expressway Median Barriers and Water Mains</t>
  </si>
  <si>
    <t>HT-224.082</t>
  </si>
  <si>
    <t>Repl Bulkhead Doors in Ventilation Buildings</t>
  </si>
  <si>
    <t>AKO-284.051</t>
  </si>
  <si>
    <t>Main Spain Pier and Fender Upgrades</t>
  </si>
  <si>
    <t>AKO-284.049</t>
  </si>
  <si>
    <t>Tollhouse Building Roof</t>
  </si>
  <si>
    <t>GWB-244.267</t>
  </si>
  <si>
    <t>TME Hydrant and Water Main Rehabilitation</t>
  </si>
  <si>
    <t>EWR-154.348</t>
  </si>
  <si>
    <t>Airtrain Station P4 Elev Shaft Glass Replacement</t>
  </si>
  <si>
    <t>SWF-164.032</t>
  </si>
  <si>
    <t>Terminal Expansion - Federal Inspection Services Facility</t>
  </si>
  <si>
    <t>MFA-924.454</t>
  </si>
  <si>
    <t>EWR and TEB - Asphalt Repairs via Work Order</t>
  </si>
  <si>
    <t>LGA-124.260</t>
  </si>
  <si>
    <t>Rehab of Runway 4-22 and Associated Taxiways</t>
  </si>
  <si>
    <t>EWR-154.308 bafo</t>
  </si>
  <si>
    <t>Rehabilitation of Taxiway S</t>
  </si>
  <si>
    <t>EWR-154.395</t>
  </si>
  <si>
    <t>Bridges N61, 62, 63, At-Grade Roadways and Appurtenances</t>
  </si>
  <si>
    <t>TEB-144.046</t>
  </si>
  <si>
    <t>Removal of Taxiway B and Construction of Taxiway V</t>
  </si>
  <si>
    <t>LGA-124.261</t>
  </si>
  <si>
    <t>Rehab of Pump House 1 Retaining Wall</t>
  </si>
  <si>
    <t>EWR-154.396</t>
  </si>
  <si>
    <t>Bridge N64 and Hotel Road Widening</t>
  </si>
  <si>
    <t>EWR-924.231</t>
  </si>
  <si>
    <t>Priority and Safety Repairs</t>
  </si>
  <si>
    <t>JFK-184.010</t>
  </si>
  <si>
    <t>Replace Control Tower Roofs, HVAC Equipment and Curtain Wall Repairs</t>
  </si>
  <si>
    <t>LGA-124.264</t>
  </si>
  <si>
    <t>Rehab of Runway Decks Wearing Course (Epoxy Stage 3)</t>
  </si>
  <si>
    <t>LGA-774.264</t>
  </si>
  <si>
    <t>Flood Protection at the West End Substation</t>
  </si>
  <si>
    <t>PAT-024.203</t>
  </si>
  <si>
    <t>Redundant Fluid Cooler at PATH Train Control Center</t>
  </si>
  <si>
    <t>PAT-784.162</t>
  </si>
  <si>
    <t>Hoboken Flood Resiliency</t>
  </si>
  <si>
    <t>PAT-774.170</t>
  </si>
  <si>
    <t>Repl Exchange Place and Newport Escalators and Elevators</t>
  </si>
  <si>
    <t>PAT-024.099</t>
  </si>
  <si>
    <t>Exchange Place Substation #4 Roof Replacement</t>
  </si>
  <si>
    <t>PAT-774.169</t>
  </si>
  <si>
    <t>Replace Elevators at Harrison Car Maintenance Facility</t>
  </si>
  <si>
    <t>PAT-784.172</t>
  </si>
  <si>
    <t>Hoboken Station Elevator Flood Resiliency</t>
  </si>
  <si>
    <t>PAT-924.802</t>
  </si>
  <si>
    <t>Fire Alarm System Upgrade</t>
  </si>
  <si>
    <t>PAT-650</t>
  </si>
  <si>
    <t>Tunnels E and F Infrastructure Repairs</t>
  </si>
  <si>
    <t>Statistics:</t>
  </si>
  <si>
    <t>LGA-124.269</t>
  </si>
  <si>
    <t>Hangar 7S Drainage Rehabilitation</t>
  </si>
  <si>
    <t>LGA-124.268</t>
  </si>
  <si>
    <t>Patrol Road Drainage Rehabilitation</t>
  </si>
  <si>
    <t>AK-196</t>
  </si>
  <si>
    <t>SI Bridges - Maintenance Pavement Repairs via Work Order</t>
  </si>
  <si>
    <t>HT-224.125</t>
  </si>
  <si>
    <t>NY Emergency Garage Bldg - Parapet Repairs and Roof Replacement</t>
  </si>
  <si>
    <t>HT-924.152</t>
  </si>
  <si>
    <t>HT-924.110</t>
  </si>
  <si>
    <t>NJ Admin Bldg Second Means of Egress</t>
  </si>
  <si>
    <t>Note 1 bidder.</t>
  </si>
  <si>
    <t>TEB-144.055</t>
  </si>
  <si>
    <t>Rehab of Taxiways G, L and P</t>
  </si>
  <si>
    <t>PAT-774.176</t>
  </si>
  <si>
    <t>HCMF-Replace Track Slab and Rehab of Parking Lots &amp; Roads</t>
  </si>
  <si>
    <t>PAT-214.013</t>
  </si>
  <si>
    <t>JSQ - Public Restroom Rehabilitation</t>
  </si>
  <si>
    <t>EWR-154.386</t>
  </si>
  <si>
    <t>Term A Redev - Airside Utilities and Paving South phase 2</t>
  </si>
  <si>
    <t>EWR-154.299</t>
  </si>
  <si>
    <t>Repl CHIRP North Electric Substation and Chiller Upgrades</t>
  </si>
  <si>
    <t>PAT-774.174</t>
  </si>
  <si>
    <t>Grove Street Headhouse Permanent Flood Protection</t>
  </si>
  <si>
    <t>PAT-784.175</t>
  </si>
  <si>
    <t>Extend C-Yard Rail Bridge over Waldo Tunnel Portal</t>
  </si>
  <si>
    <t>PAT-630</t>
  </si>
  <si>
    <t>South Street Compressor Upgrade</t>
  </si>
  <si>
    <t>GWB-924.168</t>
  </si>
  <si>
    <t>Rock Slope Priority Repairs</t>
  </si>
  <si>
    <t>PAT-784.169</t>
  </si>
  <si>
    <t>Exchange Place and Newport Head House Flood Protection</t>
  </si>
  <si>
    <t>JFK-164.020</t>
  </si>
  <si>
    <t>Reconstruct Runway 13L-31R and Associated Taxiways</t>
  </si>
  <si>
    <t>LGA-924.120</t>
  </si>
  <si>
    <t>Runway Instrument Landing &amp; Approach Lighting Pier Repairs</t>
  </si>
  <si>
    <t>Aye Thann</t>
  </si>
  <si>
    <t>BT-254.153</t>
  </si>
  <si>
    <t>Partial South Wing 3rd Flr Wearing Course and Waterproof Membrane</t>
  </si>
  <si>
    <t>JFK-174.017</t>
  </si>
  <si>
    <t>Replacement of 86 Pad Substation</t>
  </si>
  <si>
    <t>Dean Stracuzza</t>
  </si>
  <si>
    <t>PAT-024.200</t>
  </si>
  <si>
    <t>Upgrade of Fire Supression System</t>
  </si>
  <si>
    <t>Aye</t>
  </si>
  <si>
    <t>Dean</t>
  </si>
  <si>
    <t>John</t>
  </si>
  <si>
    <t>Tun Tun</t>
  </si>
  <si>
    <t>'17 final</t>
  </si>
  <si>
    <t>&lt; --- 2017 --- &gt;</t>
  </si>
  <si>
    <t>&lt; --- 2018 --- &gt;</t>
  </si>
  <si>
    <t>Overall Success</t>
  </si>
  <si>
    <t>based on Bid Count</t>
  </si>
  <si>
    <t xml:space="preserve">      Good</t>
  </si>
  <si>
    <t>total</t>
  </si>
  <si>
    <t>S+MWBE</t>
  </si>
  <si>
    <t>#bidders</t>
  </si>
  <si>
    <t>Status</t>
  </si>
  <si>
    <t>Top 3:</t>
  </si>
  <si>
    <t>Top 10:</t>
  </si>
  <si>
    <t>Results by Dollar Volume</t>
  </si>
  <si>
    <t>Bistate</t>
  </si>
  <si>
    <t>format axis to modify range -&gt;</t>
  </si>
  <si>
    <t>Rebids</t>
  </si>
  <si>
    <t>EWR-154.306</t>
  </si>
  <si>
    <t>Rehabilitation of Runway 11-29</t>
  </si>
  <si>
    <t>GWB-244.204</t>
  </si>
  <si>
    <t>EWR-154.308</t>
  </si>
  <si>
    <t>EWR-154.224</t>
  </si>
  <si>
    <t>Terminal B Exterior Curtain Wall Upgrade</t>
  </si>
  <si>
    <t>Rebid as a BAFO due to contractual errors.</t>
  </si>
  <si>
    <t>Not rebid; far over budget, just 2 bidders.</t>
  </si>
  <si>
    <t>Received 3 bids, all far over budget; will be rebid as SBE</t>
  </si>
  <si>
    <t>Received 2 bids above budget; Rebid with great success.</t>
  </si>
  <si>
    <t>Excessive LD's and an aggressive schedule resulted in 1 very high bid.</t>
  </si>
  <si>
    <t>Received 1 bid at double the EE.</t>
  </si>
  <si>
    <t>Received 1 bid at +40% the EE (partly due to contractor error).</t>
  </si>
  <si>
    <t>This file must be updated with links for each use.</t>
  </si>
  <si>
    <t>Aviation</t>
  </si>
  <si>
    <t>ALL LINE DEPARTMENTS RESULTS for 2018</t>
  </si>
  <si>
    <t>9/14</t>
  </si>
  <si>
    <t>9/13</t>
  </si>
  <si>
    <t>PAT-084.064</t>
  </si>
  <si>
    <t>C-Yard CCTV</t>
  </si>
  <si>
    <t>NJ Admin Bldg Sprinkler System Rehabilitation</t>
  </si>
  <si>
    <t>LGA-124.256</t>
  </si>
  <si>
    <t>Rehab of Fuel Farm Substation</t>
  </si>
  <si>
    <t>GWB-934.046</t>
  </si>
  <si>
    <t>Flag Hoist System Upgrade</t>
  </si>
  <si>
    <t>LGA-124.270</t>
  </si>
  <si>
    <t>Replace West Field Lighting Vault Emergency Generator</t>
  </si>
  <si>
    <t>EWR-154.360</t>
  </si>
  <si>
    <t>Bldg 76 Underground Storage Tank Repl</t>
  </si>
  <si>
    <t>Tun Tun Lin</t>
  </si>
  <si>
    <t>PAT-774.216</t>
  </si>
  <si>
    <t>Replacement of Substation 8</t>
  </si>
  <si>
    <t>PAT-774.217</t>
  </si>
  <si>
    <t>Replacement of Substation 14</t>
  </si>
  <si>
    <t>GWB-984.205</t>
  </si>
  <si>
    <t>GWB - Maintenance Pavement Repairs via Work Order</t>
  </si>
  <si>
    <t>AK-196A</t>
  </si>
  <si>
    <t>MFP-994.679</t>
  </si>
  <si>
    <t>NJ - Maintenance Dredging via Work Order</t>
  </si>
  <si>
    <t>PN-654.072</t>
  </si>
  <si>
    <t>Corbin St. &amp; Reconstruction of Berth 3 Culvert</t>
  </si>
  <si>
    <t>LT-234.181</t>
  </si>
  <si>
    <t>Admin Bldg HVAC Rehab Phase 2</t>
  </si>
  <si>
    <t>Steven Schwan</t>
  </si>
  <si>
    <t>HT-224.134</t>
  </si>
  <si>
    <t>Flood Protection for Ventilation Buildings</t>
  </si>
  <si>
    <t>LGA-124.266</t>
  </si>
  <si>
    <t>Repl Taxiway A between K to E</t>
  </si>
  <si>
    <t>PAT-784.165</t>
  </si>
  <si>
    <t>HCMF Permanent Flood Protection</t>
  </si>
  <si>
    <t>JFK-154.020</t>
  </si>
  <si>
    <t>Cut &amp; Cover Tunnel Power Distribution Vault &amp; Pump Station Repairs</t>
  </si>
  <si>
    <t>LT-535</t>
  </si>
  <si>
    <t>Rock Slope Priority Repairs for Slope A</t>
  </si>
  <si>
    <t>LGA-124.248</t>
  </si>
  <si>
    <t>Pugsley Creek Wetland Mitigation</t>
  </si>
  <si>
    <t>PAT-774.179</t>
  </si>
  <si>
    <t>HCMF Sewage Ejection Pit Rehabilitation</t>
  </si>
  <si>
    <t>JFK-184.676</t>
  </si>
  <si>
    <t>Building 111 Interim Unified Operations Center</t>
  </si>
  <si>
    <t>JFK-184.043</t>
  </si>
  <si>
    <t>Taxiways CA and CB Paving &amp; Enhancements</t>
  </si>
  <si>
    <t>John Alen</t>
  </si>
  <si>
    <t>PN-654.566</t>
  </si>
  <si>
    <t>Rehab of Berth 25 and East End Bulkhead Extension (Grouting)</t>
  </si>
  <si>
    <t>GWB-244.260</t>
  </si>
  <si>
    <t>Main Span Upper Level Struct Stl Rehab (Phase 2) &amp; Appurtenances</t>
  </si>
  <si>
    <t>EWR-154.306A</t>
  </si>
  <si>
    <t>Rehab of Runway 11-29</t>
  </si>
  <si>
    <t>GWB-244.236</t>
  </si>
  <si>
    <t>Intelligent Transportation System Repl Signs and Field Devices</t>
  </si>
  <si>
    <t>JFK-174.016</t>
  </si>
  <si>
    <t>Bridges J31 &amp; J32 Rehab - Aqueduct Road</t>
  </si>
  <si>
    <t>- - -</t>
  </si>
  <si>
    <t>-</t>
  </si>
  <si>
    <t>SEE FAR RIGHT   ----&gt;</t>
  </si>
  <si>
    <t>Workload to date of 1/12/2019</t>
  </si>
  <si>
    <t>Total PACC and WO reviewed for the first 2 Quarters in 2019 - Estimating Unit</t>
  </si>
  <si>
    <t>Estimator</t>
  </si>
  <si>
    <t>QAD</t>
  </si>
  <si>
    <t>Stage 0</t>
  </si>
  <si>
    <t>Stage I</t>
  </si>
  <si>
    <t>Stage II</t>
  </si>
  <si>
    <t>Stage III</t>
  </si>
  <si>
    <t>Stage IV</t>
  </si>
  <si>
    <t>Subtotal</t>
  </si>
  <si>
    <t>John Allen</t>
  </si>
  <si>
    <t>See Workload Report at right  ---&gt;</t>
  </si>
  <si>
    <t>Total 2018</t>
  </si>
  <si>
    <t>Stg 0+1</t>
  </si>
  <si>
    <t>Stg 2</t>
  </si>
  <si>
    <t>Stg 3</t>
  </si>
  <si>
    <t>Stg 4</t>
  </si>
  <si>
    <t>TOTAL</t>
  </si>
  <si>
    <t>Total 2017</t>
  </si>
  <si>
    <r>
      <rPr>
        <b/>
        <i/>
        <sz val="11"/>
        <color theme="1"/>
        <rFont val="Calibri"/>
        <family val="2"/>
        <scheme val="minor"/>
      </rPr>
      <t xml:space="preserve">Projected </t>
    </r>
    <r>
      <rPr>
        <b/>
        <sz val="11"/>
        <color theme="1"/>
        <rFont val="Calibri"/>
        <family val="2"/>
        <scheme val="minor"/>
      </rPr>
      <t>Change 18-19</t>
    </r>
  </si>
  <si>
    <t>Number of Cost Estimates Reviewed and Signed</t>
  </si>
  <si>
    <t>1H 2019 - Actuals</t>
  </si>
  <si>
    <t>WTC</t>
  </si>
  <si>
    <t>= 2019 running total</t>
  </si>
  <si>
    <t>Low bidder has withdrawn.</t>
  </si>
  <si>
    <t>Significant qty differences found in consultant estimate</t>
  </si>
  <si>
    <t>Will be rebid or issued as work order.</t>
  </si>
  <si>
    <t>GWB-244.703</t>
  </si>
  <si>
    <t>Repl Halon Fire System in Admin Building Computer Room</t>
  </si>
  <si>
    <t>GWB-244.030</t>
  </si>
  <si>
    <t>Main Toll House Roof Replacement</t>
  </si>
  <si>
    <t>EWR-154.382</t>
  </si>
  <si>
    <t>Abatement and Demo of Building 331</t>
  </si>
  <si>
    <t>HT-924.110A</t>
  </si>
  <si>
    <t>HT Admin Bldg - Second Means of Egress</t>
  </si>
  <si>
    <t>PJ-664.537</t>
  </si>
  <si>
    <t>Upgrade Electrical Infrastructure - Service Drops for 13.2kV Loop</t>
  </si>
  <si>
    <t>EWR-154.224A</t>
  </si>
  <si>
    <t>Terminal B Exterior Wall Glass Upgrade</t>
  </si>
  <si>
    <t>PAT-784.166</t>
  </si>
  <si>
    <t>Tracks G &amp; H Permanent Flood Protection</t>
  </si>
  <si>
    <t>PJ-664.532</t>
  </si>
  <si>
    <t>Construct Second Lead Track</t>
  </si>
  <si>
    <t>HT-224.141</t>
  </si>
  <si>
    <t>Roof Replacement at NJ Service Garage</t>
  </si>
  <si>
    <t>GWB-924.137A</t>
  </si>
  <si>
    <t>WTC-194.010</t>
  </si>
  <si>
    <t>CCTV and Access Control Enhancements and Expansion</t>
  </si>
  <si>
    <t>LT-536</t>
  </si>
  <si>
    <t>Bus Ramp W99 South Railing Post Repair</t>
  </si>
  <si>
    <t>BT-254.183</t>
  </si>
  <si>
    <t>PABT Replace Emergency Egress Doors</t>
  </si>
  <si>
    <t xml:space="preserve">Public </t>
  </si>
  <si>
    <t>JFK-944.805</t>
  </si>
  <si>
    <t>Replace Switch House #1 Emergency Generator</t>
  </si>
  <si>
    <t>JFK-1078</t>
  </si>
  <si>
    <t>Landside Asphalt Repairs via Work Order</t>
  </si>
  <si>
    <t>LGA-984.315</t>
  </si>
  <si>
    <t>Landside Paving via Classified Work Order</t>
  </si>
  <si>
    <t>HT-944.004</t>
  </si>
  <si>
    <t>Repair of Collapsed Drain Pipe at NY Land Vent Bldg</t>
  </si>
  <si>
    <t>LT-984.204</t>
  </si>
  <si>
    <t>Maintenance Pavement Repairs Contract 2019-2021</t>
  </si>
  <si>
    <t>Nick Chaya</t>
  </si>
  <si>
    <t>LT-924.184</t>
  </si>
  <si>
    <t>LT Priority Repairs Phase 1</t>
  </si>
  <si>
    <t>MF-234.217</t>
  </si>
  <si>
    <t>HT &amp; LT - Ventilation Buildings CCTV Cameras</t>
  </si>
  <si>
    <t>GWB-244.112</t>
  </si>
  <si>
    <t>Lower Level Steel, Paint and Traveller</t>
  </si>
  <si>
    <t>HT-924.152A</t>
  </si>
  <si>
    <t>HT-224.130</t>
  </si>
  <si>
    <t>Latent Salt Damage Repairs and Mitigation</t>
  </si>
  <si>
    <t>Steven</t>
  </si>
  <si>
    <t>Nick</t>
  </si>
  <si>
    <t>ALL LINE DEPARTMENTS RESULTS for 2019</t>
  </si>
  <si>
    <t>&lt; -- 2019 -- &gt;</t>
  </si>
  <si>
    <t>= historical average over 24 years</t>
  </si>
  <si>
    <t>%bids</t>
  </si>
  <si>
    <t>REBID</t>
  </si>
  <si>
    <t>=</t>
  </si>
  <si>
    <t>DATA - - - &gt;</t>
  </si>
  <si>
    <t>AAV 18 July 2019</t>
  </si>
  <si>
    <t>DATA -&gt;</t>
  </si>
  <si>
    <t>Q Perf</t>
  </si>
  <si>
    <t>Base Value</t>
  </si>
  <si>
    <t>Lead</t>
  </si>
  <si>
    <t>Bidder 1</t>
  </si>
  <si>
    <t>Bidder 2</t>
  </si>
  <si>
    <t>Bidder 3</t>
  </si>
  <si>
    <t>Bidder 4</t>
  </si>
  <si>
    <t>Bidder 5</t>
  </si>
  <si>
    <t>Bidder 6</t>
  </si>
  <si>
    <t>Bidder 7</t>
  </si>
  <si>
    <t>Bidder 8</t>
  </si>
  <si>
    <t>Bidder 9</t>
  </si>
  <si>
    <t>Bidder 10</t>
  </si>
  <si>
    <t>Bidder 11</t>
  </si>
  <si>
    <t>Bidder 12</t>
  </si>
  <si>
    <t>Bidder 13</t>
  </si>
  <si>
    <t>Bidder 14</t>
  </si>
  <si>
    <t>Bidder 15</t>
  </si>
  <si>
    <t>Bidder 16</t>
  </si>
  <si>
    <t>Bidder 17</t>
  </si>
  <si>
    <t>Bidder 18</t>
  </si>
  <si>
    <t>Bidder 19</t>
  </si>
  <si>
    <t>Bidder 20</t>
  </si>
  <si>
    <t>Bidder 21</t>
  </si>
  <si>
    <t>Bidder 22</t>
  </si>
  <si>
    <t>Bidder 23</t>
  </si>
  <si>
    <t>Bidder 24</t>
  </si>
  <si>
    <t>Bidder 25</t>
  </si>
  <si>
    <t>Totals =</t>
  </si>
  <si>
    <t>SBE Totals:</t>
  </si>
  <si>
    <t>JFK-1080</t>
  </si>
  <si>
    <t>Electrical Infrastructure Repairs via Work Order</t>
  </si>
  <si>
    <t>JFK-1079</t>
  </si>
  <si>
    <t>Fuel Infrastructure Repairs via Work Order</t>
  </si>
  <si>
    <t>PAT-652</t>
  </si>
  <si>
    <t>Asbestos and Lead Abatement via Work Order</t>
  </si>
  <si>
    <t>KUNJ Constr</t>
  </si>
  <si>
    <t>International Asb Rmv</t>
  </si>
  <si>
    <t>Gateway Demo</t>
  </si>
  <si>
    <t>LGA-954.326</t>
  </si>
  <si>
    <t>Total Constr</t>
  </si>
  <si>
    <t>MF-244.030</t>
  </si>
  <si>
    <t>HT &amp; LT - Improvements via Work Order</t>
  </si>
  <si>
    <t>WTC-500.002A</t>
  </si>
  <si>
    <t>General Building and Sitework via Work Order</t>
  </si>
  <si>
    <t>Gateway</t>
  </si>
  <si>
    <t>MF-244.254</t>
  </si>
  <si>
    <t>Bridge Facility Priority Repairs via Work Order</t>
  </si>
  <si>
    <t>SUMMARY OF BID RESULTS for WORK ORDERS (SBE)</t>
  </si>
  <si>
    <t>REVIEW OF SBE &amp; MWBE BID RESULTS FOR THE LAST 5 YEARS</t>
  </si>
  <si>
    <t>Typeology</t>
  </si>
  <si>
    <t>Infra</t>
  </si>
  <si>
    <t>Paving</t>
  </si>
  <si>
    <t>Building</t>
  </si>
  <si>
    <t>Second bid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</si>
</sst>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$-409]#,##0"/>
    <numFmt numFmtId="165" formatCode="[$$-409]#,##0.00_);\([$$-409]#,##0.00\)"/>
    <numFmt numFmtId="166" formatCode="_(&quot;$&quot;* #,##0_);_(&quot;$&quot;* \(#,##0\);_(&quot;$&quot;* &quot;-&quot;??_);_(@_)"/>
    <numFmt numFmtId="167" formatCode="0.0%"/>
    <numFmt numFmtId="168" formatCode="_(* #,##0_);_(* \(#,##0\);_(* &quot;-&quot;??_);_(@_)"/>
    <numFmt numFmtId="169" formatCode="0.0"/>
    <numFmt numFmtId="170" formatCode="[$$-409]#,##0.00"/>
    <numFmt numFmtId="171" formatCode="[$$-409]#,##0_);\([$$-409]#,##0\)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Arial Narrow"/>
      <family val="2"/>
    </font>
    <font>
      <sz val="11"/>
      <color theme="1"/>
      <name val="Wingdings 3"/>
      <family val="1"/>
      <charset val="2"/>
    </font>
    <font>
      <sz val="10"/>
      <color theme="0" tint="-0.499984740745262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b/>
      <sz val="10"/>
      <color theme="0" tint="-0.249977111117893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1"/>
      <name val="Arial"/>
      <family val="2"/>
    </font>
    <font>
      <sz val="11"/>
      <color theme="1"/>
      <name val="Calibri"/>
      <family val="2"/>
    </font>
    <font>
      <sz val="9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7"/>
      <name val="Calibri"/>
      <family val="2"/>
      <scheme val="minor"/>
    </font>
    <font>
      <sz val="10"/>
      <color theme="7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0"/>
      <color theme="1"/>
      <name val="Arial Narrow"/>
      <family val="2"/>
    </font>
    <font>
      <b/>
      <sz val="12"/>
      <color theme="0"/>
      <name val="Arial Narrow"/>
      <family val="2"/>
    </font>
    <font>
      <b/>
      <sz val="11"/>
      <color theme="2" tint="-9.9978637043366805E-2"/>
      <name val="Calibri"/>
      <family val="2"/>
      <scheme val="minor"/>
    </font>
    <font>
      <sz val="10"/>
      <color rgb="FF0070C0"/>
      <name val="Calibri"/>
      <family val="2"/>
      <scheme val="minor"/>
    </font>
    <font>
      <b/>
      <sz val="10"/>
      <color rgb="FF0070C0"/>
      <name val="Calibri"/>
      <family val="2"/>
      <scheme val="minor"/>
    </font>
    <font>
      <b/>
      <sz val="10"/>
      <color rgb="FFFFFF00"/>
      <name val="Calibri"/>
      <family val="2"/>
      <scheme val="minor"/>
    </font>
    <font>
      <b/>
      <i/>
      <sz val="10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2" tint="-0.249977111117893"/>
        <bgColor indexed="64"/>
      </patternFill>
    </fill>
  </fills>
  <borders count="4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405">
    <xf numFmtId="0" fontId="0" fillId="0" borderId="0" xfId="0"/>
    <xf numFmtId="0" fontId="0" fillId="0" borderId="0" xfId="0" quotePrefix="1"/>
    <xf numFmtId="0" fontId="0" fillId="0" borderId="0" xfId="0" applyAlignment="1">
      <alignment horizontal="right"/>
    </xf>
    <xf numFmtId="0" fontId="3" fillId="0" borderId="0" xfId="0" applyFont="1"/>
    <xf numFmtId="164" fontId="0" fillId="0" borderId="0" xfId="0" applyNumberFormat="1"/>
    <xf numFmtId="164" fontId="2" fillId="0" borderId="0" xfId="0" applyNumberFormat="1" applyFont="1"/>
    <xf numFmtId="15" fontId="0" fillId="0" borderId="0" xfId="0" applyNumberFormat="1"/>
    <xf numFmtId="10" fontId="0" fillId="0" borderId="0" xfId="1" applyNumberFormat="1" applyFont="1"/>
    <xf numFmtId="0" fontId="4" fillId="0" borderId="0" xfId="0" applyFont="1"/>
    <xf numFmtId="0" fontId="0" fillId="0" borderId="1" xfId="0" applyBorder="1"/>
    <xf numFmtId="0" fontId="0" fillId="0" borderId="1" xfId="0" applyBorder="1" applyAlignment="1">
      <alignment horizontal="right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quotePrefix="1" applyAlignment="1">
      <alignment horizontal="right"/>
    </xf>
    <xf numFmtId="0" fontId="5" fillId="0" borderId="0" xfId="0" applyFont="1"/>
    <xf numFmtId="10" fontId="2" fillId="0" borderId="0" xfId="1" applyNumberFormat="1" applyFont="1"/>
    <xf numFmtId="0" fontId="0" fillId="0" borderId="1" xfId="0" quotePrefix="1" applyBorder="1" applyAlignment="1">
      <alignment horizontal="right"/>
    </xf>
    <xf numFmtId="0" fontId="0" fillId="0" borderId="3" xfId="0" quotePrefix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0" fontId="0" fillId="0" borderId="2" xfId="1" applyNumberFormat="1" applyFont="1" applyBorder="1" applyAlignment="1">
      <alignment horizontal="center"/>
    </xf>
    <xf numFmtId="0" fontId="0" fillId="0" borderId="0" xfId="0" applyBorder="1"/>
    <xf numFmtId="164" fontId="0" fillId="0" borderId="0" xfId="0" applyNumberFormat="1" applyBorder="1"/>
    <xf numFmtId="0" fontId="0" fillId="0" borderId="0" xfId="0" applyAlignment="1">
      <alignment horizontal="left"/>
    </xf>
    <xf numFmtId="0" fontId="6" fillId="0" borderId="0" xfId="0" applyFont="1"/>
    <xf numFmtId="15" fontId="5" fillId="0" borderId="0" xfId="0" applyNumberFormat="1" applyFont="1"/>
    <xf numFmtId="10" fontId="5" fillId="0" borderId="0" xfId="0" applyNumberFormat="1" applyFont="1"/>
    <xf numFmtId="164" fontId="5" fillId="0" borderId="0" xfId="0" applyNumberFormat="1" applyFont="1"/>
    <xf numFmtId="0" fontId="5" fillId="0" borderId="1" xfId="0" applyFont="1" applyBorder="1"/>
    <xf numFmtId="0" fontId="5" fillId="0" borderId="1" xfId="0" applyFont="1" applyBorder="1" applyAlignment="1">
      <alignment horizontal="right"/>
    </xf>
    <xf numFmtId="0" fontId="0" fillId="2" borderId="0" xfId="0" applyFill="1"/>
    <xf numFmtId="0" fontId="2" fillId="0" borderId="0" xfId="0" applyFont="1"/>
    <xf numFmtId="0" fontId="7" fillId="0" borderId="0" xfId="0" applyFont="1"/>
    <xf numFmtId="0" fontId="7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10" fillId="0" borderId="1" xfId="0" applyFont="1" applyBorder="1" applyAlignment="1">
      <alignment horizontal="left"/>
    </xf>
    <xf numFmtId="0" fontId="11" fillId="0" borderId="1" xfId="0" applyFont="1" applyBorder="1"/>
    <xf numFmtId="0" fontId="11" fillId="0" borderId="1" xfId="0" applyFont="1" applyBorder="1" applyAlignment="1">
      <alignment horizontal="right"/>
    </xf>
    <xf numFmtId="0" fontId="11" fillId="0" borderId="1" xfId="0" applyFont="1" applyBorder="1" applyAlignment="1">
      <alignment horizontal="center"/>
    </xf>
    <xf numFmtId="0" fontId="11" fillId="0" borderId="1" xfId="0" applyFont="1" applyBorder="1" applyAlignment="1">
      <alignment horizontal="left" indent="1"/>
    </xf>
    <xf numFmtId="0" fontId="0" fillId="0" borderId="0" xfId="0" applyAlignment="1">
      <alignment horizontal="left" indent="1"/>
    </xf>
    <xf numFmtId="164" fontId="5" fillId="0" borderId="0" xfId="0" applyNumberFormat="1" applyFont="1" applyAlignment="1">
      <alignment horizontal="left" indent="1"/>
    </xf>
    <xf numFmtId="0" fontId="11" fillId="3" borderId="1" xfId="0" applyFont="1" applyFill="1" applyBorder="1" applyAlignment="1">
      <alignment horizontal="right"/>
    </xf>
    <xf numFmtId="0" fontId="11" fillId="3" borderId="1" xfId="0" applyFont="1" applyFill="1" applyBorder="1" applyAlignment="1">
      <alignment horizontal="center"/>
    </xf>
    <xf numFmtId="0" fontId="11" fillId="3" borderId="1" xfId="0" applyFont="1" applyFill="1" applyBorder="1"/>
    <xf numFmtId="0" fontId="11" fillId="3" borderId="1" xfId="0" applyFont="1" applyFill="1" applyBorder="1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Fill="1"/>
    <xf numFmtId="165" fontId="0" fillId="0" borderId="0" xfId="2" applyNumberFormat="1" applyFont="1"/>
    <xf numFmtId="164" fontId="12" fillId="0" borderId="0" xfId="0" applyNumberFormat="1" applyFont="1"/>
    <xf numFmtId="166" fontId="0" fillId="0" borderId="0" xfId="2" applyNumberFormat="1" applyFont="1"/>
    <xf numFmtId="9" fontId="0" fillId="0" borderId="0" xfId="1" applyFont="1"/>
    <xf numFmtId="166" fontId="0" fillId="0" borderId="0" xfId="0" applyNumberFormat="1"/>
    <xf numFmtId="0" fontId="2" fillId="0" borderId="1" xfId="0" applyFont="1" applyBorder="1"/>
    <xf numFmtId="0" fontId="2" fillId="0" borderId="1" xfId="0" applyFont="1" applyBorder="1" applyAlignment="1">
      <alignment horizontal="right"/>
    </xf>
    <xf numFmtId="0" fontId="2" fillId="0" borderId="1" xfId="0" quotePrefix="1" applyFont="1" applyBorder="1" applyAlignment="1">
      <alignment horizontal="right"/>
    </xf>
    <xf numFmtId="0" fontId="2" fillId="0" borderId="1" xfId="0" applyFont="1" applyBorder="1" applyAlignment="1">
      <alignment horizontal="right" wrapText="1"/>
    </xf>
    <xf numFmtId="0" fontId="5" fillId="0" borderId="0" xfId="0" applyFont="1" applyFill="1"/>
    <xf numFmtId="0" fontId="6" fillId="0" borderId="0" xfId="0" applyFont="1" applyFill="1"/>
    <xf numFmtId="15" fontId="5" fillId="0" borderId="0" xfId="0" applyNumberFormat="1" applyFont="1" applyFill="1"/>
    <xf numFmtId="164" fontId="5" fillId="0" borderId="0" xfId="0" applyNumberFormat="1" applyFont="1" applyFill="1" applyAlignment="1">
      <alignment horizontal="left" indent="1"/>
    </xf>
    <xf numFmtId="167" fontId="0" fillId="0" borderId="0" xfId="1" applyNumberFormat="1" applyFont="1"/>
    <xf numFmtId="43" fontId="0" fillId="0" borderId="0" xfId="3" applyFont="1"/>
    <xf numFmtId="168" fontId="5" fillId="0" borderId="0" xfId="3" applyNumberFormat="1" applyFont="1"/>
    <xf numFmtId="168" fontId="0" fillId="0" borderId="0" xfId="3" applyNumberFormat="1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right"/>
    </xf>
    <xf numFmtId="0" fontId="2" fillId="0" borderId="5" xfId="0" applyFont="1" applyBorder="1" applyAlignment="1">
      <alignment horizontal="right"/>
    </xf>
    <xf numFmtId="0" fontId="2" fillId="0" borderId="6" xfId="0" applyFont="1" applyBorder="1"/>
    <xf numFmtId="167" fontId="0" fillId="0" borderId="0" xfId="1" applyNumberFormat="1" applyFont="1" applyAlignment="1">
      <alignment horizontal="center"/>
    </xf>
    <xf numFmtId="169" fontId="0" fillId="0" borderId="0" xfId="0" applyNumberFormat="1" applyAlignment="1">
      <alignment horizontal="center"/>
    </xf>
    <xf numFmtId="0" fontId="0" fillId="2" borderId="0" xfId="0" quotePrefix="1" applyFill="1" applyAlignment="1">
      <alignment horizontal="left"/>
    </xf>
    <xf numFmtId="0" fontId="5" fillId="0" borderId="0" xfId="0" quotePrefix="1" applyFont="1"/>
    <xf numFmtId="164" fontId="0" fillId="0" borderId="0" xfId="0" applyNumberFormat="1" applyAlignment="1">
      <alignment horizontal="center"/>
    </xf>
    <xf numFmtId="0" fontId="9" fillId="4" borderId="0" xfId="0" applyFont="1" applyFill="1" applyAlignment="1">
      <alignment horizontal="left"/>
    </xf>
    <xf numFmtId="0" fontId="0" fillId="4" borderId="0" xfId="0" applyFill="1"/>
    <xf numFmtId="0" fontId="2" fillId="4" borderId="0" xfId="0" applyFont="1" applyFill="1" applyAlignment="1">
      <alignment horizontal="right"/>
    </xf>
    <xf numFmtId="0" fontId="0" fillId="4" borderId="0" xfId="0" applyFill="1" applyAlignment="1">
      <alignment horizontal="center"/>
    </xf>
    <xf numFmtId="0" fontId="11" fillId="0" borderId="0" xfId="0" applyFont="1"/>
    <xf numFmtId="169" fontId="0" fillId="0" borderId="0" xfId="0" applyNumberFormat="1"/>
    <xf numFmtId="0" fontId="0" fillId="5" borderId="0" xfId="0" applyFill="1"/>
    <xf numFmtId="164" fontId="0" fillId="5" borderId="0" xfId="0" applyNumberFormat="1" applyFill="1"/>
    <xf numFmtId="10" fontId="0" fillId="5" borderId="0" xfId="1" applyNumberFormat="1" applyFont="1" applyFill="1"/>
    <xf numFmtId="169" fontId="0" fillId="5" borderId="0" xfId="0" applyNumberFormat="1" applyFill="1"/>
    <xf numFmtId="9" fontId="0" fillId="5" borderId="0" xfId="1" applyFont="1" applyFill="1" applyAlignment="1">
      <alignment horizontal="center"/>
    </xf>
    <xf numFmtId="0" fontId="2" fillId="0" borderId="0" xfId="0" applyFont="1" applyAlignment="1">
      <alignment horizontal="center"/>
    </xf>
    <xf numFmtId="10" fontId="0" fillId="0" borderId="0" xfId="0" applyNumberFormat="1"/>
    <xf numFmtId="9" fontId="0" fillId="0" borderId="0" xfId="0" applyNumberFormat="1"/>
    <xf numFmtId="0" fontId="13" fillId="0" borderId="0" xfId="0" applyFont="1"/>
    <xf numFmtId="164" fontId="5" fillId="0" borderId="0" xfId="0" applyNumberFormat="1" applyFont="1" applyFill="1"/>
    <xf numFmtId="0" fontId="9" fillId="6" borderId="0" xfId="0" applyFont="1" applyFill="1" applyAlignment="1">
      <alignment horizontal="left"/>
    </xf>
    <xf numFmtId="0" fontId="0" fillId="6" borderId="0" xfId="0" applyFill="1"/>
    <xf numFmtId="0" fontId="0" fillId="6" borderId="0" xfId="0" applyFill="1" applyAlignment="1">
      <alignment horizontal="center"/>
    </xf>
    <xf numFmtId="167" fontId="14" fillId="2" borderId="0" xfId="1" applyNumberFormat="1" applyFont="1" applyFill="1" applyAlignment="1">
      <alignment horizontal="center"/>
    </xf>
    <xf numFmtId="170" fontId="4" fillId="0" borderId="0" xfId="0" applyNumberFormat="1" applyFont="1"/>
    <xf numFmtId="0" fontId="0" fillId="7" borderId="7" xfId="0" applyFill="1" applyBorder="1" applyAlignment="1">
      <alignment wrapText="1"/>
    </xf>
    <xf numFmtId="0" fontId="9" fillId="0" borderId="0" xfId="0" applyFont="1" applyFill="1" applyAlignment="1">
      <alignment horizontal="left"/>
    </xf>
    <xf numFmtId="0" fontId="5" fillId="0" borderId="0" xfId="0" applyFont="1" applyFill="1" applyBorder="1"/>
    <xf numFmtId="0" fontId="6" fillId="9" borderId="0" xfId="0" applyFont="1" applyFill="1"/>
    <xf numFmtId="0" fontId="0" fillId="0" borderId="0" xfId="0" applyFill="1" applyAlignment="1">
      <alignment horizontal="center"/>
    </xf>
    <xf numFmtId="164" fontId="5" fillId="8" borderId="0" xfId="0" applyNumberFormat="1" applyFont="1" applyFill="1"/>
    <xf numFmtId="0" fontId="2" fillId="0" borderId="5" xfId="0" quotePrefix="1" applyFont="1" applyBorder="1" applyAlignment="1">
      <alignment horizontal="right"/>
    </xf>
    <xf numFmtId="0" fontId="15" fillId="0" borderId="0" xfId="0" applyFont="1" applyFill="1" applyAlignment="1">
      <alignment horizontal="left"/>
    </xf>
    <xf numFmtId="167" fontId="0" fillId="0" borderId="0" xfId="1" applyNumberFormat="1" applyFont="1" applyFill="1" applyAlignment="1">
      <alignment horizontal="center"/>
    </xf>
    <xf numFmtId="0" fontId="5" fillId="9" borderId="0" xfId="0" applyFont="1" applyFill="1"/>
    <xf numFmtId="15" fontId="5" fillId="9" borderId="0" xfId="0" applyNumberFormat="1" applyFont="1" applyFill="1"/>
    <xf numFmtId="164" fontId="5" fillId="9" borderId="0" xfId="0" applyNumberFormat="1" applyFont="1" applyFill="1" applyAlignment="1">
      <alignment horizontal="left" indent="1"/>
    </xf>
    <xf numFmtId="164" fontId="5" fillId="9" borderId="0" xfId="0" applyNumberFormat="1" applyFont="1" applyFill="1"/>
    <xf numFmtId="0" fontId="9" fillId="10" borderId="0" xfId="0" applyFont="1" applyFill="1" applyAlignment="1">
      <alignment horizontal="left"/>
    </xf>
    <xf numFmtId="0" fontId="0" fillId="10" borderId="0" xfId="0" applyFill="1"/>
    <xf numFmtId="0" fontId="0" fillId="10" borderId="0" xfId="0" applyFill="1" applyAlignment="1">
      <alignment horizontal="center"/>
    </xf>
    <xf numFmtId="0" fontId="9" fillId="11" borderId="0" xfId="0" applyFont="1" applyFill="1" applyAlignment="1">
      <alignment horizontal="left"/>
    </xf>
    <xf numFmtId="0" fontId="0" fillId="11" borderId="0" xfId="0" applyFill="1"/>
    <xf numFmtId="0" fontId="0" fillId="11" borderId="0" xfId="0" applyFill="1" applyAlignment="1">
      <alignment horizontal="center"/>
    </xf>
    <xf numFmtId="167" fontId="0" fillId="5" borderId="0" xfId="1" applyNumberFormat="1" applyFont="1" applyFill="1"/>
    <xf numFmtId="167" fontId="0" fillId="0" borderId="0" xfId="0" applyNumberFormat="1"/>
    <xf numFmtId="0" fontId="2" fillId="0" borderId="1" xfId="0" applyFont="1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9" fontId="0" fillId="0" borderId="0" xfId="0" applyNumberFormat="1" applyFill="1" applyAlignment="1">
      <alignment horizontal="center"/>
    </xf>
    <xf numFmtId="167" fontId="0" fillId="0" borderId="0" xfId="0" applyNumberFormat="1" applyFill="1" applyAlignment="1">
      <alignment horizontal="center"/>
    </xf>
    <xf numFmtId="0" fontId="16" fillId="3" borderId="6" xfId="0" applyFont="1" applyFill="1" applyBorder="1" applyAlignment="1">
      <alignment horizontal="right"/>
    </xf>
    <xf numFmtId="0" fontId="16" fillId="9" borderId="6" xfId="0" applyFont="1" applyFill="1" applyBorder="1" applyAlignment="1">
      <alignment horizontal="right"/>
    </xf>
    <xf numFmtId="167" fontId="0" fillId="0" borderId="0" xfId="1" quotePrefix="1" applyNumberFormat="1" applyFont="1" applyAlignment="1">
      <alignment horizontal="center"/>
    </xf>
    <xf numFmtId="0" fontId="17" fillId="12" borderId="0" xfId="0" applyFont="1" applyFill="1"/>
    <xf numFmtId="0" fontId="18" fillId="12" borderId="0" xfId="0" applyFont="1" applyFill="1" applyAlignment="1">
      <alignment horizontal="left"/>
    </xf>
    <xf numFmtId="0" fontId="17" fillId="12" borderId="0" xfId="0" applyFont="1" applyFill="1" applyAlignment="1">
      <alignment horizontal="center"/>
    </xf>
    <xf numFmtId="0" fontId="2" fillId="13" borderId="0" xfId="0" applyFont="1" applyFill="1" applyBorder="1" applyAlignment="1">
      <alignment horizontal="right"/>
    </xf>
    <xf numFmtId="0" fontId="2" fillId="13" borderId="0" xfId="0" applyFont="1" applyFill="1" applyBorder="1" applyAlignment="1">
      <alignment horizontal="center"/>
    </xf>
    <xf numFmtId="0" fontId="0" fillId="13" borderId="0" xfId="0" applyFill="1" applyBorder="1" applyAlignment="1">
      <alignment horizontal="right"/>
    </xf>
    <xf numFmtId="0" fontId="0" fillId="13" borderId="0" xfId="0" applyFill="1" applyBorder="1" applyAlignment="1">
      <alignment horizontal="center"/>
    </xf>
    <xf numFmtId="167" fontId="0" fillId="13" borderId="0" xfId="1" applyNumberFormat="1" applyFont="1" applyFill="1" applyBorder="1"/>
    <xf numFmtId="167" fontId="0" fillId="13" borderId="0" xfId="1" applyNumberFormat="1" applyFont="1" applyFill="1"/>
    <xf numFmtId="0" fontId="0" fillId="13" borderId="0" xfId="0" quotePrefix="1" applyFill="1" applyAlignment="1">
      <alignment horizontal="right"/>
    </xf>
    <xf numFmtId="167" fontId="0" fillId="13" borderId="0" xfId="1" applyNumberFormat="1" applyFont="1" applyFill="1" applyBorder="1" applyAlignment="1">
      <alignment horizontal="right"/>
    </xf>
    <xf numFmtId="0" fontId="0" fillId="14" borderId="0" xfId="0" applyFill="1"/>
    <xf numFmtId="0" fontId="9" fillId="14" borderId="0" xfId="0" applyFont="1" applyFill="1" applyAlignment="1">
      <alignment horizontal="left"/>
    </xf>
    <xf numFmtId="0" fontId="0" fillId="14" borderId="0" xfId="0" applyFill="1" applyAlignment="1">
      <alignment horizontal="center"/>
    </xf>
    <xf numFmtId="0" fontId="19" fillId="14" borderId="0" xfId="0" applyFont="1" applyFill="1"/>
    <xf numFmtId="167" fontId="19" fillId="14" borderId="0" xfId="1" applyNumberFormat="1" applyFont="1" applyFill="1"/>
    <xf numFmtId="0" fontId="20" fillId="15" borderId="0" xfId="0" applyFont="1" applyFill="1"/>
    <xf numFmtId="0" fontId="21" fillId="15" borderId="0" xfId="0" applyFont="1" applyFill="1" applyAlignment="1">
      <alignment horizontal="left"/>
    </xf>
    <xf numFmtId="0" fontId="20" fillId="15" borderId="0" xfId="0" applyFont="1" applyFill="1" applyAlignment="1">
      <alignment horizontal="center"/>
    </xf>
    <xf numFmtId="0" fontId="0" fillId="15" borderId="0" xfId="0" applyFill="1"/>
    <xf numFmtId="0" fontId="9" fillId="15" borderId="0" xfId="0" applyFont="1" applyFill="1" applyAlignment="1">
      <alignment horizontal="left"/>
    </xf>
    <xf numFmtId="0" fontId="0" fillId="15" borderId="0" xfId="0" applyFill="1" applyAlignment="1">
      <alignment horizontal="center"/>
    </xf>
    <xf numFmtId="0" fontId="22" fillId="16" borderId="6" xfId="0" applyFont="1" applyFill="1" applyBorder="1" applyAlignment="1">
      <alignment horizontal="right"/>
    </xf>
    <xf numFmtId="167" fontId="0" fillId="13" borderId="7" xfId="1" applyNumberFormat="1" applyFont="1" applyFill="1" applyBorder="1" applyAlignment="1">
      <alignment horizontal="center"/>
    </xf>
    <xf numFmtId="167" fontId="0" fillId="13" borderId="0" xfId="1" applyNumberFormat="1" applyFont="1" applyFill="1" applyAlignment="1">
      <alignment horizontal="center"/>
    </xf>
    <xf numFmtId="10" fontId="5" fillId="0" borderId="0" xfId="0" applyNumberFormat="1" applyFont="1" applyFill="1"/>
    <xf numFmtId="0" fontId="5" fillId="0" borderId="0" xfId="0" applyFont="1" applyFill="1" applyAlignment="1">
      <alignment horizontal="center"/>
    </xf>
    <xf numFmtId="164" fontId="12" fillId="0" borderId="0" xfId="0" applyNumberFormat="1" applyFont="1" applyFill="1"/>
    <xf numFmtId="0" fontId="0" fillId="18" borderId="0" xfId="0" applyFill="1"/>
    <xf numFmtId="0" fontId="0" fillId="18" borderId="0" xfId="0" applyFill="1" applyAlignment="1">
      <alignment horizontal="center"/>
    </xf>
    <xf numFmtId="0" fontId="16" fillId="18" borderId="1" xfId="0" applyFont="1" applyFill="1" applyBorder="1" applyAlignment="1">
      <alignment horizontal="right"/>
    </xf>
    <xf numFmtId="0" fontId="0" fillId="18" borderId="1" xfId="0" applyFill="1" applyBorder="1" applyAlignment="1">
      <alignment horizontal="right"/>
    </xf>
    <xf numFmtId="0" fontId="0" fillId="18" borderId="1" xfId="0" applyFill="1" applyBorder="1" applyAlignment="1">
      <alignment horizontal="left" indent="2"/>
    </xf>
    <xf numFmtId="0" fontId="0" fillId="18" borderId="0" xfId="0" applyFill="1" applyAlignment="1">
      <alignment horizontal="right"/>
    </xf>
    <xf numFmtId="167" fontId="0" fillId="18" borderId="0" xfId="1" applyNumberFormat="1" applyFont="1" applyFill="1"/>
    <xf numFmtId="0" fontId="0" fillId="19" borderId="0" xfId="0" applyFill="1"/>
    <xf numFmtId="0" fontId="8" fillId="19" borderId="0" xfId="0" applyFont="1" applyFill="1" applyAlignment="1">
      <alignment horizontal="left"/>
    </xf>
    <xf numFmtId="0" fontId="0" fillId="19" borderId="0" xfId="0" applyFill="1" applyAlignment="1">
      <alignment horizontal="center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23" fillId="17" borderId="0" xfId="0" applyFont="1" applyFill="1"/>
    <xf numFmtId="0" fontId="22" fillId="17" borderId="6" xfId="0" applyFont="1" applyFill="1" applyBorder="1" applyAlignment="1">
      <alignment horizontal="right"/>
    </xf>
    <xf numFmtId="0" fontId="2" fillId="13" borderId="1" xfId="0" applyFont="1" applyFill="1" applyBorder="1" applyAlignment="1">
      <alignment horizontal="center"/>
    </xf>
    <xf numFmtId="0" fontId="0" fillId="13" borderId="0" xfId="0" applyFill="1" applyAlignment="1">
      <alignment horizontal="center"/>
    </xf>
    <xf numFmtId="164" fontId="0" fillId="13" borderId="0" xfId="0" applyNumberFormat="1" applyFill="1" applyAlignment="1">
      <alignment horizontal="center"/>
    </xf>
    <xf numFmtId="169" fontId="0" fillId="13" borderId="0" xfId="0" applyNumberFormat="1" applyFill="1" applyAlignment="1">
      <alignment horizontal="center"/>
    </xf>
    <xf numFmtId="167" fontId="0" fillId="13" borderId="0" xfId="0" applyNumberFormat="1" applyFill="1" applyAlignment="1">
      <alignment horizontal="center"/>
    </xf>
    <xf numFmtId="167" fontId="0" fillId="0" borderId="0" xfId="1" applyNumberFormat="1" applyFont="1" applyFill="1" applyAlignment="1">
      <alignment horizontal="left" indent="2"/>
    </xf>
    <xf numFmtId="0" fontId="20" fillId="0" borderId="0" xfId="0" applyFont="1"/>
    <xf numFmtId="0" fontId="21" fillId="0" borderId="0" xfId="0" applyFont="1" applyAlignment="1">
      <alignment horizontal="left"/>
    </xf>
    <xf numFmtId="0" fontId="21" fillId="0" borderId="0" xfId="0" applyFont="1" applyFill="1" applyAlignment="1">
      <alignment horizontal="left"/>
    </xf>
    <xf numFmtId="9" fontId="5" fillId="0" borderId="0" xfId="1" applyFont="1"/>
    <xf numFmtId="0" fontId="21" fillId="0" borderId="1" xfId="0" applyFont="1" applyBorder="1" applyAlignment="1">
      <alignment horizontal="left"/>
    </xf>
    <xf numFmtId="0" fontId="5" fillId="0" borderId="1" xfId="0" applyFont="1" applyFill="1" applyBorder="1"/>
    <xf numFmtId="0" fontId="6" fillId="0" borderId="1" xfId="0" applyFont="1" applyFill="1" applyBorder="1"/>
    <xf numFmtId="15" fontId="5" fillId="0" borderId="1" xfId="0" applyNumberFormat="1" applyFont="1" applyFill="1" applyBorder="1"/>
    <xf numFmtId="164" fontId="5" fillId="0" borderId="1" xfId="0" applyNumberFormat="1" applyFont="1" applyFill="1" applyBorder="1" applyAlignment="1">
      <alignment horizontal="left" indent="1"/>
    </xf>
    <xf numFmtId="164" fontId="5" fillId="0" borderId="1" xfId="0" applyNumberFormat="1" applyFont="1" applyFill="1" applyBorder="1"/>
    <xf numFmtId="164" fontId="5" fillId="0" borderId="1" xfId="0" applyNumberFormat="1" applyFont="1" applyBorder="1"/>
    <xf numFmtId="9" fontId="5" fillId="0" borderId="1" xfId="1" applyFont="1" applyBorder="1"/>
    <xf numFmtId="10" fontId="5" fillId="0" borderId="1" xfId="0" applyNumberFormat="1" applyFont="1" applyBorder="1"/>
    <xf numFmtId="0" fontId="6" fillId="0" borderId="1" xfId="0" applyFont="1" applyBorder="1"/>
    <xf numFmtId="15" fontId="5" fillId="0" borderId="1" xfId="0" applyNumberFormat="1" applyFont="1" applyBorder="1"/>
    <xf numFmtId="164" fontId="11" fillId="0" borderId="0" xfId="0" applyNumberFormat="1" applyFont="1"/>
    <xf numFmtId="0" fontId="11" fillId="0" borderId="0" xfId="0" applyFont="1" applyAlignment="1">
      <alignment horizontal="center"/>
    </xf>
    <xf numFmtId="0" fontId="11" fillId="0" borderId="0" xfId="0" applyFont="1" applyFill="1" applyBorder="1"/>
    <xf numFmtId="167" fontId="11" fillId="0" borderId="0" xfId="1" applyNumberFormat="1" applyFont="1"/>
    <xf numFmtId="9" fontId="11" fillId="0" borderId="0" xfId="1" applyNumberFormat="1" applyFont="1"/>
    <xf numFmtId="0" fontId="15" fillId="0" borderId="0" xfId="0" applyFont="1" applyAlignment="1">
      <alignment horizontal="left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left" indent="2"/>
    </xf>
    <xf numFmtId="10" fontId="5" fillId="0" borderId="0" xfId="1" applyNumberFormat="1" applyFont="1" applyFill="1"/>
    <xf numFmtId="10" fontId="5" fillId="0" borderId="0" xfId="1" applyNumberFormat="1" applyFont="1"/>
    <xf numFmtId="0" fontId="2" fillId="0" borderId="0" xfId="0" applyFont="1" applyAlignment="1">
      <alignment horizontal="left" wrapText="1"/>
    </xf>
    <xf numFmtId="169" fontId="11" fillId="0" borderId="0" xfId="0" applyNumberFormat="1" applyFont="1"/>
    <xf numFmtId="167" fontId="19" fillId="6" borderId="0" xfId="1" applyNumberFormat="1" applyFont="1" applyFill="1" applyAlignment="1">
      <alignment horizontal="center"/>
    </xf>
    <xf numFmtId="10" fontId="0" fillId="2" borderId="0" xfId="1" applyNumberFormat="1" applyFont="1" applyFill="1"/>
    <xf numFmtId="164" fontId="0" fillId="3" borderId="0" xfId="0" applyNumberFormat="1" applyFill="1"/>
    <xf numFmtId="10" fontId="0" fillId="3" borderId="8" xfId="1" applyNumberFormat="1" applyFont="1" applyFill="1" applyBorder="1"/>
    <xf numFmtId="0" fontId="0" fillId="3" borderId="9" xfId="0" quotePrefix="1" applyFill="1" applyBorder="1"/>
    <xf numFmtId="0" fontId="0" fillId="3" borderId="10" xfId="0" applyFill="1" applyBorder="1"/>
    <xf numFmtId="10" fontId="0" fillId="0" borderId="0" xfId="1" applyNumberFormat="1" applyFont="1" applyFill="1"/>
    <xf numFmtId="164" fontId="0" fillId="0" borderId="0" xfId="0" applyNumberFormat="1" applyFill="1"/>
    <xf numFmtId="10" fontId="0" fillId="0" borderId="8" xfId="1" applyNumberFormat="1" applyFont="1" applyFill="1" applyBorder="1"/>
    <xf numFmtId="0" fontId="0" fillId="0" borderId="9" xfId="0" quotePrefix="1" applyFill="1" applyBorder="1"/>
    <xf numFmtId="0" fontId="0" fillId="0" borderId="10" xfId="0" applyFill="1" applyBorder="1"/>
    <xf numFmtId="167" fontId="0" fillId="0" borderId="7" xfId="0" applyNumberFormat="1" applyFill="1" applyBorder="1" applyAlignment="1">
      <alignment horizontal="center"/>
    </xf>
    <xf numFmtId="169" fontId="0" fillId="8" borderId="0" xfId="0" applyNumberFormat="1" applyFill="1" applyAlignment="1">
      <alignment horizontal="center"/>
    </xf>
    <xf numFmtId="167" fontId="0" fillId="8" borderId="0" xfId="1" applyNumberFormat="1" applyFont="1" applyFill="1" applyAlignment="1">
      <alignment horizontal="center"/>
    </xf>
    <xf numFmtId="0" fontId="16" fillId="0" borderId="11" xfId="0" applyFont="1" applyBorder="1"/>
    <xf numFmtId="164" fontId="16" fillId="0" borderId="11" xfId="0" applyNumberFormat="1" applyFont="1" applyBorder="1"/>
    <xf numFmtId="0" fontId="16" fillId="0" borderId="11" xfId="0" applyFont="1" applyBorder="1" applyAlignment="1">
      <alignment horizontal="center"/>
    </xf>
    <xf numFmtId="167" fontId="16" fillId="0" borderId="11" xfId="1" applyNumberFormat="1" applyFont="1" applyBorder="1"/>
    <xf numFmtId="167" fontId="22" fillId="20" borderId="0" xfId="1" applyNumberFormat="1" applyFont="1" applyFill="1" applyAlignment="1">
      <alignment horizontal="center"/>
    </xf>
    <xf numFmtId="0" fontId="24" fillId="0" borderId="11" xfId="0" applyFont="1" applyFill="1" applyBorder="1" applyAlignment="1">
      <alignment horizontal="right"/>
    </xf>
    <xf numFmtId="169" fontId="16" fillId="0" borderId="11" xfId="0" applyNumberFormat="1" applyFont="1" applyBorder="1"/>
    <xf numFmtId="167" fontId="19" fillId="0" borderId="0" xfId="1" applyNumberFormat="1" applyFont="1" applyFill="1" applyAlignment="1">
      <alignment horizontal="center"/>
    </xf>
    <xf numFmtId="10" fontId="0" fillId="0" borderId="0" xfId="1" applyNumberFormat="1" applyFont="1" applyFill="1" applyBorder="1"/>
    <xf numFmtId="0" fontId="0" fillId="0" borderId="0" xfId="0" quotePrefix="1" applyFill="1" applyBorder="1"/>
    <xf numFmtId="164" fontId="0" fillId="0" borderId="0" xfId="0" applyNumberFormat="1" applyFill="1" applyBorder="1"/>
    <xf numFmtId="0" fontId="0" fillId="0" borderId="0" xfId="0" applyFill="1" applyBorder="1"/>
    <xf numFmtId="164" fontId="5" fillId="21" borderId="0" xfId="0" applyNumberFormat="1" applyFont="1" applyFill="1" applyAlignment="1">
      <alignment horizontal="left" indent="1"/>
    </xf>
    <xf numFmtId="10" fontId="5" fillId="2" borderId="0" xfId="0" applyNumberFormat="1" applyFont="1" applyFill="1"/>
    <xf numFmtId="10" fontId="5" fillId="2" borderId="1" xfId="0" applyNumberFormat="1" applyFont="1" applyFill="1" applyBorder="1"/>
    <xf numFmtId="167" fontId="19" fillId="2" borderId="0" xfId="1" applyNumberFormat="1" applyFont="1" applyFill="1" applyAlignment="1">
      <alignment horizontal="center"/>
    </xf>
    <xf numFmtId="167" fontId="0" fillId="22" borderId="0" xfId="1" applyNumberFormat="1" applyFont="1" applyFill="1"/>
    <xf numFmtId="0" fontId="0" fillId="9" borderId="0" xfId="0" applyFill="1"/>
    <xf numFmtId="0" fontId="0" fillId="9" borderId="1" xfId="0" applyFill="1" applyBorder="1" applyAlignment="1">
      <alignment horizontal="right"/>
    </xf>
    <xf numFmtId="0" fontId="0" fillId="9" borderId="1" xfId="0" applyFill="1" applyBorder="1" applyAlignment="1">
      <alignment horizontal="left" indent="2"/>
    </xf>
    <xf numFmtId="167" fontId="0" fillId="9" borderId="0" xfId="1" applyNumberFormat="1" applyFont="1" applyFill="1"/>
    <xf numFmtId="0" fontId="0" fillId="9" borderId="0" xfId="0" applyFill="1" applyAlignment="1">
      <alignment horizontal="center"/>
    </xf>
    <xf numFmtId="0" fontId="22" fillId="23" borderId="1" xfId="0" applyFont="1" applyFill="1" applyBorder="1" applyAlignment="1">
      <alignment horizontal="right"/>
    </xf>
    <xf numFmtId="0" fontId="23" fillId="23" borderId="0" xfId="0" applyFont="1" applyFill="1" applyAlignment="1">
      <alignment horizontal="right"/>
    </xf>
    <xf numFmtId="0" fontId="22" fillId="23" borderId="0" xfId="0" applyFont="1" applyFill="1" applyAlignment="1">
      <alignment horizontal="right"/>
    </xf>
    <xf numFmtId="0" fontId="19" fillId="23" borderId="0" xfId="0" applyFont="1" applyFill="1" applyBorder="1"/>
    <xf numFmtId="9" fontId="19" fillId="23" borderId="0" xfId="1" applyFont="1" applyFill="1" applyBorder="1"/>
    <xf numFmtId="0" fontId="0" fillId="25" borderId="0" xfId="0" applyFill="1"/>
    <xf numFmtId="0" fontId="0" fillId="25" borderId="0" xfId="0" applyFill="1" applyAlignment="1">
      <alignment horizontal="center"/>
    </xf>
    <xf numFmtId="0" fontId="5" fillId="25" borderId="0" xfId="0" applyFont="1" applyFill="1"/>
    <xf numFmtId="0" fontId="0" fillId="25" borderId="0" xfId="0" applyFill="1" applyAlignment="1">
      <alignment horizontal="right"/>
    </xf>
    <xf numFmtId="0" fontId="5" fillId="25" borderId="0" xfId="0" quotePrefix="1" applyFont="1" applyFill="1" applyAlignment="1">
      <alignment horizontal="right"/>
    </xf>
    <xf numFmtId="0" fontId="5" fillId="2" borderId="0" xfId="0" applyFont="1" applyFill="1"/>
    <xf numFmtId="164" fontId="5" fillId="25" borderId="0" xfId="0" applyNumberFormat="1" applyFont="1" applyFill="1" applyAlignment="1">
      <alignment horizontal="left" indent="1"/>
    </xf>
    <xf numFmtId="164" fontId="5" fillId="25" borderId="1" xfId="0" applyNumberFormat="1" applyFont="1" applyFill="1" applyBorder="1" applyAlignment="1">
      <alignment horizontal="left" indent="1"/>
    </xf>
    <xf numFmtId="167" fontId="0" fillId="24" borderId="0" xfId="1" applyNumberFormat="1" applyFont="1" applyFill="1"/>
    <xf numFmtId="0" fontId="0" fillId="26" borderId="0" xfId="0" applyFill="1"/>
    <xf numFmtId="0" fontId="0" fillId="27" borderId="0" xfId="0" applyFill="1"/>
    <xf numFmtId="0" fontId="8" fillId="27" borderId="0" xfId="0" applyFont="1" applyFill="1" applyAlignment="1">
      <alignment horizontal="left"/>
    </xf>
    <xf numFmtId="0" fontId="0" fillId="27" borderId="0" xfId="0" applyFill="1" applyAlignment="1">
      <alignment horizontal="center"/>
    </xf>
    <xf numFmtId="0" fontId="5" fillId="4" borderId="0" xfId="0" applyFont="1" applyFill="1"/>
    <xf numFmtId="169" fontId="2" fillId="25" borderId="0" xfId="0" applyNumberFormat="1" applyFont="1" applyFill="1"/>
    <xf numFmtId="169" fontId="2" fillId="2" borderId="0" xfId="0" applyNumberFormat="1" applyFont="1" applyFill="1"/>
    <xf numFmtId="171" fontId="0" fillId="0" borderId="0" xfId="0" applyNumberFormat="1"/>
    <xf numFmtId="167" fontId="0" fillId="28" borderId="0" xfId="1" applyNumberFormat="1" applyFont="1" applyFill="1" applyAlignment="1">
      <alignment horizontal="center"/>
    </xf>
    <xf numFmtId="169" fontId="0" fillId="28" borderId="0" xfId="0" applyNumberFormat="1" applyFill="1" applyAlignment="1">
      <alignment horizontal="center"/>
    </xf>
    <xf numFmtId="169" fontId="0" fillId="29" borderId="0" xfId="0" applyNumberFormat="1" applyFill="1" applyAlignment="1">
      <alignment horizontal="center"/>
    </xf>
    <xf numFmtId="0" fontId="2" fillId="0" borderId="0" xfId="0" applyFont="1" applyFill="1" applyAlignment="1">
      <alignment horizontal="center"/>
    </xf>
    <xf numFmtId="171" fontId="2" fillId="0" borderId="0" xfId="2" applyNumberFormat="1" applyFont="1" applyAlignment="1">
      <alignment horizontal="center"/>
    </xf>
    <xf numFmtId="167" fontId="2" fillId="29" borderId="0" xfId="1" applyNumberFormat="1" applyFont="1" applyFill="1" applyAlignment="1">
      <alignment horizontal="center"/>
    </xf>
    <xf numFmtId="167" fontId="2" fillId="28" borderId="0" xfId="1" applyNumberFormat="1" applyFont="1" applyFill="1" applyAlignment="1">
      <alignment horizontal="center"/>
    </xf>
    <xf numFmtId="167" fontId="2" fillId="0" borderId="0" xfId="1" applyNumberFormat="1" applyFont="1" applyAlignment="1">
      <alignment horizontal="center"/>
    </xf>
    <xf numFmtId="167" fontId="2" fillId="0" borderId="0" xfId="1" applyNumberFormat="1" applyFont="1" applyFill="1" applyAlignment="1">
      <alignment horizontal="center"/>
    </xf>
    <xf numFmtId="167" fontId="0" fillId="0" borderId="0" xfId="1" applyNumberFormat="1" applyFont="1" applyFill="1" applyBorder="1" applyAlignment="1">
      <alignment horizontal="center"/>
    </xf>
    <xf numFmtId="167" fontId="19" fillId="14" borderId="0" xfId="1" quotePrefix="1" applyNumberFormat="1" applyFont="1" applyFill="1" applyAlignment="1">
      <alignment horizontal="right"/>
    </xf>
    <xf numFmtId="169" fontId="2" fillId="25" borderId="0" xfId="0" quotePrefix="1" applyNumberFormat="1" applyFont="1" applyFill="1" applyAlignment="1">
      <alignment horizontal="right"/>
    </xf>
    <xf numFmtId="0" fontId="23" fillId="4" borderId="1" xfId="0" applyFont="1" applyFill="1" applyBorder="1" applyAlignment="1">
      <alignment horizontal="right"/>
    </xf>
    <xf numFmtId="0" fontId="23" fillId="4" borderId="1" xfId="0" applyFont="1" applyFill="1" applyBorder="1" applyAlignment="1">
      <alignment horizontal="left" indent="2"/>
    </xf>
    <xf numFmtId="167" fontId="23" fillId="4" borderId="0" xfId="1" quotePrefix="1" applyNumberFormat="1" applyFont="1" applyFill="1"/>
    <xf numFmtId="0" fontId="23" fillId="4" borderId="0" xfId="0" quotePrefix="1" applyFont="1" applyFill="1"/>
    <xf numFmtId="0" fontId="23" fillId="4" borderId="0" xfId="0" quotePrefix="1" applyFont="1" applyFill="1" applyAlignment="1">
      <alignment horizontal="center"/>
    </xf>
    <xf numFmtId="167" fontId="23" fillId="4" borderId="0" xfId="1" applyNumberFormat="1" applyFont="1" applyFill="1"/>
    <xf numFmtId="0" fontId="23" fillId="4" borderId="0" xfId="0" applyFont="1" applyFill="1"/>
    <xf numFmtId="0" fontId="23" fillId="4" borderId="0" xfId="0" applyFont="1" applyFill="1" applyAlignment="1">
      <alignment horizontal="center"/>
    </xf>
    <xf numFmtId="0" fontId="19" fillId="4" borderId="0" xfId="0" applyFont="1" applyFill="1"/>
    <xf numFmtId="167" fontId="0" fillId="0" borderId="0" xfId="1" quotePrefix="1" applyNumberFormat="1" applyFont="1" applyFill="1" applyAlignment="1">
      <alignment horizontal="center"/>
    </xf>
    <xf numFmtId="0" fontId="0" fillId="30" borderId="0" xfId="0" applyFill="1"/>
    <xf numFmtId="0" fontId="0" fillId="30" borderId="0" xfId="0" applyFill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right"/>
    </xf>
    <xf numFmtId="0" fontId="2" fillId="0" borderId="14" xfId="0" applyFont="1" applyBorder="1" applyAlignment="1">
      <alignment horizontal="right"/>
    </xf>
    <xf numFmtId="0" fontId="2" fillId="0" borderId="15" xfId="0" applyFont="1" applyBorder="1" applyAlignment="1">
      <alignment horizontal="right"/>
    </xf>
    <xf numFmtId="0" fontId="2" fillId="0" borderId="16" xfId="0" applyFont="1" applyBorder="1"/>
    <xf numFmtId="0" fontId="0" fillId="0" borderId="3" xfId="0" applyBorder="1" applyAlignment="1"/>
    <xf numFmtId="0" fontId="0" fillId="0" borderId="17" xfId="0" applyBorder="1" applyAlignment="1"/>
    <xf numFmtId="0" fontId="2" fillId="0" borderId="18" xfId="0" applyFont="1" applyBorder="1"/>
    <xf numFmtId="0" fontId="2" fillId="0" borderId="19" xfId="0" applyFont="1" applyBorder="1"/>
    <xf numFmtId="0" fontId="0" fillId="0" borderId="7" xfId="0" applyBorder="1" applyAlignment="1"/>
    <xf numFmtId="0" fontId="0" fillId="0" borderId="8" xfId="0" applyBorder="1" applyAlignment="1"/>
    <xf numFmtId="0" fontId="0" fillId="0" borderId="7" xfId="0" applyBorder="1"/>
    <xf numFmtId="0" fontId="0" fillId="0" borderId="8" xfId="0" applyBorder="1"/>
    <xf numFmtId="0" fontId="2" fillId="0" borderId="20" xfId="0" applyFont="1" applyBorder="1"/>
    <xf numFmtId="0" fontId="0" fillId="0" borderId="21" xfId="0" applyBorder="1" applyAlignment="1"/>
    <xf numFmtId="0" fontId="0" fillId="0" borderId="22" xfId="0" applyBorder="1" applyAlignment="1"/>
    <xf numFmtId="0" fontId="2" fillId="0" borderId="23" xfId="0" applyFont="1" applyBorder="1"/>
    <xf numFmtId="0" fontId="2" fillId="0" borderId="24" xfId="0" applyFont="1" applyBorder="1"/>
    <xf numFmtId="0" fontId="2" fillId="0" borderId="25" xfId="0" applyFont="1" applyBorder="1"/>
    <xf numFmtId="0" fontId="2" fillId="0" borderId="26" xfId="0" applyFont="1" applyBorder="1"/>
    <xf numFmtId="0" fontId="2" fillId="0" borderId="27" xfId="0" applyFont="1" applyFill="1" applyBorder="1"/>
    <xf numFmtId="0" fontId="26" fillId="31" borderId="0" xfId="0" applyFont="1" applyFill="1"/>
    <xf numFmtId="0" fontId="2" fillId="0" borderId="0" xfId="0" applyFont="1" applyFill="1" applyBorder="1"/>
    <xf numFmtId="0" fontId="2" fillId="0" borderId="29" xfId="0" applyFont="1" applyFill="1" applyBorder="1"/>
    <xf numFmtId="0" fontId="2" fillId="0" borderId="30" xfId="0" applyFont="1" applyBorder="1"/>
    <xf numFmtId="0" fontId="2" fillId="0" borderId="30" xfId="0" applyFont="1" applyBorder="1" applyAlignment="1">
      <alignment horizontal="right"/>
    </xf>
    <xf numFmtId="0" fontId="2" fillId="0" borderId="28" xfId="0" applyFont="1" applyBorder="1"/>
    <xf numFmtId="9" fontId="2" fillId="0" borderId="30" xfId="1" applyFont="1" applyBorder="1"/>
    <xf numFmtId="0" fontId="0" fillId="0" borderId="31" xfId="0" applyBorder="1"/>
    <xf numFmtId="0" fontId="2" fillId="0" borderId="32" xfId="0" applyFont="1" applyBorder="1"/>
    <xf numFmtId="0" fontId="2" fillId="0" borderId="33" xfId="0" applyFont="1" applyBorder="1"/>
    <xf numFmtId="0" fontId="0" fillId="0" borderId="34" xfId="0" applyBorder="1"/>
    <xf numFmtId="0" fontId="0" fillId="0" borderId="9" xfId="0" applyBorder="1"/>
    <xf numFmtId="0" fontId="0" fillId="0" borderId="35" xfId="0" applyBorder="1"/>
    <xf numFmtId="0" fontId="0" fillId="0" borderId="36" xfId="0" applyBorder="1"/>
    <xf numFmtId="0" fontId="2" fillId="0" borderId="35" xfId="0" applyFont="1" applyBorder="1"/>
    <xf numFmtId="0" fontId="2" fillId="0" borderId="26" xfId="0" applyFont="1" applyBorder="1" applyAlignment="1">
      <alignment horizontal="right"/>
    </xf>
    <xf numFmtId="0" fontId="2" fillId="0" borderId="39" xfId="0" applyFont="1" applyBorder="1" applyAlignment="1">
      <alignment horizontal="right"/>
    </xf>
    <xf numFmtId="9" fontId="2" fillId="32" borderId="30" xfId="1" applyFont="1" applyFill="1" applyBorder="1"/>
    <xf numFmtId="9" fontId="2" fillId="28" borderId="30" xfId="1" applyFont="1" applyFill="1" applyBorder="1"/>
    <xf numFmtId="9" fontId="2" fillId="33" borderId="30" xfId="1" applyFont="1" applyFill="1" applyBorder="1"/>
    <xf numFmtId="9" fontId="2" fillId="32" borderId="37" xfId="1" applyFont="1" applyFill="1" applyBorder="1"/>
    <xf numFmtId="44" fontId="0" fillId="2" borderId="0" xfId="0" applyNumberFormat="1" applyFill="1" applyAlignment="1">
      <alignment horizontal="center" vertical="center"/>
    </xf>
    <xf numFmtId="44" fontId="0" fillId="0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44" fontId="19" fillId="0" borderId="0" xfId="1" applyNumberFormat="1" applyFont="1" applyFill="1" applyAlignment="1">
      <alignment horizontal="center" vertical="center"/>
    </xf>
    <xf numFmtId="169" fontId="2" fillId="0" borderId="0" xfId="0" applyNumberFormat="1" applyFont="1" applyFill="1" applyBorder="1" applyAlignment="1">
      <alignment horizontal="center"/>
    </xf>
    <xf numFmtId="0" fontId="0" fillId="0" borderId="0" xfId="0" quotePrefix="1" applyFill="1" applyAlignment="1">
      <alignment horizontal="center"/>
    </xf>
    <xf numFmtId="167" fontId="2" fillId="0" borderId="0" xfId="0" applyNumberFormat="1" applyFont="1" applyFill="1" applyBorder="1" applyAlignment="1">
      <alignment horizontal="center"/>
    </xf>
    <xf numFmtId="0" fontId="2" fillId="0" borderId="0" xfId="0" applyFont="1" applyFill="1"/>
    <xf numFmtId="167" fontId="2" fillId="0" borderId="0" xfId="1" applyNumberFormat="1" applyFont="1" applyFill="1" applyBorder="1" applyAlignment="1">
      <alignment horizontal="center"/>
    </xf>
    <xf numFmtId="167" fontId="23" fillId="34" borderId="0" xfId="1" applyNumberFormat="1" applyFont="1" applyFill="1"/>
    <xf numFmtId="0" fontId="0" fillId="25" borderId="1" xfId="0" applyFill="1" applyBorder="1" applyAlignment="1">
      <alignment horizontal="right"/>
    </xf>
    <xf numFmtId="0" fontId="0" fillId="25" borderId="1" xfId="0" applyFill="1" applyBorder="1" applyAlignment="1">
      <alignment horizontal="center"/>
    </xf>
    <xf numFmtId="0" fontId="0" fillId="25" borderId="1" xfId="0" applyFill="1" applyBorder="1"/>
    <xf numFmtId="0" fontId="5" fillId="25" borderId="1" xfId="0" quotePrefix="1" applyFont="1" applyFill="1" applyBorder="1" applyAlignment="1">
      <alignment horizontal="right"/>
    </xf>
    <xf numFmtId="0" fontId="23" fillId="34" borderId="1" xfId="0" quotePrefix="1" applyFont="1" applyFill="1" applyBorder="1" applyAlignment="1">
      <alignment horizontal="right"/>
    </xf>
    <xf numFmtId="0" fontId="0" fillId="0" borderId="1" xfId="0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2" fillId="0" borderId="0" xfId="0" quotePrefix="1" applyFont="1" applyAlignment="1">
      <alignment horizontal="right" wrapText="1"/>
    </xf>
    <xf numFmtId="0" fontId="3" fillId="35" borderId="0" xfId="0" applyFont="1" applyFill="1"/>
    <xf numFmtId="0" fontId="0" fillId="35" borderId="0" xfId="0" applyFill="1"/>
    <xf numFmtId="0" fontId="2" fillId="35" borderId="0" xfId="0" applyFont="1" applyFill="1" applyAlignment="1">
      <alignment horizontal="right"/>
    </xf>
    <xf numFmtId="0" fontId="0" fillId="35" borderId="0" xfId="0" quotePrefix="1" applyFill="1" applyAlignment="1">
      <alignment horizontal="center"/>
    </xf>
    <xf numFmtId="0" fontId="2" fillId="35" borderId="0" xfId="0" applyFont="1" applyFill="1" applyAlignment="1">
      <alignment horizontal="left"/>
    </xf>
    <xf numFmtId="0" fontId="27" fillId="0" borderId="0" xfId="0" applyFont="1" applyAlignment="1">
      <alignment horizontal="left"/>
    </xf>
    <xf numFmtId="2" fontId="0" fillId="18" borderId="0" xfId="0" applyNumberFormat="1" applyFill="1"/>
    <xf numFmtId="0" fontId="0" fillId="0" borderId="8" xfId="0" applyBorder="1" applyAlignment="1">
      <alignment horizontal="right"/>
    </xf>
    <xf numFmtId="2" fontId="0" fillId="0" borderId="10" xfId="0" applyNumberFormat="1" applyBorder="1"/>
    <xf numFmtId="0" fontId="27" fillId="0" borderId="1" xfId="0" applyFont="1" applyBorder="1" applyAlignment="1">
      <alignment horizontal="left"/>
    </xf>
    <xf numFmtId="10" fontId="5" fillId="0" borderId="1" xfId="1" applyNumberFormat="1" applyFont="1" applyFill="1" applyBorder="1"/>
    <xf numFmtId="10" fontId="5" fillId="0" borderId="1" xfId="0" applyNumberFormat="1" applyFont="1" applyFill="1" applyBorder="1"/>
    <xf numFmtId="0" fontId="28" fillId="0" borderId="0" xfId="0" applyFont="1" applyAlignment="1">
      <alignment horizontal="left"/>
    </xf>
    <xf numFmtId="0" fontId="11" fillId="0" borderId="0" xfId="0" applyFont="1" applyFill="1"/>
    <xf numFmtId="0" fontId="5" fillId="5" borderId="0" xfId="0" applyFont="1" applyFill="1"/>
    <xf numFmtId="0" fontId="11" fillId="5" borderId="0" xfId="0" applyFont="1" applyFill="1"/>
    <xf numFmtId="164" fontId="11" fillId="5" borderId="0" xfId="0" applyNumberFormat="1" applyFont="1" applyFill="1"/>
    <xf numFmtId="10" fontId="11" fillId="5" borderId="0" xfId="1" applyNumberFormat="1" applyFont="1" applyFill="1"/>
    <xf numFmtId="169" fontId="11" fillId="5" borderId="0" xfId="0" applyNumberFormat="1" applyFont="1" applyFill="1"/>
    <xf numFmtId="9" fontId="11" fillId="5" borderId="0" xfId="1" applyFont="1" applyFill="1" applyAlignment="1">
      <alignment horizontal="center"/>
    </xf>
    <xf numFmtId="167" fontId="11" fillId="22" borderId="0" xfId="1" applyNumberFormat="1" applyFont="1" applyFill="1"/>
    <xf numFmtId="0" fontId="5" fillId="0" borderId="0" xfId="0" applyFont="1" applyAlignment="1">
      <alignment horizontal="right"/>
    </xf>
    <xf numFmtId="0" fontId="0" fillId="0" borderId="0" xfId="0" applyBorder="1" applyAlignment="1">
      <alignment horizontal="right"/>
    </xf>
    <xf numFmtId="2" fontId="0" fillId="0" borderId="0" xfId="0" applyNumberFormat="1" applyBorder="1"/>
    <xf numFmtId="0" fontId="27" fillId="0" borderId="0" xfId="0" applyFont="1" applyBorder="1" applyAlignment="1">
      <alignment horizontal="left"/>
    </xf>
    <xf numFmtId="0" fontId="6" fillId="0" borderId="0" xfId="0" applyFont="1" applyFill="1" applyBorder="1"/>
    <xf numFmtId="15" fontId="5" fillId="0" borderId="0" xfId="0" applyNumberFormat="1" applyFont="1" applyFill="1" applyBorder="1"/>
    <xf numFmtId="164" fontId="5" fillId="0" borderId="0" xfId="0" applyNumberFormat="1" applyFont="1" applyFill="1" applyBorder="1" applyAlignment="1">
      <alignment horizontal="left" indent="1"/>
    </xf>
    <xf numFmtId="10" fontId="5" fillId="0" borderId="0" xfId="1" applyNumberFormat="1" applyFont="1" applyFill="1" applyBorder="1"/>
    <xf numFmtId="164" fontId="5" fillId="0" borderId="0" xfId="0" applyNumberFormat="1" applyFont="1" applyFill="1" applyBorder="1"/>
    <xf numFmtId="10" fontId="5" fillId="0" borderId="0" xfId="0" applyNumberFormat="1" applyFont="1" applyFill="1" applyBorder="1"/>
    <xf numFmtId="0" fontId="0" fillId="0" borderId="0" xfId="0" applyBorder="1" applyAlignment="1">
      <alignment horizontal="center"/>
    </xf>
    <xf numFmtId="0" fontId="5" fillId="0" borderId="0" xfId="0" applyFont="1" applyBorder="1"/>
    <xf numFmtId="0" fontId="5" fillId="0" borderId="0" xfId="0" applyFont="1" applyBorder="1" applyAlignment="1">
      <alignment horizontal="center"/>
    </xf>
    <xf numFmtId="0" fontId="0" fillId="0" borderId="17" xfId="0" applyBorder="1" applyAlignment="1">
      <alignment horizontal="right"/>
    </xf>
    <xf numFmtId="2" fontId="0" fillId="0" borderId="6" xfId="0" applyNumberFormat="1" applyBorder="1"/>
    <xf numFmtId="0" fontId="29" fillId="0" borderId="0" xfId="0" applyFont="1"/>
    <xf numFmtId="0" fontId="29" fillId="0" borderId="0" xfId="0" applyFont="1" applyAlignment="1">
      <alignment horizontal="center"/>
    </xf>
    <xf numFmtId="0" fontId="29" fillId="24" borderId="0" xfId="0" applyFont="1" applyFill="1" applyAlignment="1">
      <alignment horizontal="center"/>
    </xf>
    <xf numFmtId="0" fontId="5" fillId="29" borderId="0" xfId="0" applyFont="1" applyFill="1"/>
    <xf numFmtId="0" fontId="5" fillId="28" borderId="0" xfId="0" applyFont="1" applyFill="1"/>
    <xf numFmtId="0" fontId="5" fillId="19" borderId="0" xfId="0" applyFont="1" applyFill="1"/>
    <xf numFmtId="0" fontId="5" fillId="16" borderId="0" xfId="0" applyFont="1" applyFill="1"/>
    <xf numFmtId="0" fontId="19" fillId="4" borderId="0" xfId="0" quotePrefix="1" applyFont="1" applyFill="1" applyAlignment="1">
      <alignment horizontal="center" wrapText="1"/>
    </xf>
    <xf numFmtId="0" fontId="16" fillId="9" borderId="38" xfId="0" applyFont="1" applyFill="1" applyBorder="1" applyAlignment="1">
      <alignment horizontal="center" wrapText="1"/>
    </xf>
    <xf numFmtId="0" fontId="16" fillId="9" borderId="11" xfId="0" applyFont="1" applyFill="1" applyBorder="1" applyAlignment="1">
      <alignment horizontal="center" wrapText="1"/>
    </xf>
    <xf numFmtId="0" fontId="16" fillId="9" borderId="4" xfId="0" applyFont="1" applyFill="1" applyBorder="1" applyAlignment="1">
      <alignment horizontal="center" wrapText="1"/>
    </xf>
    <xf numFmtId="0" fontId="25" fillId="24" borderId="0" xfId="0" applyFont="1" applyFill="1" applyAlignment="1">
      <alignment horizontal="center" vertical="center" wrapText="1"/>
    </xf>
    <xf numFmtId="0" fontId="2" fillId="18" borderId="0" xfId="0" quotePrefix="1" applyFont="1" applyFill="1" applyAlignment="1">
      <alignment horizontal="center" wrapText="1"/>
    </xf>
    <xf numFmtId="0" fontId="2" fillId="9" borderId="0" xfId="0" quotePrefix="1" applyFont="1" applyFill="1" applyAlignment="1">
      <alignment horizontal="center" wrapText="1"/>
    </xf>
    <xf numFmtId="0" fontId="19" fillId="17" borderId="1" xfId="0" applyFont="1" applyFill="1" applyBorder="1" applyAlignment="1">
      <alignment horizontal="center"/>
    </xf>
    <xf numFmtId="0" fontId="2" fillId="0" borderId="0" xfId="0" applyFont="1" applyAlignment="1">
      <alignment horizontal="center" wrapText="1"/>
    </xf>
    <xf numFmtId="0" fontId="2" fillId="9" borderId="0" xfId="0" applyFont="1" applyFill="1" applyAlignment="1">
      <alignment horizontal="center" wrapText="1"/>
    </xf>
    <xf numFmtId="0" fontId="19" fillId="17" borderId="0" xfId="0" applyFont="1" applyFill="1" applyAlignment="1">
      <alignment horizontal="center"/>
    </xf>
    <xf numFmtId="164" fontId="0" fillId="0" borderId="0" xfId="0" applyNumberFormat="1" applyAlignment="1">
      <alignment wrapText="1"/>
    </xf>
    <xf numFmtId="0" fontId="0" fillId="0" borderId="0" xfId="0" applyAlignment="1">
      <alignment wrapText="1"/>
    </xf>
    <xf numFmtId="0" fontId="30" fillId="2" borderId="1" xfId="0" applyFont="1" applyFill="1" applyBorder="1" applyAlignment="1">
      <alignment horizontal="center"/>
    </xf>
    <xf numFmtId="0" fontId="5" fillId="2" borderId="0" xfId="0" applyFont="1" applyFill="1" applyAlignment="1">
      <alignment horizontal="center"/>
    </xf>
    <xf numFmtId="0" fontId="30" fillId="2" borderId="1" xfId="0" applyFont="1" applyFill="1" applyBorder="1" applyAlignment="1">
      <alignment horizontal="right"/>
    </xf>
    <xf numFmtId="164" fontId="5" fillId="2" borderId="0" xfId="0" applyNumberFormat="1" applyFont="1" applyFill="1"/>
  </cellXfs>
  <cellStyles count="4">
    <cellStyle name="Comma" xfId="3" builtinId="3"/>
    <cellStyle name="Currency" xfId="2" builtinId="4"/>
    <cellStyle name="Normal" xfId="0" builtinId="0"/>
    <cellStyle name="Percent" xfId="1" builtinId="5"/>
  </cellStyles>
  <dxfs count="7546"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39994506668294322"/>
        </patternFill>
      </fill>
    </dxf>
    <dxf>
      <font>
        <b/>
        <i/>
        <color theme="1"/>
      </font>
      <fill>
        <patternFill>
          <bgColor rgb="FF7DFFB8"/>
        </patternFill>
      </fill>
    </dxf>
    <dxf>
      <font>
        <b/>
        <i/>
        <color theme="1"/>
      </font>
      <fill>
        <patternFill>
          <bgColor rgb="FFFF9797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39994506668294322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1"/>
      </font>
      <fill>
        <patternFill>
          <bgColor rgb="FF7DFFB8"/>
        </patternFill>
      </fill>
    </dxf>
    <dxf>
      <font>
        <b/>
        <i/>
        <color theme="1"/>
      </font>
      <fill>
        <patternFill>
          <bgColor rgb="FFFF9797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39994506668294322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1"/>
      </font>
      <fill>
        <patternFill>
          <bgColor rgb="FF7DFFB8"/>
        </patternFill>
      </fill>
    </dxf>
    <dxf>
      <font>
        <b/>
        <i/>
        <color theme="1"/>
      </font>
      <fill>
        <patternFill>
          <bgColor rgb="FFFF9797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39994506668294322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1"/>
      </font>
      <fill>
        <patternFill>
          <bgColor rgb="FF7DFFB8"/>
        </patternFill>
      </fill>
    </dxf>
    <dxf>
      <font>
        <b/>
        <i/>
        <color theme="1"/>
      </font>
      <fill>
        <patternFill>
          <bgColor rgb="FFFF9797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39994506668294322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1"/>
      </font>
      <fill>
        <patternFill>
          <bgColor rgb="FF7DFFB8"/>
        </patternFill>
      </fill>
    </dxf>
    <dxf>
      <font>
        <b/>
        <i/>
        <color theme="1"/>
      </font>
      <fill>
        <patternFill>
          <bgColor rgb="FFFF9797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39994506668294322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1"/>
      </font>
      <fill>
        <patternFill>
          <bgColor rgb="FF7DFFB8"/>
        </patternFill>
      </fill>
    </dxf>
    <dxf>
      <font>
        <b/>
        <i/>
        <color theme="1"/>
      </font>
      <fill>
        <patternFill>
          <bgColor rgb="FFFF9797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39994506668294322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1"/>
      </font>
      <fill>
        <patternFill>
          <bgColor rgb="FF7DFFB8"/>
        </patternFill>
      </fill>
    </dxf>
    <dxf>
      <font>
        <b/>
        <i/>
        <color theme="1"/>
      </font>
      <fill>
        <patternFill>
          <bgColor rgb="FFFF9797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39994506668294322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1"/>
      </font>
      <fill>
        <patternFill>
          <bgColor rgb="FF7DFFB8"/>
        </patternFill>
      </fill>
    </dxf>
    <dxf>
      <font>
        <b/>
        <i/>
        <color theme="1"/>
      </font>
      <fill>
        <patternFill>
          <bgColor rgb="FFFF9797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39994506668294322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1"/>
      </font>
      <fill>
        <patternFill>
          <bgColor rgb="FF7DFFB8"/>
        </patternFill>
      </fill>
    </dxf>
    <dxf>
      <font>
        <b/>
        <i/>
        <color theme="1"/>
      </font>
      <fill>
        <patternFill>
          <bgColor rgb="FFFF9797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39994506668294322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1"/>
      </font>
      <fill>
        <patternFill>
          <bgColor rgb="FF7DFFB8"/>
        </patternFill>
      </fill>
    </dxf>
    <dxf>
      <font>
        <b/>
        <i/>
        <color theme="1"/>
      </font>
      <fill>
        <patternFill>
          <bgColor rgb="FFFF9797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39994506668294322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1"/>
      </font>
      <fill>
        <patternFill>
          <bgColor rgb="FF7DFFB8"/>
        </patternFill>
      </fill>
    </dxf>
    <dxf>
      <font>
        <b/>
        <i/>
        <color theme="1"/>
      </font>
      <fill>
        <patternFill>
          <bgColor rgb="FFFF9797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39994506668294322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1"/>
      </font>
      <fill>
        <patternFill>
          <bgColor rgb="FF7DFFB8"/>
        </patternFill>
      </fill>
    </dxf>
    <dxf>
      <font>
        <b/>
        <i/>
        <color theme="1"/>
      </font>
      <fill>
        <patternFill>
          <bgColor rgb="FFFF9797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39994506668294322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1"/>
      </font>
      <fill>
        <patternFill>
          <bgColor rgb="FF7DFFB8"/>
        </patternFill>
      </fill>
    </dxf>
    <dxf>
      <font>
        <b/>
        <i/>
        <color theme="1"/>
      </font>
      <fill>
        <patternFill>
          <bgColor rgb="FFFF9797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39994506668294322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1"/>
      </font>
      <fill>
        <patternFill>
          <bgColor rgb="FF7DFFB8"/>
        </patternFill>
      </fill>
    </dxf>
    <dxf>
      <font>
        <b/>
        <i/>
        <color theme="1"/>
      </font>
      <fill>
        <patternFill>
          <bgColor rgb="FFFF9797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39994506668294322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1"/>
      </font>
      <fill>
        <patternFill>
          <bgColor rgb="FF7DFFB8"/>
        </patternFill>
      </fill>
    </dxf>
    <dxf>
      <font>
        <b/>
        <i/>
        <color theme="1"/>
      </font>
      <fill>
        <patternFill>
          <bgColor rgb="FFFF9797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39994506668294322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1"/>
      </font>
      <fill>
        <patternFill>
          <bgColor rgb="FF7DFFB8"/>
        </patternFill>
      </fill>
    </dxf>
    <dxf>
      <font>
        <b/>
        <i/>
        <color theme="1"/>
      </font>
      <fill>
        <patternFill>
          <bgColor rgb="FFFF9797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39994506668294322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1"/>
      </font>
      <fill>
        <patternFill>
          <bgColor rgb="FF7DFFB8"/>
        </patternFill>
      </fill>
    </dxf>
    <dxf>
      <font>
        <b/>
        <i/>
        <color theme="1"/>
      </font>
      <fill>
        <patternFill>
          <bgColor rgb="FFFF9797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39994506668294322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1"/>
      </font>
      <fill>
        <patternFill>
          <bgColor rgb="FF7DFFB8"/>
        </patternFill>
      </fill>
    </dxf>
    <dxf>
      <font>
        <b/>
        <i/>
        <color theme="1"/>
      </font>
      <fill>
        <patternFill>
          <bgColor rgb="FFFF9797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39994506668294322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1"/>
      </font>
      <fill>
        <patternFill>
          <bgColor rgb="FF7DFFB8"/>
        </patternFill>
      </fill>
    </dxf>
    <dxf>
      <font>
        <b/>
        <i/>
        <color theme="1"/>
      </font>
      <fill>
        <patternFill>
          <bgColor rgb="FFFF9797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39994506668294322"/>
        </patternFill>
      </fill>
    </dxf>
    <dxf>
      <font>
        <b/>
        <i/>
        <color theme="1"/>
      </font>
      <fill>
        <patternFill>
          <bgColor rgb="FF7DFFB8"/>
        </patternFill>
      </fill>
    </dxf>
    <dxf>
      <font>
        <b/>
        <i/>
        <color theme="1"/>
      </font>
      <fill>
        <patternFill>
          <bgColor rgb="FFFF9797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39994506668294322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1"/>
      </font>
      <fill>
        <patternFill>
          <bgColor rgb="FF7DFFB8"/>
        </patternFill>
      </fill>
    </dxf>
    <dxf>
      <font>
        <b/>
        <i/>
        <color theme="1"/>
      </font>
      <fill>
        <patternFill>
          <bgColor rgb="FFFF9797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39994506668294322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1"/>
      </font>
      <fill>
        <patternFill>
          <bgColor rgb="FF7DFFB8"/>
        </patternFill>
      </fill>
    </dxf>
    <dxf>
      <font>
        <b/>
        <i/>
        <color theme="1"/>
      </font>
      <fill>
        <patternFill>
          <bgColor rgb="FFFF9797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39994506668294322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1"/>
      </font>
      <fill>
        <patternFill>
          <bgColor rgb="FF7DFFB8"/>
        </patternFill>
      </fill>
    </dxf>
    <dxf>
      <font>
        <b/>
        <i/>
        <color theme="1"/>
      </font>
      <fill>
        <patternFill>
          <bgColor rgb="FFFF9797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39994506668294322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1"/>
      </font>
      <fill>
        <patternFill>
          <bgColor rgb="FF7DFFB8"/>
        </patternFill>
      </fill>
    </dxf>
    <dxf>
      <font>
        <b/>
        <i/>
        <color theme="1"/>
      </font>
      <fill>
        <patternFill>
          <bgColor rgb="FFFF9797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39994506668294322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1"/>
      </font>
      <fill>
        <patternFill>
          <bgColor rgb="FF7DFFB8"/>
        </patternFill>
      </fill>
    </dxf>
    <dxf>
      <font>
        <b/>
        <i/>
        <color theme="1"/>
      </font>
      <fill>
        <patternFill>
          <bgColor rgb="FFFF9797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39994506668294322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1"/>
      </font>
      <fill>
        <patternFill>
          <bgColor rgb="FF7DFFB8"/>
        </patternFill>
      </fill>
    </dxf>
    <dxf>
      <font>
        <b/>
        <i/>
        <color theme="1"/>
      </font>
      <fill>
        <patternFill>
          <bgColor rgb="FFFF9797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39994506668294322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1"/>
      </font>
      <fill>
        <patternFill>
          <bgColor rgb="FF7DFFB8"/>
        </patternFill>
      </fill>
    </dxf>
    <dxf>
      <font>
        <b/>
        <i/>
        <color theme="1"/>
      </font>
      <fill>
        <patternFill>
          <bgColor rgb="FFFF9797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39994506668294322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1"/>
      </font>
      <fill>
        <patternFill>
          <bgColor rgb="FF7DFFB8"/>
        </patternFill>
      </fill>
    </dxf>
    <dxf>
      <font>
        <b/>
        <i/>
        <color theme="1"/>
      </font>
      <fill>
        <patternFill>
          <bgColor rgb="FFFF9797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39994506668294322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1"/>
      </font>
      <fill>
        <patternFill>
          <bgColor rgb="FF7DFFB8"/>
        </patternFill>
      </fill>
    </dxf>
    <dxf>
      <font>
        <b/>
        <i/>
        <color theme="1"/>
      </font>
      <fill>
        <patternFill>
          <bgColor rgb="FFFF9797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39994506668294322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1"/>
      </font>
      <fill>
        <patternFill>
          <bgColor rgb="FF7DFFB8"/>
        </patternFill>
      </fill>
    </dxf>
    <dxf>
      <font>
        <b/>
        <i/>
        <color theme="1"/>
      </font>
      <fill>
        <patternFill>
          <bgColor rgb="FFFF9797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39994506668294322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1"/>
      </font>
      <fill>
        <patternFill>
          <bgColor rgb="FF7DFFB8"/>
        </patternFill>
      </fill>
    </dxf>
    <dxf>
      <font>
        <b/>
        <i/>
        <color theme="1"/>
      </font>
      <fill>
        <patternFill>
          <bgColor rgb="FFFF9797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39994506668294322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1"/>
      </font>
      <fill>
        <patternFill>
          <bgColor rgb="FF7DFFB8"/>
        </patternFill>
      </fill>
    </dxf>
    <dxf>
      <font>
        <b/>
        <i/>
        <color theme="1"/>
      </font>
      <fill>
        <patternFill>
          <bgColor rgb="FFFF9797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39994506668294322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1"/>
      </font>
      <fill>
        <patternFill>
          <bgColor rgb="FF7DFFB8"/>
        </patternFill>
      </fill>
    </dxf>
    <dxf>
      <font>
        <b/>
        <i/>
        <color theme="1"/>
      </font>
      <fill>
        <patternFill>
          <bgColor rgb="FFFF9797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39994506668294322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1"/>
      </font>
      <fill>
        <patternFill>
          <bgColor rgb="FF7DFFB8"/>
        </patternFill>
      </fill>
    </dxf>
    <dxf>
      <font>
        <b/>
        <i/>
        <color theme="1"/>
      </font>
      <fill>
        <patternFill>
          <bgColor rgb="FFFF9797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1"/>
      </font>
      <fill>
        <patternFill>
          <bgColor rgb="FF7DFFB8"/>
        </patternFill>
      </fill>
    </dxf>
    <dxf>
      <font>
        <b/>
        <i/>
        <color theme="1"/>
      </font>
      <fill>
        <patternFill>
          <bgColor rgb="FFFF9797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39994506668294322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1"/>
      </font>
      <fill>
        <patternFill>
          <bgColor rgb="FF7DFFB8"/>
        </patternFill>
      </fill>
    </dxf>
    <dxf>
      <font>
        <b/>
        <i/>
        <color theme="1"/>
      </font>
      <fill>
        <patternFill>
          <bgColor rgb="FFFF9797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1"/>
      </font>
      <fill>
        <patternFill>
          <bgColor rgb="FF7DFFB8"/>
        </patternFill>
      </fill>
    </dxf>
    <dxf>
      <font>
        <b/>
        <i/>
        <color theme="1"/>
      </font>
      <fill>
        <patternFill>
          <bgColor rgb="FFFF9797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39994506668294322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1"/>
      </font>
      <fill>
        <patternFill>
          <bgColor rgb="FF7DFFB8"/>
        </patternFill>
      </fill>
    </dxf>
    <dxf>
      <font>
        <b/>
        <i/>
        <color theme="1"/>
      </font>
      <fill>
        <patternFill>
          <bgColor rgb="FFFF9797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39994506668294322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1"/>
      </font>
      <fill>
        <patternFill>
          <bgColor rgb="FF7DFFB8"/>
        </patternFill>
      </fill>
    </dxf>
    <dxf>
      <font>
        <b/>
        <i/>
        <color theme="1"/>
      </font>
      <fill>
        <patternFill>
          <bgColor rgb="FFFF9797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39994506668294322"/>
        </patternFill>
      </fill>
    </dxf>
    <dxf>
      <font>
        <b/>
        <i/>
        <color theme="1"/>
      </font>
      <fill>
        <patternFill>
          <bgColor rgb="FF7DFFB8"/>
        </patternFill>
      </fill>
    </dxf>
    <dxf>
      <font>
        <b/>
        <i/>
        <color theme="1"/>
      </font>
      <fill>
        <patternFill>
          <bgColor rgb="FFFF9797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39994506668294322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1"/>
      </font>
      <fill>
        <patternFill>
          <bgColor rgb="FF7DFFB8"/>
        </patternFill>
      </fill>
    </dxf>
    <dxf>
      <font>
        <b/>
        <i/>
        <color theme="1"/>
      </font>
      <fill>
        <patternFill>
          <bgColor rgb="FFFF9797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39994506668294322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1"/>
      </font>
      <fill>
        <patternFill>
          <bgColor rgb="FF7DFFB8"/>
        </patternFill>
      </fill>
    </dxf>
    <dxf>
      <font>
        <b/>
        <i/>
        <color theme="1"/>
      </font>
      <fill>
        <patternFill>
          <bgColor rgb="FFFF9797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39994506668294322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1"/>
      </font>
      <fill>
        <patternFill>
          <bgColor rgb="FF7DFFB8"/>
        </patternFill>
      </fill>
    </dxf>
    <dxf>
      <font>
        <b/>
        <i/>
        <color theme="1"/>
      </font>
      <fill>
        <patternFill>
          <bgColor rgb="FFFF9797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39994506668294322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1"/>
      </font>
      <fill>
        <patternFill>
          <bgColor rgb="FF7DFFB8"/>
        </patternFill>
      </fill>
    </dxf>
    <dxf>
      <font>
        <b/>
        <i/>
        <color theme="1"/>
      </font>
      <fill>
        <patternFill>
          <bgColor rgb="FFFF9797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39994506668294322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1"/>
      </font>
      <fill>
        <patternFill>
          <bgColor rgb="FF7DFFB8"/>
        </patternFill>
      </fill>
    </dxf>
    <dxf>
      <font>
        <b/>
        <i/>
        <color theme="1"/>
      </font>
      <fill>
        <patternFill>
          <bgColor rgb="FFFF9797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39994506668294322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1"/>
      </font>
      <fill>
        <patternFill>
          <bgColor rgb="FF7DFFB8"/>
        </patternFill>
      </fill>
    </dxf>
    <dxf>
      <font>
        <b/>
        <i/>
        <color theme="1"/>
      </font>
      <fill>
        <patternFill>
          <bgColor rgb="FFFF9797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39994506668294322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1"/>
      </font>
      <fill>
        <patternFill>
          <bgColor rgb="FF7DFFB8"/>
        </patternFill>
      </fill>
    </dxf>
    <dxf>
      <font>
        <b/>
        <i/>
        <color theme="1"/>
      </font>
      <fill>
        <patternFill>
          <bgColor rgb="FFFF9797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39994506668294322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1"/>
      </font>
      <fill>
        <patternFill>
          <bgColor rgb="FF7DFFB8"/>
        </patternFill>
      </fill>
    </dxf>
    <dxf>
      <font>
        <b/>
        <i/>
        <color theme="1"/>
      </font>
      <fill>
        <patternFill>
          <bgColor rgb="FFFF9797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39994506668294322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1"/>
      </font>
      <fill>
        <patternFill>
          <bgColor rgb="FF7DFFB8"/>
        </patternFill>
      </fill>
    </dxf>
    <dxf>
      <font>
        <b/>
        <i/>
        <color theme="1"/>
      </font>
      <fill>
        <patternFill>
          <bgColor rgb="FFFF9797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39994506668294322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1"/>
      </font>
      <fill>
        <patternFill>
          <bgColor rgb="FF7DFFB8"/>
        </patternFill>
      </fill>
    </dxf>
    <dxf>
      <font>
        <b/>
        <i/>
        <color theme="1"/>
      </font>
      <fill>
        <patternFill>
          <bgColor rgb="FFFF9797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39994506668294322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1"/>
      </font>
      <fill>
        <patternFill>
          <bgColor rgb="FF7DFFB8"/>
        </patternFill>
      </fill>
    </dxf>
    <dxf>
      <font>
        <b/>
        <i/>
        <color theme="1"/>
      </font>
      <fill>
        <patternFill>
          <bgColor rgb="FFFF9797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1"/>
      </font>
      <fill>
        <patternFill>
          <bgColor rgb="FF7DFFB8"/>
        </patternFill>
      </fill>
    </dxf>
    <dxf>
      <font>
        <b/>
        <i/>
        <color theme="1"/>
      </font>
      <fill>
        <patternFill>
          <bgColor rgb="FFFF9797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39994506668294322"/>
        </patternFill>
      </fill>
    </dxf>
    <dxf>
      <font>
        <b/>
        <i/>
        <color theme="1"/>
      </font>
      <fill>
        <patternFill>
          <bgColor rgb="FF7DFFB8"/>
        </patternFill>
      </fill>
    </dxf>
    <dxf>
      <font>
        <b/>
        <i/>
        <color theme="1"/>
      </font>
      <fill>
        <patternFill>
          <bgColor rgb="FFFF9797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39994506668294322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1"/>
      </font>
      <fill>
        <patternFill>
          <bgColor rgb="FF7DFFB8"/>
        </patternFill>
      </fill>
    </dxf>
    <dxf>
      <font>
        <b/>
        <i/>
        <color theme="1"/>
      </font>
      <fill>
        <patternFill>
          <bgColor rgb="FFFF9797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39994506668294322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1"/>
      </font>
      <fill>
        <patternFill>
          <bgColor rgb="FF7DFFB8"/>
        </patternFill>
      </fill>
    </dxf>
    <dxf>
      <font>
        <b/>
        <i/>
        <color theme="1"/>
      </font>
      <fill>
        <patternFill>
          <bgColor rgb="FFFF9797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39994506668294322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1"/>
      </font>
      <fill>
        <patternFill>
          <bgColor rgb="FF7DFFB8"/>
        </patternFill>
      </fill>
    </dxf>
    <dxf>
      <font>
        <b/>
        <i/>
        <color theme="1"/>
      </font>
      <fill>
        <patternFill>
          <bgColor rgb="FFFF9797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39994506668294322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1"/>
      </font>
      <fill>
        <patternFill>
          <bgColor rgb="FF7DFFB8"/>
        </patternFill>
      </fill>
    </dxf>
    <dxf>
      <font>
        <b/>
        <i/>
        <color theme="1"/>
      </font>
      <fill>
        <patternFill>
          <bgColor rgb="FFFF9797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39994506668294322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1"/>
      </font>
      <fill>
        <patternFill>
          <bgColor rgb="FF7DFFB8"/>
        </patternFill>
      </fill>
    </dxf>
    <dxf>
      <font>
        <b/>
        <i/>
        <color theme="1"/>
      </font>
      <fill>
        <patternFill>
          <bgColor rgb="FFFF9797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39994506668294322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1"/>
      </font>
      <fill>
        <patternFill>
          <bgColor rgb="FF7DFFB8"/>
        </patternFill>
      </fill>
    </dxf>
    <dxf>
      <font>
        <b/>
        <i/>
        <color theme="1"/>
      </font>
      <fill>
        <patternFill>
          <bgColor rgb="FFFF9797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39994506668294322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1"/>
      </font>
      <fill>
        <patternFill>
          <bgColor rgb="FF7DFFB8"/>
        </patternFill>
      </fill>
    </dxf>
    <dxf>
      <font>
        <b/>
        <i/>
        <color theme="1"/>
      </font>
      <fill>
        <patternFill>
          <bgColor rgb="FFFF9797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39994506668294322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1"/>
      </font>
      <fill>
        <patternFill>
          <bgColor rgb="FF7DFFB8"/>
        </patternFill>
      </fill>
    </dxf>
    <dxf>
      <font>
        <b/>
        <i/>
        <color theme="1"/>
      </font>
      <fill>
        <patternFill>
          <bgColor rgb="FFFF9797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39994506668294322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1"/>
      </font>
      <fill>
        <patternFill>
          <bgColor rgb="FF7DFFB8"/>
        </patternFill>
      </fill>
    </dxf>
    <dxf>
      <font>
        <b/>
        <i/>
        <color theme="1"/>
      </font>
      <fill>
        <patternFill>
          <bgColor rgb="FFFF9797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39994506668294322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1"/>
      </font>
      <fill>
        <patternFill>
          <bgColor rgb="FF7DFFB8"/>
        </patternFill>
      </fill>
    </dxf>
    <dxf>
      <font>
        <b/>
        <i/>
        <color theme="1"/>
      </font>
      <fill>
        <patternFill>
          <bgColor rgb="FFFF9797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39994506668294322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1"/>
      </font>
      <fill>
        <patternFill>
          <bgColor rgb="FF7DFFB8"/>
        </patternFill>
      </fill>
    </dxf>
    <dxf>
      <font>
        <b/>
        <i/>
        <color theme="1"/>
      </font>
      <fill>
        <patternFill>
          <bgColor rgb="FFFF9797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39994506668294322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1"/>
      </font>
      <fill>
        <patternFill>
          <bgColor rgb="FF7DFFB8"/>
        </patternFill>
      </fill>
    </dxf>
    <dxf>
      <font>
        <b/>
        <i/>
        <color theme="1"/>
      </font>
      <fill>
        <patternFill>
          <bgColor rgb="FFFF9797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39994506668294322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1"/>
      </font>
      <fill>
        <patternFill>
          <bgColor rgb="FF7DFFB8"/>
        </patternFill>
      </fill>
    </dxf>
    <dxf>
      <font>
        <b/>
        <i/>
        <color theme="1"/>
      </font>
      <fill>
        <patternFill>
          <bgColor rgb="FFFF9797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39994506668294322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1"/>
      </font>
      <fill>
        <patternFill>
          <bgColor rgb="FF7DFFB8"/>
        </patternFill>
      </fill>
    </dxf>
    <dxf>
      <font>
        <b/>
        <i/>
        <color theme="1"/>
      </font>
      <fill>
        <patternFill>
          <bgColor rgb="FFFF9797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39994506668294322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1"/>
      </font>
      <fill>
        <patternFill>
          <bgColor rgb="FF7DFFB8"/>
        </patternFill>
      </fill>
    </dxf>
    <dxf>
      <font>
        <b/>
        <i/>
        <color theme="1"/>
      </font>
      <fill>
        <patternFill>
          <bgColor rgb="FFFF9797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39994506668294322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1"/>
      </font>
      <fill>
        <patternFill>
          <bgColor rgb="FF7DFFB8"/>
        </patternFill>
      </fill>
    </dxf>
    <dxf>
      <font>
        <b/>
        <i/>
        <color theme="1"/>
      </font>
      <fill>
        <patternFill>
          <bgColor rgb="FFFF9797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39994506668294322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1"/>
      </font>
      <fill>
        <patternFill>
          <bgColor rgb="FF7DFFB8"/>
        </patternFill>
      </fill>
    </dxf>
    <dxf>
      <font>
        <b/>
        <i/>
        <color theme="1"/>
      </font>
      <fill>
        <patternFill>
          <bgColor rgb="FFFF9797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39994506668294322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1"/>
      </font>
      <fill>
        <patternFill>
          <bgColor rgb="FF7DFFB8"/>
        </patternFill>
      </fill>
    </dxf>
    <dxf>
      <font>
        <b/>
        <i/>
        <color theme="1"/>
      </font>
      <fill>
        <patternFill>
          <bgColor rgb="FFFF9797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39994506668294322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1"/>
      </font>
      <fill>
        <patternFill>
          <bgColor rgb="FF7DFFB8"/>
        </patternFill>
      </fill>
    </dxf>
    <dxf>
      <font>
        <b/>
        <i/>
        <color theme="1"/>
      </font>
      <fill>
        <patternFill>
          <bgColor rgb="FFFF9797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39994506668294322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1"/>
      </font>
      <fill>
        <patternFill>
          <bgColor rgb="FF7DFFB8"/>
        </patternFill>
      </fill>
    </dxf>
    <dxf>
      <font>
        <b/>
        <i/>
        <color theme="1"/>
      </font>
      <fill>
        <patternFill>
          <bgColor rgb="FFFF9797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39994506668294322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1"/>
      </font>
      <fill>
        <patternFill>
          <bgColor rgb="FF7DFFB8"/>
        </patternFill>
      </fill>
    </dxf>
    <dxf>
      <font>
        <b/>
        <i/>
        <color theme="1"/>
      </font>
      <fill>
        <patternFill>
          <bgColor rgb="FFFF9797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39994506668294322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1"/>
      </font>
      <fill>
        <patternFill>
          <bgColor rgb="FF7DFFB8"/>
        </patternFill>
      </fill>
    </dxf>
    <dxf>
      <font>
        <b/>
        <i/>
        <color theme="1"/>
      </font>
      <fill>
        <patternFill>
          <bgColor rgb="FFFF9797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39994506668294322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1"/>
      </font>
      <fill>
        <patternFill>
          <bgColor rgb="FF7DFFB8"/>
        </patternFill>
      </fill>
    </dxf>
    <dxf>
      <font>
        <b/>
        <i/>
        <color theme="1"/>
      </font>
      <fill>
        <patternFill>
          <bgColor rgb="FFFF9797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39994506668294322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1"/>
      </font>
      <fill>
        <patternFill>
          <bgColor rgb="FF7DFFB8"/>
        </patternFill>
      </fill>
    </dxf>
    <dxf>
      <font>
        <b/>
        <i/>
        <color theme="1"/>
      </font>
      <fill>
        <patternFill>
          <bgColor rgb="FFFF9797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39994506668294322"/>
        </patternFill>
      </fill>
    </dxf>
    <dxf>
      <font>
        <b/>
        <i/>
        <color theme="1"/>
      </font>
      <fill>
        <patternFill>
          <bgColor rgb="FF7DFFB8"/>
        </patternFill>
      </fill>
    </dxf>
    <dxf>
      <font>
        <b/>
        <i/>
        <color theme="1"/>
      </font>
      <fill>
        <patternFill>
          <bgColor rgb="FFFF9797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39994506668294322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1"/>
      </font>
      <fill>
        <patternFill>
          <bgColor rgb="FF7DFFB8"/>
        </patternFill>
      </fill>
    </dxf>
    <dxf>
      <font>
        <b/>
        <i/>
        <color theme="1"/>
      </font>
      <fill>
        <patternFill>
          <bgColor rgb="FFFF9797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39994506668294322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1"/>
      </font>
      <fill>
        <patternFill>
          <bgColor rgb="FF7DFFB8"/>
        </patternFill>
      </fill>
    </dxf>
    <dxf>
      <font>
        <b/>
        <i/>
        <color theme="1"/>
      </font>
      <fill>
        <patternFill>
          <bgColor rgb="FFFF9797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39994506668294322"/>
        </patternFill>
      </fill>
    </dxf>
    <dxf>
      <font>
        <b/>
        <i/>
        <color theme="1"/>
      </font>
      <fill>
        <patternFill>
          <bgColor rgb="FF7DFFB8"/>
        </patternFill>
      </fill>
    </dxf>
    <dxf>
      <font>
        <b/>
        <i/>
        <color theme="1"/>
      </font>
      <fill>
        <patternFill>
          <bgColor rgb="FFFF9797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39994506668294322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1"/>
      </font>
      <fill>
        <patternFill>
          <bgColor rgb="FF7DFFB8"/>
        </patternFill>
      </fill>
    </dxf>
    <dxf>
      <font>
        <b/>
        <i/>
        <color theme="1"/>
      </font>
      <fill>
        <patternFill>
          <bgColor rgb="FFFF9797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39994506668294322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1"/>
      </font>
      <fill>
        <patternFill>
          <bgColor rgb="FF7DFFB8"/>
        </patternFill>
      </fill>
    </dxf>
    <dxf>
      <font>
        <b/>
        <i/>
        <color theme="1"/>
      </font>
      <fill>
        <patternFill>
          <bgColor rgb="FFFF9797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39994506668294322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1"/>
      </font>
      <fill>
        <patternFill>
          <bgColor rgb="FF7DFFB8"/>
        </patternFill>
      </fill>
    </dxf>
    <dxf>
      <font>
        <b/>
        <i/>
        <color theme="1"/>
      </font>
      <fill>
        <patternFill>
          <bgColor rgb="FFFF9797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39994506668294322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1"/>
      </font>
      <fill>
        <patternFill>
          <bgColor rgb="FF7DFFB8"/>
        </patternFill>
      </fill>
    </dxf>
    <dxf>
      <font>
        <b/>
        <i/>
        <color theme="1"/>
      </font>
      <fill>
        <patternFill>
          <bgColor rgb="FFFF9797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39994506668294322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1"/>
      </font>
      <fill>
        <patternFill>
          <bgColor rgb="FF7DFFB8"/>
        </patternFill>
      </fill>
    </dxf>
    <dxf>
      <font>
        <b/>
        <i/>
        <color theme="1"/>
      </font>
      <fill>
        <patternFill>
          <bgColor rgb="FFFF9797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39994506668294322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1"/>
      </font>
      <fill>
        <patternFill>
          <bgColor rgb="FF7DFFB8"/>
        </patternFill>
      </fill>
    </dxf>
    <dxf>
      <font>
        <b/>
        <i/>
        <color theme="1"/>
      </font>
      <fill>
        <patternFill>
          <bgColor rgb="FFFF9797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39994506668294322"/>
        </patternFill>
      </fill>
    </dxf>
    <dxf>
      <font>
        <b/>
        <i/>
        <color theme="1"/>
      </font>
      <fill>
        <patternFill>
          <bgColor rgb="FF7DFFB8"/>
        </patternFill>
      </fill>
    </dxf>
    <dxf>
      <font>
        <b/>
        <i/>
        <color theme="1"/>
      </font>
      <fill>
        <patternFill>
          <bgColor rgb="FFFF9797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39994506668294322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1"/>
      </font>
      <fill>
        <patternFill>
          <bgColor rgb="FF7DFFB8"/>
        </patternFill>
      </fill>
    </dxf>
    <dxf>
      <font>
        <b/>
        <i/>
        <color theme="1"/>
      </font>
      <fill>
        <patternFill>
          <bgColor rgb="FFFF9797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39994506668294322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1"/>
      </font>
      <fill>
        <patternFill>
          <bgColor rgb="FF7DFFB8"/>
        </patternFill>
      </fill>
    </dxf>
    <dxf>
      <font>
        <b/>
        <i/>
        <color theme="1"/>
      </font>
      <fill>
        <patternFill>
          <bgColor rgb="FFFF9797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39994506668294322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1"/>
      </font>
      <fill>
        <patternFill>
          <bgColor rgb="FF7DFFB8"/>
        </patternFill>
      </fill>
    </dxf>
    <dxf>
      <font>
        <b/>
        <i/>
        <color theme="1"/>
      </font>
      <fill>
        <patternFill>
          <bgColor rgb="FFFF9797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39994506668294322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1"/>
      </font>
      <fill>
        <patternFill>
          <bgColor rgb="FF7DFFB8"/>
        </patternFill>
      </fill>
    </dxf>
    <dxf>
      <font>
        <b/>
        <i/>
        <color theme="1"/>
      </font>
      <fill>
        <patternFill>
          <bgColor rgb="FFFF9797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39994506668294322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1"/>
      </font>
      <fill>
        <patternFill>
          <bgColor rgb="FF7DFFB8"/>
        </patternFill>
      </fill>
    </dxf>
    <dxf>
      <font>
        <b/>
        <i/>
        <color theme="1"/>
      </font>
      <fill>
        <patternFill>
          <bgColor rgb="FFFF9797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39994506668294322"/>
        </patternFill>
      </fill>
    </dxf>
    <dxf>
      <font>
        <b/>
        <i/>
        <color theme="1"/>
      </font>
      <fill>
        <patternFill>
          <bgColor rgb="FF7DFFB8"/>
        </patternFill>
      </fill>
    </dxf>
    <dxf>
      <font>
        <b/>
        <i/>
        <color theme="1"/>
      </font>
      <fill>
        <patternFill>
          <bgColor rgb="FFFF9797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/>
        <color theme="1"/>
      </font>
      <fill>
        <patternFill>
          <bgColor rgb="FF7DFFB8"/>
        </patternFill>
      </fill>
    </dxf>
    <dxf>
      <font>
        <b/>
        <i/>
        <color theme="1"/>
      </font>
      <fill>
        <patternFill>
          <bgColor rgb="FFFF9797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39994506668294322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1"/>
      </font>
      <fill>
        <patternFill>
          <bgColor rgb="FF7DFFB8"/>
        </patternFill>
      </fill>
    </dxf>
    <dxf>
      <font>
        <b/>
        <i/>
        <color theme="1"/>
      </font>
      <fill>
        <patternFill>
          <bgColor rgb="FFFF9797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39994506668294322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1"/>
      </font>
      <fill>
        <patternFill>
          <bgColor rgb="FF7DFFB8"/>
        </patternFill>
      </fill>
    </dxf>
    <dxf>
      <font>
        <b/>
        <i/>
        <color theme="1"/>
      </font>
      <fill>
        <patternFill>
          <bgColor rgb="FFFF9797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39994506668294322"/>
        </patternFill>
      </fill>
    </dxf>
    <dxf>
      <font>
        <b/>
        <i/>
        <color theme="1"/>
      </font>
      <fill>
        <patternFill>
          <bgColor rgb="FF7DFFB8"/>
        </patternFill>
      </fill>
    </dxf>
    <dxf>
      <font>
        <b/>
        <i/>
        <color theme="1"/>
      </font>
      <fill>
        <patternFill>
          <bgColor rgb="FFFF9797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39994506668294322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1"/>
      </font>
      <fill>
        <patternFill>
          <bgColor rgb="FF7DFFB8"/>
        </patternFill>
      </fill>
    </dxf>
    <dxf>
      <font>
        <b/>
        <i/>
        <color theme="1"/>
      </font>
      <fill>
        <patternFill>
          <bgColor rgb="FFFF9797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39994506668294322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1"/>
      </font>
      <fill>
        <patternFill>
          <bgColor rgb="FF7DFFB8"/>
        </patternFill>
      </fill>
    </dxf>
    <dxf>
      <font>
        <b/>
        <i/>
        <color theme="1"/>
      </font>
      <fill>
        <patternFill>
          <bgColor rgb="FFFF9797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39994506668294322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1"/>
      </font>
      <fill>
        <patternFill>
          <bgColor rgb="FF7DFFB8"/>
        </patternFill>
      </fill>
    </dxf>
    <dxf>
      <font>
        <b/>
        <i/>
        <color theme="1"/>
      </font>
      <fill>
        <patternFill>
          <bgColor rgb="FFFF9797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39994506668294322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1"/>
      </font>
      <fill>
        <patternFill>
          <bgColor rgb="FF7DFFB8"/>
        </patternFill>
      </fill>
    </dxf>
    <dxf>
      <font>
        <b/>
        <i/>
        <color theme="1"/>
      </font>
      <fill>
        <patternFill>
          <bgColor rgb="FFFF9797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39994506668294322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1"/>
      </font>
      <fill>
        <patternFill>
          <bgColor rgb="FF7DFFB8"/>
        </patternFill>
      </fill>
    </dxf>
    <dxf>
      <font>
        <b/>
        <i/>
        <color theme="1"/>
      </font>
      <fill>
        <patternFill>
          <bgColor rgb="FFFF9797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39994506668294322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1"/>
      </font>
      <fill>
        <patternFill>
          <bgColor rgb="FF7DFFB8"/>
        </patternFill>
      </fill>
    </dxf>
    <dxf>
      <font>
        <b/>
        <i/>
        <color theme="1"/>
      </font>
      <fill>
        <patternFill>
          <bgColor rgb="FFFF9797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39994506668294322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1"/>
      </font>
      <fill>
        <patternFill>
          <bgColor rgb="FF7DFFB8"/>
        </patternFill>
      </fill>
    </dxf>
    <dxf>
      <font>
        <b/>
        <i/>
        <color theme="1"/>
      </font>
      <fill>
        <patternFill>
          <bgColor rgb="FFFF9797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39994506668294322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1"/>
      </font>
      <fill>
        <patternFill>
          <bgColor rgb="FF7DFFB8"/>
        </patternFill>
      </fill>
    </dxf>
    <dxf>
      <font>
        <b/>
        <i/>
        <color theme="1"/>
      </font>
      <fill>
        <patternFill>
          <bgColor rgb="FFFF9797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39994506668294322"/>
        </patternFill>
      </fill>
    </dxf>
    <dxf>
      <font>
        <b/>
        <i/>
        <color theme="1"/>
      </font>
      <fill>
        <patternFill>
          <bgColor rgb="FF7DFFB8"/>
        </patternFill>
      </fill>
    </dxf>
    <dxf>
      <font>
        <b/>
        <i/>
        <color theme="1"/>
      </font>
      <fill>
        <patternFill>
          <bgColor rgb="FFFF9797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39994506668294322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1"/>
      </font>
      <fill>
        <patternFill>
          <bgColor rgb="FF7DFFB8"/>
        </patternFill>
      </fill>
    </dxf>
    <dxf>
      <font>
        <b/>
        <i/>
        <color theme="1"/>
      </font>
      <fill>
        <patternFill>
          <bgColor rgb="FFFF9797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39994506668294322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1"/>
      </font>
      <fill>
        <patternFill>
          <bgColor rgb="FF7DFFB8"/>
        </patternFill>
      </fill>
    </dxf>
    <dxf>
      <font>
        <b/>
        <i/>
        <color theme="1"/>
      </font>
      <fill>
        <patternFill>
          <bgColor rgb="FFFF9797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39994506668294322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1"/>
      </font>
      <fill>
        <patternFill>
          <bgColor rgb="FF7DFFB8"/>
        </patternFill>
      </fill>
    </dxf>
    <dxf>
      <font>
        <b/>
        <i/>
        <color theme="1"/>
      </font>
      <fill>
        <patternFill>
          <bgColor rgb="FFFF9797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39994506668294322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1"/>
      </font>
      <fill>
        <patternFill>
          <bgColor rgb="FF7DFFB8"/>
        </patternFill>
      </fill>
    </dxf>
    <dxf>
      <font>
        <b/>
        <i/>
        <color theme="1"/>
      </font>
      <fill>
        <patternFill>
          <bgColor rgb="FFFF9797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39994506668294322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1"/>
      </font>
      <fill>
        <patternFill>
          <bgColor rgb="FF7DFFB8"/>
        </patternFill>
      </fill>
    </dxf>
    <dxf>
      <font>
        <b/>
        <i/>
        <color theme="1"/>
      </font>
      <fill>
        <patternFill>
          <bgColor rgb="FFFF9797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39994506668294322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1"/>
      </font>
      <fill>
        <patternFill>
          <bgColor rgb="FF7DFFB8"/>
        </patternFill>
      </fill>
    </dxf>
    <dxf>
      <font>
        <b/>
        <i/>
        <color theme="1"/>
      </font>
      <fill>
        <patternFill>
          <bgColor rgb="FFFF9797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39994506668294322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1"/>
      </font>
      <fill>
        <patternFill>
          <bgColor rgb="FF7DFFB8"/>
        </patternFill>
      </fill>
    </dxf>
    <dxf>
      <font>
        <b/>
        <i/>
        <color theme="1"/>
      </font>
      <fill>
        <patternFill>
          <bgColor rgb="FFFF9797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39994506668294322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39994506668294322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1"/>
      </font>
      <fill>
        <patternFill>
          <bgColor rgb="FF7DFFB8"/>
        </patternFill>
      </fill>
    </dxf>
    <dxf>
      <font>
        <b/>
        <i/>
        <color theme="1"/>
      </font>
      <fill>
        <patternFill>
          <bgColor rgb="FFFF9797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39994506668294322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1"/>
      </font>
      <fill>
        <patternFill>
          <bgColor rgb="FF7DFFB8"/>
        </patternFill>
      </fill>
    </dxf>
    <dxf>
      <font>
        <b/>
        <i/>
        <color theme="1"/>
      </font>
      <fill>
        <patternFill>
          <bgColor rgb="FFFF9797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39994506668294322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1"/>
      </font>
      <fill>
        <patternFill>
          <bgColor rgb="FF7DFFB8"/>
        </patternFill>
      </fill>
    </dxf>
    <dxf>
      <font>
        <b/>
        <i/>
        <color theme="1"/>
      </font>
      <fill>
        <patternFill>
          <bgColor rgb="FFFF9797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39994506668294322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1"/>
      </font>
      <fill>
        <patternFill>
          <bgColor rgb="FF7DFFB8"/>
        </patternFill>
      </fill>
    </dxf>
    <dxf>
      <font>
        <b/>
        <i/>
        <color theme="1"/>
      </font>
      <fill>
        <patternFill>
          <bgColor rgb="FFFF9797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39994506668294322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1"/>
      </font>
      <fill>
        <patternFill>
          <bgColor rgb="FF7DFFB8"/>
        </patternFill>
      </fill>
    </dxf>
    <dxf>
      <font>
        <b/>
        <i/>
        <color theme="1"/>
      </font>
      <fill>
        <patternFill>
          <bgColor rgb="FFFF9797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39994506668294322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39994506668294322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1"/>
      </font>
      <fill>
        <patternFill>
          <bgColor rgb="FF7DFFB8"/>
        </patternFill>
      </fill>
    </dxf>
    <dxf>
      <font>
        <b/>
        <i/>
        <color theme="1"/>
      </font>
      <fill>
        <patternFill>
          <bgColor rgb="FFFF9797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39994506668294322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39994506668294322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1"/>
      </font>
      <fill>
        <patternFill>
          <bgColor rgb="FF7DFFB8"/>
        </patternFill>
      </fill>
    </dxf>
    <dxf>
      <font>
        <b/>
        <i/>
        <color theme="1"/>
      </font>
      <fill>
        <patternFill>
          <bgColor rgb="FFFF9797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39994506668294322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39994506668294322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1"/>
      </font>
      <fill>
        <patternFill>
          <bgColor rgb="FF7DFFB8"/>
        </patternFill>
      </fill>
    </dxf>
    <dxf>
      <font>
        <b/>
        <i/>
        <color theme="1"/>
      </font>
      <fill>
        <patternFill>
          <bgColor rgb="FFFF9797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39994506668294322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39994506668294322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1"/>
      </font>
      <fill>
        <patternFill>
          <bgColor rgb="FF7DFFB8"/>
        </patternFill>
      </fill>
    </dxf>
    <dxf>
      <font>
        <b/>
        <i/>
        <color theme="1"/>
      </font>
      <fill>
        <patternFill>
          <bgColor rgb="FFFF9797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39994506668294322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39994506668294322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1"/>
      </font>
      <fill>
        <patternFill>
          <bgColor rgb="FF7DFFB8"/>
        </patternFill>
      </fill>
    </dxf>
    <dxf>
      <font>
        <b/>
        <i/>
        <color theme="1"/>
      </font>
      <fill>
        <patternFill>
          <bgColor rgb="FFFF9797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39994506668294322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39994506668294322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1"/>
      </font>
      <fill>
        <patternFill>
          <bgColor rgb="FF7DFFB8"/>
        </patternFill>
      </fill>
    </dxf>
    <dxf>
      <font>
        <b/>
        <i/>
        <color theme="1"/>
      </font>
      <fill>
        <patternFill>
          <bgColor rgb="FFFF9797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39994506668294322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39994506668294322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1"/>
      </font>
      <fill>
        <patternFill>
          <bgColor rgb="FF7DFFB8"/>
        </patternFill>
      </fill>
    </dxf>
    <dxf>
      <font>
        <b/>
        <i/>
        <color theme="1"/>
      </font>
      <fill>
        <patternFill>
          <bgColor rgb="FFFF9797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39994506668294322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39994506668294322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1"/>
      </font>
      <fill>
        <patternFill>
          <bgColor rgb="FF7DFFB8"/>
        </patternFill>
      </fill>
    </dxf>
    <dxf>
      <font>
        <b/>
        <i/>
        <color theme="1"/>
      </font>
      <fill>
        <patternFill>
          <bgColor rgb="FFFF9797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39994506668294322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39994506668294322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1"/>
      </font>
      <fill>
        <patternFill>
          <bgColor rgb="FF7DFFB8"/>
        </patternFill>
      </fill>
    </dxf>
    <dxf>
      <font>
        <b/>
        <i/>
        <color theme="1"/>
      </font>
      <fill>
        <patternFill>
          <bgColor rgb="FFFF9797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39994506668294322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39994506668294322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1"/>
      </font>
      <fill>
        <patternFill>
          <bgColor rgb="FF7DFFB8"/>
        </patternFill>
      </fill>
    </dxf>
    <dxf>
      <font>
        <b/>
        <i/>
        <color theme="1"/>
      </font>
      <fill>
        <patternFill>
          <bgColor rgb="FFFF9797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39994506668294322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39994506668294322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1"/>
      </font>
      <fill>
        <patternFill>
          <bgColor rgb="FF7DFFB8"/>
        </patternFill>
      </fill>
    </dxf>
    <dxf>
      <font>
        <b/>
        <i/>
        <color theme="1"/>
      </font>
      <fill>
        <patternFill>
          <bgColor rgb="FFFF9797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39994506668294322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39994506668294322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1"/>
      </font>
      <fill>
        <patternFill>
          <bgColor rgb="FF7DFFB8"/>
        </patternFill>
      </fill>
    </dxf>
    <dxf>
      <font>
        <b/>
        <i/>
        <color theme="1"/>
      </font>
      <fill>
        <patternFill>
          <bgColor rgb="FFFF9797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39994506668294322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39994506668294322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1"/>
      </font>
      <fill>
        <patternFill>
          <bgColor rgb="FF7DFFB8"/>
        </patternFill>
      </fill>
    </dxf>
    <dxf>
      <font>
        <b/>
        <i/>
        <color theme="1"/>
      </font>
      <fill>
        <patternFill>
          <bgColor rgb="FFFF9797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39994506668294322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39994506668294322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1"/>
      </font>
      <fill>
        <patternFill>
          <bgColor rgb="FF7DFFB8"/>
        </patternFill>
      </fill>
    </dxf>
    <dxf>
      <font>
        <b/>
        <i/>
        <color theme="1"/>
      </font>
      <fill>
        <patternFill>
          <bgColor rgb="FFFF9797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39994506668294322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39994506668294322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1"/>
      </font>
      <fill>
        <patternFill>
          <bgColor rgb="FF7DFFB8"/>
        </patternFill>
      </fill>
    </dxf>
    <dxf>
      <font>
        <b/>
        <i/>
        <color theme="1"/>
      </font>
      <fill>
        <patternFill>
          <bgColor rgb="FFFF9797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39994506668294322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39994506668294322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1"/>
      </font>
      <fill>
        <patternFill>
          <bgColor rgb="FF7DFFB8"/>
        </patternFill>
      </fill>
    </dxf>
    <dxf>
      <font>
        <b/>
        <i/>
        <color theme="1"/>
      </font>
      <fill>
        <patternFill>
          <bgColor rgb="FFFF9797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39994506668294322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39994506668294322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1"/>
      </font>
      <fill>
        <patternFill>
          <bgColor rgb="FF7DFFB8"/>
        </patternFill>
      </fill>
    </dxf>
    <dxf>
      <font>
        <b/>
        <i/>
        <color theme="1"/>
      </font>
      <fill>
        <patternFill>
          <bgColor rgb="FFFF9797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39994506668294322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39994506668294322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1"/>
      </font>
      <fill>
        <patternFill>
          <bgColor rgb="FF7DFFB8"/>
        </patternFill>
      </fill>
    </dxf>
    <dxf>
      <font>
        <b/>
        <i/>
        <color theme="1"/>
      </font>
      <fill>
        <patternFill>
          <bgColor rgb="FFFF9797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39994506668294322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39994506668294322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1"/>
      </font>
      <fill>
        <patternFill>
          <bgColor rgb="FF7DFFB8"/>
        </patternFill>
      </fill>
    </dxf>
    <dxf>
      <font>
        <b/>
        <i/>
        <color theme="1"/>
      </font>
      <fill>
        <patternFill>
          <bgColor rgb="FFFF9797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39994506668294322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39994506668294322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1"/>
      </font>
      <fill>
        <patternFill>
          <bgColor rgb="FF7DFFB8"/>
        </patternFill>
      </fill>
    </dxf>
    <dxf>
      <font>
        <b/>
        <i/>
        <color theme="1"/>
      </font>
      <fill>
        <patternFill>
          <bgColor rgb="FFFF9797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39994506668294322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39994506668294322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1"/>
      </font>
      <fill>
        <patternFill>
          <bgColor rgb="FF7DFFB8"/>
        </patternFill>
      </fill>
    </dxf>
    <dxf>
      <font>
        <b/>
        <i/>
        <color theme="1"/>
      </font>
      <fill>
        <patternFill>
          <bgColor rgb="FFFF9797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39994506668294322"/>
        </patternFill>
      </fill>
    </dxf>
    <dxf>
      <font>
        <b/>
        <i/>
        <color theme="1"/>
      </font>
      <fill>
        <patternFill>
          <bgColor rgb="FF7DFFB8"/>
        </patternFill>
      </fill>
    </dxf>
    <dxf>
      <font>
        <b/>
        <i/>
        <color theme="1"/>
      </font>
      <fill>
        <patternFill>
          <bgColor rgb="FFFF9797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39994506668294322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39994506668294322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1"/>
      </font>
      <fill>
        <patternFill>
          <bgColor rgb="FF7DFFB8"/>
        </patternFill>
      </fill>
    </dxf>
    <dxf>
      <font>
        <b/>
        <i/>
        <color theme="1"/>
      </font>
      <fill>
        <patternFill>
          <bgColor rgb="FFFF9797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39994506668294322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39994506668294322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1"/>
      </font>
      <fill>
        <patternFill>
          <bgColor rgb="FF7DFFB8"/>
        </patternFill>
      </fill>
    </dxf>
    <dxf>
      <font>
        <b/>
        <i/>
        <color theme="1"/>
      </font>
      <fill>
        <patternFill>
          <bgColor rgb="FFFF9797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39994506668294322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39994506668294322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1"/>
      </font>
      <fill>
        <patternFill>
          <bgColor rgb="FF7DFFB8"/>
        </patternFill>
      </fill>
    </dxf>
    <dxf>
      <font>
        <b/>
        <i/>
        <color theme="1"/>
      </font>
      <fill>
        <patternFill>
          <bgColor rgb="FFFF9797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39994506668294322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39994506668294322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1"/>
      </font>
      <fill>
        <patternFill>
          <bgColor rgb="FF7DFFB8"/>
        </patternFill>
      </fill>
    </dxf>
    <dxf>
      <font>
        <b/>
        <i/>
        <color theme="1"/>
      </font>
      <fill>
        <patternFill>
          <bgColor rgb="FFFF9797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39994506668294322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39994506668294322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1"/>
      </font>
      <fill>
        <patternFill>
          <bgColor rgb="FF7DFFB8"/>
        </patternFill>
      </fill>
    </dxf>
    <dxf>
      <font>
        <b/>
        <i/>
        <color theme="1"/>
      </font>
      <fill>
        <patternFill>
          <bgColor rgb="FFFF9797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39994506668294322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39994506668294322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1"/>
      </font>
      <fill>
        <patternFill>
          <bgColor rgb="FF7DFFB8"/>
        </patternFill>
      </fill>
    </dxf>
    <dxf>
      <font>
        <b/>
        <i/>
        <color theme="1"/>
      </font>
      <fill>
        <patternFill>
          <bgColor rgb="FFFF9797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39994506668294322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39994506668294322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1"/>
      </font>
      <fill>
        <patternFill>
          <bgColor rgb="FF7DFFB8"/>
        </patternFill>
      </fill>
    </dxf>
    <dxf>
      <font>
        <b/>
        <i/>
        <color theme="1"/>
      </font>
      <fill>
        <patternFill>
          <bgColor rgb="FFFF9797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39994506668294322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39994506668294322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1"/>
      </font>
      <fill>
        <patternFill>
          <bgColor rgb="FF7DFFB8"/>
        </patternFill>
      </fill>
    </dxf>
    <dxf>
      <font>
        <b/>
        <i/>
        <color theme="1"/>
      </font>
      <fill>
        <patternFill>
          <bgColor rgb="FFFF9797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39994506668294322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39994506668294322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1"/>
      </font>
      <fill>
        <patternFill>
          <bgColor rgb="FF7DFFB8"/>
        </patternFill>
      </fill>
    </dxf>
    <dxf>
      <font>
        <b/>
        <i/>
        <color theme="1"/>
      </font>
      <fill>
        <patternFill>
          <bgColor rgb="FFFF9797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39994506668294322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39994506668294322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1"/>
      </font>
      <fill>
        <patternFill>
          <bgColor rgb="FF7DFFB8"/>
        </patternFill>
      </fill>
    </dxf>
    <dxf>
      <font>
        <b/>
        <i/>
        <color theme="1"/>
      </font>
      <fill>
        <patternFill>
          <bgColor rgb="FFFF9797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39994506668294322"/>
        </patternFill>
      </fill>
    </dxf>
    <dxf>
      <font>
        <b/>
        <i/>
        <color theme="1"/>
      </font>
      <fill>
        <patternFill>
          <bgColor rgb="FF7DFFB8"/>
        </patternFill>
      </fill>
    </dxf>
    <dxf>
      <font>
        <b/>
        <i/>
        <color theme="1"/>
      </font>
      <fill>
        <patternFill>
          <bgColor rgb="FFFF9797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39994506668294322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39994506668294322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39994506668294322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1"/>
      </font>
      <fill>
        <patternFill>
          <bgColor rgb="FF7DFFB8"/>
        </patternFill>
      </fill>
    </dxf>
    <dxf>
      <font>
        <b/>
        <i/>
        <color theme="1"/>
      </font>
      <fill>
        <patternFill>
          <bgColor rgb="FFFF9797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39994506668294322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39994506668294322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1"/>
      </font>
      <fill>
        <patternFill>
          <bgColor rgb="FF7DFFB8"/>
        </patternFill>
      </fill>
    </dxf>
    <dxf>
      <font>
        <b/>
        <i/>
        <color theme="1"/>
      </font>
      <fill>
        <patternFill>
          <bgColor rgb="FFFF9797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39994506668294322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39994506668294322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1"/>
      </font>
      <fill>
        <patternFill>
          <bgColor rgb="FF7DFFB8"/>
        </patternFill>
      </fill>
    </dxf>
    <dxf>
      <font>
        <b/>
        <i/>
        <color theme="1"/>
      </font>
      <fill>
        <patternFill>
          <bgColor rgb="FFFF9797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39994506668294322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39994506668294322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1"/>
      </font>
      <fill>
        <patternFill>
          <bgColor rgb="FF7DFFB8"/>
        </patternFill>
      </fill>
    </dxf>
    <dxf>
      <font>
        <b/>
        <i/>
        <color theme="1"/>
      </font>
      <fill>
        <patternFill>
          <bgColor rgb="FFFF9797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39994506668294322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39994506668294322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1"/>
      </font>
      <fill>
        <patternFill>
          <bgColor rgb="FF7DFFB8"/>
        </patternFill>
      </fill>
    </dxf>
    <dxf>
      <font>
        <b/>
        <i/>
        <color theme="1"/>
      </font>
      <fill>
        <patternFill>
          <bgColor rgb="FFFF9797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39994506668294322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39994506668294322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1"/>
      </font>
      <fill>
        <patternFill>
          <bgColor rgb="FF7DFFB8"/>
        </patternFill>
      </fill>
    </dxf>
    <dxf>
      <font>
        <b/>
        <i/>
        <color theme="1"/>
      </font>
      <fill>
        <patternFill>
          <bgColor rgb="FFFF9797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39994506668294322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39994506668294322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1"/>
      </font>
      <fill>
        <patternFill>
          <bgColor rgb="FF7DFFB8"/>
        </patternFill>
      </fill>
    </dxf>
    <dxf>
      <font>
        <b/>
        <i/>
        <color theme="1"/>
      </font>
      <fill>
        <patternFill>
          <bgColor rgb="FFFF9797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39994506668294322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39994506668294322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1"/>
      </font>
      <fill>
        <patternFill>
          <bgColor rgb="FF7DFFB8"/>
        </patternFill>
      </fill>
    </dxf>
    <dxf>
      <font>
        <b/>
        <i/>
        <color theme="1"/>
      </font>
      <fill>
        <patternFill>
          <bgColor rgb="FFFF9797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</dxfs>
  <tableStyles count="0" defaultTableStyle="TableStyleMedium9" defaultPivotStyle="PivotStyleLight16"/>
  <colors>
    <mruColors>
      <color rgb="FF99CCFF"/>
      <color rgb="FFFF9797"/>
      <color rgb="FF7DFFB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38" Type="http://schemas.openxmlformats.org/officeDocument/2006/relationships/worksheet" Target="worksheets/sheet138.xml"/><Relationship Id="rId154" Type="http://schemas.openxmlformats.org/officeDocument/2006/relationships/worksheet" Target="worksheets/sheet154.xml"/><Relationship Id="rId159" Type="http://schemas.openxmlformats.org/officeDocument/2006/relationships/worksheet" Target="worksheets/sheet159.xml"/><Relationship Id="rId175" Type="http://schemas.openxmlformats.org/officeDocument/2006/relationships/externalLink" Target="externalLinks/externalLink1.xml"/><Relationship Id="rId170" Type="http://schemas.openxmlformats.org/officeDocument/2006/relationships/worksheet" Target="worksheets/sheet170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28" Type="http://schemas.openxmlformats.org/officeDocument/2006/relationships/worksheet" Target="worksheets/sheet128.xml"/><Relationship Id="rId144" Type="http://schemas.openxmlformats.org/officeDocument/2006/relationships/worksheet" Target="worksheets/sheet144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165" Type="http://schemas.openxmlformats.org/officeDocument/2006/relationships/worksheet" Target="worksheets/sheet16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worksheet" Target="worksheets/sheet118.xml"/><Relationship Id="rId134" Type="http://schemas.openxmlformats.org/officeDocument/2006/relationships/worksheet" Target="worksheets/sheet134.xml"/><Relationship Id="rId139" Type="http://schemas.openxmlformats.org/officeDocument/2006/relationships/worksheet" Target="worksheets/sheet13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55" Type="http://schemas.openxmlformats.org/officeDocument/2006/relationships/worksheet" Target="worksheets/sheet155.xml"/><Relationship Id="rId171" Type="http://schemas.openxmlformats.org/officeDocument/2006/relationships/worksheet" Target="worksheets/sheet171.xml"/><Relationship Id="rId176" Type="http://schemas.openxmlformats.org/officeDocument/2006/relationships/externalLink" Target="externalLinks/externalLink2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worksheet" Target="worksheets/sheet16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64" Type="http://schemas.openxmlformats.org/officeDocument/2006/relationships/worksheet" Target="worksheets/sheet164.xml"/><Relationship Id="rId169" Type="http://schemas.openxmlformats.org/officeDocument/2006/relationships/worksheet" Target="worksheets/sheet169.xml"/><Relationship Id="rId177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72" Type="http://schemas.openxmlformats.org/officeDocument/2006/relationships/worksheet" Target="worksheets/sheet172.xml"/><Relationship Id="rId180" Type="http://schemas.openxmlformats.org/officeDocument/2006/relationships/calcChain" Target="calcChain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167" Type="http://schemas.openxmlformats.org/officeDocument/2006/relationships/worksheet" Target="worksheets/sheet167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worksheet" Target="worksheets/sheet16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178" Type="http://schemas.openxmlformats.org/officeDocument/2006/relationships/styles" Target="style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73" Type="http://schemas.openxmlformats.org/officeDocument/2006/relationships/worksheet" Target="worksheets/sheet173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168" Type="http://schemas.openxmlformats.org/officeDocument/2006/relationships/worksheet" Target="worksheets/sheet168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worksheet" Target="worksheets/sheet163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74" Type="http://schemas.openxmlformats.org/officeDocument/2006/relationships/worksheet" Target="worksheets/sheet174.xml"/><Relationship Id="rId179" Type="http://schemas.openxmlformats.org/officeDocument/2006/relationships/sharedStrings" Target="sharedStrings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Historical</a:t>
            </a:r>
            <a:r>
              <a:rPr lang="en-US" baseline="0"/>
              <a:t> Performance for Estimating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'2019 1Q Analysis'!$E$633:$F$655</c:f>
              <c:multiLvlStrCache>
                <c:ptCount val="23"/>
                <c:lvl>
                  <c:pt idx="0">
                    <c:v>1996</c:v>
                  </c:pt>
                  <c:pt idx="1">
                    <c:v>1997</c:v>
                  </c:pt>
                  <c:pt idx="2">
                    <c:v>1998</c:v>
                  </c:pt>
                  <c:pt idx="3">
                    <c:v>1999</c:v>
                  </c:pt>
                  <c:pt idx="4">
                    <c:v>2000</c:v>
                  </c:pt>
                  <c:pt idx="5">
                    <c:v>2001</c:v>
                  </c:pt>
                  <c:pt idx="6">
                    <c:v>2002</c:v>
                  </c:pt>
                  <c:pt idx="7">
                    <c:v>2003</c:v>
                  </c:pt>
                  <c:pt idx="8">
                    <c:v>2004</c:v>
                  </c:pt>
                  <c:pt idx="9">
                    <c:v>2005</c:v>
                  </c:pt>
                  <c:pt idx="10">
                    <c:v>2006</c:v>
                  </c:pt>
                  <c:pt idx="11">
                    <c:v>2007</c:v>
                  </c:pt>
                  <c:pt idx="12">
                    <c:v>2008</c:v>
                  </c:pt>
                  <c:pt idx="13">
                    <c:v>2009</c:v>
                  </c:pt>
                  <c:pt idx="14">
                    <c:v>2010</c:v>
                  </c:pt>
                  <c:pt idx="15">
                    <c:v>2011</c:v>
                  </c:pt>
                  <c:pt idx="16">
                    <c:v>2012</c:v>
                  </c:pt>
                  <c:pt idx="17">
                    <c:v>2013</c:v>
                  </c:pt>
                  <c:pt idx="18">
                    <c:v>2014</c:v>
                  </c:pt>
                  <c:pt idx="19">
                    <c:v>2015</c:v>
                  </c:pt>
                  <c:pt idx="20">
                    <c:v>2016</c:v>
                  </c:pt>
                  <c:pt idx="21">
                    <c:v>2017</c:v>
                  </c:pt>
                  <c:pt idx="22">
                    <c:v>2018</c:v>
                  </c:pt>
                </c:lvl>
                <c:lvl>
                  <c:pt idx="0">
                    <c:v>% Success Rate by Year</c:v>
                  </c:pt>
                </c:lvl>
              </c:multiLvlStrCache>
            </c:multiLvlStrRef>
          </c:cat>
          <c:val>
            <c:numRef>
              <c:f>'2019 1Q Analysis'!$G$633:$G$655</c:f>
              <c:numCache>
                <c:formatCode>General</c:formatCode>
                <c:ptCount val="23"/>
                <c:pt idx="0">
                  <c:v>70</c:v>
                </c:pt>
                <c:pt idx="1">
                  <c:v>68</c:v>
                </c:pt>
                <c:pt idx="2">
                  <c:v>67</c:v>
                </c:pt>
                <c:pt idx="3">
                  <c:v>76</c:v>
                </c:pt>
                <c:pt idx="4">
                  <c:v>63</c:v>
                </c:pt>
                <c:pt idx="5">
                  <c:v>65</c:v>
                </c:pt>
                <c:pt idx="6">
                  <c:v>66</c:v>
                </c:pt>
                <c:pt idx="7">
                  <c:v>66</c:v>
                </c:pt>
                <c:pt idx="8">
                  <c:v>67</c:v>
                </c:pt>
                <c:pt idx="9">
                  <c:v>71</c:v>
                </c:pt>
                <c:pt idx="10">
                  <c:v>75</c:v>
                </c:pt>
                <c:pt idx="11">
                  <c:v>70</c:v>
                </c:pt>
                <c:pt idx="12">
                  <c:v>79</c:v>
                </c:pt>
                <c:pt idx="13">
                  <c:v>71</c:v>
                </c:pt>
                <c:pt idx="14">
                  <c:v>74</c:v>
                </c:pt>
                <c:pt idx="15">
                  <c:v>83</c:v>
                </c:pt>
                <c:pt idx="16">
                  <c:v>80</c:v>
                </c:pt>
                <c:pt idx="17">
                  <c:v>81</c:v>
                </c:pt>
                <c:pt idx="18">
                  <c:v>85</c:v>
                </c:pt>
                <c:pt idx="19">
                  <c:v>56</c:v>
                </c:pt>
                <c:pt idx="20">
                  <c:v>63</c:v>
                </c:pt>
                <c:pt idx="21">
                  <c:v>66</c:v>
                </c:pt>
                <c:pt idx="22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14-4983-8569-5C0E54007D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6415112"/>
        <c:axId val="475996416"/>
      </c:barChart>
      <c:catAx>
        <c:axId val="516415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996416"/>
        <c:crosses val="autoZero"/>
        <c:auto val="1"/>
        <c:lblAlgn val="ctr"/>
        <c:lblOffset val="100"/>
        <c:noMultiLvlLbl val="0"/>
      </c:catAx>
      <c:valAx>
        <c:axId val="47599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415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Bidders per Project (6 Yr Trend)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'2019 Analysis'!$E$660:$F$665</c15:sqref>
                  </c15:fullRef>
                  <c15:levelRef>
                    <c15:sqref>'2019 Analysis'!$F$660:$F$665</c15:sqref>
                  </c15:levelRef>
                </c:ext>
              </c:extLst>
              <c:f>'2019 Analysis'!$F$660:$F$665</c:f>
              <c:strCach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strCache>
            </c:strRef>
          </c:cat>
          <c:val>
            <c:numRef>
              <c:f>'2019 Analysis'!$G$660:$G$665</c:f>
              <c:numCache>
                <c:formatCode>General</c:formatCode>
                <c:ptCount val="6"/>
                <c:pt idx="0">
                  <c:v>6.2</c:v>
                </c:pt>
                <c:pt idx="1">
                  <c:v>6.4</c:v>
                </c:pt>
                <c:pt idx="2">
                  <c:v>5.9</c:v>
                </c:pt>
                <c:pt idx="3">
                  <c:v>5.3</c:v>
                </c:pt>
                <c:pt idx="4" formatCode="0.0">
                  <c:v>4.6607142857142856</c:v>
                </c:pt>
                <c:pt idx="5">
                  <c:v>5.7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7C-4AEF-AD07-E210FE6E7F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6526760"/>
        <c:axId val="426527088"/>
      </c:lineChart>
      <c:catAx>
        <c:axId val="426526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527088"/>
        <c:crosses val="autoZero"/>
        <c:auto val="1"/>
        <c:lblAlgn val="ctr"/>
        <c:lblOffset val="100"/>
        <c:noMultiLvlLbl val="0"/>
      </c:catAx>
      <c:valAx>
        <c:axId val="426527088"/>
        <c:scaling>
          <c:orientation val="minMax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526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Bidders per Project (5 Yr Trend)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'2019 1Q Analysis'!$E$660:$F$664</c15:sqref>
                  </c15:fullRef>
                  <c15:levelRef>
                    <c15:sqref>'2019 1Q Analysis'!$F$660:$F$664</c15:sqref>
                  </c15:levelRef>
                </c:ext>
              </c:extLst>
              <c:f>'2019 1Q Analysis'!$F$660:$F$664</c:f>
              <c:strCach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strCache>
            </c:strRef>
          </c:cat>
          <c:val>
            <c:numRef>
              <c:f>'2019 1Q Analysis'!$G$660:$G$664</c:f>
              <c:numCache>
                <c:formatCode>General</c:formatCode>
                <c:ptCount val="5"/>
                <c:pt idx="0">
                  <c:v>6.2</c:v>
                </c:pt>
                <c:pt idx="1">
                  <c:v>6.4</c:v>
                </c:pt>
                <c:pt idx="2">
                  <c:v>5.9</c:v>
                </c:pt>
                <c:pt idx="3">
                  <c:v>5.3</c:v>
                </c:pt>
                <c:pt idx="4" formatCode="0.0">
                  <c:v>4.333333333333333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1F-44D7-9130-EFB83E726C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6526760"/>
        <c:axId val="426527088"/>
      </c:lineChart>
      <c:catAx>
        <c:axId val="426526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527088"/>
        <c:crosses val="autoZero"/>
        <c:auto val="1"/>
        <c:lblAlgn val="ctr"/>
        <c:lblOffset val="100"/>
        <c:noMultiLvlLbl val="0"/>
      </c:catAx>
      <c:valAx>
        <c:axId val="426527088"/>
        <c:scaling>
          <c:orientation val="minMax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526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Historical</a:t>
            </a:r>
            <a:r>
              <a:rPr lang="en-US" baseline="0"/>
              <a:t> Performance for Estimating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'2018 3Q Analysis'!$E$742:$F$763</c:f>
              <c:multiLvlStrCache>
                <c:ptCount val="22"/>
                <c:lvl>
                  <c:pt idx="0">
                    <c:v>1996</c:v>
                  </c:pt>
                  <c:pt idx="1">
                    <c:v>1997</c:v>
                  </c:pt>
                  <c:pt idx="2">
                    <c:v>1998</c:v>
                  </c:pt>
                  <c:pt idx="3">
                    <c:v>1999</c:v>
                  </c:pt>
                  <c:pt idx="4">
                    <c:v>2000</c:v>
                  </c:pt>
                  <c:pt idx="5">
                    <c:v>2001</c:v>
                  </c:pt>
                  <c:pt idx="6">
                    <c:v>2002</c:v>
                  </c:pt>
                  <c:pt idx="7">
                    <c:v>2003</c:v>
                  </c:pt>
                  <c:pt idx="8">
                    <c:v>2004</c:v>
                  </c:pt>
                  <c:pt idx="9">
                    <c:v>2005</c:v>
                  </c:pt>
                  <c:pt idx="10">
                    <c:v>2006</c:v>
                  </c:pt>
                  <c:pt idx="11">
                    <c:v>2007</c:v>
                  </c:pt>
                  <c:pt idx="12">
                    <c:v>2008</c:v>
                  </c:pt>
                  <c:pt idx="13">
                    <c:v>2009</c:v>
                  </c:pt>
                  <c:pt idx="14">
                    <c:v>2010</c:v>
                  </c:pt>
                  <c:pt idx="15">
                    <c:v>2011</c:v>
                  </c:pt>
                  <c:pt idx="16">
                    <c:v>2012</c:v>
                  </c:pt>
                  <c:pt idx="17">
                    <c:v>2013</c:v>
                  </c:pt>
                  <c:pt idx="18">
                    <c:v>2014</c:v>
                  </c:pt>
                  <c:pt idx="19">
                    <c:v>2015</c:v>
                  </c:pt>
                  <c:pt idx="20">
                    <c:v>2016</c:v>
                  </c:pt>
                  <c:pt idx="21">
                    <c:v>2017</c:v>
                  </c:pt>
                </c:lvl>
                <c:lvl>
                  <c:pt idx="0">
                    <c:v>% Success Rate by Year</c:v>
                  </c:pt>
                </c:lvl>
              </c:multiLvlStrCache>
            </c:multiLvlStrRef>
          </c:cat>
          <c:val>
            <c:numRef>
              <c:f>'2018 3Q Analysis'!$G$742:$G$763</c:f>
              <c:numCache>
                <c:formatCode>General</c:formatCode>
                <c:ptCount val="22"/>
                <c:pt idx="0">
                  <c:v>70</c:v>
                </c:pt>
                <c:pt idx="1">
                  <c:v>68</c:v>
                </c:pt>
                <c:pt idx="2">
                  <c:v>67</c:v>
                </c:pt>
                <c:pt idx="3">
                  <c:v>76</c:v>
                </c:pt>
                <c:pt idx="4">
                  <c:v>63</c:v>
                </c:pt>
                <c:pt idx="5">
                  <c:v>65</c:v>
                </c:pt>
                <c:pt idx="6">
                  <c:v>66</c:v>
                </c:pt>
                <c:pt idx="7">
                  <c:v>66</c:v>
                </c:pt>
                <c:pt idx="8">
                  <c:v>67</c:v>
                </c:pt>
                <c:pt idx="9">
                  <c:v>71</c:v>
                </c:pt>
                <c:pt idx="10">
                  <c:v>75</c:v>
                </c:pt>
                <c:pt idx="11">
                  <c:v>70</c:v>
                </c:pt>
                <c:pt idx="12">
                  <c:v>79</c:v>
                </c:pt>
                <c:pt idx="13">
                  <c:v>71</c:v>
                </c:pt>
                <c:pt idx="14">
                  <c:v>74</c:v>
                </c:pt>
                <c:pt idx="15">
                  <c:v>83</c:v>
                </c:pt>
                <c:pt idx="16">
                  <c:v>80</c:v>
                </c:pt>
                <c:pt idx="17">
                  <c:v>81</c:v>
                </c:pt>
                <c:pt idx="18">
                  <c:v>85</c:v>
                </c:pt>
                <c:pt idx="19">
                  <c:v>56</c:v>
                </c:pt>
                <c:pt idx="20">
                  <c:v>63</c:v>
                </c:pt>
                <c:pt idx="21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63-49D7-870D-7F17521696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6415112"/>
        <c:axId val="475996416"/>
      </c:barChart>
      <c:catAx>
        <c:axId val="516415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996416"/>
        <c:crosses val="autoZero"/>
        <c:auto val="1"/>
        <c:lblAlgn val="ctr"/>
        <c:lblOffset val="100"/>
        <c:noMultiLvlLbl val="0"/>
      </c:catAx>
      <c:valAx>
        <c:axId val="47599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415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Bidders per Project (4 Yr Trend)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'2018 3Q Analysis'!$E$769:$F$773</c15:sqref>
                  </c15:fullRef>
                  <c15:levelRef>
                    <c15:sqref>'2018 3Q Analysis'!$F$769:$F$773</c15:sqref>
                  </c15:levelRef>
                </c:ext>
              </c:extLst>
              <c:f>'2018 3Q Analysis'!$F$769:$F$773</c:f>
              <c:strCach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strCache>
            </c:strRef>
          </c:cat>
          <c:val>
            <c:numRef>
              <c:f>'2018 3Q Analysis'!$G$769:$G$773</c:f>
              <c:numCache>
                <c:formatCode>General</c:formatCode>
                <c:ptCount val="5"/>
                <c:pt idx="0">
                  <c:v>6.2</c:v>
                </c:pt>
                <c:pt idx="1">
                  <c:v>6.4</c:v>
                </c:pt>
                <c:pt idx="2">
                  <c:v>5.9</c:v>
                </c:pt>
                <c:pt idx="3">
                  <c:v>5.3</c:v>
                </c:pt>
                <c:pt idx="4">
                  <c:v>5.0999999999999996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C1-4F3D-9A24-01884F798C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6526760"/>
        <c:axId val="426527088"/>
      </c:lineChart>
      <c:catAx>
        <c:axId val="426526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527088"/>
        <c:crosses val="autoZero"/>
        <c:auto val="1"/>
        <c:lblAlgn val="ctr"/>
        <c:lblOffset val="100"/>
        <c:noMultiLvlLbl val="0"/>
      </c:catAx>
      <c:valAx>
        <c:axId val="42652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526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Historical</a:t>
            </a:r>
            <a:r>
              <a:rPr lang="en-US" baseline="0"/>
              <a:t> Performance for Estimating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'2017 Analysis'!$E$698:$F$719</c:f>
              <c:multiLvlStrCache>
                <c:ptCount val="22"/>
                <c:lvl>
                  <c:pt idx="0">
                    <c:v>1996</c:v>
                  </c:pt>
                  <c:pt idx="1">
                    <c:v>1997</c:v>
                  </c:pt>
                  <c:pt idx="2">
                    <c:v>1998</c:v>
                  </c:pt>
                  <c:pt idx="3">
                    <c:v>1999</c:v>
                  </c:pt>
                  <c:pt idx="4">
                    <c:v>2000</c:v>
                  </c:pt>
                  <c:pt idx="5">
                    <c:v>2001</c:v>
                  </c:pt>
                  <c:pt idx="6">
                    <c:v>2002</c:v>
                  </c:pt>
                  <c:pt idx="7">
                    <c:v>2003</c:v>
                  </c:pt>
                  <c:pt idx="8">
                    <c:v>2004</c:v>
                  </c:pt>
                  <c:pt idx="9">
                    <c:v>2005</c:v>
                  </c:pt>
                  <c:pt idx="10">
                    <c:v>2006</c:v>
                  </c:pt>
                  <c:pt idx="11">
                    <c:v>2007</c:v>
                  </c:pt>
                  <c:pt idx="12">
                    <c:v>2008</c:v>
                  </c:pt>
                  <c:pt idx="13">
                    <c:v>2009</c:v>
                  </c:pt>
                  <c:pt idx="14">
                    <c:v>2010</c:v>
                  </c:pt>
                  <c:pt idx="15">
                    <c:v>2011</c:v>
                  </c:pt>
                  <c:pt idx="16">
                    <c:v>2012</c:v>
                  </c:pt>
                  <c:pt idx="17">
                    <c:v>2013</c:v>
                  </c:pt>
                  <c:pt idx="18">
                    <c:v>2014</c:v>
                  </c:pt>
                  <c:pt idx="19">
                    <c:v>2015</c:v>
                  </c:pt>
                  <c:pt idx="20">
                    <c:v>2016</c:v>
                  </c:pt>
                  <c:pt idx="21">
                    <c:v>2017</c:v>
                  </c:pt>
                </c:lvl>
                <c:lvl>
                  <c:pt idx="0">
                    <c:v>% Success Rate by Year</c:v>
                  </c:pt>
                </c:lvl>
              </c:multiLvlStrCache>
            </c:multiLvlStrRef>
          </c:cat>
          <c:val>
            <c:numRef>
              <c:f>'2017 Analysis'!$G$698:$G$719</c:f>
              <c:numCache>
                <c:formatCode>General</c:formatCode>
                <c:ptCount val="22"/>
                <c:pt idx="0">
                  <c:v>70</c:v>
                </c:pt>
                <c:pt idx="1">
                  <c:v>68</c:v>
                </c:pt>
                <c:pt idx="2">
                  <c:v>67</c:v>
                </c:pt>
                <c:pt idx="3">
                  <c:v>76</c:v>
                </c:pt>
                <c:pt idx="4">
                  <c:v>63</c:v>
                </c:pt>
                <c:pt idx="5">
                  <c:v>65</c:v>
                </c:pt>
                <c:pt idx="6">
                  <c:v>66</c:v>
                </c:pt>
                <c:pt idx="7">
                  <c:v>66</c:v>
                </c:pt>
                <c:pt idx="8">
                  <c:v>67</c:v>
                </c:pt>
                <c:pt idx="9">
                  <c:v>71</c:v>
                </c:pt>
                <c:pt idx="10">
                  <c:v>75</c:v>
                </c:pt>
                <c:pt idx="11">
                  <c:v>70</c:v>
                </c:pt>
                <c:pt idx="12">
                  <c:v>79</c:v>
                </c:pt>
                <c:pt idx="13">
                  <c:v>71</c:v>
                </c:pt>
                <c:pt idx="14">
                  <c:v>74</c:v>
                </c:pt>
                <c:pt idx="15">
                  <c:v>83</c:v>
                </c:pt>
                <c:pt idx="16">
                  <c:v>80</c:v>
                </c:pt>
                <c:pt idx="17">
                  <c:v>81</c:v>
                </c:pt>
                <c:pt idx="18">
                  <c:v>85</c:v>
                </c:pt>
                <c:pt idx="19">
                  <c:v>56</c:v>
                </c:pt>
                <c:pt idx="20">
                  <c:v>63</c:v>
                </c:pt>
                <c:pt idx="21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56-48BA-822F-A8B070B6E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6415112"/>
        <c:axId val="475996416"/>
      </c:barChart>
      <c:catAx>
        <c:axId val="516415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996416"/>
        <c:crosses val="autoZero"/>
        <c:auto val="1"/>
        <c:lblAlgn val="ctr"/>
        <c:lblOffset val="100"/>
        <c:noMultiLvlLbl val="0"/>
      </c:catAx>
      <c:valAx>
        <c:axId val="47599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415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Bidders per Project (4 Yr Trend)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'2017 Analysis'!$E$725:$F$728</c15:sqref>
                  </c15:fullRef>
                  <c15:levelRef>
                    <c15:sqref>'2017 Analysis'!$F$725:$F$728</c15:sqref>
                  </c15:levelRef>
                </c:ext>
              </c:extLst>
              <c:f>'2017 Analysis'!$F$725:$F$728</c:f>
              <c:strCache>
                <c:ptCount val="4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</c:strCache>
            </c:strRef>
          </c:cat>
          <c:val>
            <c:numRef>
              <c:f>'2017 Analysis'!$G$725:$G$728</c:f>
              <c:numCache>
                <c:formatCode>General</c:formatCode>
                <c:ptCount val="4"/>
                <c:pt idx="0">
                  <c:v>6.2</c:v>
                </c:pt>
                <c:pt idx="1">
                  <c:v>6.4</c:v>
                </c:pt>
                <c:pt idx="2">
                  <c:v>5.9</c:v>
                </c:pt>
                <c:pt idx="3">
                  <c:v>5.3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E0-4013-B572-0638498EE7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6526760"/>
        <c:axId val="426527088"/>
      </c:lineChart>
      <c:catAx>
        <c:axId val="426526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527088"/>
        <c:crosses val="autoZero"/>
        <c:auto val="1"/>
        <c:lblAlgn val="ctr"/>
        <c:lblOffset val="100"/>
        <c:noMultiLvlLbl val="0"/>
      </c:catAx>
      <c:valAx>
        <c:axId val="42652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526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Historical</a:t>
            </a:r>
            <a:r>
              <a:rPr lang="en-US" baseline="0"/>
              <a:t> Performance for Estimating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'2018 Analysis'!$E$684:$F$706</c:f>
              <c:multiLvlStrCache>
                <c:ptCount val="23"/>
                <c:lvl>
                  <c:pt idx="0">
                    <c:v>1996</c:v>
                  </c:pt>
                  <c:pt idx="1">
                    <c:v>1997</c:v>
                  </c:pt>
                  <c:pt idx="2">
                    <c:v>1998</c:v>
                  </c:pt>
                  <c:pt idx="3">
                    <c:v>1999</c:v>
                  </c:pt>
                  <c:pt idx="4">
                    <c:v>2000</c:v>
                  </c:pt>
                  <c:pt idx="5">
                    <c:v>2001</c:v>
                  </c:pt>
                  <c:pt idx="6">
                    <c:v>2002</c:v>
                  </c:pt>
                  <c:pt idx="7">
                    <c:v>2003</c:v>
                  </c:pt>
                  <c:pt idx="8">
                    <c:v>2004</c:v>
                  </c:pt>
                  <c:pt idx="9">
                    <c:v>2005</c:v>
                  </c:pt>
                  <c:pt idx="10">
                    <c:v>2006</c:v>
                  </c:pt>
                  <c:pt idx="11">
                    <c:v>2007</c:v>
                  </c:pt>
                  <c:pt idx="12">
                    <c:v>2008</c:v>
                  </c:pt>
                  <c:pt idx="13">
                    <c:v>2009</c:v>
                  </c:pt>
                  <c:pt idx="14">
                    <c:v>2010</c:v>
                  </c:pt>
                  <c:pt idx="15">
                    <c:v>2011</c:v>
                  </c:pt>
                  <c:pt idx="16">
                    <c:v>2012</c:v>
                  </c:pt>
                  <c:pt idx="17">
                    <c:v>2013</c:v>
                  </c:pt>
                  <c:pt idx="18">
                    <c:v>2014</c:v>
                  </c:pt>
                  <c:pt idx="19">
                    <c:v>2015</c:v>
                  </c:pt>
                  <c:pt idx="20">
                    <c:v>2016</c:v>
                  </c:pt>
                  <c:pt idx="21">
                    <c:v>2017</c:v>
                  </c:pt>
                  <c:pt idx="22">
                    <c:v>2018</c:v>
                  </c:pt>
                </c:lvl>
                <c:lvl>
                  <c:pt idx="0">
                    <c:v>% Success Rate by Year</c:v>
                  </c:pt>
                </c:lvl>
              </c:multiLvlStrCache>
            </c:multiLvlStrRef>
          </c:cat>
          <c:val>
            <c:numRef>
              <c:f>'2018 Analysis'!$G$684:$G$706</c:f>
              <c:numCache>
                <c:formatCode>General</c:formatCode>
                <c:ptCount val="23"/>
                <c:pt idx="0">
                  <c:v>70</c:v>
                </c:pt>
                <c:pt idx="1">
                  <c:v>68</c:v>
                </c:pt>
                <c:pt idx="2">
                  <c:v>67</c:v>
                </c:pt>
                <c:pt idx="3">
                  <c:v>76</c:v>
                </c:pt>
                <c:pt idx="4">
                  <c:v>63</c:v>
                </c:pt>
                <c:pt idx="5">
                  <c:v>65</c:v>
                </c:pt>
                <c:pt idx="6">
                  <c:v>66</c:v>
                </c:pt>
                <c:pt idx="7">
                  <c:v>66</c:v>
                </c:pt>
                <c:pt idx="8">
                  <c:v>67</c:v>
                </c:pt>
                <c:pt idx="9">
                  <c:v>71</c:v>
                </c:pt>
                <c:pt idx="10">
                  <c:v>75</c:v>
                </c:pt>
                <c:pt idx="11">
                  <c:v>70</c:v>
                </c:pt>
                <c:pt idx="12">
                  <c:v>79</c:v>
                </c:pt>
                <c:pt idx="13">
                  <c:v>71</c:v>
                </c:pt>
                <c:pt idx="14">
                  <c:v>74</c:v>
                </c:pt>
                <c:pt idx="15">
                  <c:v>83</c:v>
                </c:pt>
                <c:pt idx="16">
                  <c:v>80</c:v>
                </c:pt>
                <c:pt idx="17">
                  <c:v>81</c:v>
                </c:pt>
                <c:pt idx="18">
                  <c:v>85</c:v>
                </c:pt>
                <c:pt idx="19">
                  <c:v>56</c:v>
                </c:pt>
                <c:pt idx="20">
                  <c:v>63</c:v>
                </c:pt>
                <c:pt idx="21">
                  <c:v>66</c:v>
                </c:pt>
                <c:pt idx="22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80-4450-829E-5A1FA2597F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6415112"/>
        <c:axId val="475996416"/>
      </c:barChart>
      <c:catAx>
        <c:axId val="516415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996416"/>
        <c:crosses val="autoZero"/>
        <c:auto val="1"/>
        <c:lblAlgn val="ctr"/>
        <c:lblOffset val="100"/>
        <c:noMultiLvlLbl val="0"/>
      </c:catAx>
      <c:valAx>
        <c:axId val="47599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415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Bidders per Project (5 Yr Trend)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'2018 Analysis'!$E$711:$F$715</c15:sqref>
                  </c15:fullRef>
                  <c15:levelRef>
                    <c15:sqref>'2018 Analysis'!$F$711:$F$715</c15:sqref>
                  </c15:levelRef>
                </c:ext>
              </c:extLst>
              <c:f>'2018 Analysis'!$F$711:$F$715</c:f>
              <c:strCach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strCache>
            </c:strRef>
          </c:cat>
          <c:val>
            <c:numRef>
              <c:f>'2018 Analysis'!$G$711:$G$715</c:f>
              <c:numCache>
                <c:formatCode>General</c:formatCode>
                <c:ptCount val="5"/>
                <c:pt idx="0">
                  <c:v>6.2</c:v>
                </c:pt>
                <c:pt idx="1">
                  <c:v>6.4</c:v>
                </c:pt>
                <c:pt idx="2">
                  <c:v>5.9</c:v>
                </c:pt>
                <c:pt idx="3">
                  <c:v>5.3</c:v>
                </c:pt>
                <c:pt idx="4" formatCode="0.0">
                  <c:v>4.6607142857142856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D8-4EA9-99C9-79A2C9376B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6526760"/>
        <c:axId val="426527088"/>
      </c:lineChart>
      <c:catAx>
        <c:axId val="426526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527088"/>
        <c:crosses val="autoZero"/>
        <c:auto val="1"/>
        <c:lblAlgn val="ctr"/>
        <c:lblOffset val="100"/>
        <c:noMultiLvlLbl val="0"/>
      </c:catAx>
      <c:valAx>
        <c:axId val="426527088"/>
        <c:scaling>
          <c:orientation val="minMax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526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Historical</a:t>
            </a:r>
            <a:r>
              <a:rPr lang="en-US" baseline="0"/>
              <a:t> Performance for Estimating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'2019 Analysis'!$E$633:$F$656</c:f>
              <c:multiLvlStrCache>
                <c:ptCount val="24"/>
                <c:lvl>
                  <c:pt idx="0">
                    <c:v>1996</c:v>
                  </c:pt>
                  <c:pt idx="1">
                    <c:v>1997</c:v>
                  </c:pt>
                  <c:pt idx="2">
                    <c:v>1998</c:v>
                  </c:pt>
                  <c:pt idx="3">
                    <c:v>1999</c:v>
                  </c:pt>
                  <c:pt idx="4">
                    <c:v>2000</c:v>
                  </c:pt>
                  <c:pt idx="5">
                    <c:v>2001</c:v>
                  </c:pt>
                  <c:pt idx="6">
                    <c:v>2002</c:v>
                  </c:pt>
                  <c:pt idx="7">
                    <c:v>2003</c:v>
                  </c:pt>
                  <c:pt idx="8">
                    <c:v>2004</c:v>
                  </c:pt>
                  <c:pt idx="9">
                    <c:v>2005</c:v>
                  </c:pt>
                  <c:pt idx="10">
                    <c:v>2006</c:v>
                  </c:pt>
                  <c:pt idx="11">
                    <c:v>2007</c:v>
                  </c:pt>
                  <c:pt idx="12">
                    <c:v>2008</c:v>
                  </c:pt>
                  <c:pt idx="13">
                    <c:v>2009</c:v>
                  </c:pt>
                  <c:pt idx="14">
                    <c:v>2010</c:v>
                  </c:pt>
                  <c:pt idx="15">
                    <c:v>2011</c:v>
                  </c:pt>
                  <c:pt idx="16">
                    <c:v>2012</c:v>
                  </c:pt>
                  <c:pt idx="17">
                    <c:v>2013</c:v>
                  </c:pt>
                  <c:pt idx="18">
                    <c:v>2014</c:v>
                  </c:pt>
                  <c:pt idx="19">
                    <c:v>2015</c:v>
                  </c:pt>
                  <c:pt idx="20">
                    <c:v>2016</c:v>
                  </c:pt>
                  <c:pt idx="21">
                    <c:v>2017</c:v>
                  </c:pt>
                  <c:pt idx="22">
                    <c:v>2018</c:v>
                  </c:pt>
                  <c:pt idx="23">
                    <c:v>2019</c:v>
                  </c:pt>
                </c:lvl>
                <c:lvl>
                  <c:pt idx="0">
                    <c:v>% Success Rate by Year</c:v>
                  </c:pt>
                </c:lvl>
              </c:multiLvlStrCache>
            </c:multiLvlStrRef>
          </c:cat>
          <c:val>
            <c:numRef>
              <c:f>'2019 Analysis'!$G$633:$G$656</c:f>
              <c:numCache>
                <c:formatCode>General</c:formatCode>
                <c:ptCount val="24"/>
                <c:pt idx="0">
                  <c:v>70</c:v>
                </c:pt>
                <c:pt idx="1">
                  <c:v>68</c:v>
                </c:pt>
                <c:pt idx="2">
                  <c:v>67</c:v>
                </c:pt>
                <c:pt idx="3">
                  <c:v>76</c:v>
                </c:pt>
                <c:pt idx="4">
                  <c:v>63</c:v>
                </c:pt>
                <c:pt idx="5">
                  <c:v>65</c:v>
                </c:pt>
                <c:pt idx="6">
                  <c:v>66</c:v>
                </c:pt>
                <c:pt idx="7">
                  <c:v>66</c:v>
                </c:pt>
                <c:pt idx="8">
                  <c:v>67</c:v>
                </c:pt>
                <c:pt idx="9">
                  <c:v>71</c:v>
                </c:pt>
                <c:pt idx="10">
                  <c:v>75</c:v>
                </c:pt>
                <c:pt idx="11">
                  <c:v>70</c:v>
                </c:pt>
                <c:pt idx="12">
                  <c:v>79</c:v>
                </c:pt>
                <c:pt idx="13">
                  <c:v>71</c:v>
                </c:pt>
                <c:pt idx="14">
                  <c:v>74</c:v>
                </c:pt>
                <c:pt idx="15">
                  <c:v>83</c:v>
                </c:pt>
                <c:pt idx="16">
                  <c:v>80</c:v>
                </c:pt>
                <c:pt idx="17">
                  <c:v>81</c:v>
                </c:pt>
                <c:pt idx="18">
                  <c:v>85</c:v>
                </c:pt>
                <c:pt idx="19">
                  <c:v>56</c:v>
                </c:pt>
                <c:pt idx="20">
                  <c:v>63</c:v>
                </c:pt>
                <c:pt idx="21">
                  <c:v>66</c:v>
                </c:pt>
                <c:pt idx="22">
                  <c:v>59</c:v>
                </c:pt>
                <c:pt idx="23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DC-4964-9F19-5A3D530F28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6415112"/>
        <c:axId val="475996416"/>
      </c:barChart>
      <c:catAx>
        <c:axId val="516415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996416"/>
        <c:crosses val="autoZero"/>
        <c:auto val="1"/>
        <c:lblAlgn val="ctr"/>
        <c:lblOffset val="100"/>
        <c:noMultiLvlLbl val="0"/>
      </c:catAx>
      <c:valAx>
        <c:axId val="47599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415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19050</xdr:colOff>
      <xdr:row>1</xdr:row>
      <xdr:rowOff>238125</xdr:rowOff>
    </xdr:from>
    <xdr:to>
      <xdr:col>4</xdr:col>
      <xdr:colOff>3182976</xdr:colOff>
      <xdr:row>2</xdr:row>
      <xdr:rowOff>123825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33425" y="428625"/>
          <a:ext cx="4411701" cy="285750"/>
        </a:xfrm>
        <a:prstGeom prst="rect">
          <a:avLst/>
        </a:prstGeom>
      </xdr:spPr>
    </xdr:pic>
    <xdr:clientData/>
  </xdr:twoCellAnchor>
  <xdr:twoCellAnchor>
    <xdr:from>
      <xdr:col>8</xdr:col>
      <xdr:colOff>121709</xdr:colOff>
      <xdr:row>636</xdr:row>
      <xdr:rowOff>162983</xdr:rowOff>
    </xdr:from>
    <xdr:to>
      <xdr:col>16</xdr:col>
      <xdr:colOff>142875</xdr:colOff>
      <xdr:row>651</xdr:row>
      <xdr:rowOff>48683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121708</xdr:colOff>
      <xdr:row>655</xdr:row>
      <xdr:rowOff>67734</xdr:rowOff>
    </xdr:from>
    <xdr:to>
      <xdr:col>12</xdr:col>
      <xdr:colOff>304800</xdr:colOff>
      <xdr:row>669</xdr:row>
      <xdr:rowOff>143934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66675</xdr:colOff>
          <xdr:row>0</xdr:row>
          <xdr:rowOff>142875</xdr:rowOff>
        </xdr:from>
        <xdr:to>
          <xdr:col>4</xdr:col>
          <xdr:colOff>1809750</xdr:colOff>
          <xdr:row>2</xdr:row>
          <xdr:rowOff>0</xdr:rowOff>
        </xdr:to>
        <xdr:sp macro="" textlink="">
          <xdr:nvSpPr>
            <xdr:cNvPr id="12289" name="Object 1" hidden="1">
              <a:extLst>
                <a:ext uri="{63B3BB69-23CF-44E3-9099-C40C66FF867C}">
                  <a14:compatExt spid="_x0000_s12289"/>
                </a:ext>
                <a:ext uri="{FF2B5EF4-FFF2-40B4-BE49-F238E27FC236}">
                  <a16:creationId xmlns:a16="http://schemas.microsoft.com/office/drawing/2014/main" id="{00000000-0008-0000-0100-000001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28575</xdr:colOff>
      <xdr:row>1</xdr:row>
      <xdr:rowOff>266144</xdr:rowOff>
    </xdr:from>
    <xdr:to>
      <xdr:col>4</xdr:col>
      <xdr:colOff>1828800</xdr:colOff>
      <xdr:row>2</xdr:row>
      <xdr:rowOff>190500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19125" y="456644"/>
          <a:ext cx="2981325" cy="276781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19050</xdr:colOff>
      <xdr:row>1</xdr:row>
      <xdr:rowOff>228600</xdr:rowOff>
    </xdr:from>
    <xdr:to>
      <xdr:col>4</xdr:col>
      <xdr:colOff>3182976</xdr:colOff>
      <xdr:row>2</xdr:row>
      <xdr:rowOff>161925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19100" y="419100"/>
          <a:ext cx="4411701" cy="285750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19050</xdr:colOff>
      <xdr:row>1</xdr:row>
      <xdr:rowOff>228600</xdr:rowOff>
    </xdr:from>
    <xdr:to>
      <xdr:col>4</xdr:col>
      <xdr:colOff>3182976</xdr:colOff>
      <xdr:row>2</xdr:row>
      <xdr:rowOff>161925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19100" y="419100"/>
          <a:ext cx="4411701" cy="285750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104775</xdr:colOff>
          <xdr:row>21</xdr:row>
          <xdr:rowOff>9525</xdr:rowOff>
        </xdr:from>
        <xdr:to>
          <xdr:col>7</xdr:col>
          <xdr:colOff>304800</xdr:colOff>
          <xdr:row>23</xdr:row>
          <xdr:rowOff>28575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AD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19050</xdr:colOff>
      <xdr:row>1</xdr:row>
      <xdr:rowOff>238125</xdr:rowOff>
    </xdr:from>
    <xdr:to>
      <xdr:col>4</xdr:col>
      <xdr:colOff>3182976</xdr:colOff>
      <xdr:row>2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19100" y="428625"/>
          <a:ext cx="4411701" cy="285750"/>
        </a:xfrm>
        <a:prstGeom prst="rect">
          <a:avLst/>
        </a:prstGeom>
      </xdr:spPr>
    </xdr:pic>
    <xdr:clientData/>
  </xdr:twoCellAnchor>
  <xdr:twoCellAnchor>
    <xdr:from>
      <xdr:col>8</xdr:col>
      <xdr:colOff>121709</xdr:colOff>
      <xdr:row>745</xdr:row>
      <xdr:rowOff>162983</xdr:rowOff>
    </xdr:from>
    <xdr:to>
      <xdr:col>16</xdr:col>
      <xdr:colOff>142875</xdr:colOff>
      <xdr:row>760</xdr:row>
      <xdr:rowOff>48683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121708</xdr:colOff>
      <xdr:row>764</xdr:row>
      <xdr:rowOff>67734</xdr:rowOff>
    </xdr:from>
    <xdr:to>
      <xdr:col>16</xdr:col>
      <xdr:colOff>142874</xdr:colOff>
      <xdr:row>778</xdr:row>
      <xdr:rowOff>143934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0</xdr:row>
          <xdr:rowOff>142875</xdr:rowOff>
        </xdr:from>
        <xdr:to>
          <xdr:col>4</xdr:col>
          <xdr:colOff>1409700</xdr:colOff>
          <xdr:row>2</xdr:row>
          <xdr:rowOff>0</xdr:rowOff>
        </xdr:to>
        <xdr:sp macro="" textlink="">
          <xdr:nvSpPr>
            <xdr:cNvPr id="7169" name="Object 1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00000000-0008-0000-0900-00000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19050</xdr:colOff>
      <xdr:row>1</xdr:row>
      <xdr:rowOff>238125</xdr:rowOff>
    </xdr:from>
    <xdr:to>
      <xdr:col>5</xdr:col>
      <xdr:colOff>246102</xdr:colOff>
      <xdr:row>2</xdr:row>
      <xdr:rowOff>171450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19100" y="428625"/>
          <a:ext cx="4411701" cy="28575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19050</xdr:colOff>
      <xdr:row>1</xdr:row>
      <xdr:rowOff>238125</xdr:rowOff>
    </xdr:from>
    <xdr:to>
      <xdr:col>4</xdr:col>
      <xdr:colOff>3182976</xdr:colOff>
      <xdr:row>2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19100" y="428625"/>
          <a:ext cx="4411701" cy="285750"/>
        </a:xfrm>
        <a:prstGeom prst="rect">
          <a:avLst/>
        </a:prstGeom>
      </xdr:spPr>
    </xdr:pic>
    <xdr:clientData/>
  </xdr:twoCellAnchor>
  <xdr:twoCellAnchor>
    <xdr:from>
      <xdr:col>8</xdr:col>
      <xdr:colOff>121709</xdr:colOff>
      <xdr:row>701</xdr:row>
      <xdr:rowOff>162983</xdr:rowOff>
    </xdr:from>
    <xdr:to>
      <xdr:col>16</xdr:col>
      <xdr:colOff>142875</xdr:colOff>
      <xdr:row>716</xdr:row>
      <xdr:rowOff>48683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121708</xdr:colOff>
      <xdr:row>720</xdr:row>
      <xdr:rowOff>67734</xdr:rowOff>
    </xdr:from>
    <xdr:to>
      <xdr:col>16</xdr:col>
      <xdr:colOff>142874</xdr:colOff>
      <xdr:row>734</xdr:row>
      <xdr:rowOff>143934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19050</xdr:colOff>
      <xdr:row>1</xdr:row>
      <xdr:rowOff>238125</xdr:rowOff>
    </xdr:from>
    <xdr:to>
      <xdr:col>4</xdr:col>
      <xdr:colOff>3182976</xdr:colOff>
      <xdr:row>2</xdr:row>
      <xdr:rowOff>123825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19100" y="428625"/>
          <a:ext cx="4411701" cy="285750"/>
        </a:xfrm>
        <a:prstGeom prst="rect">
          <a:avLst/>
        </a:prstGeom>
      </xdr:spPr>
    </xdr:pic>
    <xdr:clientData/>
  </xdr:twoCellAnchor>
  <xdr:twoCellAnchor>
    <xdr:from>
      <xdr:col>8</xdr:col>
      <xdr:colOff>121709</xdr:colOff>
      <xdr:row>687</xdr:row>
      <xdr:rowOff>162983</xdr:rowOff>
    </xdr:from>
    <xdr:to>
      <xdr:col>16</xdr:col>
      <xdr:colOff>142875</xdr:colOff>
      <xdr:row>702</xdr:row>
      <xdr:rowOff>48683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121708</xdr:colOff>
      <xdr:row>706</xdr:row>
      <xdr:rowOff>67734</xdr:rowOff>
    </xdr:from>
    <xdr:to>
      <xdr:col>12</xdr:col>
      <xdr:colOff>304800</xdr:colOff>
      <xdr:row>720</xdr:row>
      <xdr:rowOff>143934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19050</xdr:colOff>
      <xdr:row>1</xdr:row>
      <xdr:rowOff>238125</xdr:rowOff>
    </xdr:from>
    <xdr:to>
      <xdr:col>4</xdr:col>
      <xdr:colOff>3182976</xdr:colOff>
      <xdr:row>2</xdr:row>
      <xdr:rowOff>123825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33425" y="428625"/>
          <a:ext cx="4411701" cy="285750"/>
        </a:xfrm>
        <a:prstGeom prst="rect">
          <a:avLst/>
        </a:prstGeom>
      </xdr:spPr>
    </xdr:pic>
    <xdr:clientData/>
  </xdr:twoCellAnchor>
  <xdr:twoCellAnchor>
    <xdr:from>
      <xdr:col>8</xdr:col>
      <xdr:colOff>121709</xdr:colOff>
      <xdr:row>636</xdr:row>
      <xdr:rowOff>162983</xdr:rowOff>
    </xdr:from>
    <xdr:to>
      <xdr:col>16</xdr:col>
      <xdr:colOff>142875</xdr:colOff>
      <xdr:row>651</xdr:row>
      <xdr:rowOff>48683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79375</xdr:colOff>
      <xdr:row>659</xdr:row>
      <xdr:rowOff>57150</xdr:rowOff>
    </xdr:from>
    <xdr:to>
      <xdr:col>12</xdr:col>
      <xdr:colOff>262467</xdr:colOff>
      <xdr:row>674</xdr:row>
      <xdr:rowOff>42333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19050</xdr:colOff>
      <xdr:row>1</xdr:row>
      <xdr:rowOff>228600</xdr:rowOff>
    </xdr:from>
    <xdr:to>
      <xdr:col>4</xdr:col>
      <xdr:colOff>3182976</xdr:colOff>
      <xdr:row>2</xdr:row>
      <xdr:rowOff>161925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19100" y="419100"/>
          <a:ext cx="4411701" cy="28575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66675</xdr:colOff>
          <xdr:row>0</xdr:row>
          <xdr:rowOff>142875</xdr:rowOff>
        </xdr:from>
        <xdr:to>
          <xdr:col>3</xdr:col>
          <xdr:colOff>1809750</xdr:colOff>
          <xdr:row>2</xdr:row>
          <xdr:rowOff>0</xdr:rowOff>
        </xdr:to>
        <xdr:sp macro="" textlink="">
          <xdr:nvSpPr>
            <xdr:cNvPr id="4097" name="Object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0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victors/Documents/Work%20Files/Bid%20Log%202018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victors/AppData/Local/Microsoft/Windows/INetCache/Content.Outlook/5AT5M5HV/Bid%20Log%20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 SUMMARY"/>
      <sheetName val="2017 Analysis"/>
      <sheetName val="2016 Analysis"/>
      <sheetName val="2015 Analysis"/>
      <sheetName val="New Metric Sheet"/>
      <sheetName val="Anal 1Q17"/>
      <sheetName val="PATH 06022047"/>
      <sheetName val="3Q Est Update Meeting"/>
      <sheetName val="Army C of E data"/>
      <sheetName val="WORK ORDER SUMMARY"/>
      <sheetName val="SUMMARY"/>
      <sheetName val="HT-224.130"/>
      <sheetName val="PJ-664.532"/>
      <sheetName val="HT-224.141"/>
      <sheetName val="HT-944.004"/>
      <sheetName val="PN-654.072"/>
      <sheetName val="LT-234.181"/>
      <sheetName val="HT-224.134"/>
      <sheetName val="LGA-124.266"/>
      <sheetName val="PAT-784.165"/>
      <sheetName val="PAT-774.216"/>
      <sheetName val="PAT-774.217"/>
      <sheetName val="JFK-154.020"/>
      <sheetName val="LT-535"/>
      <sheetName val="LGA-124.248"/>
      <sheetName val="PAT-084.064"/>
      <sheetName val="PAT-774.179"/>
      <sheetName val="GWB-924.137A"/>
      <sheetName val="JFK-184.676"/>
      <sheetName val="LGA-124.256"/>
      <sheetName val="JFK-184.043"/>
      <sheetName val="PN-654.566"/>
      <sheetName val="GWB-984.205"/>
      <sheetName val="AK-196A"/>
      <sheetName val="GWB-934.046"/>
      <sheetName val="LGA-124.270"/>
      <sheetName val="MFP-994.679"/>
      <sheetName val="GWB-244.260"/>
      <sheetName val="EWR-154.306A"/>
      <sheetName val="GWB-244.236"/>
      <sheetName val="JFK-174.016"/>
      <sheetName val="EWR-154.360"/>
      <sheetName val="TEB-144.055"/>
      <sheetName val="PAT-774.176"/>
      <sheetName val="PAT-214.013"/>
      <sheetName val="EWR-154.386"/>
      <sheetName val="LGA-124.269"/>
      <sheetName val="LGA-124.268"/>
      <sheetName val="EWR-154.299"/>
      <sheetName val="JFK-164.020"/>
      <sheetName val="LGA-924.120"/>
      <sheetName val="PAT-024.200"/>
      <sheetName val="AK-196 Void"/>
      <sheetName val="HT-224.125"/>
      <sheetName val="PAT-774.174"/>
      <sheetName val="PAT-784.175"/>
      <sheetName val="EWR-154.306 Void"/>
      <sheetName val="PAT-630"/>
      <sheetName val="BT-254.153"/>
      <sheetName val="JFK-174.017"/>
      <sheetName val="HT-924.152 Void"/>
      <sheetName val="GWB-924.168"/>
      <sheetName val="HT-924.110"/>
      <sheetName val="PAT-784.169"/>
      <sheetName val="GWB-244.204A"/>
      <sheetName val="EWR-154.348"/>
      <sheetName val="PAT-024.203"/>
      <sheetName val="PAT-784.162"/>
      <sheetName val="SWF-164.032"/>
      <sheetName val="LT-944.096B"/>
      <sheetName val="GWB-924.137"/>
      <sheetName val="LT-924.183"/>
      <sheetName val="GWB-244.049"/>
      <sheetName val="PN-654.562A"/>
      <sheetName val="MFA-924.454"/>
      <sheetName val="LGA-124.260"/>
      <sheetName val="HT-224.082"/>
      <sheetName val="EWR-154.308 bafo"/>
      <sheetName val="PAT-774.170"/>
      <sheetName val="MFP-694.514"/>
      <sheetName val="PAT-024.099"/>
      <sheetName val="EWR-154.395"/>
      <sheetName val="GWB-244.204 Void"/>
      <sheetName val="MFP-924.650"/>
      <sheetName val="LT-924.121"/>
      <sheetName val="EWR-154.308 Void"/>
      <sheetName val="PAT-774.169"/>
      <sheetName val="MFP-824.016"/>
      <sheetName val="TEB-144.046"/>
      <sheetName val="LGA-124.261"/>
      <sheetName val="AKO-284.051"/>
      <sheetName val="AKO-284.049"/>
      <sheetName val="LT-924.175"/>
      <sheetName val="EWR-154.396"/>
      <sheetName val="PAT-784.172"/>
      <sheetName val="EWR-924.231"/>
      <sheetName val="JFK-184.010"/>
      <sheetName val="LGA-124.264"/>
      <sheetName val="GWB-244.265"/>
      <sheetName val="LGA-774.264"/>
      <sheetName val="HH-634.514"/>
      <sheetName val="PAT-924.802"/>
      <sheetName val="EWR-154.224 Void"/>
      <sheetName val="PAT-650"/>
      <sheetName val="GWB-244.267"/>
      <sheetName val="GWB-244.261"/>
      <sheetName val="TEB-144.056"/>
      <sheetName val="PN-654.562 Void"/>
      <sheetName val="LGA-924.287"/>
      <sheetName val="EWR-154.263"/>
      <sheetName val="JFK-144.023"/>
      <sheetName val="EWR-154.235"/>
      <sheetName val="LT-234.193"/>
      <sheetName val="BT-254.085"/>
      <sheetName val="EWR-154.247"/>
      <sheetName val="PJ-654.502"/>
      <sheetName val="EWR-154.383"/>
      <sheetName val="LT-234.194"/>
      <sheetName val="PAT-534.316A"/>
      <sheetName val="JFK-154.021"/>
      <sheetName val="EWR-154.254"/>
      <sheetName val="EWR-924.384"/>
      <sheetName val="HT-924.144"/>
      <sheetName val="HT-924.106"/>
      <sheetName val="GWB-244.042"/>
      <sheetName val="BP-694.510"/>
      <sheetName val="MF-924.022"/>
      <sheetName val="EWR-251"/>
      <sheetName val="LGA-154.251"/>
      <sheetName val="MFP-924.662"/>
      <sheetName val="JFK-1070"/>
      <sheetName val="JFK-154.024"/>
      <sheetName val="HT-224.120"/>
      <sheetName val="LGA-124.244"/>
      <sheetName val="PAT-024.002"/>
      <sheetName val="EWR-154.240"/>
      <sheetName val="EWR-154.227"/>
      <sheetName val="LGA-774.235"/>
      <sheetName val="EWR-154.271"/>
      <sheetName val="EWR-154.264"/>
      <sheetName val="GWB-924.159B"/>
      <sheetName val="EWR-924.233"/>
      <sheetName val="JFK-154.019"/>
      <sheetName val="PAT-024.031"/>
      <sheetName val="MFP-924.641"/>
      <sheetName val="EP-924.643"/>
      <sheetName val="LT-234.179"/>
      <sheetName val="GWB-924.176"/>
      <sheetName val="MFP-924.645A"/>
      <sheetName val="PN-654.558"/>
      <sheetName val="TEB-144.048"/>
      <sheetName val="PAT-084.001"/>
      <sheetName val="EWR-154.234"/>
      <sheetName val="MFP-924.634"/>
      <sheetName val="BT-254.123"/>
      <sheetName val="LGA-124.255"/>
      <sheetName val="MFP-072.016"/>
      <sheetName val="GWB-244.263"/>
      <sheetName val="GWB-244.048"/>
      <sheetName val="LGA-124.250"/>
      <sheetName val="TEB-144.045"/>
      <sheetName val="EWR-924.375"/>
      <sheetName val="GWB-924.170"/>
      <sheetName val="JFK-124.009"/>
      <sheetName val="MFP-924.645 Void"/>
      <sheetName val="JFK-154.022"/>
      <sheetName val="LGA-103.015"/>
      <sheetName val="EWR-154.392"/>
      <sheetName val="HT-924.089"/>
      <sheetName val="MFP-924.644"/>
      <sheetName val="JFK-1067"/>
      <sheetName val="JFK-124.016"/>
      <sheetName val="PAT-084.039"/>
      <sheetName val="EWR-924.288"/>
      <sheetName val="PAT-534.316 Void"/>
      <sheetName val="PN-654.551"/>
      <sheetName val="PJ-664.503"/>
      <sheetName val="LGA-124.236"/>
      <sheetName val="SWF-017"/>
      <sheetName val="GWB-924.159A Void"/>
      <sheetName val="GWB-563"/>
      <sheetName val="JFK-124.027"/>
      <sheetName val="HT-924.097"/>
      <sheetName val="AKO-924.054"/>
      <sheetName val="HT-224.127"/>
      <sheetName val="PAT-024.069A"/>
      <sheetName val="PJ-664.527"/>
      <sheetName val="JFK-144.019"/>
      <sheetName val="PN-654.042A"/>
      <sheetName val="EWR-924.366"/>
      <sheetName val="PAT-784.164"/>
      <sheetName val="LT-534"/>
      <sheetName val="LT-944.096 Void"/>
      <sheetName val="LT-934.027"/>
      <sheetName val="JFK-1064"/>
      <sheetName val="LT-800.382"/>
      <sheetName val="LT-924.028"/>
      <sheetName val="PN-654.038"/>
      <sheetName val="HT-469"/>
      <sheetName val="LGA-124.086"/>
      <sheetName val="NYNJRR-644.537"/>
      <sheetName val="HT-473A Void"/>
      <sheetName val="LT-924.014A"/>
      <sheetName val="GWB-244.246"/>
      <sheetName val="HT-224.117"/>
      <sheetName val="EWR-924.281"/>
      <sheetName val="EP-684.509A"/>
      <sheetName val="PAT-784.163"/>
      <sheetName val="SWF-164.054"/>
      <sheetName val="MFP-924.638"/>
      <sheetName val="EWR-154.197"/>
      <sheetName val="LGA-774.133B"/>
      <sheetName val="GWB-244.150"/>
      <sheetName val="LGA-124.240"/>
      <sheetName val="LGA-103.014"/>
      <sheetName val="PAT-774.154"/>
      <sheetName val="PN-654.544"/>
      <sheetName val="WTC-222.004"/>
      <sheetName val="PN-654.041"/>
      <sheetName val="WTC-222.004 Void"/>
      <sheetName val="EP-684.509 Void"/>
      <sheetName val="AK-195"/>
      <sheetName val="TP-104.006"/>
      <sheetName val="GWB-564"/>
      <sheetName val="MFA-924.283"/>
      <sheetName val="HT-224.116"/>
      <sheetName val="GWB-566"/>
      <sheetName val=" PAT-024.069 Void"/>
      <sheetName val="GWB-924.092"/>
      <sheetName val="GWB-924.159"/>
      <sheetName val="EWR-154.184"/>
      <sheetName val="GWB-244.256"/>
      <sheetName val="PN-654.036"/>
      <sheetName val="LGA-124.226"/>
      <sheetName val="EWR-924.320"/>
      <sheetName val="LGA-124.229"/>
      <sheetName val="EWR-924.175A"/>
      <sheetName val="EWR-154.239"/>
      <sheetName val="LGA-774.133A"/>
      <sheetName val="LT-924.014"/>
      <sheetName val="GWB-244.240"/>
      <sheetName val="MFP-924.623"/>
      <sheetName val="NYNJRR-644.531"/>
      <sheetName val="JFK-914.209"/>
      <sheetName val="PN-654.545"/>
      <sheetName val="PAT-131.000"/>
      <sheetName val="SWF-164.031A"/>
      <sheetName val="GWB-924.044"/>
      <sheetName val="TEB-914.203"/>
      <sheetName val="MFP-924.630"/>
      <sheetName val="PAT-643"/>
      <sheetName val="LGA-774.234"/>
      <sheetName val="LGA-774.236"/>
      <sheetName val="JFK-1050"/>
      <sheetName val="LGA-774.133"/>
      <sheetName val="PJ-924.624"/>
      <sheetName val="PAT-084.057"/>
      <sheetName val="PN-954.004"/>
      <sheetName val="JFK-134.025"/>
      <sheetName val="LGA-124.231"/>
      <sheetName val="LGA-124.166"/>
      <sheetName val="LS format"/>
      <sheetName val="CL-UCL format"/>
      <sheetName val="CL-UCL-Comp format"/>
      <sheetName val="Test tab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4">
          <cell r="F4" t="str">
            <v>HT-224.134</v>
          </cell>
        </row>
      </sheetData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4">
          <cell r="F4" t="str">
            <v>GWB-934.137A</v>
          </cell>
          <cell r="J4" t="str">
            <v>Boris Lenderman</v>
          </cell>
        </row>
        <row r="5">
          <cell r="F5" t="str">
            <v>NJ Admin Bldg Sprinkler System Rehabilitation</v>
          </cell>
        </row>
        <row r="6">
          <cell r="F6">
            <v>43545</v>
          </cell>
        </row>
        <row r="7">
          <cell r="F7">
            <v>1151000</v>
          </cell>
          <cell r="G7" t="str">
            <v>SBE</v>
          </cell>
        </row>
        <row r="8">
          <cell r="F8">
            <v>1762891</v>
          </cell>
        </row>
        <row r="9">
          <cell r="G9">
            <v>0.53161685490877497</v>
          </cell>
        </row>
        <row r="11">
          <cell r="F11" t="str">
            <v>FAIL</v>
          </cell>
        </row>
        <row r="12">
          <cell r="F12">
            <v>2446945.25</v>
          </cell>
          <cell r="H12">
            <v>4</v>
          </cell>
        </row>
      </sheetData>
      <sheetData sheetId="28">
        <row r="4">
          <cell r="F4" t="str">
            <v>JFK-184.676</v>
          </cell>
          <cell r="J4" t="str">
            <v>Nathan Demaisip</v>
          </cell>
        </row>
        <row r="5">
          <cell r="F5" t="str">
            <v>Building 111 Interim Unified Operations Center</v>
          </cell>
        </row>
        <row r="6">
          <cell r="F6">
            <v>43543</v>
          </cell>
        </row>
        <row r="7">
          <cell r="F7">
            <v>2390000</v>
          </cell>
          <cell r="G7" t="str">
            <v>Public</v>
          </cell>
        </row>
        <row r="8">
          <cell r="F8">
            <v>2374684</v>
          </cell>
        </row>
        <row r="9">
          <cell r="G9">
            <v>-6.4083682008368205E-3</v>
          </cell>
        </row>
        <row r="11">
          <cell r="F11" t="str">
            <v>GOOD</v>
          </cell>
        </row>
        <row r="12">
          <cell r="F12">
            <v>3202726.8</v>
          </cell>
          <cell r="H12">
            <v>5</v>
          </cell>
        </row>
      </sheetData>
      <sheetData sheetId="29">
        <row r="4">
          <cell r="F4" t="str">
            <v>LGA-124.256</v>
          </cell>
          <cell r="J4" t="str">
            <v>Joe Lucin</v>
          </cell>
        </row>
        <row r="5">
          <cell r="F5" t="str">
            <v>Rehab of Fuel Farm Substation</v>
          </cell>
        </row>
        <row r="6">
          <cell r="F6">
            <v>43531</v>
          </cell>
        </row>
        <row r="7">
          <cell r="F7">
            <v>2460000</v>
          </cell>
          <cell r="G7" t="str">
            <v>SBE</v>
          </cell>
        </row>
        <row r="8">
          <cell r="F8">
            <v>2542676</v>
          </cell>
        </row>
        <row r="9">
          <cell r="G9">
            <v>3.3608130081300813E-2</v>
          </cell>
        </row>
        <row r="11">
          <cell r="F11" t="str">
            <v>GOOD</v>
          </cell>
        </row>
        <row r="12">
          <cell r="F12">
            <v>2777662.25</v>
          </cell>
          <cell r="H12">
            <v>4</v>
          </cell>
        </row>
      </sheetData>
      <sheetData sheetId="30">
        <row r="4">
          <cell r="F4" t="str">
            <v>JFK-184.043</v>
          </cell>
          <cell r="J4" t="str">
            <v>John Alen</v>
          </cell>
        </row>
        <row r="5">
          <cell r="F5" t="str">
            <v>Taxiways CA and CB Paving &amp; Enhancements</v>
          </cell>
        </row>
        <row r="6">
          <cell r="F6">
            <v>43529</v>
          </cell>
        </row>
        <row r="7">
          <cell r="F7">
            <v>42125550</v>
          </cell>
          <cell r="G7" t="str">
            <v>Public</v>
          </cell>
        </row>
        <row r="8">
          <cell r="F8">
            <v>34053550</v>
          </cell>
        </row>
        <row r="9">
          <cell r="G9">
            <v>-0.19161767620838185</v>
          </cell>
        </row>
        <row r="11">
          <cell r="F11" t="str">
            <v>FAIL</v>
          </cell>
        </row>
        <row r="12">
          <cell r="F12">
            <v>35159386.5</v>
          </cell>
          <cell r="H12">
            <v>2</v>
          </cell>
        </row>
      </sheetData>
      <sheetData sheetId="31">
        <row r="4">
          <cell r="F4" t="str">
            <v>PN-654.566</v>
          </cell>
          <cell r="J4" t="str">
            <v>Ed Minall</v>
          </cell>
        </row>
        <row r="5">
          <cell r="F5" t="str">
            <v>Rehab of Berth 25 and East End Bulkhead Extension (Grouting)</v>
          </cell>
        </row>
        <row r="6">
          <cell r="F6">
            <v>43517</v>
          </cell>
        </row>
        <row r="7">
          <cell r="F7">
            <v>4450000</v>
          </cell>
          <cell r="G7" t="str">
            <v>Public</v>
          </cell>
        </row>
        <row r="8">
          <cell r="F8">
            <v>5282906</v>
          </cell>
        </row>
        <row r="9">
          <cell r="G9">
            <v>0.18716988764044945</v>
          </cell>
        </row>
        <row r="11">
          <cell r="F11" t="str">
            <v>FAIL</v>
          </cell>
        </row>
        <row r="12">
          <cell r="F12">
            <v>7461118.4285714282</v>
          </cell>
          <cell r="H12">
            <v>7</v>
          </cell>
        </row>
      </sheetData>
      <sheetData sheetId="32">
        <row r="4">
          <cell r="F4" t="str">
            <v>GWB-984.205</v>
          </cell>
          <cell r="J4" t="str">
            <v>Boris Lenderman</v>
          </cell>
        </row>
        <row r="5">
          <cell r="F5" t="str">
            <v>GWB - Maintenance Pavement Repairs via Work Order</v>
          </cell>
        </row>
        <row r="6">
          <cell r="F6">
            <v>43516</v>
          </cell>
        </row>
        <row r="7">
          <cell r="F7">
            <v>1790000</v>
          </cell>
          <cell r="G7" t="str">
            <v>PQL</v>
          </cell>
        </row>
        <row r="8">
          <cell r="F8">
            <v>1443785</v>
          </cell>
        </row>
        <row r="9">
          <cell r="G9">
            <v>-0.19341620111731844</v>
          </cell>
        </row>
        <row r="11">
          <cell r="F11" t="str">
            <v>GOOD</v>
          </cell>
        </row>
        <row r="12">
          <cell r="F12">
            <v>3495752.1428571427</v>
          </cell>
          <cell r="H12">
            <v>7</v>
          </cell>
        </row>
      </sheetData>
      <sheetData sheetId="33">
        <row r="4">
          <cell r="F4" t="str">
            <v>AK-196A</v>
          </cell>
          <cell r="J4" t="str">
            <v>Tun Tun Lin</v>
          </cell>
        </row>
        <row r="5">
          <cell r="F5" t="str">
            <v>SI Bridges - Maintenance Pavement Repairs via Work Order</v>
          </cell>
        </row>
        <row r="6">
          <cell r="F6">
            <v>43516</v>
          </cell>
        </row>
        <row r="7">
          <cell r="F7">
            <v>1880000</v>
          </cell>
          <cell r="G7" t="str">
            <v>PQL</v>
          </cell>
        </row>
        <row r="8">
          <cell r="F8">
            <v>1101828</v>
          </cell>
        </row>
        <row r="9">
          <cell r="G9">
            <v>-0.41392127659574468</v>
          </cell>
        </row>
        <row r="11">
          <cell r="F11" t="str">
            <v>GOOD</v>
          </cell>
        </row>
        <row r="12">
          <cell r="F12">
            <v>3114163.5</v>
          </cell>
          <cell r="H12">
            <v>6</v>
          </cell>
        </row>
      </sheetData>
      <sheetData sheetId="34">
        <row r="4">
          <cell r="F4" t="str">
            <v>GWB-934.046</v>
          </cell>
          <cell r="J4" t="str">
            <v>Joe Lucin</v>
          </cell>
        </row>
        <row r="5">
          <cell r="F5" t="str">
            <v>Flag Hoist System Upgrade</v>
          </cell>
        </row>
        <row r="6">
          <cell r="F6">
            <v>43503</v>
          </cell>
        </row>
        <row r="7">
          <cell r="F7">
            <v>1130000</v>
          </cell>
          <cell r="G7" t="str">
            <v>SBE</v>
          </cell>
        </row>
        <row r="8">
          <cell r="F8">
            <v>1686000</v>
          </cell>
        </row>
        <row r="9">
          <cell r="G9">
            <v>0.49203539823008852</v>
          </cell>
        </row>
        <row r="11">
          <cell r="F11" t="str">
            <v>FAIL</v>
          </cell>
        </row>
        <row r="12">
          <cell r="F12">
            <v>1933500</v>
          </cell>
          <cell r="H12">
            <v>2</v>
          </cell>
        </row>
      </sheetData>
      <sheetData sheetId="35">
        <row r="4">
          <cell r="F4" t="str">
            <v>LGA-124.270</v>
          </cell>
          <cell r="J4" t="str">
            <v>Joe Lucin</v>
          </cell>
        </row>
        <row r="5">
          <cell r="F5" t="str">
            <v>Replace West Field Lighting Vault Emergency Generator</v>
          </cell>
        </row>
        <row r="6">
          <cell r="F6">
            <v>43503</v>
          </cell>
        </row>
        <row r="7">
          <cell r="F7">
            <v>684000</v>
          </cell>
          <cell r="G7" t="str">
            <v>SBE</v>
          </cell>
        </row>
        <row r="8">
          <cell r="F8">
            <v>615000</v>
          </cell>
        </row>
        <row r="9">
          <cell r="G9">
            <v>-0.10087719298245613</v>
          </cell>
        </row>
        <row r="11">
          <cell r="F11" t="str">
            <v>GOOD</v>
          </cell>
        </row>
        <row r="12">
          <cell r="F12">
            <v>924493.4</v>
          </cell>
          <cell r="H12">
            <v>5</v>
          </cell>
        </row>
      </sheetData>
      <sheetData sheetId="36">
        <row r="4">
          <cell r="F4" t="str">
            <v>MFP-994.679</v>
          </cell>
          <cell r="J4" t="str">
            <v>Ed Minall</v>
          </cell>
        </row>
        <row r="5">
          <cell r="F5" t="str">
            <v>NJ - Maintenance Dredging via Work Order</v>
          </cell>
        </row>
        <row r="6">
          <cell r="F6">
            <v>43501</v>
          </cell>
        </row>
        <row r="7">
          <cell r="F7">
            <v>13910000</v>
          </cell>
          <cell r="G7" t="str">
            <v>PQL</v>
          </cell>
        </row>
        <row r="8">
          <cell r="F8">
            <v>11745510</v>
          </cell>
        </row>
        <row r="9">
          <cell r="G9">
            <v>-0.15560675772825305</v>
          </cell>
        </row>
        <row r="11">
          <cell r="F11" t="str">
            <v>GOOD</v>
          </cell>
        </row>
        <row r="12">
          <cell r="F12">
            <v>15613590</v>
          </cell>
          <cell r="H12">
            <v>4</v>
          </cell>
        </row>
      </sheetData>
      <sheetData sheetId="37">
        <row r="4">
          <cell r="F4" t="str">
            <v>GWB-244.260</v>
          </cell>
          <cell r="J4" t="str">
            <v>Boris Lenderman</v>
          </cell>
        </row>
        <row r="5">
          <cell r="F5" t="str">
            <v>Main Span Upper Level Struct Stl Rehab (Phase 2) &amp; Appurtenances</v>
          </cell>
        </row>
        <row r="6">
          <cell r="F6">
            <v>43496</v>
          </cell>
        </row>
        <row r="7">
          <cell r="F7">
            <v>92495500</v>
          </cell>
          <cell r="G7" t="str">
            <v>Public</v>
          </cell>
        </row>
        <row r="8">
          <cell r="F8">
            <v>63348000</v>
          </cell>
        </row>
        <row r="9">
          <cell r="G9">
            <v>-0.31512343843754559</v>
          </cell>
        </row>
        <row r="11">
          <cell r="F11" t="str">
            <v>FAIL</v>
          </cell>
        </row>
        <row r="12">
          <cell r="F12">
            <v>68785236.666666672</v>
          </cell>
          <cell r="H12">
            <v>3</v>
          </cell>
        </row>
      </sheetData>
      <sheetData sheetId="38">
        <row r="4">
          <cell r="F4" t="str">
            <v>EWR-154.306A</v>
          </cell>
          <cell r="J4" t="str">
            <v>Joe Lucin</v>
          </cell>
        </row>
        <row r="5">
          <cell r="F5" t="str">
            <v>Rehab of Runway 11-29</v>
          </cell>
        </row>
        <row r="6">
          <cell r="F6">
            <v>43489</v>
          </cell>
        </row>
        <row r="7">
          <cell r="F7">
            <v>23450000</v>
          </cell>
          <cell r="G7" t="str">
            <v>Public</v>
          </cell>
        </row>
        <row r="8">
          <cell r="F8">
            <v>25644000</v>
          </cell>
        </row>
        <row r="9">
          <cell r="G9">
            <v>9.3560767590618335E-2</v>
          </cell>
        </row>
        <row r="11">
          <cell r="F11" t="str">
            <v>GOOD</v>
          </cell>
        </row>
        <row r="12">
          <cell r="F12">
            <v>28255558.5</v>
          </cell>
          <cell r="H12">
            <v>2</v>
          </cell>
        </row>
      </sheetData>
      <sheetData sheetId="39">
        <row r="4">
          <cell r="F4" t="str">
            <v>GWB-244.236</v>
          </cell>
          <cell r="J4" t="str">
            <v>Boris Lenderman</v>
          </cell>
        </row>
        <row r="5">
          <cell r="F5" t="str">
            <v>Intelligent Transportation System Repl Signs and Field Devices</v>
          </cell>
        </row>
        <row r="6">
          <cell r="F6">
            <v>43488</v>
          </cell>
        </row>
        <row r="7">
          <cell r="F7">
            <v>28219450</v>
          </cell>
          <cell r="G7" t="str">
            <v>Public</v>
          </cell>
        </row>
        <row r="8">
          <cell r="F8">
            <v>27620150</v>
          </cell>
        </row>
        <row r="9">
          <cell r="G9">
            <v>-2.1237125457795953E-2</v>
          </cell>
        </row>
        <row r="11">
          <cell r="F11" t="str">
            <v>GOOD</v>
          </cell>
        </row>
        <row r="12">
          <cell r="F12">
            <v>38331440.5</v>
          </cell>
          <cell r="H12">
            <v>6</v>
          </cell>
        </row>
      </sheetData>
      <sheetData sheetId="40">
        <row r="4">
          <cell r="F4" t="str">
            <v>JFK-174.016</v>
          </cell>
          <cell r="J4" t="str">
            <v>Wen Chang</v>
          </cell>
        </row>
        <row r="5">
          <cell r="F5" t="str">
            <v>Bridges J31 &amp; J32 Rehab - Aqueduct Road</v>
          </cell>
        </row>
        <row r="6">
          <cell r="F6">
            <v>43475</v>
          </cell>
        </row>
        <row r="7">
          <cell r="F7">
            <v>4500000</v>
          </cell>
          <cell r="G7" t="str">
            <v>Public</v>
          </cell>
        </row>
        <row r="8">
          <cell r="F8">
            <v>4863085</v>
          </cell>
        </row>
        <row r="9">
          <cell r="G9">
            <v>8.0685555555555552E-2</v>
          </cell>
        </row>
        <row r="11">
          <cell r="F11" t="str">
            <v>GOOD</v>
          </cell>
        </row>
        <row r="12">
          <cell r="F12">
            <v>6990880.833333333</v>
          </cell>
          <cell r="H12">
            <v>6</v>
          </cell>
        </row>
      </sheetData>
      <sheetData sheetId="41">
        <row r="4">
          <cell r="F4" t="str">
            <v>EWR-154.360</v>
          </cell>
          <cell r="J4" t="str">
            <v>Tun Tun Lin</v>
          </cell>
        </row>
        <row r="5">
          <cell r="F5" t="str">
            <v>Bldg 76 Underground Storage Tank Repl</v>
          </cell>
        </row>
        <row r="6">
          <cell r="F6">
            <v>43468</v>
          </cell>
        </row>
        <row r="7">
          <cell r="F7">
            <v>426000</v>
          </cell>
          <cell r="G7" t="str">
            <v>SBE</v>
          </cell>
        </row>
        <row r="8">
          <cell r="F8">
            <v>745850</v>
          </cell>
        </row>
        <row r="9">
          <cell r="G9">
            <v>0.75082159624413147</v>
          </cell>
        </row>
        <row r="11">
          <cell r="F11" t="str">
            <v>FAIL</v>
          </cell>
        </row>
        <row r="12">
          <cell r="F12">
            <v>848425</v>
          </cell>
          <cell r="H12">
            <v>2</v>
          </cell>
        </row>
      </sheetData>
      <sheetData sheetId="42">
        <row r="4">
          <cell r="F4" t="str">
            <v>TEB-144.055</v>
          </cell>
          <cell r="J4" t="str">
            <v>Joe Lucin</v>
          </cell>
        </row>
        <row r="5">
          <cell r="F5" t="str">
            <v>Rehab of Taxiways G, L and P</v>
          </cell>
        </row>
        <row r="6">
          <cell r="F6">
            <v>43452</v>
          </cell>
        </row>
        <row r="7">
          <cell r="F7">
            <v>10250000</v>
          </cell>
          <cell r="G7" t="str">
            <v>Public</v>
          </cell>
        </row>
        <row r="8">
          <cell r="F8">
            <v>8275000</v>
          </cell>
        </row>
        <row r="9">
          <cell r="G9">
            <v>-0.1926829268292683</v>
          </cell>
        </row>
        <row r="11">
          <cell r="F11" t="str">
            <v>FAIL</v>
          </cell>
        </row>
        <row r="12">
          <cell r="F12">
            <v>9049324.666666666</v>
          </cell>
          <cell r="H12">
            <v>3</v>
          </cell>
        </row>
      </sheetData>
      <sheetData sheetId="43">
        <row r="4">
          <cell r="F4" t="str">
            <v>PAT-774.176</v>
          </cell>
          <cell r="J4" t="str">
            <v>Nathan Demaisip</v>
          </cell>
        </row>
        <row r="5">
          <cell r="F5" t="str">
            <v>HCMF-Replace Track Slab and Rehab of Parking Lots &amp; Roads</v>
          </cell>
        </row>
        <row r="6">
          <cell r="F6">
            <v>43441</v>
          </cell>
        </row>
        <row r="7">
          <cell r="F7">
            <v>5000000</v>
          </cell>
          <cell r="G7" t="str">
            <v>Public</v>
          </cell>
        </row>
        <row r="8">
          <cell r="F8">
            <v>4380000</v>
          </cell>
        </row>
        <row r="9">
          <cell r="G9">
            <v>-0.124</v>
          </cell>
        </row>
        <row r="11">
          <cell r="F11" t="str">
            <v>GOOD</v>
          </cell>
        </row>
        <row r="12">
          <cell r="F12">
            <v>5853509.5</v>
          </cell>
          <cell r="H12">
            <v>4</v>
          </cell>
        </row>
      </sheetData>
      <sheetData sheetId="44">
        <row r="4">
          <cell r="F4" t="str">
            <v>PAT-214.013</v>
          </cell>
          <cell r="J4" t="str">
            <v>Nathan Demaisip</v>
          </cell>
        </row>
        <row r="5">
          <cell r="F5" t="str">
            <v>JSQ - Public Restroom Rehabilitation</v>
          </cell>
        </row>
        <row r="6">
          <cell r="F6">
            <v>43440</v>
          </cell>
        </row>
        <row r="7">
          <cell r="F7">
            <v>1500000</v>
          </cell>
          <cell r="G7" t="str">
            <v>SBE</v>
          </cell>
        </row>
        <row r="8">
          <cell r="F8">
            <v>2546000</v>
          </cell>
        </row>
        <row r="9">
          <cell r="G9">
            <v>0.69733333333333336</v>
          </cell>
        </row>
        <row r="11">
          <cell r="F11" t="str">
            <v>FAIL</v>
          </cell>
        </row>
        <row r="12">
          <cell r="F12">
            <v>4262816.666666667</v>
          </cell>
          <cell r="H12">
            <v>3</v>
          </cell>
        </row>
      </sheetData>
      <sheetData sheetId="45">
        <row r="4">
          <cell r="F4" t="str">
            <v>EWR-154.386</v>
          </cell>
          <cell r="J4" t="str">
            <v>Joe Lucin</v>
          </cell>
        </row>
        <row r="5">
          <cell r="F5" t="str">
            <v>Term A Redev - Airside Utilities and Paving South phase 2</v>
          </cell>
        </row>
        <row r="6">
          <cell r="F6">
            <v>43438</v>
          </cell>
        </row>
        <row r="7">
          <cell r="F7">
            <v>122920000</v>
          </cell>
          <cell r="G7" t="str">
            <v>Public</v>
          </cell>
        </row>
        <row r="8">
          <cell r="F8">
            <v>119769038</v>
          </cell>
        </row>
        <row r="9">
          <cell r="G9">
            <v>-2.5634249918646275E-2</v>
          </cell>
        </row>
        <row r="11">
          <cell r="F11" t="str">
            <v>GOOD</v>
          </cell>
        </row>
        <row r="12">
          <cell r="F12">
            <v>122138179</v>
          </cell>
          <cell r="H12">
            <v>2</v>
          </cell>
        </row>
      </sheetData>
      <sheetData sheetId="46">
        <row r="4">
          <cell r="F4" t="str">
            <v>LGA-124.269</v>
          </cell>
          <cell r="J4" t="str">
            <v>Joe Lucin</v>
          </cell>
        </row>
        <row r="5">
          <cell r="F5" t="str">
            <v>Hangar 7S Drainage Rehabilitation</v>
          </cell>
        </row>
        <row r="6">
          <cell r="F6">
            <v>43438</v>
          </cell>
        </row>
        <row r="7">
          <cell r="F7">
            <v>448000</v>
          </cell>
          <cell r="G7" t="str">
            <v>SBE</v>
          </cell>
        </row>
        <row r="8">
          <cell r="F8">
            <v>432222</v>
          </cell>
        </row>
        <row r="9">
          <cell r="G9">
            <v>-3.521875E-2</v>
          </cell>
        </row>
        <row r="11">
          <cell r="F11" t="str">
            <v>GOOD</v>
          </cell>
        </row>
        <row r="12">
          <cell r="F12">
            <v>792267</v>
          </cell>
          <cell r="H12">
            <v>6</v>
          </cell>
        </row>
      </sheetData>
      <sheetData sheetId="47">
        <row r="4">
          <cell r="F4" t="str">
            <v>LGA-124.268</v>
          </cell>
          <cell r="J4" t="str">
            <v>Joe Lucin</v>
          </cell>
        </row>
        <row r="5">
          <cell r="F5" t="str">
            <v>Patrol Road Drainage Rehabilitation</v>
          </cell>
        </row>
        <row r="6">
          <cell r="F6">
            <v>43433</v>
          </cell>
        </row>
        <row r="7">
          <cell r="F7">
            <v>287000</v>
          </cell>
          <cell r="G7" t="str">
            <v>SBE</v>
          </cell>
        </row>
        <row r="8">
          <cell r="F8">
            <v>369034</v>
          </cell>
        </row>
        <row r="9">
          <cell r="G9">
            <v>0.28583275261324043</v>
          </cell>
        </row>
        <row r="11">
          <cell r="F11" t="str">
            <v>FAIL</v>
          </cell>
        </row>
        <row r="12">
          <cell r="F12">
            <v>503308</v>
          </cell>
          <cell r="H12">
            <v>5</v>
          </cell>
        </row>
      </sheetData>
      <sheetData sheetId="48">
        <row r="4">
          <cell r="F4" t="str">
            <v>EWR-154.299</v>
          </cell>
          <cell r="J4" t="str">
            <v>Joe Lucin</v>
          </cell>
        </row>
        <row r="5">
          <cell r="F5" t="str">
            <v>Repl CHIRP North Electric Substation and Chiller Upgrades</v>
          </cell>
        </row>
        <row r="6">
          <cell r="F6">
            <v>43419</v>
          </cell>
        </row>
        <row r="7">
          <cell r="F7">
            <v>12570000</v>
          </cell>
          <cell r="G7" t="str">
            <v>Public</v>
          </cell>
        </row>
        <row r="8">
          <cell r="F8">
            <v>9714000</v>
          </cell>
        </row>
        <row r="9">
          <cell r="G9">
            <v>-0.22720763723150358</v>
          </cell>
        </row>
        <row r="11">
          <cell r="F11" t="str">
            <v>FAIL</v>
          </cell>
        </row>
        <row r="12">
          <cell r="F12">
            <v>10579250</v>
          </cell>
          <cell r="H12">
            <v>4</v>
          </cell>
        </row>
      </sheetData>
      <sheetData sheetId="49">
        <row r="4">
          <cell r="F4" t="str">
            <v>JFK-164.020</v>
          </cell>
          <cell r="J4" t="str">
            <v>Wen Chang</v>
          </cell>
        </row>
        <row r="5">
          <cell r="F5" t="str">
            <v>Reconstruct Runway 13L-31R and Associated Taxiways</v>
          </cell>
        </row>
        <row r="6">
          <cell r="F6">
            <v>43413</v>
          </cell>
        </row>
        <row r="7">
          <cell r="F7">
            <v>186355200</v>
          </cell>
          <cell r="G7" t="str">
            <v>Public</v>
          </cell>
        </row>
        <row r="8">
          <cell r="F8">
            <v>152100000</v>
          </cell>
        </row>
        <row r="9">
          <cell r="G9">
            <v>-0.18381671131259014</v>
          </cell>
        </row>
        <row r="11">
          <cell r="F11" t="str">
            <v>FAIL</v>
          </cell>
        </row>
        <row r="12">
          <cell r="F12">
            <v>157872084</v>
          </cell>
          <cell r="H12">
            <v>3</v>
          </cell>
        </row>
      </sheetData>
      <sheetData sheetId="50">
        <row r="4">
          <cell r="F4" t="str">
            <v>LGA-924.120</v>
          </cell>
          <cell r="J4" t="str">
            <v>Joe Lucin</v>
          </cell>
        </row>
        <row r="5">
          <cell r="F5" t="str">
            <v>Runway Instrument Landing &amp; Approach Lighting Pier Repairs</v>
          </cell>
        </row>
        <row r="6">
          <cell r="F6">
            <v>43412</v>
          </cell>
        </row>
        <row r="7">
          <cell r="F7">
            <v>784000</v>
          </cell>
          <cell r="G7" t="str">
            <v>Public</v>
          </cell>
        </row>
        <row r="8">
          <cell r="F8">
            <v>968530</v>
          </cell>
        </row>
        <row r="9">
          <cell r="G9">
            <v>0.23536989795918367</v>
          </cell>
        </row>
        <row r="11">
          <cell r="F11" t="str">
            <v>FAIL</v>
          </cell>
        </row>
        <row r="12">
          <cell r="F12">
            <v>1009710</v>
          </cell>
          <cell r="H12">
            <v>3</v>
          </cell>
        </row>
      </sheetData>
      <sheetData sheetId="51">
        <row r="4">
          <cell r="F4" t="str">
            <v>PAT-024.200</v>
          </cell>
          <cell r="J4" t="str">
            <v>Nathan Demaisip</v>
          </cell>
        </row>
        <row r="5">
          <cell r="F5" t="str">
            <v>Upgrade of Fire Supression System</v>
          </cell>
        </row>
        <row r="6">
          <cell r="F6">
            <v>43412</v>
          </cell>
        </row>
        <row r="7">
          <cell r="F7">
            <v>9720000</v>
          </cell>
          <cell r="G7" t="str">
            <v>Public</v>
          </cell>
        </row>
        <row r="8">
          <cell r="F8">
            <v>7666000</v>
          </cell>
        </row>
        <row r="9">
          <cell r="G9">
            <v>-0.21131687242798353</v>
          </cell>
        </row>
        <row r="11">
          <cell r="F11" t="str">
            <v>FAIL</v>
          </cell>
        </row>
        <row r="12">
          <cell r="F12">
            <v>8557038.75</v>
          </cell>
          <cell r="H12">
            <v>4</v>
          </cell>
        </row>
      </sheetData>
      <sheetData sheetId="52">
        <row r="4">
          <cell r="F4" t="str">
            <v>AK-196</v>
          </cell>
        </row>
        <row r="5">
          <cell r="F5" t="str">
            <v>SI Bridges - Maintenance Pavement Repairs via Work Order</v>
          </cell>
        </row>
        <row r="6">
          <cell r="F6">
            <v>43411</v>
          </cell>
        </row>
      </sheetData>
      <sheetData sheetId="53">
        <row r="4">
          <cell r="F4" t="str">
            <v>HT-224.125</v>
          </cell>
          <cell r="J4" t="str">
            <v>Aye Thann</v>
          </cell>
        </row>
        <row r="5">
          <cell r="F5" t="str">
            <v>NY Emergency Garage Bldg - Parapet Repairs and Roof Replacement</v>
          </cell>
        </row>
        <row r="6">
          <cell r="F6">
            <v>43410</v>
          </cell>
        </row>
        <row r="7">
          <cell r="F7">
            <v>2215000</v>
          </cell>
          <cell r="G7" t="str">
            <v>SBE</v>
          </cell>
        </row>
        <row r="8">
          <cell r="F8">
            <v>1984098</v>
          </cell>
        </row>
        <row r="9">
          <cell r="G9">
            <v>-0.10424469525959368</v>
          </cell>
        </row>
        <row r="11">
          <cell r="F11" t="str">
            <v>GOOD</v>
          </cell>
        </row>
        <row r="12">
          <cell r="F12">
            <v>2858292.5</v>
          </cell>
          <cell r="H12">
            <v>4</v>
          </cell>
        </row>
      </sheetData>
      <sheetData sheetId="54">
        <row r="4">
          <cell r="F4" t="str">
            <v>PAT-774.174</v>
          </cell>
          <cell r="J4" t="str">
            <v>Nathan Demaisip</v>
          </cell>
        </row>
        <row r="5">
          <cell r="F5" t="str">
            <v>Grove Street Headhouse Permanent Flood Protection</v>
          </cell>
        </row>
        <row r="6">
          <cell r="F6">
            <v>43405</v>
          </cell>
        </row>
        <row r="7">
          <cell r="F7">
            <v>9650000</v>
          </cell>
          <cell r="G7" t="str">
            <v>Public</v>
          </cell>
        </row>
        <row r="8">
          <cell r="F8">
            <v>9200000</v>
          </cell>
        </row>
        <row r="9">
          <cell r="G9">
            <v>-4.6632124352331605E-2</v>
          </cell>
        </row>
        <row r="11">
          <cell r="F11" t="str">
            <v>GOOD</v>
          </cell>
        </row>
        <row r="12">
          <cell r="F12">
            <v>9200000</v>
          </cell>
          <cell r="H12">
            <v>1</v>
          </cell>
        </row>
      </sheetData>
      <sheetData sheetId="55">
        <row r="4">
          <cell r="F4" t="str">
            <v>PAT-784.175</v>
          </cell>
          <cell r="J4" t="str">
            <v>Nathan Demaisip</v>
          </cell>
        </row>
        <row r="5">
          <cell r="F5" t="str">
            <v>Extend C-Yard Rail Bridge over Waldo Tunnel Portal</v>
          </cell>
        </row>
        <row r="6">
          <cell r="F6">
            <v>43404</v>
          </cell>
        </row>
        <row r="7">
          <cell r="F7">
            <v>6500000</v>
          </cell>
          <cell r="G7" t="str">
            <v>Public</v>
          </cell>
        </row>
        <row r="8">
          <cell r="F8">
            <v>4149491</v>
          </cell>
        </row>
        <row r="9">
          <cell r="G9">
            <v>-0.36161676923076924</v>
          </cell>
        </row>
        <row r="11">
          <cell r="F11" t="str">
            <v>FAIL</v>
          </cell>
        </row>
        <row r="12">
          <cell r="F12">
            <v>5708325.25</v>
          </cell>
          <cell r="H12">
            <v>8</v>
          </cell>
        </row>
      </sheetData>
      <sheetData sheetId="56">
        <row r="4">
          <cell r="F4" t="str">
            <v>EWR-154.306</v>
          </cell>
        </row>
        <row r="5">
          <cell r="F5" t="str">
            <v>Rehabilitation of Runway 11-29</v>
          </cell>
        </row>
        <row r="6">
          <cell r="F6">
            <v>43398</v>
          </cell>
        </row>
      </sheetData>
      <sheetData sheetId="57">
        <row r="4">
          <cell r="F4" t="str">
            <v>PAT-630</v>
          </cell>
          <cell r="J4" t="str">
            <v>Nathan Demaisip</v>
          </cell>
        </row>
        <row r="5">
          <cell r="F5" t="str">
            <v>South Street Compressor Upgrade</v>
          </cell>
        </row>
        <row r="6">
          <cell r="F6">
            <v>43397</v>
          </cell>
        </row>
        <row r="7">
          <cell r="F7">
            <v>2971000</v>
          </cell>
          <cell r="G7" t="str">
            <v>Public</v>
          </cell>
        </row>
        <row r="8">
          <cell r="F8">
            <v>2384000</v>
          </cell>
        </row>
        <row r="9">
          <cell r="G9">
            <v>-0.1975765735442612</v>
          </cell>
        </row>
        <row r="11">
          <cell r="F11" t="str">
            <v>GOOD</v>
          </cell>
        </row>
        <row r="12">
          <cell r="F12">
            <v>3291500</v>
          </cell>
          <cell r="H12">
            <v>2</v>
          </cell>
        </row>
      </sheetData>
      <sheetData sheetId="58">
        <row r="4">
          <cell r="F4" t="str">
            <v>BT-254.153</v>
          </cell>
          <cell r="J4" t="str">
            <v>Boris Lenderman</v>
          </cell>
        </row>
        <row r="5">
          <cell r="F5" t="str">
            <v>Partial South Wing 3rd Flr Wearing Course and Waterproof Membrane</v>
          </cell>
        </row>
        <row r="6">
          <cell r="F6">
            <v>43391</v>
          </cell>
        </row>
        <row r="7">
          <cell r="F7">
            <v>7950000</v>
          </cell>
          <cell r="G7" t="str">
            <v>Public</v>
          </cell>
        </row>
        <row r="8">
          <cell r="F8">
            <v>6875775</v>
          </cell>
        </row>
        <row r="9">
          <cell r="G9">
            <v>-0.13512264150943396</v>
          </cell>
        </row>
        <row r="11">
          <cell r="F11" t="str">
            <v>GOOD</v>
          </cell>
        </row>
        <row r="12">
          <cell r="F12">
            <v>7451400</v>
          </cell>
          <cell r="H12">
            <v>2</v>
          </cell>
        </row>
      </sheetData>
      <sheetData sheetId="59">
        <row r="4">
          <cell r="F4" t="str">
            <v>JFK-174.017</v>
          </cell>
          <cell r="J4" t="str">
            <v>Dean Stracuzza</v>
          </cell>
        </row>
        <row r="5">
          <cell r="F5" t="str">
            <v>Replacement of 86 Pad Substation</v>
          </cell>
        </row>
        <row r="6">
          <cell r="F6">
            <v>43389</v>
          </cell>
        </row>
        <row r="7">
          <cell r="F7">
            <v>3800000</v>
          </cell>
          <cell r="G7" t="str">
            <v>Public</v>
          </cell>
        </row>
        <row r="8">
          <cell r="F8">
            <v>3781700</v>
          </cell>
        </row>
        <row r="9">
          <cell r="G9">
            <v>-4.8157894736842108E-3</v>
          </cell>
        </row>
        <row r="11">
          <cell r="F11" t="str">
            <v>GOOD</v>
          </cell>
        </row>
        <row r="12">
          <cell r="F12">
            <v>4748686.375</v>
          </cell>
          <cell r="H12">
            <v>8</v>
          </cell>
        </row>
      </sheetData>
      <sheetData sheetId="60">
        <row r="4">
          <cell r="F4" t="str">
            <v>HT-924.152</v>
          </cell>
        </row>
        <row r="5">
          <cell r="F5" t="str">
            <v>Maintenance Pavement Repairs via Work Order</v>
          </cell>
        </row>
        <row r="6">
          <cell r="F6">
            <v>43383</v>
          </cell>
        </row>
      </sheetData>
      <sheetData sheetId="61">
        <row r="4">
          <cell r="F4" t="str">
            <v>GWB-924.168</v>
          </cell>
          <cell r="J4" t="str">
            <v>Joe Lucin</v>
          </cell>
        </row>
        <row r="5">
          <cell r="F5" t="str">
            <v>Rock Slope Priority Repairs</v>
          </cell>
        </row>
        <row r="6">
          <cell r="F6">
            <v>43382</v>
          </cell>
        </row>
        <row r="7">
          <cell r="F7">
            <v>1130000</v>
          </cell>
          <cell r="G7" t="str">
            <v>Public</v>
          </cell>
        </row>
        <row r="8">
          <cell r="F8">
            <v>1383700</v>
          </cell>
        </row>
        <row r="9">
          <cell r="G9">
            <v>0.22451327433628318</v>
          </cell>
        </row>
        <row r="11">
          <cell r="F11" t="str">
            <v>FAIL</v>
          </cell>
        </row>
        <row r="12">
          <cell r="F12">
            <v>1772637.5</v>
          </cell>
          <cell r="H12">
            <v>4</v>
          </cell>
        </row>
      </sheetData>
      <sheetData sheetId="62">
        <row r="4">
          <cell r="F4" t="str">
            <v>HT-924.110</v>
          </cell>
        </row>
        <row r="5">
          <cell r="F5" t="str">
            <v>NJ Admin Bldg Second Means of Egress</v>
          </cell>
        </row>
        <row r="6">
          <cell r="F6">
            <v>43382</v>
          </cell>
        </row>
      </sheetData>
      <sheetData sheetId="63">
        <row r="4">
          <cell r="F4" t="str">
            <v>PAT-784.169</v>
          </cell>
          <cell r="J4" t="str">
            <v>Nathan Demaisip</v>
          </cell>
        </row>
        <row r="5">
          <cell r="F5" t="str">
            <v>Exchange Place and Newport Head House Flood Protection</v>
          </cell>
        </row>
        <row r="6">
          <cell r="F6">
            <v>43376</v>
          </cell>
        </row>
        <row r="7">
          <cell r="F7">
            <v>21700000</v>
          </cell>
          <cell r="G7" t="str">
            <v>Public</v>
          </cell>
        </row>
        <row r="8">
          <cell r="F8">
            <v>15765000</v>
          </cell>
        </row>
        <row r="9">
          <cell r="G9">
            <v>-0.27350230414746546</v>
          </cell>
        </row>
        <row r="11">
          <cell r="F11" t="str">
            <v>GOOD</v>
          </cell>
        </row>
        <row r="12">
          <cell r="F12">
            <v>26085716</v>
          </cell>
          <cell r="H12">
            <v>5</v>
          </cell>
        </row>
      </sheetData>
      <sheetData sheetId="64">
        <row r="4">
          <cell r="F4" t="str">
            <v>GWB-244.204A</v>
          </cell>
          <cell r="J4" t="str">
            <v>Boris Lenderman</v>
          </cell>
        </row>
        <row r="5">
          <cell r="F5" t="str">
            <v>Rehab Center and Lemoine Avenue Bridges</v>
          </cell>
        </row>
        <row r="6">
          <cell r="F6">
            <v>43368</v>
          </cell>
        </row>
        <row r="7">
          <cell r="F7">
            <v>64356250</v>
          </cell>
          <cell r="G7" t="str">
            <v>Public</v>
          </cell>
        </row>
        <row r="8">
          <cell r="F8">
            <v>51485000</v>
          </cell>
        </row>
        <row r="9">
          <cell r="G9">
            <v>-0.2</v>
          </cell>
        </row>
        <row r="11">
          <cell r="F11" t="str">
            <v>GOOD</v>
          </cell>
        </row>
        <row r="12">
          <cell r="F12">
            <v>75310398.875</v>
          </cell>
          <cell r="H12">
            <v>8</v>
          </cell>
        </row>
      </sheetData>
      <sheetData sheetId="65">
        <row r="4">
          <cell r="F4" t="str">
            <v>EWR-154.348</v>
          </cell>
          <cell r="J4" t="str">
            <v>Joe Lucin</v>
          </cell>
        </row>
        <row r="5">
          <cell r="F5" t="str">
            <v>Airtrain Station P4 Elev Shaft Glass Replacement</v>
          </cell>
        </row>
        <row r="6">
          <cell r="F6">
            <v>43368</v>
          </cell>
        </row>
        <row r="7">
          <cell r="F7">
            <v>760000</v>
          </cell>
          <cell r="G7" t="str">
            <v>SBE</v>
          </cell>
        </row>
        <row r="8">
          <cell r="F8">
            <v>994150</v>
          </cell>
        </row>
        <row r="9">
          <cell r="G9">
            <v>0.30809210526315789</v>
          </cell>
        </row>
        <row r="11">
          <cell r="F11" t="str">
            <v>FAIL</v>
          </cell>
        </row>
        <row r="12">
          <cell r="H12">
            <v>3</v>
          </cell>
        </row>
      </sheetData>
      <sheetData sheetId="66">
        <row r="4">
          <cell r="F4" t="str">
            <v>PAT-024.203</v>
          </cell>
          <cell r="J4" t="str">
            <v>Nathan Demaisip</v>
          </cell>
        </row>
        <row r="5">
          <cell r="F5" t="str">
            <v>Redundant Fluid Cooler at PATH Train Control Center</v>
          </cell>
        </row>
        <row r="6">
          <cell r="F6">
            <v>43363</v>
          </cell>
        </row>
        <row r="7">
          <cell r="F7">
            <v>1700000</v>
          </cell>
          <cell r="G7" t="str">
            <v>SBE</v>
          </cell>
        </row>
        <row r="8">
          <cell r="F8">
            <v>1560315</v>
          </cell>
        </row>
        <row r="9">
          <cell r="G9">
            <v>-8.2167647058823526E-2</v>
          </cell>
        </row>
        <row r="11">
          <cell r="F11" t="str">
            <v>GOOD</v>
          </cell>
        </row>
        <row r="12">
          <cell r="F12">
            <v>2705657.5</v>
          </cell>
          <cell r="H12">
            <v>2</v>
          </cell>
        </row>
      </sheetData>
      <sheetData sheetId="67">
        <row r="4">
          <cell r="F4" t="str">
            <v>PAT-784.162</v>
          </cell>
          <cell r="J4" t="str">
            <v>Nathan Demaisip</v>
          </cell>
        </row>
        <row r="5">
          <cell r="F5" t="str">
            <v>Hoboken Flood Resiliency</v>
          </cell>
        </row>
        <row r="6">
          <cell r="F6">
            <v>43356</v>
          </cell>
        </row>
        <row r="7">
          <cell r="F7">
            <v>5960000</v>
          </cell>
          <cell r="G7" t="str">
            <v>Public</v>
          </cell>
        </row>
        <row r="8">
          <cell r="F8">
            <v>6956000</v>
          </cell>
        </row>
        <row r="9">
          <cell r="G9">
            <v>0.16711409395973154</v>
          </cell>
        </row>
        <row r="11">
          <cell r="F11" t="str">
            <v>FAIL</v>
          </cell>
        </row>
        <row r="12">
          <cell r="F12">
            <v>8933697.75</v>
          </cell>
          <cell r="H12">
            <v>4</v>
          </cell>
        </row>
      </sheetData>
      <sheetData sheetId="68">
        <row r="4">
          <cell r="F4" t="str">
            <v>SWF-164.032</v>
          </cell>
          <cell r="J4" t="str">
            <v>Andy Victors</v>
          </cell>
        </row>
        <row r="5">
          <cell r="F5" t="str">
            <v>Terminal Expansion - Federal Inspection Services Facility</v>
          </cell>
        </row>
        <row r="6">
          <cell r="F6">
            <v>43350</v>
          </cell>
        </row>
        <row r="7">
          <cell r="F7">
            <v>17920000</v>
          </cell>
          <cell r="G7" t="str">
            <v>Public</v>
          </cell>
        </row>
        <row r="8">
          <cell r="F8">
            <v>21068000</v>
          </cell>
        </row>
        <row r="9">
          <cell r="G9">
            <v>0.17566964285714284</v>
          </cell>
        </row>
        <row r="11">
          <cell r="F11" t="str">
            <v>FAIL</v>
          </cell>
        </row>
        <row r="12">
          <cell r="F12">
            <v>22772500</v>
          </cell>
          <cell r="H12">
            <v>2</v>
          </cell>
        </row>
      </sheetData>
      <sheetData sheetId="69">
        <row r="4">
          <cell r="F4" t="str">
            <v>LT-944.096B</v>
          </cell>
        </row>
        <row r="5">
          <cell r="F5" t="str">
            <v>Replacement of Aboveground Storage Tanks</v>
          </cell>
        </row>
        <row r="6">
          <cell r="F6">
            <v>43340</v>
          </cell>
        </row>
        <row r="7">
          <cell r="F7">
            <v>2500000</v>
          </cell>
          <cell r="G7" t="str">
            <v>Public</v>
          </cell>
        </row>
        <row r="8">
          <cell r="F8">
            <v>2952000</v>
          </cell>
        </row>
        <row r="9">
          <cell r="G9">
            <v>0.18079999999999999</v>
          </cell>
        </row>
        <row r="11">
          <cell r="F11" t="str">
            <v>FAIL</v>
          </cell>
        </row>
        <row r="12">
          <cell r="H12">
            <v>3</v>
          </cell>
        </row>
      </sheetData>
      <sheetData sheetId="70">
        <row r="4">
          <cell r="F4" t="str">
            <v>GWB-924.137</v>
          </cell>
          <cell r="J4" t="str">
            <v>Boris Lenderman</v>
          </cell>
        </row>
        <row r="5">
          <cell r="F5" t="str">
            <v>NJ Administration Building - Sprinkler System Rehabiliation</v>
          </cell>
        </row>
        <row r="6">
          <cell r="F6">
            <v>43326</v>
          </cell>
        </row>
        <row r="7">
          <cell r="F7">
            <v>858000</v>
          </cell>
          <cell r="G7" t="str">
            <v>SBE</v>
          </cell>
        </row>
        <row r="8">
          <cell r="F8">
            <v>743300</v>
          </cell>
        </row>
        <row r="9">
          <cell r="G9">
            <v>-0.13368298368298367</v>
          </cell>
        </row>
        <row r="11">
          <cell r="F11" t="str">
            <v>GOOD</v>
          </cell>
        </row>
        <row r="12">
          <cell r="F12">
            <v>2139150</v>
          </cell>
          <cell r="H12">
            <v>2</v>
          </cell>
        </row>
      </sheetData>
      <sheetData sheetId="71">
        <row r="4">
          <cell r="F4" t="str">
            <v>LT-924.183</v>
          </cell>
          <cell r="J4" t="str">
            <v>Boris Lenderman</v>
          </cell>
        </row>
        <row r="5">
          <cell r="F5" t="str">
            <v>South Tube Pavement Fine Milling</v>
          </cell>
        </row>
        <row r="6">
          <cell r="F6">
            <v>43326</v>
          </cell>
        </row>
        <row r="7">
          <cell r="F7">
            <v>1300000</v>
          </cell>
          <cell r="G7" t="str">
            <v>SBE</v>
          </cell>
        </row>
        <row r="8">
          <cell r="F8">
            <v>695800</v>
          </cell>
        </row>
        <row r="9">
          <cell r="G9">
            <v>-0.46476923076923077</v>
          </cell>
        </row>
        <row r="11">
          <cell r="F11" t="str">
            <v>FAIL</v>
          </cell>
        </row>
        <row r="12">
          <cell r="F12">
            <v>1057500</v>
          </cell>
          <cell r="H12">
            <v>2</v>
          </cell>
        </row>
      </sheetData>
      <sheetData sheetId="72">
        <row r="4">
          <cell r="F4" t="str">
            <v>GWB-244.049</v>
          </cell>
          <cell r="J4" t="str">
            <v>Boris Lenderman</v>
          </cell>
        </row>
        <row r="5">
          <cell r="F5" t="str">
            <v>Trans-Manhattan Expressway Median Barriers and Water Mains</v>
          </cell>
        </row>
        <row r="6">
          <cell r="F6">
            <v>43319</v>
          </cell>
        </row>
        <row r="7">
          <cell r="F7">
            <v>54744000</v>
          </cell>
          <cell r="G7" t="str">
            <v>Public</v>
          </cell>
        </row>
        <row r="8">
          <cell r="F8">
            <v>34776250</v>
          </cell>
        </row>
        <row r="9">
          <cell r="G9">
            <v>-0.36474773491158846</v>
          </cell>
        </row>
        <row r="11">
          <cell r="F11" t="str">
            <v>GOOD</v>
          </cell>
        </row>
        <row r="12">
          <cell r="F12">
            <v>49859526.25</v>
          </cell>
          <cell r="H12">
            <v>4</v>
          </cell>
        </row>
      </sheetData>
      <sheetData sheetId="73">
        <row r="4">
          <cell r="F4" t="str">
            <v>PN-654.562A</v>
          </cell>
          <cell r="J4" t="str">
            <v>Ed Minall</v>
          </cell>
        </row>
        <row r="5">
          <cell r="F5" t="str">
            <v>Bldg 267 Roof Collapse Repair</v>
          </cell>
        </row>
        <row r="6">
          <cell r="F6">
            <v>43314</v>
          </cell>
        </row>
        <row r="7">
          <cell r="F7">
            <v>1980000</v>
          </cell>
          <cell r="G7" t="str">
            <v>SBE</v>
          </cell>
        </row>
        <row r="8">
          <cell r="F8">
            <v>2882170</v>
          </cell>
        </row>
        <row r="9">
          <cell r="G9">
            <v>0.45564141414141413</v>
          </cell>
        </row>
        <row r="11">
          <cell r="F11" t="str">
            <v>FAIL</v>
          </cell>
        </row>
        <row r="12">
          <cell r="F12">
            <v>4467184.666666667</v>
          </cell>
          <cell r="H12">
            <v>6</v>
          </cell>
        </row>
      </sheetData>
      <sheetData sheetId="74">
        <row r="4">
          <cell r="F4" t="str">
            <v>MFA-924.454</v>
          </cell>
          <cell r="J4" t="str">
            <v>Joe Lucin</v>
          </cell>
        </row>
        <row r="5">
          <cell r="F5" t="str">
            <v>EWR and TEB - Asphalt Repairs via Work Order</v>
          </cell>
        </row>
        <row r="6">
          <cell r="F6">
            <v>43311</v>
          </cell>
        </row>
        <row r="7">
          <cell r="F7">
            <v>9350000</v>
          </cell>
          <cell r="G7" t="str">
            <v>PQL</v>
          </cell>
        </row>
        <row r="8">
          <cell r="F8">
            <v>6855365</v>
          </cell>
        </row>
        <row r="9">
          <cell r="G9">
            <v>-0.26680588235294117</v>
          </cell>
        </row>
        <row r="11">
          <cell r="F11" t="str">
            <v>GOOD</v>
          </cell>
        </row>
        <row r="12">
          <cell r="F12">
            <v>10087545</v>
          </cell>
          <cell r="H12">
            <v>3</v>
          </cell>
        </row>
      </sheetData>
      <sheetData sheetId="75">
        <row r="4">
          <cell r="F4" t="str">
            <v>LGA-124.260</v>
          </cell>
          <cell r="J4" t="str">
            <v>Joe Lucin</v>
          </cell>
        </row>
        <row r="5">
          <cell r="F5" t="str">
            <v>Rehab of Runway 4-22 and Associated Taxiways</v>
          </cell>
        </row>
        <row r="6">
          <cell r="F6">
            <v>43299</v>
          </cell>
        </row>
        <row r="7">
          <cell r="F7">
            <v>34796400</v>
          </cell>
          <cell r="G7" t="str">
            <v>PQL</v>
          </cell>
        </row>
        <row r="8">
          <cell r="F8">
            <v>34483510</v>
          </cell>
        </row>
        <row r="9">
          <cell r="G9">
            <v>-8.9920221632122863E-3</v>
          </cell>
        </row>
        <row r="11">
          <cell r="F11" t="str">
            <v>GOOD</v>
          </cell>
        </row>
        <row r="12">
          <cell r="F12">
            <v>35471255</v>
          </cell>
          <cell r="H12">
            <v>2</v>
          </cell>
        </row>
      </sheetData>
      <sheetData sheetId="76">
        <row r="4">
          <cell r="F4" t="str">
            <v>HT-224.082</v>
          </cell>
          <cell r="J4" t="str">
            <v>Boris Lenderman</v>
          </cell>
        </row>
        <row r="5">
          <cell r="F5" t="str">
            <v>Repl Bulkhead Doors in Ventilation Buildings</v>
          </cell>
        </row>
        <row r="6">
          <cell r="F6">
            <v>43299</v>
          </cell>
        </row>
        <row r="7">
          <cell r="F7">
            <v>3570000</v>
          </cell>
          <cell r="G7" t="str">
            <v>Public</v>
          </cell>
        </row>
        <row r="8">
          <cell r="F8">
            <v>3861000</v>
          </cell>
        </row>
        <row r="9">
          <cell r="G9">
            <v>8.1512605042016809E-2</v>
          </cell>
        </row>
        <row r="11">
          <cell r="F11" t="str">
            <v>GOOD</v>
          </cell>
        </row>
        <row r="12">
          <cell r="F12">
            <v>5535683.333333333</v>
          </cell>
          <cell r="H12">
            <v>6</v>
          </cell>
        </row>
      </sheetData>
      <sheetData sheetId="77">
        <row r="4">
          <cell r="F4" t="str">
            <v>EWR-154.308 bafo</v>
          </cell>
          <cell r="J4" t="str">
            <v>Joe Lucin</v>
          </cell>
        </row>
        <row r="5">
          <cell r="F5" t="str">
            <v>Rehabilitation of Taxiway S</v>
          </cell>
        </row>
        <row r="6">
          <cell r="F6">
            <v>43287</v>
          </cell>
        </row>
        <row r="7">
          <cell r="F7">
            <v>3730000</v>
          </cell>
          <cell r="G7" t="str">
            <v>PQL</v>
          </cell>
        </row>
        <row r="8">
          <cell r="F8">
            <v>4547000</v>
          </cell>
        </row>
        <row r="9">
          <cell r="G9">
            <v>0.2190348525469169</v>
          </cell>
        </row>
        <row r="11">
          <cell r="F11" t="str">
            <v>FAIL</v>
          </cell>
        </row>
        <row r="12">
          <cell r="F12">
            <v>4717276.666666667</v>
          </cell>
          <cell r="H12">
            <v>3</v>
          </cell>
        </row>
      </sheetData>
      <sheetData sheetId="78">
        <row r="4">
          <cell r="F4" t="str">
            <v>PAT-774.170</v>
          </cell>
          <cell r="J4" t="str">
            <v>Nathan Demaisip</v>
          </cell>
        </row>
        <row r="5">
          <cell r="F5" t="str">
            <v>Repl Exchange Place and Newport Escalators and Elevators</v>
          </cell>
        </row>
        <row r="6">
          <cell r="F6">
            <v>43264</v>
          </cell>
        </row>
        <row r="7">
          <cell r="F7">
            <v>38600000</v>
          </cell>
          <cell r="G7" t="str">
            <v>Public</v>
          </cell>
        </row>
        <row r="8">
          <cell r="F8">
            <v>35950000</v>
          </cell>
        </row>
        <row r="9">
          <cell r="G9">
            <v>-6.8652849740932637E-2</v>
          </cell>
        </row>
        <row r="11">
          <cell r="F11" t="str">
            <v>GOOD</v>
          </cell>
        </row>
        <row r="12">
          <cell r="F12">
            <v>39922000</v>
          </cell>
          <cell r="H12">
            <v>2</v>
          </cell>
        </row>
      </sheetData>
      <sheetData sheetId="79">
        <row r="4">
          <cell r="F4" t="str">
            <v>MFP-694.514</v>
          </cell>
          <cell r="J4" t="str">
            <v>Nathan Demaisip</v>
          </cell>
        </row>
        <row r="5">
          <cell r="F5" t="str">
            <v>NY and NJ Marine Terminals - CCTV Upgrade and Expansion (Port Newark and Brooklyn)</v>
          </cell>
        </row>
        <row r="6">
          <cell r="F6">
            <v>43259</v>
          </cell>
        </row>
        <row r="7">
          <cell r="F7">
            <v>2770000</v>
          </cell>
          <cell r="G7" t="str">
            <v>VVP</v>
          </cell>
        </row>
        <row r="8">
          <cell r="F8">
            <v>2542996</v>
          </cell>
        </row>
        <row r="9">
          <cell r="G9">
            <v>-8.1950902527075806E-2</v>
          </cell>
        </row>
        <row r="11">
          <cell r="F11" t="str">
            <v>GOOD</v>
          </cell>
        </row>
        <row r="12">
          <cell r="F12">
            <v>4162248.5</v>
          </cell>
          <cell r="H12">
            <v>6</v>
          </cell>
        </row>
      </sheetData>
      <sheetData sheetId="80">
        <row r="4">
          <cell r="F4" t="str">
            <v>PAT-024.099</v>
          </cell>
          <cell r="J4" t="str">
            <v>Nathan Demaisip</v>
          </cell>
        </row>
        <row r="5">
          <cell r="F5" t="str">
            <v>Exchange Place Substation #4 Roof Replacement</v>
          </cell>
        </row>
        <row r="6">
          <cell r="F6">
            <v>43251</v>
          </cell>
        </row>
        <row r="7">
          <cell r="F7">
            <v>1567000</v>
          </cell>
          <cell r="G7" t="str">
            <v>Public</v>
          </cell>
        </row>
        <row r="8">
          <cell r="F8">
            <v>918315</v>
          </cell>
        </row>
        <row r="9">
          <cell r="G9">
            <v>-0.41396617740906189</v>
          </cell>
        </row>
        <row r="11">
          <cell r="F11" t="str">
            <v>GOOD</v>
          </cell>
        </row>
        <row r="12">
          <cell r="F12">
            <v>2609788.4</v>
          </cell>
          <cell r="H12">
            <v>5</v>
          </cell>
        </row>
      </sheetData>
      <sheetData sheetId="81">
        <row r="4">
          <cell r="F4" t="str">
            <v>EWR-154.395</v>
          </cell>
          <cell r="J4" t="str">
            <v>Joe Lucin</v>
          </cell>
        </row>
        <row r="5">
          <cell r="F5" t="str">
            <v>Bridges N61, 62, 63, At-Grade Roadways and Appurtenances</v>
          </cell>
        </row>
        <row r="6">
          <cell r="F6">
            <v>43250</v>
          </cell>
        </row>
        <row r="7">
          <cell r="F7">
            <v>153277500</v>
          </cell>
          <cell r="G7" t="str">
            <v>Public</v>
          </cell>
        </row>
        <row r="8">
          <cell r="F8">
            <v>118434757</v>
          </cell>
        </row>
        <row r="9">
          <cell r="G9">
            <v>-0.22731805385656734</v>
          </cell>
        </row>
        <row r="11">
          <cell r="F11" t="str">
            <v>FAIL</v>
          </cell>
        </row>
        <row r="12">
          <cell r="F12">
            <v>138481360</v>
          </cell>
          <cell r="H12">
            <v>13</v>
          </cell>
        </row>
      </sheetData>
      <sheetData sheetId="82">
        <row r="4">
          <cell r="F4" t="str">
            <v>GWB-244.204</v>
          </cell>
        </row>
        <row r="5">
          <cell r="F5" t="str">
            <v>Rehab Center and Lemoine Avenue Bridges</v>
          </cell>
        </row>
        <row r="6">
          <cell r="F6">
            <v>43242</v>
          </cell>
        </row>
      </sheetData>
      <sheetData sheetId="83">
        <row r="4">
          <cell r="F4" t="str">
            <v>MFP-924.650</v>
          </cell>
          <cell r="J4" t="str">
            <v>Ed Minall</v>
          </cell>
        </row>
        <row r="5">
          <cell r="F5" t="str">
            <v>NY Marine Terminals - Maintenance Dredging via Work Order</v>
          </cell>
        </row>
        <row r="6">
          <cell r="F6">
            <v>43230</v>
          </cell>
        </row>
        <row r="7">
          <cell r="F7">
            <v>4390000</v>
          </cell>
          <cell r="G7" t="str">
            <v>Public</v>
          </cell>
        </row>
        <row r="8">
          <cell r="F8">
            <v>4220000</v>
          </cell>
        </row>
        <row r="9">
          <cell r="G9">
            <v>-3.8724373576309798E-2</v>
          </cell>
        </row>
        <row r="11">
          <cell r="F11" t="str">
            <v>GOOD</v>
          </cell>
        </row>
        <row r="12">
          <cell r="F12">
            <v>6081225</v>
          </cell>
          <cell r="H12">
            <v>4</v>
          </cell>
        </row>
      </sheetData>
      <sheetData sheetId="84">
        <row r="4">
          <cell r="F4" t="str">
            <v>LT-924.121</v>
          </cell>
          <cell r="J4" t="str">
            <v>Ed Minall</v>
          </cell>
        </row>
        <row r="5">
          <cell r="F5" t="str">
            <v>Steel Repairs at 38th St Bridge and Concrete Repairs at NY Vent Bldg South</v>
          </cell>
        </row>
        <row r="6">
          <cell r="F6">
            <v>43221</v>
          </cell>
        </row>
        <row r="7">
          <cell r="F7">
            <v>960000</v>
          </cell>
          <cell r="G7" t="str">
            <v>SBE</v>
          </cell>
        </row>
        <row r="8">
          <cell r="F8">
            <v>413834</v>
          </cell>
        </row>
        <row r="9">
          <cell r="G9">
            <v>-0.56892291666666661</v>
          </cell>
        </row>
        <row r="11">
          <cell r="F11" t="str">
            <v>FAIL</v>
          </cell>
        </row>
        <row r="12">
          <cell r="F12">
            <v>710613.8</v>
          </cell>
          <cell r="H12">
            <v>5</v>
          </cell>
        </row>
      </sheetData>
      <sheetData sheetId="85">
        <row r="4">
          <cell r="F4" t="str">
            <v>EWR-154.308</v>
          </cell>
        </row>
        <row r="5">
          <cell r="F5" t="str">
            <v>Rehabilitation of Taxiway S</v>
          </cell>
        </row>
        <row r="6">
          <cell r="F6">
            <v>43207</v>
          </cell>
        </row>
      </sheetData>
      <sheetData sheetId="86">
        <row r="4">
          <cell r="F4" t="str">
            <v>PAT-774.169</v>
          </cell>
          <cell r="J4" t="str">
            <v>Nathan Demaisip</v>
          </cell>
        </row>
        <row r="5">
          <cell r="F5" t="str">
            <v>Replace Elevators at Harrison Car Maintenance Facility</v>
          </cell>
        </row>
        <row r="6">
          <cell r="F6">
            <v>43195</v>
          </cell>
        </row>
        <row r="7">
          <cell r="F7">
            <v>1520000</v>
          </cell>
          <cell r="G7" t="str">
            <v>Public</v>
          </cell>
        </row>
        <row r="8">
          <cell r="F8">
            <v>856934</v>
          </cell>
        </row>
        <row r="9">
          <cell r="G9">
            <v>-0.43622763157894739</v>
          </cell>
        </row>
        <row r="11">
          <cell r="F11" t="str">
            <v>GOOD</v>
          </cell>
        </row>
        <row r="12">
          <cell r="F12">
            <v>1906983.5</v>
          </cell>
          <cell r="H12">
            <v>4</v>
          </cell>
        </row>
      </sheetData>
      <sheetData sheetId="87">
        <row r="4">
          <cell r="F4" t="str">
            <v>MFP-824.016</v>
          </cell>
          <cell r="J4" t="str">
            <v>Ed Minall</v>
          </cell>
        </row>
        <row r="5">
          <cell r="F5" t="str">
            <v>NY Marine Terminals Priority Repairs by Work Order</v>
          </cell>
        </row>
        <row r="6">
          <cell r="F6">
            <v>43193</v>
          </cell>
        </row>
        <row r="7">
          <cell r="F7">
            <v>9140000</v>
          </cell>
          <cell r="G7" t="str">
            <v>Public</v>
          </cell>
        </row>
        <row r="8">
          <cell r="F8">
            <v>4659626</v>
          </cell>
        </row>
        <row r="9">
          <cell r="G9">
            <v>-0.49019409190371993</v>
          </cell>
        </row>
        <row r="11">
          <cell r="F11" t="str">
            <v>GOOD</v>
          </cell>
        </row>
        <row r="12">
          <cell r="F12">
            <v>10095414</v>
          </cell>
          <cell r="H12">
            <v>5</v>
          </cell>
        </row>
      </sheetData>
      <sheetData sheetId="88">
        <row r="4">
          <cell r="F4" t="str">
            <v>TEB-144.046</v>
          </cell>
          <cell r="J4" t="str">
            <v>Joe Lucin</v>
          </cell>
        </row>
        <row r="5">
          <cell r="F5" t="str">
            <v>Removal of Taxiway B and Construction of Taxiway V</v>
          </cell>
        </row>
        <row r="6">
          <cell r="F6">
            <v>43193</v>
          </cell>
        </row>
        <row r="7">
          <cell r="F7">
            <v>3441000</v>
          </cell>
          <cell r="G7" t="str">
            <v>Public</v>
          </cell>
        </row>
        <row r="8">
          <cell r="F8">
            <v>2993080</v>
          </cell>
        </row>
        <row r="9">
          <cell r="G9">
            <v>-0.13017146178436501</v>
          </cell>
        </row>
        <row r="11">
          <cell r="F11" t="str">
            <v>GOOD</v>
          </cell>
        </row>
        <row r="12">
          <cell r="F12">
            <v>3534026.6666666665</v>
          </cell>
          <cell r="H12">
            <v>3</v>
          </cell>
        </row>
      </sheetData>
      <sheetData sheetId="89">
        <row r="4">
          <cell r="F4" t="str">
            <v>LGA-124.261</v>
          </cell>
          <cell r="J4" t="str">
            <v>Joe Lucin</v>
          </cell>
        </row>
        <row r="5">
          <cell r="F5" t="str">
            <v>Rehab of Pump House 1 Retaining Wall</v>
          </cell>
        </row>
        <row r="6">
          <cell r="F6">
            <v>43179</v>
          </cell>
        </row>
        <row r="7">
          <cell r="F7">
            <v>1440000</v>
          </cell>
          <cell r="G7" t="str">
            <v>Public</v>
          </cell>
        </row>
        <row r="8">
          <cell r="F8">
            <v>1928000</v>
          </cell>
        </row>
        <row r="9">
          <cell r="G9">
            <v>0.33888888888888891</v>
          </cell>
        </row>
        <row r="11">
          <cell r="F11" t="str">
            <v>FAIL</v>
          </cell>
        </row>
        <row r="12">
          <cell r="F12">
            <v>2393861.8571428573</v>
          </cell>
          <cell r="H12">
            <v>7</v>
          </cell>
        </row>
      </sheetData>
      <sheetData sheetId="90">
        <row r="4">
          <cell r="F4" t="str">
            <v>AKO-284.051</v>
          </cell>
          <cell r="J4" t="str">
            <v>Ed Minall</v>
          </cell>
        </row>
        <row r="5">
          <cell r="F5" t="str">
            <v>Main Spain Pier and Fender Upgrades</v>
          </cell>
        </row>
        <row r="6">
          <cell r="F6">
            <v>43179</v>
          </cell>
        </row>
        <row r="7">
          <cell r="F7">
            <v>27125000</v>
          </cell>
          <cell r="G7" t="str">
            <v>Public</v>
          </cell>
        </row>
        <row r="8">
          <cell r="F8">
            <v>22964560</v>
          </cell>
        </row>
        <row r="9">
          <cell r="G9">
            <v>-0.15338027649769584</v>
          </cell>
        </row>
        <row r="11">
          <cell r="F11" t="str">
            <v>GOOD</v>
          </cell>
        </row>
        <row r="12">
          <cell r="F12">
            <v>31632465.399999999</v>
          </cell>
          <cell r="H12">
            <v>10</v>
          </cell>
        </row>
      </sheetData>
      <sheetData sheetId="91">
        <row r="4">
          <cell r="F4" t="str">
            <v>AKO-284.049</v>
          </cell>
          <cell r="J4" t="str">
            <v>Joe Lucin</v>
          </cell>
        </row>
        <row r="5">
          <cell r="F5" t="str">
            <v>Tollhouse Building Roof</v>
          </cell>
        </row>
        <row r="6">
          <cell r="F6">
            <v>43174</v>
          </cell>
        </row>
        <row r="7">
          <cell r="F7">
            <v>1150000</v>
          </cell>
          <cell r="G7" t="str">
            <v>Public</v>
          </cell>
        </row>
        <row r="8">
          <cell r="F8">
            <v>1253317</v>
          </cell>
        </row>
        <row r="9">
          <cell r="G9">
            <v>8.9840869565217391E-2</v>
          </cell>
        </row>
        <row r="11">
          <cell r="F11" t="str">
            <v>GOOD</v>
          </cell>
        </row>
        <row r="12">
          <cell r="F12">
            <v>1900429</v>
          </cell>
          <cell r="H12">
            <v>6</v>
          </cell>
        </row>
      </sheetData>
      <sheetData sheetId="92">
        <row r="4">
          <cell r="F4" t="str">
            <v>LT-924.175</v>
          </cell>
          <cell r="J4" t="str">
            <v>Boris Lenderman</v>
          </cell>
        </row>
        <row r="5">
          <cell r="F5" t="str">
            <v>Helix Guiderail Repair and Manhole Cover Relocation</v>
          </cell>
        </row>
        <row r="6">
          <cell r="F6">
            <v>43173</v>
          </cell>
        </row>
        <row r="7">
          <cell r="F7">
            <v>600000</v>
          </cell>
          <cell r="G7" t="str">
            <v>MWBE</v>
          </cell>
        </row>
        <row r="8">
          <cell r="F8">
            <v>749000</v>
          </cell>
        </row>
        <row r="9">
          <cell r="G9">
            <v>0.24833333333333332</v>
          </cell>
        </row>
        <row r="11">
          <cell r="F11" t="str">
            <v>FAIL</v>
          </cell>
        </row>
        <row r="12">
          <cell r="F12">
            <v>994735</v>
          </cell>
          <cell r="H12">
            <v>3</v>
          </cell>
        </row>
      </sheetData>
      <sheetData sheetId="93">
        <row r="4">
          <cell r="F4" t="str">
            <v>EWR-154.396</v>
          </cell>
          <cell r="J4" t="str">
            <v>Joe Lucin</v>
          </cell>
        </row>
        <row r="5">
          <cell r="F5" t="str">
            <v>Bridge N64 and Hotel Road Widening</v>
          </cell>
        </row>
        <row r="6">
          <cell r="F6">
            <v>43168</v>
          </cell>
        </row>
        <row r="7">
          <cell r="F7">
            <v>10900000</v>
          </cell>
          <cell r="G7" t="str">
            <v>Public</v>
          </cell>
        </row>
        <row r="8">
          <cell r="F8">
            <v>10417536</v>
          </cell>
        </row>
        <row r="9">
          <cell r="G9">
            <v>-4.4262752293577984E-2</v>
          </cell>
        </row>
        <row r="11">
          <cell r="F11" t="str">
            <v>GOOD</v>
          </cell>
        </row>
        <row r="12">
          <cell r="F12">
            <v>12059792.454545455</v>
          </cell>
          <cell r="H12">
            <v>11</v>
          </cell>
        </row>
      </sheetData>
      <sheetData sheetId="94">
        <row r="4">
          <cell r="F4" t="str">
            <v>PAT-784.172</v>
          </cell>
          <cell r="J4" t="str">
            <v>Nathan Demaisip</v>
          </cell>
        </row>
        <row r="5">
          <cell r="F5" t="str">
            <v>Hoboken Station Elevator Flood Resiliency</v>
          </cell>
        </row>
        <row r="6">
          <cell r="F6">
            <v>43167</v>
          </cell>
        </row>
        <row r="7">
          <cell r="F7">
            <v>1600000</v>
          </cell>
          <cell r="G7" t="str">
            <v>Public</v>
          </cell>
        </row>
        <row r="8">
          <cell r="F8">
            <v>1948000</v>
          </cell>
        </row>
        <row r="9">
          <cell r="G9">
            <v>0.2175</v>
          </cell>
        </row>
        <row r="11">
          <cell r="F11" t="str">
            <v>FAIL</v>
          </cell>
        </row>
        <row r="12">
          <cell r="F12">
            <v>2353500</v>
          </cell>
          <cell r="H12">
            <v>2</v>
          </cell>
        </row>
      </sheetData>
      <sheetData sheetId="95">
        <row r="4">
          <cell r="F4" t="str">
            <v>EWR-924.231</v>
          </cell>
          <cell r="J4" t="str">
            <v>Joe Lucin</v>
          </cell>
        </row>
        <row r="5">
          <cell r="F5" t="str">
            <v>Priority and Safety Repairs</v>
          </cell>
        </row>
        <row r="6">
          <cell r="F6">
            <v>43160</v>
          </cell>
        </row>
        <row r="7">
          <cell r="F7">
            <v>1273000</v>
          </cell>
          <cell r="G7" t="str">
            <v>Public</v>
          </cell>
        </row>
        <row r="8">
          <cell r="F8">
            <v>1050950</v>
          </cell>
        </row>
        <row r="9">
          <cell r="G9">
            <v>-0.1744304791830322</v>
          </cell>
        </row>
        <row r="11">
          <cell r="F11" t="str">
            <v>GOOD</v>
          </cell>
        </row>
        <row r="12">
          <cell r="F12">
            <v>2050444.6666666667</v>
          </cell>
          <cell r="H12">
            <v>6</v>
          </cell>
        </row>
      </sheetData>
      <sheetData sheetId="96">
        <row r="4">
          <cell r="F4" t="str">
            <v>JFK-184.010</v>
          </cell>
          <cell r="J4" t="str">
            <v>Wen Chang</v>
          </cell>
        </row>
        <row r="5">
          <cell r="F5" t="str">
            <v>Replace Control Tower Roofs, HVAC Equipment and Curtain Wall Repairs</v>
          </cell>
        </row>
        <row r="6">
          <cell r="F6">
            <v>43147</v>
          </cell>
        </row>
        <row r="7">
          <cell r="F7">
            <v>23100000</v>
          </cell>
          <cell r="G7" t="str">
            <v>Public</v>
          </cell>
        </row>
        <row r="8">
          <cell r="F8">
            <v>16848000</v>
          </cell>
        </row>
        <row r="9">
          <cell r="G9">
            <v>-0.27064935064935064</v>
          </cell>
        </row>
        <row r="11">
          <cell r="F11" t="str">
            <v>GOOD</v>
          </cell>
        </row>
        <row r="12">
          <cell r="F12">
            <v>24152208.666666668</v>
          </cell>
          <cell r="H12">
            <v>6</v>
          </cell>
        </row>
      </sheetData>
      <sheetData sheetId="97">
        <row r="4">
          <cell r="F4" t="str">
            <v>LGA-124.264</v>
          </cell>
          <cell r="J4" t="str">
            <v>Joe Lucin</v>
          </cell>
        </row>
        <row r="5">
          <cell r="F5" t="str">
            <v>Rehab of Runway Decks Wearing Course (Epoxy Stage 3)</v>
          </cell>
        </row>
        <row r="6">
          <cell r="F6">
            <v>43139</v>
          </cell>
        </row>
        <row r="7">
          <cell r="F7">
            <v>10590000</v>
          </cell>
          <cell r="G7" t="str">
            <v>PQL</v>
          </cell>
        </row>
        <row r="8">
          <cell r="F8">
            <v>9125000</v>
          </cell>
        </row>
        <row r="9">
          <cell r="G9">
            <v>-0.13833805476864966</v>
          </cell>
        </row>
        <row r="11">
          <cell r="F11" t="str">
            <v>FAIL</v>
          </cell>
        </row>
        <row r="12">
          <cell r="F12">
            <v>9478917</v>
          </cell>
          <cell r="H12">
            <v>2</v>
          </cell>
        </row>
      </sheetData>
      <sheetData sheetId="98">
        <row r="4">
          <cell r="F4" t="str">
            <v>GWB-244.265</v>
          </cell>
          <cell r="J4" t="str">
            <v>Joe Lucin</v>
          </cell>
        </row>
        <row r="5">
          <cell r="F5" t="str">
            <v>Pedestrian Safety Fencing on NJ Approach Parapets</v>
          </cell>
        </row>
        <row r="6">
          <cell r="F6">
            <v>43138</v>
          </cell>
        </row>
        <row r="7">
          <cell r="F7">
            <v>1056000</v>
          </cell>
          <cell r="G7" t="str">
            <v>MWBE</v>
          </cell>
        </row>
        <row r="8">
          <cell r="F8">
            <v>619790</v>
          </cell>
        </row>
        <row r="9">
          <cell r="G9">
            <v>-0.41307765151515152</v>
          </cell>
        </row>
        <row r="11">
          <cell r="F11" t="str">
            <v>GOOD</v>
          </cell>
        </row>
        <row r="12">
          <cell r="F12">
            <v>2319072.3333333335</v>
          </cell>
          <cell r="H12">
            <v>6</v>
          </cell>
        </row>
      </sheetData>
      <sheetData sheetId="99">
        <row r="4">
          <cell r="F4" t="str">
            <v>LGA-774.264</v>
          </cell>
          <cell r="J4" t="str">
            <v>Joe Lucin</v>
          </cell>
        </row>
        <row r="5">
          <cell r="F5" t="str">
            <v>Flood Protection at the West End Substation</v>
          </cell>
        </row>
        <row r="6">
          <cell r="F6">
            <v>43125</v>
          </cell>
        </row>
        <row r="7">
          <cell r="F7">
            <v>1700000</v>
          </cell>
          <cell r="G7" t="str">
            <v>Public</v>
          </cell>
        </row>
        <row r="8">
          <cell r="F8">
            <v>1555555</v>
          </cell>
        </row>
        <row r="9">
          <cell r="G9">
            <v>-8.4967647058823523E-2</v>
          </cell>
        </row>
        <row r="11">
          <cell r="F11" t="str">
            <v>GOOD</v>
          </cell>
        </row>
        <row r="12">
          <cell r="F12">
            <v>2601779.6666666665</v>
          </cell>
          <cell r="H12">
            <v>9</v>
          </cell>
        </row>
      </sheetData>
      <sheetData sheetId="100">
        <row r="4">
          <cell r="F4" t="str">
            <v>HH-634.514</v>
          </cell>
          <cell r="J4" t="str">
            <v>Ed Minall</v>
          </cell>
        </row>
        <row r="5">
          <cell r="F5" t="str">
            <v>Howland Hook Upgrade of Pavement Subgrade</v>
          </cell>
        </row>
        <row r="6">
          <cell r="F6">
            <v>43124</v>
          </cell>
        </row>
        <row r="7">
          <cell r="F7">
            <v>22000000</v>
          </cell>
          <cell r="G7" t="str">
            <v>Public</v>
          </cell>
        </row>
        <row r="8">
          <cell r="F8">
            <v>19988889</v>
          </cell>
        </row>
        <row r="9">
          <cell r="G9">
            <v>-9.1414136363636364E-2</v>
          </cell>
        </row>
        <row r="11">
          <cell r="F11" t="str">
            <v>GOOD</v>
          </cell>
        </row>
        <row r="12">
          <cell r="F12">
            <v>27586889.692307692</v>
          </cell>
          <cell r="H12">
            <v>13</v>
          </cell>
        </row>
      </sheetData>
      <sheetData sheetId="101">
        <row r="4">
          <cell r="F4" t="str">
            <v>PAT-924.802</v>
          </cell>
          <cell r="J4" t="str">
            <v>Nathan Demaisip</v>
          </cell>
        </row>
        <row r="5">
          <cell r="F5" t="str">
            <v>Fire Alarm System Upgrade</v>
          </cell>
        </row>
        <row r="6">
          <cell r="F6">
            <v>43118</v>
          </cell>
        </row>
        <row r="7">
          <cell r="F7">
            <v>26900000</v>
          </cell>
          <cell r="G7" t="str">
            <v>VVP</v>
          </cell>
        </row>
        <row r="8">
          <cell r="F8">
            <v>24990000</v>
          </cell>
        </row>
        <row r="9">
          <cell r="G9">
            <v>-7.1003717472118963E-2</v>
          </cell>
        </row>
        <row r="11">
          <cell r="F11" t="str">
            <v>GOOD</v>
          </cell>
        </row>
        <row r="12">
          <cell r="F12">
            <v>35017000</v>
          </cell>
          <cell r="H12">
            <v>2</v>
          </cell>
        </row>
      </sheetData>
      <sheetData sheetId="102">
        <row r="4">
          <cell r="F4" t="str">
            <v>EWR-154.224</v>
          </cell>
        </row>
        <row r="5">
          <cell r="F5" t="str">
            <v>Terminal B Exterior Curtain Wall Upgrade</v>
          </cell>
        </row>
        <row r="6">
          <cell r="F6">
            <v>43117</v>
          </cell>
        </row>
      </sheetData>
      <sheetData sheetId="103">
        <row r="4">
          <cell r="F4" t="str">
            <v>PAT-650</v>
          </cell>
          <cell r="J4" t="str">
            <v>Nathan Demaisip</v>
          </cell>
        </row>
        <row r="5">
          <cell r="F5" t="str">
            <v>Tunnels E and F Infrastructure Repairs</v>
          </cell>
        </row>
        <row r="6">
          <cell r="F6">
            <v>43110</v>
          </cell>
        </row>
        <row r="7">
          <cell r="F7">
            <v>200000000</v>
          </cell>
          <cell r="G7" t="str">
            <v>PQL</v>
          </cell>
        </row>
        <row r="8">
          <cell r="F8">
            <v>108511400</v>
          </cell>
        </row>
        <row r="9">
          <cell r="G9">
            <v>-0.45744299999999999</v>
          </cell>
        </row>
        <row r="11">
          <cell r="F11" t="str">
            <v>FAIL</v>
          </cell>
        </row>
        <row r="12">
          <cell r="F12">
            <v>136419680</v>
          </cell>
          <cell r="H12">
            <v>5</v>
          </cell>
        </row>
      </sheetData>
      <sheetData sheetId="104">
        <row r="4">
          <cell r="F4" t="str">
            <v>GWB-244.267</v>
          </cell>
          <cell r="J4" t="str">
            <v>Joe Lucin</v>
          </cell>
        </row>
        <row r="5">
          <cell r="F5" t="str">
            <v>TME Hydrant and Water Main Rehabilitation</v>
          </cell>
        </row>
        <row r="6">
          <cell r="F6">
            <v>43108</v>
          </cell>
        </row>
        <row r="7">
          <cell r="F7">
            <v>8520000</v>
          </cell>
          <cell r="G7" t="str">
            <v>PQL</v>
          </cell>
        </row>
        <row r="8">
          <cell r="F8">
            <v>6850075</v>
          </cell>
        </row>
        <row r="9">
          <cell r="G9">
            <v>-0.19600058685446009</v>
          </cell>
        </row>
        <row r="11">
          <cell r="F11" t="str">
            <v>GOOD</v>
          </cell>
        </row>
        <row r="12">
          <cell r="F12">
            <v>10472836.199999999</v>
          </cell>
          <cell r="H12">
            <v>5</v>
          </cell>
        </row>
      </sheetData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 SUMMARY"/>
      <sheetName val="2017 Analysis"/>
      <sheetName val="2016 Analysis"/>
      <sheetName val="2015 Analysis"/>
      <sheetName val="New Metric Sheet"/>
      <sheetName val="Anal 1Q17"/>
      <sheetName val="PATH 06022047"/>
      <sheetName val="3Q Est Update Meeting"/>
      <sheetName val="Army C of E data"/>
      <sheetName val="WORK ORDER SUMMARY"/>
      <sheetName val="SUMMARY"/>
      <sheetName val="LT-984.204"/>
      <sheetName val="PAT-024.207 Void"/>
      <sheetName val="GWB-244.703"/>
      <sheetName val="WTC-194.010"/>
      <sheetName val="GWB-244.030"/>
      <sheetName val="LT-536"/>
      <sheetName val="EWR-154.382"/>
      <sheetName val="BT-254.183"/>
      <sheetName val="LT-924.184"/>
      <sheetName val="JFK-944.805"/>
      <sheetName val="HT-924.110A"/>
      <sheetName val="JFK-1078"/>
      <sheetName val="MF-234.217"/>
      <sheetName val="PJ-664.537"/>
      <sheetName val="EWR-154.224A"/>
      <sheetName val="GWB-244.112"/>
      <sheetName val="LGA-984.315"/>
      <sheetName val="PAT-784.166"/>
      <sheetName val="HT-924.152A"/>
      <sheetName val="HT-224.130"/>
      <sheetName val="PJ-664.532"/>
      <sheetName val="HT-224.141"/>
      <sheetName val="HT-944.004"/>
      <sheetName val="PN-654.072"/>
      <sheetName val="LT-234.181"/>
      <sheetName val="HT-224.134"/>
      <sheetName val="LGA-124.266"/>
      <sheetName val="PAT-784.165"/>
      <sheetName val="PAT-774.216"/>
      <sheetName val="PAT-774.217"/>
      <sheetName val="JFK-154.020"/>
      <sheetName val="LT-535"/>
      <sheetName val="LGA-124.248"/>
      <sheetName val="PAT-084.064"/>
      <sheetName val="PAT-774.179"/>
      <sheetName val="GWB-924.137A"/>
      <sheetName val="JFK-184.676"/>
      <sheetName val="LGA-124.256"/>
      <sheetName val="JFK-184.043"/>
      <sheetName val="PN-654.566"/>
      <sheetName val="GWB-984.205"/>
      <sheetName val="AK-196A"/>
      <sheetName val="GWB-934.046"/>
      <sheetName val="LGA-124.270"/>
      <sheetName val="MFP-994.679"/>
      <sheetName val="GWB-244.260"/>
      <sheetName val="EWR-154.306A"/>
      <sheetName val="GWB-244.236"/>
      <sheetName val="JFK-174.016"/>
      <sheetName val="EWR-154.360 Void"/>
      <sheetName val="TEB-144.055"/>
      <sheetName val="PAT-774.176"/>
      <sheetName val="PAT-214.013"/>
      <sheetName val="EWR-154.386"/>
      <sheetName val="LGA-124.269"/>
      <sheetName val="LGA-124.268"/>
      <sheetName val="EWR-154.299"/>
      <sheetName val="JFK-164.020"/>
      <sheetName val="LGA-924.120"/>
      <sheetName val="PAT-024.200"/>
      <sheetName val="AK-196 Void"/>
      <sheetName val="HT-224.125"/>
      <sheetName val="PAT-774.174"/>
      <sheetName val="PAT-784.175"/>
      <sheetName val="EWR-154.306 Void"/>
      <sheetName val="PAT-630"/>
      <sheetName val="BT-254.153"/>
      <sheetName val="JFK-174.017"/>
      <sheetName val="HT-924.152 Void"/>
      <sheetName val="GWB-924.168"/>
      <sheetName val="HT-924.110"/>
      <sheetName val="PAT-784.169"/>
      <sheetName val="GWB-244.204A"/>
      <sheetName val="EWR-154.348"/>
      <sheetName val="PAT-024.203"/>
      <sheetName val="PAT-784.162"/>
      <sheetName val="SWF-164.032"/>
      <sheetName val="LT-944.096B"/>
      <sheetName val="GWB-924.137"/>
      <sheetName val="LT-924.183"/>
      <sheetName val="GWB-244.049"/>
      <sheetName val="PN-654.562A"/>
      <sheetName val="MFA-924.454"/>
      <sheetName val="LGA-124.260"/>
      <sheetName val="HT-224.082"/>
      <sheetName val="EWR-154.308 bafo"/>
      <sheetName val="PAT-774.170"/>
      <sheetName val="MFP-694.514"/>
      <sheetName val="PAT-024.099"/>
      <sheetName val="EWR-154.395"/>
      <sheetName val="GWB-244.204 Void"/>
      <sheetName val="MFP-924.650"/>
      <sheetName val="LT-924.121"/>
      <sheetName val="EWR-154.308 Void"/>
      <sheetName val="PAT-774.169"/>
      <sheetName val="MFP-824.016"/>
      <sheetName val="TEB-144.046"/>
      <sheetName val="LGA-124.261"/>
      <sheetName val="AKO-284.051"/>
      <sheetName val="AKO-284.049"/>
      <sheetName val="LT-924.175"/>
      <sheetName val="EWR-154.396"/>
      <sheetName val="PAT-784.172"/>
      <sheetName val="EWR-924.231"/>
      <sheetName val="JFK-184.010"/>
      <sheetName val="LGA-124.264"/>
      <sheetName val="GWB-244.265"/>
      <sheetName val="LGA-774.264"/>
      <sheetName val="HH-634.514"/>
      <sheetName val="PAT-924.802"/>
      <sheetName val="EWR-154.224 Void"/>
      <sheetName val="PAT-650"/>
      <sheetName val="GWB-244.267"/>
      <sheetName val="GWB-244.261"/>
      <sheetName val="TEB-144.056"/>
      <sheetName val="PN-654.562 Void"/>
      <sheetName val="LGA-924.287"/>
      <sheetName val="EWR-154.263"/>
      <sheetName val="JFK-144.023"/>
      <sheetName val="EWR-154.235"/>
      <sheetName val="LT-234.193"/>
      <sheetName val="BT-254.085"/>
      <sheetName val="EWR-154.247"/>
      <sheetName val="PJ-654.502"/>
      <sheetName val="EWR-154.383"/>
      <sheetName val="LT-234.194"/>
      <sheetName val="PAT-534.316A"/>
      <sheetName val="JFK-154.021"/>
      <sheetName val="EWR-154.254"/>
      <sheetName val="EWR-924.384"/>
      <sheetName val="HT-924.144"/>
      <sheetName val="HT-924.106"/>
      <sheetName val="GWB-244.042"/>
      <sheetName val="BP-694.510"/>
      <sheetName val="MF-924.022"/>
      <sheetName val="EWR-251"/>
      <sheetName val="LGA-154.251"/>
      <sheetName val="MFP-924.662"/>
      <sheetName val="JFK-1070"/>
      <sheetName val="JFK-154.024"/>
      <sheetName val="HT-224.120"/>
      <sheetName val="LGA-124.244"/>
      <sheetName val="PAT-024.002"/>
      <sheetName val="EWR-154.240"/>
      <sheetName val="EWR-154.227"/>
      <sheetName val="LGA-774.235"/>
      <sheetName val="EWR-154.271"/>
      <sheetName val="EWR-154.264"/>
      <sheetName val="GWB-924.159B"/>
      <sheetName val="EWR-924.233"/>
      <sheetName val="JFK-154.019"/>
      <sheetName val="PAT-024.031"/>
      <sheetName val="MFP-924.641"/>
      <sheetName val="EP-924.643"/>
      <sheetName val="LT-234.179"/>
      <sheetName val="GWB-924.176"/>
      <sheetName val="MFP-924.645A"/>
      <sheetName val="PN-654.558"/>
      <sheetName val="TEB-144.048"/>
      <sheetName val="PAT-084.001"/>
      <sheetName val="EWR-154.234"/>
      <sheetName val="MFP-924.634"/>
      <sheetName val="BT-254.123"/>
      <sheetName val="LGA-124.255"/>
      <sheetName val="MFP-072.016"/>
      <sheetName val="GWB-244.263"/>
      <sheetName val="GWB-244.048"/>
      <sheetName val="LGA-124.250"/>
      <sheetName val="TEB-144.045"/>
      <sheetName val="EWR-924.375"/>
      <sheetName val="GWB-924.170"/>
      <sheetName val="JFK-124.009"/>
      <sheetName val="MFP-924.645 Void"/>
      <sheetName val="JFK-154.022"/>
      <sheetName val="LGA-103.015"/>
      <sheetName val="EWR-154.392"/>
      <sheetName val="HT-924.089"/>
      <sheetName val="MFP-924.644"/>
      <sheetName val="JFK-1067"/>
      <sheetName val="JFK-124.016"/>
      <sheetName val="PAT-084.039"/>
      <sheetName val="EWR-924.288"/>
      <sheetName val="PAT-534.316 Void"/>
      <sheetName val="PN-654.551"/>
      <sheetName val="PJ-664.503"/>
      <sheetName val="LGA-124.236"/>
      <sheetName val="SWF-017"/>
      <sheetName val="GWB-924.159A Void"/>
      <sheetName val="GWB-563"/>
      <sheetName val="JFK-124.027"/>
      <sheetName val="HT-924.097"/>
      <sheetName val="AKO-924.054"/>
      <sheetName val="HT-224.127"/>
      <sheetName val="PAT-024.069A"/>
      <sheetName val="PJ-664.527"/>
      <sheetName val="JFK-144.019"/>
      <sheetName val="PN-654.042A"/>
      <sheetName val="EWR-924.366"/>
      <sheetName val="PAT-784.164"/>
      <sheetName val="LT-534"/>
      <sheetName val="LT-944.096 Void"/>
      <sheetName val="LT-934.027"/>
      <sheetName val="JFK-1064"/>
      <sheetName val="LT-800.382"/>
      <sheetName val="LT-924.028"/>
      <sheetName val="PN-654.038"/>
      <sheetName val="HT-469"/>
      <sheetName val="LGA-124.086"/>
      <sheetName val="NYNJRR-644.537"/>
      <sheetName val="HT-473A Void"/>
      <sheetName val="LT-924.014A"/>
      <sheetName val="GWB-244.246"/>
      <sheetName val="HT-224.117"/>
      <sheetName val="EWR-924.281"/>
      <sheetName val="EP-684.509A"/>
      <sheetName val="PAT-784.163"/>
      <sheetName val="SWF-164.054"/>
      <sheetName val="MFP-924.638"/>
      <sheetName val="EWR-154.197"/>
      <sheetName val="LGA-774.133B"/>
      <sheetName val="GWB-244.150"/>
      <sheetName val="LGA-124.240"/>
      <sheetName val="LGA-103.014"/>
      <sheetName val="PAT-774.154"/>
      <sheetName val="PN-654.544"/>
      <sheetName val="WTC-222.004"/>
      <sheetName val="PN-654.041"/>
      <sheetName val="WTC-222.004 Void"/>
      <sheetName val="EP-684.509 Void"/>
      <sheetName val="AK-195"/>
      <sheetName val="TP-104.006"/>
      <sheetName val="GWB-564"/>
      <sheetName val="MFA-924.283"/>
      <sheetName val="HT-224.116"/>
      <sheetName val="GWB-566"/>
      <sheetName val=" PAT-024.069 Void"/>
      <sheetName val="GWB-924.092"/>
      <sheetName val="GWB-924.159"/>
      <sheetName val="EWR-154.184"/>
      <sheetName val="GWB-244.256"/>
      <sheetName val="PN-654.036"/>
      <sheetName val="LGA-124.226"/>
      <sheetName val="EWR-924.320"/>
      <sheetName val="LGA-124.229"/>
      <sheetName val="EWR-924.175A"/>
      <sheetName val="EWR-154.239"/>
      <sheetName val="LGA-774.133A"/>
      <sheetName val="LT-924.014"/>
      <sheetName val="GWB-244.240"/>
      <sheetName val="MFP-924.623"/>
      <sheetName val="NYNJRR-644.531"/>
      <sheetName val="JFK-914.209"/>
      <sheetName val="PN-654.545"/>
      <sheetName val="PAT-131.000"/>
      <sheetName val="SWF-164.031A"/>
      <sheetName val="GWB-924.044"/>
      <sheetName val="TEB-914.203"/>
      <sheetName val="MFP-924.630"/>
      <sheetName val="PAT-643"/>
      <sheetName val="LGA-774.234"/>
      <sheetName val="LGA-774.236"/>
      <sheetName val="JFK-1050"/>
      <sheetName val="LGA-774.133"/>
      <sheetName val="PJ-924.624"/>
      <sheetName val="PAT-084.057"/>
      <sheetName val="PN-654.004"/>
      <sheetName val="JFK-134.025"/>
      <sheetName val="LGA-124.231"/>
      <sheetName val="LGA-124.166"/>
      <sheetName val="LS format"/>
      <sheetName val="CL-UCL format"/>
      <sheetName val="CL-UCL-Comp format"/>
      <sheetName val="Test tab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>
        <row r="4">
          <cell r="F4" t="str">
            <v>LT-984.204</v>
          </cell>
          <cell r="J4" t="str">
            <v>Nick Chaya</v>
          </cell>
        </row>
        <row r="5">
          <cell r="F5" t="str">
            <v>Maintenance Pavement Repairs Contract 2019-2021</v>
          </cell>
        </row>
        <row r="6">
          <cell r="F6">
            <v>43818</v>
          </cell>
        </row>
        <row r="7">
          <cell r="F7">
            <v>1600000</v>
          </cell>
          <cell r="G7" t="str">
            <v>SBE</v>
          </cell>
        </row>
        <row r="8">
          <cell r="F8">
            <v>1065100</v>
          </cell>
        </row>
        <row r="9">
          <cell r="G9">
            <v>-0.33431250000000001</v>
          </cell>
        </row>
        <row r="11">
          <cell r="F11" t="str">
            <v>GOOD</v>
          </cell>
        </row>
        <row r="12">
          <cell r="F12">
            <v>1575316.6666666667</v>
          </cell>
          <cell r="H12">
            <v>6</v>
          </cell>
        </row>
      </sheetData>
      <sheetData sheetId="12" refreshError="1">
        <row r="4">
          <cell r="F4" t="str">
            <v>PAT-024.207</v>
          </cell>
        </row>
        <row r="5">
          <cell r="F5" t="str">
            <v>Rehab of Bridge Structures E &amp; W of Penn Station</v>
          </cell>
        </row>
        <row r="6">
          <cell r="F6">
            <v>43817</v>
          </cell>
        </row>
      </sheetData>
      <sheetData sheetId="13" refreshError="1">
        <row r="4">
          <cell r="F4" t="str">
            <v>GWB-244.703</v>
          </cell>
          <cell r="J4" t="str">
            <v>Boris Lenderman</v>
          </cell>
        </row>
        <row r="5">
          <cell r="F5" t="str">
            <v>Repl Halon Fire System in Admin Building Computer Room</v>
          </cell>
        </row>
        <row r="6">
          <cell r="F6">
            <v>43817</v>
          </cell>
        </row>
        <row r="7">
          <cell r="F7">
            <v>700000</v>
          </cell>
          <cell r="G7" t="str">
            <v>SBE</v>
          </cell>
        </row>
        <row r="8">
          <cell r="F8">
            <v>784102</v>
          </cell>
        </row>
        <row r="9">
          <cell r="G9">
            <v>0.12014571428571429</v>
          </cell>
        </row>
        <row r="11">
          <cell r="F11" t="str">
            <v>FAIL</v>
          </cell>
        </row>
        <row r="12">
          <cell r="F12">
            <v>999185.2</v>
          </cell>
          <cell r="H12">
            <v>5</v>
          </cell>
        </row>
      </sheetData>
      <sheetData sheetId="14" refreshError="1">
        <row r="4">
          <cell r="F4" t="str">
            <v>WTC-194.010</v>
          </cell>
          <cell r="J4" t="str">
            <v>Nathan Demaisip</v>
          </cell>
        </row>
        <row r="5">
          <cell r="F5" t="str">
            <v>CCTV and Access Control Enhancements and Expansion</v>
          </cell>
        </row>
        <row r="6">
          <cell r="F6">
            <v>43776</v>
          </cell>
        </row>
        <row r="7">
          <cell r="F7">
            <v>3373000</v>
          </cell>
          <cell r="G7" t="str">
            <v>Public</v>
          </cell>
        </row>
        <row r="8">
          <cell r="F8">
            <v>1396000</v>
          </cell>
        </row>
        <row r="9">
          <cell r="G9">
            <v>-0.58612511117699373</v>
          </cell>
        </row>
        <row r="11">
          <cell r="F11" t="str">
            <v>FAIL</v>
          </cell>
        </row>
        <row r="12">
          <cell r="F12">
            <v>2901872.1428571427</v>
          </cell>
          <cell r="H12">
            <v>7</v>
          </cell>
        </row>
      </sheetData>
      <sheetData sheetId="15" refreshError="1">
        <row r="4">
          <cell r="F4" t="str">
            <v>GWB-244.030</v>
          </cell>
          <cell r="J4" t="str">
            <v>Boris Lenderman</v>
          </cell>
        </row>
        <row r="5">
          <cell r="F5" t="str">
            <v>Main Toll House Roof Replacement</v>
          </cell>
        </row>
        <row r="6">
          <cell r="F6">
            <v>43775</v>
          </cell>
        </row>
        <row r="7">
          <cell r="F7">
            <v>1200000</v>
          </cell>
          <cell r="G7" t="str">
            <v>SBE</v>
          </cell>
        </row>
        <row r="8">
          <cell r="F8">
            <v>1452000</v>
          </cell>
        </row>
        <row r="9">
          <cell r="G9">
            <v>0.21</v>
          </cell>
        </row>
        <row r="11">
          <cell r="F11" t="str">
            <v>FAIL</v>
          </cell>
        </row>
        <row r="12">
          <cell r="F12">
            <v>2500075.75</v>
          </cell>
          <cell r="H12">
            <v>4</v>
          </cell>
        </row>
      </sheetData>
      <sheetData sheetId="16" refreshError="1">
        <row r="4">
          <cell r="F4" t="str">
            <v>LT-536</v>
          </cell>
          <cell r="J4" t="str">
            <v>Tun Tun Lin</v>
          </cell>
        </row>
        <row r="5">
          <cell r="F5" t="str">
            <v>Bus Ramp W99 South Railing Post Repair</v>
          </cell>
        </row>
        <row r="6">
          <cell r="F6">
            <v>43774</v>
          </cell>
        </row>
        <row r="7">
          <cell r="F7">
            <v>300000</v>
          </cell>
          <cell r="G7" t="str">
            <v>SBE</v>
          </cell>
        </row>
        <row r="8">
          <cell r="F8">
            <v>350400</v>
          </cell>
        </row>
        <row r="9">
          <cell r="G9">
            <v>0.16800000000000001</v>
          </cell>
        </row>
        <row r="11">
          <cell r="F11" t="str">
            <v>FAIL</v>
          </cell>
        </row>
        <row r="12">
          <cell r="F12">
            <v>481113.59999999998</v>
          </cell>
          <cell r="H12">
            <v>5</v>
          </cell>
        </row>
      </sheetData>
      <sheetData sheetId="17" refreshError="1">
        <row r="4">
          <cell r="F4" t="str">
            <v>EWR-154.382</v>
          </cell>
          <cell r="J4" t="str">
            <v>Steven Schwan</v>
          </cell>
        </row>
        <row r="5">
          <cell r="F5" t="str">
            <v>Abatement and Demo of Building 331</v>
          </cell>
        </row>
        <row r="6">
          <cell r="F6">
            <v>43767</v>
          </cell>
        </row>
        <row r="7">
          <cell r="F7">
            <v>1196000</v>
          </cell>
          <cell r="G7" t="str">
            <v>SBE</v>
          </cell>
        </row>
        <row r="8">
          <cell r="F8">
            <v>1241000</v>
          </cell>
        </row>
        <row r="9">
          <cell r="G9">
            <v>3.7625418060200672E-2</v>
          </cell>
        </row>
        <row r="11">
          <cell r="F11" t="str">
            <v>GOOD</v>
          </cell>
        </row>
        <row r="12">
          <cell r="F12">
            <v>2354464</v>
          </cell>
          <cell r="H12">
            <v>3</v>
          </cell>
        </row>
      </sheetData>
      <sheetData sheetId="18" refreshError="1">
        <row r="4">
          <cell r="F4" t="str">
            <v>BT-254.183</v>
          </cell>
          <cell r="J4" t="str">
            <v>Tun Tun Lin</v>
          </cell>
        </row>
        <row r="5">
          <cell r="F5" t="str">
            <v>PABT Replace Emergency Egress Doors</v>
          </cell>
        </row>
        <row r="6">
          <cell r="F6">
            <v>43740</v>
          </cell>
        </row>
        <row r="7">
          <cell r="F7">
            <v>8460000</v>
          </cell>
          <cell r="G7" t="str">
            <v xml:space="preserve">Public </v>
          </cell>
        </row>
        <row r="8">
          <cell r="F8">
            <v>7795000</v>
          </cell>
        </row>
        <row r="9">
          <cell r="G9">
            <v>-7.860520094562648E-2</v>
          </cell>
        </row>
        <row r="11">
          <cell r="F11" t="str">
            <v>GOOD</v>
          </cell>
        </row>
        <row r="12">
          <cell r="F12">
            <v>12539160.857142856</v>
          </cell>
          <cell r="H12">
            <v>7</v>
          </cell>
        </row>
      </sheetData>
      <sheetData sheetId="19" refreshError="1">
        <row r="4">
          <cell r="F4" t="str">
            <v>LT-924.184</v>
          </cell>
          <cell r="J4" t="str">
            <v>Tun Tun Lin</v>
          </cell>
        </row>
        <row r="5">
          <cell r="F5" t="str">
            <v>LT Priority Repairs Phase 1</v>
          </cell>
        </row>
        <row r="6">
          <cell r="F6">
            <v>43740</v>
          </cell>
        </row>
        <row r="7">
          <cell r="F7">
            <v>1260000</v>
          </cell>
          <cell r="G7" t="str">
            <v>SBE</v>
          </cell>
        </row>
        <row r="8">
          <cell r="F8">
            <v>1350135</v>
          </cell>
        </row>
        <row r="9">
          <cell r="G9">
            <v>7.1535714285714286E-2</v>
          </cell>
        </row>
        <row r="11">
          <cell r="F11" t="str">
            <v>GOOD</v>
          </cell>
        </row>
        <row r="12">
          <cell r="F12">
            <v>1730878.3333333333</v>
          </cell>
          <cell r="H12">
            <v>3</v>
          </cell>
        </row>
      </sheetData>
      <sheetData sheetId="20" refreshError="1">
        <row r="4">
          <cell r="F4" t="str">
            <v>JFK-944.805</v>
          </cell>
          <cell r="J4" t="str">
            <v>Steven Schwan</v>
          </cell>
        </row>
        <row r="5">
          <cell r="F5" t="str">
            <v>Replace Switch House #1 Emergency Generator</v>
          </cell>
        </row>
        <row r="6">
          <cell r="F6">
            <v>43727</v>
          </cell>
        </row>
        <row r="7">
          <cell r="F7">
            <v>3840000</v>
          </cell>
          <cell r="G7" t="str">
            <v>Public</v>
          </cell>
        </row>
        <row r="8">
          <cell r="F8">
            <v>2936000</v>
          </cell>
        </row>
        <row r="9">
          <cell r="G9">
            <v>-0.23541666666666666</v>
          </cell>
        </row>
        <row r="11">
          <cell r="F11" t="str">
            <v>GOOD</v>
          </cell>
        </row>
        <row r="12">
          <cell r="F12">
            <v>4681438.8181818184</v>
          </cell>
          <cell r="H12">
            <v>11</v>
          </cell>
        </row>
      </sheetData>
      <sheetData sheetId="21" refreshError="1">
        <row r="4">
          <cell r="F4" t="str">
            <v>HT-924.110A</v>
          </cell>
          <cell r="J4" t="str">
            <v>Ed Minall</v>
          </cell>
        </row>
        <row r="5">
          <cell r="F5" t="str">
            <v>HT Admin Bldg - Second Means of Egress</v>
          </cell>
        </row>
        <row r="6">
          <cell r="F6">
            <v>43720</v>
          </cell>
        </row>
        <row r="7">
          <cell r="F7">
            <v>1360000</v>
          </cell>
          <cell r="G7" t="str">
            <v>SBE</v>
          </cell>
        </row>
        <row r="8">
          <cell r="F8">
            <v>1843700</v>
          </cell>
        </row>
        <row r="9">
          <cell r="G9">
            <v>0.35566176470588234</v>
          </cell>
        </row>
        <row r="11">
          <cell r="F11" t="str">
            <v>FAIL</v>
          </cell>
        </row>
        <row r="12">
          <cell r="F12">
            <v>2763542</v>
          </cell>
          <cell r="H12">
            <v>5</v>
          </cell>
        </row>
      </sheetData>
      <sheetData sheetId="22" refreshError="1">
        <row r="4">
          <cell r="F4" t="str">
            <v>JFK-1078</v>
          </cell>
          <cell r="J4" t="str">
            <v>Steven Schwan</v>
          </cell>
        </row>
        <row r="5">
          <cell r="F5" t="str">
            <v>Landside Asphalt Repairs via Work Order</v>
          </cell>
        </row>
        <row r="6">
          <cell r="F6">
            <v>43713</v>
          </cell>
        </row>
        <row r="7">
          <cell r="F7">
            <v>2030000</v>
          </cell>
          <cell r="G7" t="str">
            <v>SBE</v>
          </cell>
        </row>
        <row r="8">
          <cell r="F8">
            <v>1887810</v>
          </cell>
        </row>
        <row r="9">
          <cell r="G9">
            <v>-7.0044334975369452E-2</v>
          </cell>
        </row>
        <row r="11">
          <cell r="F11" t="str">
            <v>GOOD</v>
          </cell>
        </row>
        <row r="12">
          <cell r="F12">
            <v>2554425</v>
          </cell>
          <cell r="H12">
            <v>4</v>
          </cell>
        </row>
      </sheetData>
      <sheetData sheetId="23" refreshError="1">
        <row r="4">
          <cell r="F4" t="str">
            <v>MF-234.217</v>
          </cell>
          <cell r="J4" t="str">
            <v>Nathan Demaisip</v>
          </cell>
        </row>
        <row r="5">
          <cell r="F5" t="str">
            <v>HT &amp; LT - Ventilation Buildings CCTV Cameras</v>
          </cell>
        </row>
        <row r="6">
          <cell r="F6">
            <v>43712</v>
          </cell>
        </row>
        <row r="7">
          <cell r="F7">
            <v>1300000</v>
          </cell>
          <cell r="G7" t="str">
            <v>Public</v>
          </cell>
        </row>
        <row r="8">
          <cell r="F8">
            <v>919000</v>
          </cell>
        </row>
        <row r="9">
          <cell r="G9">
            <v>-0.29307692307692307</v>
          </cell>
        </row>
        <row r="11">
          <cell r="F11" t="str">
            <v>GOOD</v>
          </cell>
        </row>
        <row r="12">
          <cell r="F12">
            <v>1639305.4375</v>
          </cell>
          <cell r="H12">
            <v>16</v>
          </cell>
        </row>
      </sheetData>
      <sheetData sheetId="24" refreshError="1">
        <row r="4">
          <cell r="F4" t="str">
            <v>PJ-664.537</v>
          </cell>
          <cell r="J4" t="str">
            <v>Steven Schwan</v>
          </cell>
        </row>
        <row r="5">
          <cell r="F5" t="str">
            <v>Upgrade Electrical Infrastructure - Service Drops for 13.2kV Loop</v>
          </cell>
        </row>
        <row r="6">
          <cell r="F6">
            <v>43704</v>
          </cell>
        </row>
        <row r="7">
          <cell r="F7">
            <v>1260000</v>
          </cell>
          <cell r="G7" t="str">
            <v>SBE</v>
          </cell>
        </row>
        <row r="8">
          <cell r="F8">
            <v>1201422</v>
          </cell>
        </row>
        <row r="9">
          <cell r="G9">
            <v>-4.6490476190476193E-2</v>
          </cell>
        </row>
        <row r="11">
          <cell r="F11" t="str">
            <v>GOOD</v>
          </cell>
        </row>
        <row r="12">
          <cell r="F12">
            <v>2091721.1666666667</v>
          </cell>
          <cell r="H12">
            <v>6</v>
          </cell>
        </row>
      </sheetData>
      <sheetData sheetId="25" refreshError="1">
        <row r="4">
          <cell r="F4" t="str">
            <v>EWR-154.224A</v>
          </cell>
          <cell r="J4" t="str">
            <v>Nathan Demaisip</v>
          </cell>
        </row>
        <row r="5">
          <cell r="F5" t="str">
            <v>Terminal B Exterior Wall Glass Upgrade</v>
          </cell>
        </row>
        <row r="6">
          <cell r="F6">
            <v>43700</v>
          </cell>
        </row>
        <row r="7">
          <cell r="F7">
            <v>55300000</v>
          </cell>
        </row>
        <row r="8">
          <cell r="F8">
            <v>43999000</v>
          </cell>
        </row>
        <row r="9">
          <cell r="G9">
            <v>-0.20435804701627486</v>
          </cell>
        </row>
        <row r="11">
          <cell r="F11" t="str">
            <v>GOOD</v>
          </cell>
        </row>
        <row r="12">
          <cell r="F12">
            <v>50531448</v>
          </cell>
          <cell r="H12">
            <v>5</v>
          </cell>
        </row>
      </sheetData>
      <sheetData sheetId="26" refreshError="1">
        <row r="4">
          <cell r="F4" t="str">
            <v>GWB-244.112</v>
          </cell>
          <cell r="J4" t="str">
            <v>Boris Lenderman</v>
          </cell>
        </row>
        <row r="5">
          <cell r="F5" t="str">
            <v>Lower Level Steel, Paint and Traveller</v>
          </cell>
        </row>
        <row r="6">
          <cell r="F6">
            <v>43699</v>
          </cell>
        </row>
        <row r="7">
          <cell r="F7">
            <v>194071979</v>
          </cell>
          <cell r="G7" t="str">
            <v>Public</v>
          </cell>
        </row>
        <row r="8">
          <cell r="F8">
            <v>171330900</v>
          </cell>
        </row>
        <row r="9">
          <cell r="G9">
            <v>-0.11717858042762577</v>
          </cell>
        </row>
        <row r="11">
          <cell r="F11" t="str">
            <v>GOOD</v>
          </cell>
        </row>
        <row r="12">
          <cell r="F12">
            <v>182690985.33333334</v>
          </cell>
          <cell r="H12">
            <v>6</v>
          </cell>
        </row>
      </sheetData>
      <sheetData sheetId="27" refreshError="1">
        <row r="4">
          <cell r="F4" t="str">
            <v>LGA-984.315</v>
          </cell>
          <cell r="J4" t="str">
            <v>Joe Lucin</v>
          </cell>
        </row>
        <row r="5">
          <cell r="F5" t="str">
            <v>Landside Paving via Classified Work Order</v>
          </cell>
        </row>
        <row r="6">
          <cell r="F6">
            <v>43699</v>
          </cell>
        </row>
        <row r="7">
          <cell r="F7">
            <v>1980000</v>
          </cell>
          <cell r="G7" t="str">
            <v>Public</v>
          </cell>
        </row>
        <row r="8">
          <cell r="F8">
            <v>1993000</v>
          </cell>
        </row>
        <row r="9">
          <cell r="G9">
            <v>6.5656565656565654E-3</v>
          </cell>
        </row>
        <row r="11">
          <cell r="F11" t="str">
            <v>GOOD</v>
          </cell>
        </row>
        <row r="12">
          <cell r="F12">
            <v>3089812.5</v>
          </cell>
          <cell r="H12">
            <v>4</v>
          </cell>
        </row>
      </sheetData>
      <sheetData sheetId="28" refreshError="1">
        <row r="4">
          <cell r="F4" t="str">
            <v>PAT-784.166</v>
          </cell>
          <cell r="J4" t="str">
            <v>Nathan Demaisip</v>
          </cell>
        </row>
        <row r="5">
          <cell r="F5" t="str">
            <v>Tracks G &amp; H Permanent Flood Protection</v>
          </cell>
        </row>
        <row r="6">
          <cell r="F6">
            <v>43690</v>
          </cell>
        </row>
        <row r="7">
          <cell r="F7">
            <v>21500000</v>
          </cell>
          <cell r="G7" t="str">
            <v>Public</v>
          </cell>
        </row>
        <row r="8">
          <cell r="F8">
            <v>23111450</v>
          </cell>
        </row>
        <row r="9">
          <cell r="G9">
            <v>7.4951162790697676E-2</v>
          </cell>
        </row>
        <row r="11">
          <cell r="F11" t="str">
            <v>GOOD</v>
          </cell>
        </row>
        <row r="12">
          <cell r="F12">
            <v>29457812.428571429</v>
          </cell>
          <cell r="H12">
            <v>7</v>
          </cell>
        </row>
      </sheetData>
      <sheetData sheetId="29" refreshError="1">
        <row r="4">
          <cell r="F4" t="str">
            <v>HT-924.152A</v>
          </cell>
          <cell r="J4" t="str">
            <v>Tun Tun Lin</v>
          </cell>
        </row>
        <row r="5">
          <cell r="F5" t="str">
            <v>Maintenance Pavement Repairs via Work Order</v>
          </cell>
        </row>
        <row r="6">
          <cell r="F6">
            <v>43685</v>
          </cell>
        </row>
        <row r="7">
          <cell r="F7">
            <v>1755000</v>
          </cell>
          <cell r="G7" t="str">
            <v>PQL</v>
          </cell>
        </row>
        <row r="8">
          <cell r="F8">
            <v>1312300</v>
          </cell>
        </row>
        <row r="9">
          <cell r="G9">
            <v>-0.25225071225071227</v>
          </cell>
        </row>
        <row r="11">
          <cell r="F11" t="str">
            <v>GOOD</v>
          </cell>
        </row>
        <row r="12">
          <cell r="F12">
            <v>2001831.7142857143</v>
          </cell>
          <cell r="H12">
            <v>7</v>
          </cell>
        </row>
      </sheetData>
      <sheetData sheetId="30" refreshError="1">
        <row r="4">
          <cell r="F4" t="str">
            <v>HT-224.130</v>
          </cell>
          <cell r="J4" t="str">
            <v>Ed Minall</v>
          </cell>
        </row>
        <row r="5">
          <cell r="F5" t="str">
            <v>Latent Salt Damage Repairs and Mitigation</v>
          </cell>
        </row>
        <row r="6">
          <cell r="F6">
            <v>43669</v>
          </cell>
        </row>
        <row r="7">
          <cell r="F7">
            <v>249010000</v>
          </cell>
          <cell r="G7" t="str">
            <v>Public</v>
          </cell>
        </row>
        <row r="8">
          <cell r="F8">
            <v>135022488</v>
          </cell>
        </row>
        <row r="9">
          <cell r="G9">
            <v>-0.45776278864302639</v>
          </cell>
        </row>
        <row r="11">
          <cell r="F11" t="str">
            <v>FAIL</v>
          </cell>
        </row>
        <row r="12">
          <cell r="F12">
            <v>164986247.40000001</v>
          </cell>
          <cell r="H12">
            <v>5</v>
          </cell>
        </row>
      </sheetData>
      <sheetData sheetId="31" refreshError="1">
        <row r="4">
          <cell r="F4" t="str">
            <v>PJ-664.532</v>
          </cell>
          <cell r="J4" t="str">
            <v>Tun Tun Lin</v>
          </cell>
        </row>
        <row r="5">
          <cell r="F5" t="str">
            <v>Construct Second Lead Track</v>
          </cell>
        </row>
        <row r="6">
          <cell r="F6">
            <v>43664</v>
          </cell>
        </row>
        <row r="7">
          <cell r="F7">
            <v>5660000</v>
          </cell>
          <cell r="G7" t="str">
            <v>Public</v>
          </cell>
        </row>
        <row r="8">
          <cell r="F8">
            <v>3930000</v>
          </cell>
        </row>
        <row r="9">
          <cell r="G9">
            <v>-0.30565371024734983</v>
          </cell>
        </row>
        <row r="11">
          <cell r="F11" t="str">
            <v>GOOD</v>
          </cell>
        </row>
        <row r="12">
          <cell r="F12">
            <v>5605196.25</v>
          </cell>
          <cell r="H12">
            <v>4</v>
          </cell>
        </row>
      </sheetData>
      <sheetData sheetId="32" refreshError="1">
        <row r="4">
          <cell r="F4" t="str">
            <v>HT-224.141</v>
          </cell>
          <cell r="J4" t="str">
            <v>Tun Tun Lin</v>
          </cell>
        </row>
        <row r="5">
          <cell r="F5" t="str">
            <v>Roof Replacement at NJ Service Garage</v>
          </cell>
        </row>
        <row r="6">
          <cell r="F6">
            <v>43662</v>
          </cell>
        </row>
        <row r="7">
          <cell r="F7">
            <v>2060000</v>
          </cell>
          <cell r="G7" t="str">
            <v>SBE</v>
          </cell>
        </row>
        <row r="8">
          <cell r="F8">
            <v>2899873</v>
          </cell>
        </row>
        <row r="9">
          <cell r="G9">
            <v>0.40770533980582524</v>
          </cell>
        </row>
        <row r="11">
          <cell r="F11" t="str">
            <v>FAIL</v>
          </cell>
        </row>
        <row r="12">
          <cell r="F12">
            <v>4043908.25</v>
          </cell>
          <cell r="H12">
            <v>4</v>
          </cell>
        </row>
      </sheetData>
      <sheetData sheetId="33" refreshError="1">
        <row r="4">
          <cell r="F4" t="str">
            <v>HT-944.004</v>
          </cell>
        </row>
        <row r="5">
          <cell r="F5" t="str">
            <v>Repair of Collapsed Drain Pipe at NY Land Vent Bldg</v>
          </cell>
        </row>
        <row r="6">
          <cell r="F6">
            <v>43655</v>
          </cell>
        </row>
        <row r="7">
          <cell r="F7">
            <v>400000</v>
          </cell>
          <cell r="G7" t="str">
            <v>SBE</v>
          </cell>
        </row>
        <row r="8">
          <cell r="F8">
            <v>396784</v>
          </cell>
        </row>
        <row r="9">
          <cell r="G9">
            <v>-8.0400000000000003E-3</v>
          </cell>
        </row>
        <row r="11">
          <cell r="F11" t="str">
            <v>GOOD</v>
          </cell>
        </row>
        <row r="12">
          <cell r="F12">
            <v>586062</v>
          </cell>
          <cell r="H12">
            <v>6</v>
          </cell>
        </row>
      </sheetData>
      <sheetData sheetId="34" refreshError="1">
        <row r="4">
          <cell r="F4" t="str">
            <v>PN-654.072</v>
          </cell>
          <cell r="J4" t="str">
            <v>Ed Minall</v>
          </cell>
        </row>
        <row r="5">
          <cell r="F5" t="str">
            <v>Corbin St. &amp; Reconstruction of Berth 3 Culvert</v>
          </cell>
        </row>
        <row r="6">
          <cell r="F6">
            <v>43641</v>
          </cell>
        </row>
        <row r="7">
          <cell r="F7">
            <v>5280000</v>
          </cell>
          <cell r="G7" t="str">
            <v>Public</v>
          </cell>
        </row>
        <row r="8">
          <cell r="F8">
            <v>5097757</v>
          </cell>
        </row>
        <row r="9">
          <cell r="G9">
            <v>-3.4515719696969697E-2</v>
          </cell>
        </row>
        <row r="11">
          <cell r="F11" t="str">
            <v>GOOD</v>
          </cell>
        </row>
        <row r="12">
          <cell r="F12">
            <v>7104621.7857142854</v>
          </cell>
          <cell r="H12">
            <v>14</v>
          </cell>
        </row>
      </sheetData>
      <sheetData sheetId="35" refreshError="1">
        <row r="4">
          <cell r="F4" t="str">
            <v>LT-234.181</v>
          </cell>
          <cell r="J4" t="str">
            <v>Steven Schwan</v>
          </cell>
        </row>
        <row r="5">
          <cell r="F5" t="str">
            <v>Admin Bldg HVAC Rehab Phase 2</v>
          </cell>
        </row>
        <row r="6">
          <cell r="F6">
            <v>43628</v>
          </cell>
        </row>
        <row r="7">
          <cell r="F7">
            <v>3250000</v>
          </cell>
          <cell r="G7" t="str">
            <v>Public</v>
          </cell>
        </row>
        <row r="8">
          <cell r="F8">
            <v>3845000</v>
          </cell>
        </row>
        <row r="9">
          <cell r="G9">
            <v>0.18307692307692308</v>
          </cell>
        </row>
        <row r="11">
          <cell r="F11" t="str">
            <v>FAIL</v>
          </cell>
        </row>
        <row r="12">
          <cell r="F12">
            <v>5595333.333333333</v>
          </cell>
          <cell r="H12">
            <v>6</v>
          </cell>
        </row>
      </sheetData>
      <sheetData sheetId="36" refreshError="1">
        <row r="4">
          <cell r="F4" t="str">
            <v>HT-224.134</v>
          </cell>
          <cell r="J4" t="str">
            <v>Steven Schwan</v>
          </cell>
        </row>
        <row r="5">
          <cell r="F5" t="str">
            <v>Flood Protection for Ventilation Buildings</v>
          </cell>
        </row>
        <row r="6">
          <cell r="F6">
            <v>43622</v>
          </cell>
        </row>
        <row r="7">
          <cell r="F7">
            <v>2070000</v>
          </cell>
          <cell r="G7" t="str">
            <v>Public</v>
          </cell>
        </row>
        <row r="8">
          <cell r="F8">
            <v>2112649</v>
          </cell>
        </row>
        <row r="9">
          <cell r="G9">
            <v>2.0603381642512079E-2</v>
          </cell>
        </row>
        <row r="11">
          <cell r="F11" t="str">
            <v>GOOD</v>
          </cell>
        </row>
        <row r="12">
          <cell r="F12">
            <v>3084176.5555555555</v>
          </cell>
          <cell r="H12">
            <v>9</v>
          </cell>
        </row>
      </sheetData>
      <sheetData sheetId="37" refreshError="1">
        <row r="4">
          <cell r="F4" t="str">
            <v>LGA-124.266</v>
          </cell>
          <cell r="J4" t="str">
            <v>Joe Lucin</v>
          </cell>
        </row>
        <row r="5">
          <cell r="F5" t="str">
            <v>Repl Taxiway A between K to E</v>
          </cell>
        </row>
        <row r="6">
          <cell r="F6">
            <v>43621</v>
          </cell>
        </row>
        <row r="7">
          <cell r="F7">
            <v>8360000</v>
          </cell>
          <cell r="G7" t="str">
            <v>Public</v>
          </cell>
        </row>
        <row r="8">
          <cell r="F8">
            <v>8947585</v>
          </cell>
        </row>
        <row r="9">
          <cell r="G9">
            <v>7.0285287081339715E-2</v>
          </cell>
        </row>
        <row r="11">
          <cell r="F11" t="str">
            <v>GOOD</v>
          </cell>
        </row>
        <row r="12">
          <cell r="F12">
            <v>10801931</v>
          </cell>
          <cell r="H12">
            <v>3</v>
          </cell>
        </row>
      </sheetData>
      <sheetData sheetId="38" refreshError="1">
        <row r="4">
          <cell r="F4" t="str">
            <v>PAT-784.165</v>
          </cell>
          <cell r="J4" t="str">
            <v>Nathan Demaisip</v>
          </cell>
        </row>
        <row r="5">
          <cell r="F5" t="str">
            <v>HCMF Permanent Flood Protection</v>
          </cell>
        </row>
        <row r="6">
          <cell r="F6">
            <v>43593</v>
          </cell>
        </row>
        <row r="7">
          <cell r="F7">
            <v>18800000</v>
          </cell>
          <cell r="G7" t="str">
            <v>Public</v>
          </cell>
        </row>
        <row r="8">
          <cell r="F8">
            <v>14551682</v>
          </cell>
        </row>
        <row r="9">
          <cell r="G9">
            <v>-0.22597436170212765</v>
          </cell>
        </row>
        <row r="11">
          <cell r="F11" t="str">
            <v>GOOD</v>
          </cell>
        </row>
        <row r="12">
          <cell r="F12">
            <v>17337811.181818184</v>
          </cell>
          <cell r="H12">
            <v>11</v>
          </cell>
        </row>
      </sheetData>
      <sheetData sheetId="39" refreshError="1">
        <row r="4">
          <cell r="F4" t="str">
            <v>PAT-774.216</v>
          </cell>
          <cell r="J4" t="str">
            <v>Nathan Demaisip</v>
          </cell>
        </row>
        <row r="5">
          <cell r="F5" t="str">
            <v>Replacement of Substation 8</v>
          </cell>
        </row>
        <row r="6">
          <cell r="F6">
            <v>43587</v>
          </cell>
        </row>
        <row r="7">
          <cell r="F7">
            <v>38200000</v>
          </cell>
          <cell r="G7" t="str">
            <v>PQL</v>
          </cell>
        </row>
        <row r="8">
          <cell r="F8">
            <v>40811000</v>
          </cell>
        </row>
        <row r="9">
          <cell r="G9">
            <v>6.8350785340314135E-2</v>
          </cell>
        </row>
        <row r="11">
          <cell r="F11" t="str">
            <v>GOOD</v>
          </cell>
        </row>
        <row r="12">
          <cell r="F12">
            <v>42801714</v>
          </cell>
          <cell r="H12">
            <v>5</v>
          </cell>
        </row>
      </sheetData>
      <sheetData sheetId="40" refreshError="1">
        <row r="4">
          <cell r="F4" t="str">
            <v>PAT-774.217</v>
          </cell>
          <cell r="J4" t="str">
            <v>Nathan Demaisip</v>
          </cell>
        </row>
        <row r="5">
          <cell r="F5" t="str">
            <v>Replacement of Substation 14</v>
          </cell>
        </row>
        <row r="6">
          <cell r="F6">
            <v>43586</v>
          </cell>
        </row>
        <row r="7">
          <cell r="F7">
            <v>44840000</v>
          </cell>
          <cell r="G7" t="str">
            <v>PQL</v>
          </cell>
        </row>
        <row r="8">
          <cell r="F8">
            <v>48311245</v>
          </cell>
        </row>
        <row r="9">
          <cell r="G9">
            <v>7.741402765388046E-2</v>
          </cell>
        </row>
        <row r="11">
          <cell r="F11" t="str">
            <v>GOOD</v>
          </cell>
        </row>
        <row r="12">
          <cell r="F12">
            <v>57681258.285714284</v>
          </cell>
          <cell r="H12">
            <v>7</v>
          </cell>
        </row>
      </sheetData>
      <sheetData sheetId="41" refreshError="1">
        <row r="4">
          <cell r="F4" t="str">
            <v>JFK-154.020</v>
          </cell>
          <cell r="J4" t="str">
            <v>Steven Schwan</v>
          </cell>
        </row>
        <row r="5">
          <cell r="F5" t="str">
            <v>Cut &amp; Cover Tunnel Power Distribution Vault &amp; Pump Station Repairs</v>
          </cell>
        </row>
        <row r="6">
          <cell r="F6">
            <v>43585</v>
          </cell>
        </row>
        <row r="7">
          <cell r="F7">
            <v>6950000</v>
          </cell>
          <cell r="G7" t="str">
            <v>Public</v>
          </cell>
        </row>
        <row r="8">
          <cell r="F8">
            <v>8720200</v>
          </cell>
        </row>
        <row r="9">
          <cell r="G9">
            <v>0.25470503597122301</v>
          </cell>
        </row>
        <row r="11">
          <cell r="F11" t="str">
            <v>FAIL</v>
          </cell>
        </row>
        <row r="12">
          <cell r="F12">
            <v>9982779.833333334</v>
          </cell>
          <cell r="H12">
            <v>6</v>
          </cell>
        </row>
      </sheetData>
      <sheetData sheetId="42" refreshError="1">
        <row r="4">
          <cell r="F4" t="str">
            <v>LT-535</v>
          </cell>
          <cell r="J4" t="str">
            <v>Joe Lucin</v>
          </cell>
        </row>
        <row r="5">
          <cell r="F5" t="str">
            <v>Rock Slope Priority Repairs for Slope A</v>
          </cell>
        </row>
        <row r="6">
          <cell r="F6">
            <v>43571</v>
          </cell>
        </row>
        <row r="7">
          <cell r="F7">
            <v>1200000</v>
          </cell>
          <cell r="G7" t="str">
            <v>Public</v>
          </cell>
        </row>
        <row r="8">
          <cell r="F8">
            <v>1738750</v>
          </cell>
        </row>
        <row r="9">
          <cell r="G9">
            <v>0.44895833333333335</v>
          </cell>
        </row>
        <row r="11">
          <cell r="F11" t="str">
            <v>FAIL</v>
          </cell>
        </row>
        <row r="12">
          <cell r="F12">
            <v>2084917.5</v>
          </cell>
          <cell r="H12">
            <v>4</v>
          </cell>
        </row>
      </sheetData>
      <sheetData sheetId="43" refreshError="1">
        <row r="4">
          <cell r="F4" t="str">
            <v>LGA-124.248</v>
          </cell>
          <cell r="J4" t="str">
            <v>Joe Lucin</v>
          </cell>
        </row>
        <row r="5">
          <cell r="F5" t="str">
            <v>Pugsley Creek Wetland Mitigation</v>
          </cell>
        </row>
        <row r="6">
          <cell r="F6">
            <v>43571</v>
          </cell>
        </row>
        <row r="7">
          <cell r="F7">
            <v>9330000</v>
          </cell>
          <cell r="G7" t="str">
            <v>Public</v>
          </cell>
        </row>
        <row r="8">
          <cell r="F8">
            <v>7407376</v>
          </cell>
        </row>
        <row r="9">
          <cell r="G9">
            <v>-0.2060690246516613</v>
          </cell>
        </row>
        <row r="11">
          <cell r="F11" t="str">
            <v>GOOD</v>
          </cell>
        </row>
        <row r="12">
          <cell r="F12">
            <v>9367661.4285714291</v>
          </cell>
          <cell r="H12">
            <v>7</v>
          </cell>
        </row>
      </sheetData>
      <sheetData sheetId="44" refreshError="1">
        <row r="4">
          <cell r="F4" t="str">
            <v>PAT-084.064</v>
          </cell>
          <cell r="J4" t="str">
            <v>Nathan Demaisip</v>
          </cell>
        </row>
        <row r="5">
          <cell r="F5" t="str">
            <v>C-Yard CCTV</v>
          </cell>
        </row>
        <row r="6">
          <cell r="F6">
            <v>43567</v>
          </cell>
        </row>
        <row r="7">
          <cell r="F7">
            <v>1216000</v>
          </cell>
          <cell r="G7" t="str">
            <v>SBE</v>
          </cell>
        </row>
        <row r="8">
          <cell r="F8">
            <v>1300529</v>
          </cell>
        </row>
        <row r="9">
          <cell r="G9">
            <v>6.9513980263157901E-2</v>
          </cell>
        </row>
        <row r="11">
          <cell r="F11" t="str">
            <v>GOOD</v>
          </cell>
        </row>
        <row r="12">
          <cell r="F12">
            <v>2569805</v>
          </cell>
          <cell r="H12">
            <v>4</v>
          </cell>
        </row>
      </sheetData>
      <sheetData sheetId="45" refreshError="1">
        <row r="4">
          <cell r="F4" t="str">
            <v>PAT-774.179</v>
          </cell>
          <cell r="J4" t="str">
            <v>Nathan Demaisip</v>
          </cell>
        </row>
        <row r="5">
          <cell r="F5" t="str">
            <v>HCMF Sewage Ejection Pit Rehabilitation</v>
          </cell>
        </row>
        <row r="6">
          <cell r="F6">
            <v>43565</v>
          </cell>
        </row>
        <row r="7">
          <cell r="F7">
            <v>1090000</v>
          </cell>
          <cell r="G7" t="str">
            <v>Public</v>
          </cell>
        </row>
        <row r="8">
          <cell r="F8">
            <v>1142000</v>
          </cell>
        </row>
        <row r="9">
          <cell r="G9">
            <v>4.7706422018348627E-2</v>
          </cell>
        </row>
        <row r="11">
          <cell r="F11" t="str">
            <v>GOOD</v>
          </cell>
        </row>
        <row r="12">
          <cell r="F12">
            <v>1292823.3333333333</v>
          </cell>
          <cell r="H12">
            <v>3</v>
          </cell>
        </row>
      </sheetData>
      <sheetData sheetId="46" refreshError="1">
        <row r="4">
          <cell r="F4" t="str">
            <v>GWB-924.137A</v>
          </cell>
          <cell r="J4" t="str">
            <v>Boris Lenderman</v>
          </cell>
        </row>
        <row r="5">
          <cell r="F5" t="str">
            <v>NJ Admin Bldg Sprinkler System Rehabilitation</v>
          </cell>
        </row>
        <row r="6">
          <cell r="F6">
            <v>43545</v>
          </cell>
        </row>
        <row r="7">
          <cell r="F7">
            <v>1151000</v>
          </cell>
          <cell r="G7" t="str">
            <v>SBE</v>
          </cell>
        </row>
        <row r="8">
          <cell r="F8">
            <v>1762891</v>
          </cell>
        </row>
        <row r="9">
          <cell r="G9">
            <v>0.53161685490877497</v>
          </cell>
        </row>
        <row r="11">
          <cell r="F11" t="str">
            <v>FAIL</v>
          </cell>
        </row>
        <row r="12">
          <cell r="F12">
            <v>2446945.25</v>
          </cell>
          <cell r="H12">
            <v>4</v>
          </cell>
        </row>
      </sheetData>
      <sheetData sheetId="47" refreshError="1">
        <row r="4">
          <cell r="F4" t="str">
            <v>JFK-184.676</v>
          </cell>
          <cell r="J4" t="str">
            <v>Nathan Demaisip</v>
          </cell>
        </row>
        <row r="5">
          <cell r="F5" t="str">
            <v>Building 111 Interim Unified Operations Center</v>
          </cell>
        </row>
        <row r="6">
          <cell r="F6">
            <v>43543</v>
          </cell>
        </row>
        <row r="7">
          <cell r="F7">
            <v>2390000</v>
          </cell>
          <cell r="G7" t="str">
            <v>Public</v>
          </cell>
        </row>
        <row r="8">
          <cell r="F8">
            <v>2374684</v>
          </cell>
        </row>
        <row r="9">
          <cell r="G9">
            <v>-6.4083682008368205E-3</v>
          </cell>
        </row>
        <row r="11">
          <cell r="F11" t="str">
            <v>GOOD</v>
          </cell>
        </row>
        <row r="12">
          <cell r="F12">
            <v>3202726.8</v>
          </cell>
          <cell r="H12">
            <v>5</v>
          </cell>
        </row>
      </sheetData>
      <sheetData sheetId="48" refreshError="1">
        <row r="4">
          <cell r="F4" t="str">
            <v>LGA-124.256</v>
          </cell>
          <cell r="J4" t="str">
            <v>Joe Lucin</v>
          </cell>
        </row>
        <row r="5">
          <cell r="F5" t="str">
            <v>Rehab of Fuel Farm Substation</v>
          </cell>
        </row>
        <row r="6">
          <cell r="F6">
            <v>43531</v>
          </cell>
        </row>
        <row r="7">
          <cell r="F7">
            <v>2460000</v>
          </cell>
          <cell r="G7" t="str">
            <v>SBE</v>
          </cell>
        </row>
        <row r="8">
          <cell r="F8">
            <v>2542676</v>
          </cell>
        </row>
        <row r="9">
          <cell r="G9">
            <v>3.3608130081300813E-2</v>
          </cell>
        </row>
        <row r="11">
          <cell r="F11" t="str">
            <v>GOOD</v>
          </cell>
        </row>
        <row r="12">
          <cell r="F12">
            <v>2777662.25</v>
          </cell>
          <cell r="H12">
            <v>4</v>
          </cell>
        </row>
      </sheetData>
      <sheetData sheetId="49" refreshError="1">
        <row r="4">
          <cell r="F4" t="str">
            <v>JFK-184.043</v>
          </cell>
          <cell r="J4" t="str">
            <v>John Alen</v>
          </cell>
        </row>
        <row r="5">
          <cell r="F5" t="str">
            <v>Taxiways CA and CB Paving &amp; Enhancements</v>
          </cell>
        </row>
        <row r="6">
          <cell r="F6">
            <v>43529</v>
          </cell>
        </row>
        <row r="7">
          <cell r="F7">
            <v>42125550</v>
          </cell>
          <cell r="G7" t="str">
            <v>Public</v>
          </cell>
        </row>
        <row r="8">
          <cell r="F8">
            <v>34053550</v>
          </cell>
        </row>
        <row r="9">
          <cell r="G9">
            <v>-0.19161767620838185</v>
          </cell>
        </row>
        <row r="11">
          <cell r="F11" t="str">
            <v>FAIL</v>
          </cell>
        </row>
        <row r="12">
          <cell r="F12">
            <v>35159386.5</v>
          </cell>
          <cell r="H12">
            <v>2</v>
          </cell>
        </row>
      </sheetData>
      <sheetData sheetId="50" refreshError="1">
        <row r="4">
          <cell r="F4" t="str">
            <v>PN-654.566</v>
          </cell>
          <cell r="J4" t="str">
            <v>Ed Minall</v>
          </cell>
        </row>
        <row r="5">
          <cell r="F5" t="str">
            <v>Rehab of Berth 25 and East End Bulkhead Extension (Grouting)</v>
          </cell>
        </row>
        <row r="6">
          <cell r="F6">
            <v>43517</v>
          </cell>
        </row>
        <row r="7">
          <cell r="F7">
            <v>4450000</v>
          </cell>
          <cell r="G7" t="str">
            <v>Public</v>
          </cell>
        </row>
        <row r="8">
          <cell r="F8">
            <v>5282906</v>
          </cell>
        </row>
        <row r="9">
          <cell r="G9">
            <v>0.18716988764044945</v>
          </cell>
        </row>
        <row r="11">
          <cell r="F11" t="str">
            <v>FAIL</v>
          </cell>
        </row>
        <row r="12">
          <cell r="F12">
            <v>7461118.4285714282</v>
          </cell>
          <cell r="H12">
            <v>7</v>
          </cell>
        </row>
      </sheetData>
      <sheetData sheetId="51" refreshError="1">
        <row r="4">
          <cell r="F4" t="str">
            <v>GWB-984.205</v>
          </cell>
          <cell r="J4" t="str">
            <v>Boris Lenderman</v>
          </cell>
        </row>
        <row r="5">
          <cell r="F5" t="str">
            <v>GWB - Maintenance Pavement Repairs via Work Order</v>
          </cell>
        </row>
        <row r="6">
          <cell r="F6">
            <v>43516</v>
          </cell>
        </row>
        <row r="7">
          <cell r="F7">
            <v>1790000</v>
          </cell>
          <cell r="G7" t="str">
            <v>PQL</v>
          </cell>
        </row>
        <row r="8">
          <cell r="F8">
            <v>1443785</v>
          </cell>
        </row>
        <row r="9">
          <cell r="G9">
            <v>-0.19341620111731844</v>
          </cell>
        </row>
        <row r="11">
          <cell r="F11" t="str">
            <v>GOOD</v>
          </cell>
        </row>
        <row r="12">
          <cell r="F12">
            <v>3495752.1428571427</v>
          </cell>
          <cell r="H12">
            <v>7</v>
          </cell>
        </row>
      </sheetData>
      <sheetData sheetId="52" refreshError="1">
        <row r="4">
          <cell r="F4" t="str">
            <v>AK-196A</v>
          </cell>
          <cell r="J4" t="str">
            <v>Tun Tun Lin</v>
          </cell>
        </row>
        <row r="5">
          <cell r="F5" t="str">
            <v>SI Bridges - Maintenance Pavement Repairs via Work Order</v>
          </cell>
        </row>
        <row r="6">
          <cell r="F6">
            <v>43516</v>
          </cell>
        </row>
        <row r="7">
          <cell r="F7">
            <v>1880000</v>
          </cell>
          <cell r="G7" t="str">
            <v>PQL</v>
          </cell>
        </row>
        <row r="8">
          <cell r="F8">
            <v>1101828</v>
          </cell>
        </row>
        <row r="9">
          <cell r="G9">
            <v>-0.41392127659574468</v>
          </cell>
        </row>
        <row r="11">
          <cell r="F11" t="str">
            <v>GOOD</v>
          </cell>
        </row>
        <row r="12">
          <cell r="F12">
            <v>3114163.5</v>
          </cell>
          <cell r="H12">
            <v>6</v>
          </cell>
        </row>
      </sheetData>
      <sheetData sheetId="53" refreshError="1">
        <row r="4">
          <cell r="F4" t="str">
            <v>GWB-934.046</v>
          </cell>
          <cell r="J4" t="str">
            <v>Joe Lucin</v>
          </cell>
        </row>
        <row r="5">
          <cell r="F5" t="str">
            <v>Flag Hoist System Upgrade</v>
          </cell>
        </row>
        <row r="6">
          <cell r="F6">
            <v>43503</v>
          </cell>
        </row>
        <row r="7">
          <cell r="F7">
            <v>1130000</v>
          </cell>
          <cell r="G7" t="str">
            <v>SBE</v>
          </cell>
        </row>
        <row r="8">
          <cell r="F8">
            <v>1686000</v>
          </cell>
        </row>
        <row r="9">
          <cell r="G9">
            <v>0.49203539823008852</v>
          </cell>
        </row>
        <row r="11">
          <cell r="F11" t="str">
            <v>FAIL</v>
          </cell>
        </row>
        <row r="12">
          <cell r="F12">
            <v>1933500</v>
          </cell>
          <cell r="H12">
            <v>2</v>
          </cell>
        </row>
      </sheetData>
      <sheetData sheetId="54" refreshError="1">
        <row r="4">
          <cell r="F4" t="str">
            <v>LGA-124.270</v>
          </cell>
          <cell r="J4" t="str">
            <v>Joe Lucin</v>
          </cell>
        </row>
        <row r="5">
          <cell r="F5" t="str">
            <v>Replace West Field Lighting Vault Emergency Generator</v>
          </cell>
        </row>
        <row r="6">
          <cell r="F6">
            <v>43503</v>
          </cell>
        </row>
        <row r="7">
          <cell r="F7">
            <v>684000</v>
          </cell>
          <cell r="G7" t="str">
            <v>SBE</v>
          </cell>
        </row>
        <row r="8">
          <cell r="F8">
            <v>615000</v>
          </cell>
        </row>
        <row r="9">
          <cell r="G9">
            <v>-0.10087719298245613</v>
          </cell>
        </row>
        <row r="11">
          <cell r="F11" t="str">
            <v>GOOD</v>
          </cell>
        </row>
        <row r="12">
          <cell r="F12">
            <v>924493.4</v>
          </cell>
          <cell r="H12">
            <v>5</v>
          </cell>
        </row>
      </sheetData>
      <sheetData sheetId="55" refreshError="1">
        <row r="4">
          <cell r="F4" t="str">
            <v>MFP-994.679</v>
          </cell>
          <cell r="J4" t="str">
            <v>Ed Minall</v>
          </cell>
        </row>
        <row r="5">
          <cell r="F5" t="str">
            <v>NJ - Maintenance Dredging via Work Order</v>
          </cell>
        </row>
        <row r="6">
          <cell r="F6">
            <v>43501</v>
          </cell>
        </row>
        <row r="7">
          <cell r="F7">
            <v>13910000</v>
          </cell>
          <cell r="G7" t="str">
            <v>PQL</v>
          </cell>
        </row>
        <row r="8">
          <cell r="F8">
            <v>11745510</v>
          </cell>
        </row>
        <row r="9">
          <cell r="G9">
            <v>-0.15560675772825305</v>
          </cell>
        </row>
        <row r="11">
          <cell r="F11" t="str">
            <v>GOOD</v>
          </cell>
        </row>
        <row r="12">
          <cell r="F12">
            <v>15613590</v>
          </cell>
          <cell r="H12">
            <v>4</v>
          </cell>
        </row>
      </sheetData>
      <sheetData sheetId="56" refreshError="1">
        <row r="4">
          <cell r="F4" t="str">
            <v>GWB-244.260</v>
          </cell>
          <cell r="J4" t="str">
            <v>Boris Lenderman</v>
          </cell>
        </row>
        <row r="5">
          <cell r="F5" t="str">
            <v>Main Span Upper Level Struct Stl Rehab (Phase 2) &amp; Appurtenances</v>
          </cell>
        </row>
        <row r="6">
          <cell r="F6">
            <v>43496</v>
          </cell>
        </row>
        <row r="7">
          <cell r="F7">
            <v>92495500</v>
          </cell>
          <cell r="G7" t="str">
            <v>Public</v>
          </cell>
        </row>
        <row r="8">
          <cell r="F8">
            <v>63348000</v>
          </cell>
        </row>
        <row r="9">
          <cell r="G9">
            <v>-0.31512343843754559</v>
          </cell>
        </row>
        <row r="11">
          <cell r="F11" t="str">
            <v>FAIL</v>
          </cell>
        </row>
        <row r="12">
          <cell r="F12">
            <v>68785236.666666672</v>
          </cell>
          <cell r="H12">
            <v>3</v>
          </cell>
        </row>
      </sheetData>
      <sheetData sheetId="57" refreshError="1">
        <row r="4">
          <cell r="F4" t="str">
            <v>EWR-154.306A</v>
          </cell>
          <cell r="J4" t="str">
            <v>Joe Lucin</v>
          </cell>
        </row>
        <row r="5">
          <cell r="F5" t="str">
            <v>Rehab of Runway 11-29</v>
          </cell>
        </row>
        <row r="6">
          <cell r="F6">
            <v>43489</v>
          </cell>
        </row>
        <row r="7">
          <cell r="F7">
            <v>23450000</v>
          </cell>
          <cell r="G7" t="str">
            <v>Public</v>
          </cell>
        </row>
        <row r="8">
          <cell r="F8">
            <v>25644000</v>
          </cell>
        </row>
        <row r="9">
          <cell r="G9">
            <v>9.3560767590618335E-2</v>
          </cell>
        </row>
        <row r="11">
          <cell r="F11" t="str">
            <v>GOOD</v>
          </cell>
        </row>
        <row r="12">
          <cell r="F12">
            <v>28255558.5</v>
          </cell>
          <cell r="H12">
            <v>2</v>
          </cell>
        </row>
      </sheetData>
      <sheetData sheetId="58" refreshError="1">
        <row r="4">
          <cell r="F4" t="str">
            <v>GWB-244.236</v>
          </cell>
          <cell r="J4" t="str">
            <v>Boris Lenderman</v>
          </cell>
        </row>
        <row r="5">
          <cell r="F5" t="str">
            <v>Intelligent Transportation System Repl Signs and Field Devices</v>
          </cell>
        </row>
        <row r="6">
          <cell r="F6">
            <v>43488</v>
          </cell>
        </row>
        <row r="7">
          <cell r="F7">
            <v>28219450</v>
          </cell>
          <cell r="G7" t="str">
            <v>Public</v>
          </cell>
        </row>
        <row r="8">
          <cell r="F8">
            <v>27620150</v>
          </cell>
        </row>
        <row r="9">
          <cell r="G9">
            <v>-2.1237125457795953E-2</v>
          </cell>
        </row>
        <row r="11">
          <cell r="F11" t="str">
            <v>GOOD</v>
          </cell>
        </row>
        <row r="12">
          <cell r="F12">
            <v>38331440.5</v>
          </cell>
          <cell r="H12">
            <v>6</v>
          </cell>
        </row>
      </sheetData>
      <sheetData sheetId="59" refreshError="1">
        <row r="4">
          <cell r="F4" t="str">
            <v>JFK-174.016</v>
          </cell>
          <cell r="J4" t="str">
            <v>Wen Chang</v>
          </cell>
        </row>
        <row r="5">
          <cell r="F5" t="str">
            <v>Bridges J31 &amp; J32 Rehab - Aqueduct Road</v>
          </cell>
        </row>
        <row r="6">
          <cell r="F6">
            <v>43475</v>
          </cell>
        </row>
        <row r="7">
          <cell r="F7">
            <v>4500000</v>
          </cell>
          <cell r="G7" t="str">
            <v>Public</v>
          </cell>
        </row>
        <row r="8">
          <cell r="F8">
            <v>4863085</v>
          </cell>
        </row>
        <row r="9">
          <cell r="G9">
            <v>8.0685555555555552E-2</v>
          </cell>
        </row>
        <row r="11">
          <cell r="F11" t="str">
            <v>GOOD</v>
          </cell>
        </row>
        <row r="12">
          <cell r="F12">
            <v>6990880.833333333</v>
          </cell>
          <cell r="H12">
            <v>6</v>
          </cell>
        </row>
      </sheetData>
      <sheetData sheetId="60" refreshError="1">
        <row r="4">
          <cell r="F4" t="str">
            <v>EWR-154.360</v>
          </cell>
        </row>
        <row r="5">
          <cell r="F5" t="str">
            <v>Bldg 76 Underground Storage Tank Repl</v>
          </cell>
        </row>
        <row r="6">
          <cell r="F6">
            <v>43468</v>
          </cell>
        </row>
      </sheetData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2.bin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9.xml"/><Relationship Id="rId4" Type="http://schemas.openxmlformats.org/officeDocument/2006/relationships/image" Target="../media/image2.emf"/></Relationships>
</file>

<file path=xl/worksheets/_rels/sheet10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9.bin"/></Relationships>
</file>

<file path=xl/worksheets/_rels/sheet10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0.bin"/></Relationships>
</file>

<file path=xl/worksheets/_rels/sheet10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1.bin"/></Relationships>
</file>

<file path=xl/worksheets/_rels/sheet10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2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3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4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5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6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7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8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5" Type="http://schemas.openxmlformats.org/officeDocument/2006/relationships/image" Target="../media/image2.emf"/><Relationship Id="rId4" Type="http://schemas.openxmlformats.org/officeDocument/2006/relationships/oleObject" Target="../embeddings/oleObject3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9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0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1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2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3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4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5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6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7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8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9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0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1.bin"/></Relationships>
</file>

<file path=xl/worksheets/_rels/sheet1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2.bin"/></Relationships>
</file>

<file path=xl/worksheets/_rels/sheet1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3.bin"/></Relationships>
</file>

<file path=xl/worksheets/_rels/sheet1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4.bin"/></Relationships>
</file>

<file path=xl/worksheets/_rels/sheet1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5.bin"/></Relationships>
</file>

<file path=xl/worksheets/_rels/sheet1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6.bin"/></Relationships>
</file>

<file path=xl/worksheets/_rels/sheet1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7.bin"/></Relationships>
</file>

<file path=xl/worksheets/_rels/sheet1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8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9.bin"/></Relationships>
</file>

<file path=xl/worksheets/_rels/sheet1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0.bin"/></Relationships>
</file>

<file path=xl/worksheets/_rels/sheet1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1.bin"/></Relationships>
</file>

<file path=xl/worksheets/_rels/sheet1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2.bin"/></Relationships>
</file>

<file path=xl/worksheets/_rels/sheet1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3.bin"/></Relationships>
</file>

<file path=xl/worksheets/_rels/sheet1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4.bin"/></Relationships>
</file>

<file path=xl/worksheets/_rels/sheet1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5.bin"/></Relationships>
</file>

<file path=xl/worksheets/_rels/sheet1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6.bin"/></Relationships>
</file>

<file path=xl/worksheets/_rels/sheet1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7.bin"/></Relationships>
</file>

<file path=xl/worksheets/_rels/sheet1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9.bin"/></Relationships>
</file>

<file path=xl/worksheets/_rels/sheet1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0.bin"/></Relationships>
</file>

<file path=xl/worksheets/_rels/sheet1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1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2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3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4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5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6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7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9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0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1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2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3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4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5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6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7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9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0.bin"/></Relationships>
</file>

<file path=xl/worksheets/_rels/sheet1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1.bin"/></Relationships>
</file>

<file path=xl/worksheets/_rels/sheet1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2.bin"/></Relationships>
</file>

<file path=xl/worksheets/_rels/sheet1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3.bin"/></Relationships>
</file>

<file path=xl/worksheets/_rels/sheet1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4.bin"/></Relationships>
</file>

<file path=xl/worksheets/_rels/sheet1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5.bin"/></Relationships>
</file>

<file path=xl/worksheets/_rels/sheet1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6.bin"/></Relationships>
</file>

<file path=xl/worksheets/_rels/sheet1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7.bin"/></Relationships>
</file>

<file path=xl/worksheets/_rels/sheet1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8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9.bin"/></Relationships>
</file>

<file path=xl/worksheets/_rels/sheet17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4.xml"/><Relationship Id="rId2" Type="http://schemas.openxmlformats.org/officeDocument/2006/relationships/printerSettings" Target="../printerSettings/printerSettings170.bin"/><Relationship Id="rId1" Type="http://schemas.openxmlformats.org/officeDocument/2006/relationships/hyperlink" Target="mailto:!@#$%^&amp;*()" TargetMode="External"/><Relationship Id="rId6" Type="http://schemas.openxmlformats.org/officeDocument/2006/relationships/image" Target="../media/image2.emf"/><Relationship Id="rId5" Type="http://schemas.openxmlformats.org/officeDocument/2006/relationships/oleObject" Target="../embeddings/oleObject4.bin"/><Relationship Id="rId4" Type="http://schemas.openxmlformats.org/officeDocument/2006/relationships/vmlDrawing" Target="../drawings/vmlDrawing4.vml"/></Relationships>
</file>

<file path=xl/worksheets/_rels/sheet1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1.bin"/></Relationships>
</file>

<file path=xl/worksheets/_rels/sheet1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2.bin"/></Relationships>
</file>

<file path=xl/worksheets/_rels/sheet1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2.emf"/><Relationship Id="rId4" Type="http://schemas.openxmlformats.org/officeDocument/2006/relationships/oleObject" Target="../embeddings/oleObject1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8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9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0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1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2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3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4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5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6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7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9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0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1.bin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2.bin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3.bin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4.bin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5.bin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6.bin"/></Relationships>
</file>

<file path=xl/worksheets/_rels/sheet9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7.bin"/></Relationships>
</file>

<file path=xl/worksheets/_rels/sheet9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>
    <tabColor theme="9" tint="-0.249977111117893"/>
  </sheetPr>
  <dimension ref="B2:AQ717"/>
  <sheetViews>
    <sheetView zoomScaleNormal="100" workbookViewId="0">
      <pane ySplit="5" topLeftCell="A6" activePane="bottomLeft" state="frozen"/>
      <selection pane="bottomLeft" activeCell="H26" sqref="H26"/>
    </sheetView>
  </sheetViews>
  <sheetFormatPr defaultRowHeight="15" x14ac:dyDescent="0.25"/>
  <cols>
    <col min="1" max="1" width="3.140625" customWidth="1"/>
    <col min="2" max="2" width="7.5703125" customWidth="1"/>
    <col min="3" max="3" width="5.28515625" customWidth="1"/>
    <col min="4" max="4" width="13.42578125" customWidth="1"/>
    <col min="5" max="5" width="51.5703125" customWidth="1"/>
    <col min="6" max="6" width="9.5703125" customWidth="1"/>
    <col min="7" max="7" width="9.42578125" customWidth="1"/>
    <col min="8" max="8" width="15.85546875" customWidth="1"/>
    <col min="9" max="9" width="16.140625" customWidth="1"/>
    <col min="10" max="10" width="13.7109375" customWidth="1"/>
    <col min="11" max="11" width="10.28515625" customWidth="1"/>
    <col min="12" max="12" width="7" customWidth="1"/>
    <col min="13" max="13" width="6.42578125" customWidth="1"/>
    <col min="14" max="14" width="5.7109375" style="11" customWidth="1"/>
    <col min="15" max="15" width="3.42578125" customWidth="1"/>
    <col min="16" max="16" width="6.140625" customWidth="1"/>
    <col min="17" max="17" width="3.42578125" customWidth="1"/>
    <col min="18" max="18" width="2" customWidth="1"/>
    <col min="19" max="19" width="10.140625" customWidth="1"/>
    <col min="22" max="22" width="11.140625" bestFit="1" customWidth="1"/>
    <col min="23" max="23" width="12.42578125" bestFit="1" customWidth="1"/>
    <col min="24" max="24" width="12" bestFit="1" customWidth="1"/>
    <col min="26" max="27" width="12.140625" bestFit="1" customWidth="1"/>
    <col min="29" max="30" width="13" customWidth="1"/>
    <col min="31" max="31" width="11.28515625" customWidth="1"/>
    <col min="32" max="32" width="4.28515625" customWidth="1"/>
    <col min="33" max="34" width="15.140625" customWidth="1"/>
    <col min="36" max="36" width="6.5703125" customWidth="1"/>
    <col min="37" max="38" width="15" customWidth="1"/>
    <col min="42" max="42" width="3.140625" customWidth="1"/>
  </cols>
  <sheetData>
    <row r="2" spans="3:36" ht="31.5" customHeight="1" x14ac:dyDescent="0.25">
      <c r="D2" s="21"/>
      <c r="E2" s="15"/>
      <c r="F2" s="15" t="s">
        <v>32</v>
      </c>
      <c r="I2" s="392" t="s">
        <v>1389</v>
      </c>
      <c r="J2" s="392"/>
      <c r="L2" s="15" t="s">
        <v>33</v>
      </c>
    </row>
    <row r="3" spans="3:36" ht="18.75" x14ac:dyDescent="0.3">
      <c r="D3" s="3"/>
      <c r="F3" s="3" t="s">
        <v>53</v>
      </c>
      <c r="K3" s="36" t="s">
        <v>54</v>
      </c>
      <c r="L3" s="37">
        <v>2018</v>
      </c>
    </row>
    <row r="5" spans="3:36" x14ac:dyDescent="0.25">
      <c r="C5" s="40" t="s">
        <v>423</v>
      </c>
      <c r="D5" s="49" t="s">
        <v>55</v>
      </c>
      <c r="E5" s="49" t="s">
        <v>56</v>
      </c>
      <c r="F5" s="49" t="s">
        <v>57</v>
      </c>
      <c r="G5" s="50" t="s">
        <v>424</v>
      </c>
      <c r="H5" s="47" t="s">
        <v>58</v>
      </c>
      <c r="I5" s="47" t="s">
        <v>59</v>
      </c>
      <c r="J5" s="42" t="s">
        <v>456</v>
      </c>
      <c r="K5" s="47" t="s">
        <v>60</v>
      </c>
      <c r="L5" s="48" t="s">
        <v>61</v>
      </c>
      <c r="M5" s="47" t="s">
        <v>62</v>
      </c>
      <c r="N5" s="43" t="s">
        <v>225</v>
      </c>
      <c r="O5" s="43" t="s">
        <v>422</v>
      </c>
      <c r="P5" s="43" t="s">
        <v>454</v>
      </c>
      <c r="Q5" s="43"/>
      <c r="R5" s="41" t="s">
        <v>63</v>
      </c>
      <c r="S5" s="9"/>
      <c r="T5" s="9" t="s">
        <v>551</v>
      </c>
      <c r="U5" s="9"/>
      <c r="V5" s="9"/>
    </row>
    <row r="6" spans="3:36" ht="7.5" customHeight="1" x14ac:dyDescent="0.25">
      <c r="C6" s="39"/>
      <c r="G6" s="45"/>
    </row>
    <row r="7" spans="3:36" x14ac:dyDescent="0.25">
      <c r="C7" s="39">
        <v>2019</v>
      </c>
      <c r="D7" s="62" t="str">
        <f>+'[1]GWB-924.137A'!$F$4</f>
        <v>GWB-934.137A</v>
      </c>
      <c r="E7" s="63" t="str">
        <f>+'[1]GWB-924.137A'!$F$5</f>
        <v>NJ Admin Bldg Sprinkler System Rehabilitation</v>
      </c>
      <c r="F7" s="64">
        <f>+'[1]GWB-924.137A'!$F$6</f>
        <v>43545</v>
      </c>
      <c r="G7" s="65" t="str">
        <f>+'[1]GWB-924.137A'!$G$7</f>
        <v>SBE</v>
      </c>
      <c r="H7" s="94">
        <f>+'[1]GWB-924.137A'!$F$7</f>
        <v>1151000</v>
      </c>
      <c r="I7" s="94">
        <f>+'[1]GWB-924.137A'!$F$8</f>
        <v>1762891</v>
      </c>
      <c r="J7" s="94"/>
      <c r="K7" s="153">
        <f>+'[1]GWB-924.137A'!$G$9</f>
        <v>0.53161685490877497</v>
      </c>
      <c r="L7" s="11" t="str">
        <f>+'[1]GWB-924.137A'!$F$11</f>
        <v>FAIL</v>
      </c>
      <c r="M7" s="15">
        <f>+'[1]GWB-924.137A'!$H$12</f>
        <v>4</v>
      </c>
      <c r="N7" s="35" t="s">
        <v>25</v>
      </c>
      <c r="O7" s="15">
        <v>1</v>
      </c>
      <c r="P7" s="35" t="s">
        <v>457</v>
      </c>
      <c r="Q7" s="35"/>
      <c r="R7" s="15"/>
      <c r="S7" s="24"/>
      <c r="T7" s="62" t="str">
        <f>+'[1]GWB-924.137A'!$J$4</f>
        <v>Boris Lenderman</v>
      </c>
      <c r="U7" s="62"/>
      <c r="V7" s="94">
        <f>+'[1]GWB-924.137A'!$F$12</f>
        <v>2446945.25</v>
      </c>
      <c r="W7" s="199">
        <f t="shared" ref="W7:W21" si="0">+I7/V7</f>
        <v>0.72044562500938669</v>
      </c>
      <c r="X7" s="15"/>
      <c r="Y7" s="200">
        <f t="shared" ref="Y7:Y21" si="1">+I7/H7</f>
        <v>1.531616854908775</v>
      </c>
      <c r="Z7" s="11" t="str">
        <f t="shared" ref="Z7:Z21" si="2">(IF(Y7&lt;$Y$3,"FAIL",IF(Y7&gt;$Y$4,"FAIL","GOOD")))</f>
        <v>FAIL</v>
      </c>
      <c r="AA7" s="11"/>
      <c r="AB7" s="15"/>
      <c r="AC7" s="54">
        <f t="shared" ref="AC7:AD21" si="3">+H7</f>
        <v>1151000</v>
      </c>
      <c r="AD7" s="54">
        <f t="shared" si="3"/>
        <v>1762891</v>
      </c>
      <c r="AE7" s="54">
        <f t="shared" ref="AE7:AE21" si="4">+AC7-AD7</f>
        <v>-611891</v>
      </c>
      <c r="AG7" s="4"/>
      <c r="AH7" s="4"/>
      <c r="AI7" s="225"/>
      <c r="AJ7" s="226"/>
    </row>
    <row r="8" spans="3:36" x14ac:dyDescent="0.25">
      <c r="C8" s="39">
        <v>2019</v>
      </c>
      <c r="D8" s="62" t="str">
        <f>+'[1]JFK-184.676'!$F$4</f>
        <v>JFK-184.676</v>
      </c>
      <c r="E8" s="63" t="str">
        <f>+'[1]JFK-184.676'!$F$5</f>
        <v>Building 111 Interim Unified Operations Center</v>
      </c>
      <c r="F8" s="64">
        <f>+'[1]JFK-184.676'!$F$6</f>
        <v>43543</v>
      </c>
      <c r="G8" s="65" t="str">
        <f>+'[1]JFK-184.676'!$G$7</f>
        <v>Public</v>
      </c>
      <c r="H8" s="94">
        <f>+'[1]JFK-184.676'!$F$7</f>
        <v>2390000</v>
      </c>
      <c r="I8" s="94">
        <f>+'[1]JFK-184.676'!$F$8</f>
        <v>2374684</v>
      </c>
      <c r="J8" s="94"/>
      <c r="K8" s="153">
        <f>+'[1]JFK-184.676'!$G$9</f>
        <v>-6.4083682008368205E-3</v>
      </c>
      <c r="L8" s="11" t="str">
        <f>+'[1]JFK-184.676'!$F$11</f>
        <v>GOOD</v>
      </c>
      <c r="M8" s="15">
        <f>+'[1]JFK-184.676'!$H$12</f>
        <v>5</v>
      </c>
      <c r="N8" s="35" t="s">
        <v>93</v>
      </c>
      <c r="O8" s="15">
        <v>1</v>
      </c>
      <c r="P8" s="35" t="s">
        <v>458</v>
      </c>
      <c r="Q8" s="35"/>
      <c r="R8" s="15"/>
      <c r="S8" s="24"/>
      <c r="T8" s="62" t="str">
        <f>+'[1]JFK-184.676'!$J$4</f>
        <v>Nathan Demaisip</v>
      </c>
      <c r="U8" s="62"/>
      <c r="V8" s="94">
        <f>+'[1]JFK-184.676'!$F$12</f>
        <v>3202726.8</v>
      </c>
      <c r="W8" s="199">
        <f t="shared" si="0"/>
        <v>0.7414569360084039</v>
      </c>
      <c r="X8" s="15"/>
      <c r="Y8" s="200">
        <f t="shared" si="1"/>
        <v>0.99359163179916321</v>
      </c>
      <c r="Z8" s="11" t="str">
        <f t="shared" si="2"/>
        <v>FAIL</v>
      </c>
      <c r="AA8" s="11"/>
      <c r="AB8" s="15"/>
      <c r="AC8" s="54">
        <f t="shared" si="3"/>
        <v>2390000</v>
      </c>
      <c r="AD8" s="54">
        <f t="shared" si="3"/>
        <v>2374684</v>
      </c>
      <c r="AE8" s="54">
        <f t="shared" si="4"/>
        <v>15316</v>
      </c>
      <c r="AG8" s="4"/>
      <c r="AH8" s="4"/>
      <c r="AI8" s="225"/>
      <c r="AJ8" s="226"/>
    </row>
    <row r="9" spans="3:36" x14ac:dyDescent="0.25">
      <c r="C9" s="39">
        <v>2019</v>
      </c>
      <c r="D9" s="62" t="str">
        <f>+'[1]LGA-124.256'!$F$4</f>
        <v>LGA-124.256</v>
      </c>
      <c r="E9" s="63" t="str">
        <f>+'[1]LGA-124.256'!$F$5</f>
        <v>Rehab of Fuel Farm Substation</v>
      </c>
      <c r="F9" s="64">
        <f>+'[1]LGA-124.256'!$F$6</f>
        <v>43531</v>
      </c>
      <c r="G9" s="65" t="str">
        <f>+'[1]LGA-124.256'!$G$7</f>
        <v>SBE</v>
      </c>
      <c r="H9" s="94">
        <f>+'[1]LGA-124.256'!$F$7</f>
        <v>2460000</v>
      </c>
      <c r="I9" s="94">
        <f>+'[1]LGA-124.256'!$F$8</f>
        <v>2542676</v>
      </c>
      <c r="J9" s="94"/>
      <c r="K9" s="153">
        <f>+'[1]LGA-124.256'!$G$9</f>
        <v>3.3608130081300813E-2</v>
      </c>
      <c r="L9" s="11" t="str">
        <f>+'[1]LGA-124.256'!$F$11</f>
        <v>GOOD</v>
      </c>
      <c r="M9" s="15">
        <f>+'[1]LGA-124.256'!$H$12</f>
        <v>4</v>
      </c>
      <c r="N9" s="35" t="s">
        <v>93</v>
      </c>
      <c r="O9" s="15">
        <v>1</v>
      </c>
      <c r="P9" s="35" t="s">
        <v>458</v>
      </c>
      <c r="Q9" s="35"/>
      <c r="R9" s="15"/>
      <c r="S9" s="24"/>
      <c r="T9" s="62" t="str">
        <f>+'[1]LGA-124.256'!$J$4</f>
        <v>Joe Lucin</v>
      </c>
      <c r="U9" s="62"/>
      <c r="V9" s="94">
        <f>+'[1]LGA-124.256'!$F$12</f>
        <v>2777662.25</v>
      </c>
      <c r="W9" s="199">
        <f t="shared" si="0"/>
        <v>0.91540143154553799</v>
      </c>
      <c r="X9" s="15"/>
      <c r="Y9" s="200">
        <f t="shared" si="1"/>
        <v>1.0336081300813007</v>
      </c>
      <c r="Z9" s="11" t="str">
        <f t="shared" si="2"/>
        <v>FAIL</v>
      </c>
      <c r="AA9" s="11"/>
      <c r="AB9" s="15"/>
      <c r="AC9" s="54">
        <f t="shared" si="3"/>
        <v>2460000</v>
      </c>
      <c r="AD9" s="54">
        <f t="shared" si="3"/>
        <v>2542676</v>
      </c>
      <c r="AE9" s="54">
        <f t="shared" si="4"/>
        <v>-82676</v>
      </c>
      <c r="AG9" s="4"/>
      <c r="AH9" s="4"/>
      <c r="AI9" s="225"/>
      <c r="AJ9" s="226"/>
    </row>
    <row r="10" spans="3:36" x14ac:dyDescent="0.25">
      <c r="C10" s="39">
        <v>2019</v>
      </c>
      <c r="D10" s="62" t="str">
        <f>+'[1]JFK-184.043'!$F$4</f>
        <v>JFK-184.043</v>
      </c>
      <c r="E10" s="63" t="str">
        <f>+'[1]JFK-184.043'!$F$5</f>
        <v>Taxiways CA and CB Paving &amp; Enhancements</v>
      </c>
      <c r="F10" s="64">
        <f>+'[1]JFK-184.043'!$F$6</f>
        <v>43529</v>
      </c>
      <c r="G10" s="65" t="str">
        <f>+'[1]JFK-184.043'!$G$7</f>
        <v>Public</v>
      </c>
      <c r="H10" s="94">
        <f>+'[1]JFK-184.043'!$F$7</f>
        <v>42125550</v>
      </c>
      <c r="I10" s="94">
        <f>+'[1]JFK-184.043'!$F$8</f>
        <v>34053550</v>
      </c>
      <c r="J10" s="94" t="s">
        <v>519</v>
      </c>
      <c r="K10" s="153">
        <f>+'[1]JFK-184.043'!$G$9</f>
        <v>-0.19161767620838185</v>
      </c>
      <c r="L10" s="11" t="str">
        <f>+'[1]JFK-184.043'!$F$11</f>
        <v>FAIL</v>
      </c>
      <c r="M10" s="15">
        <f>+'[1]JFK-184.043'!$H$12</f>
        <v>2</v>
      </c>
      <c r="N10" s="35" t="s">
        <v>93</v>
      </c>
      <c r="O10" s="15">
        <v>1</v>
      </c>
      <c r="P10" s="35" t="s">
        <v>458</v>
      </c>
      <c r="Q10" s="35"/>
      <c r="R10" s="15"/>
      <c r="S10" s="24"/>
      <c r="T10" s="62" t="str">
        <f>+'[1]JFK-184.043'!$J$4</f>
        <v>John Alen</v>
      </c>
      <c r="U10" s="62"/>
      <c r="V10" s="94">
        <f>+'[1]JFK-184.043'!$F$12</f>
        <v>35159386.5</v>
      </c>
      <c r="W10" s="199">
        <f t="shared" si="0"/>
        <v>0.96854790114156286</v>
      </c>
      <c r="X10" s="15"/>
      <c r="Y10" s="200">
        <f t="shared" si="1"/>
        <v>0.80838232379161812</v>
      </c>
      <c r="Z10" s="11" t="str">
        <f t="shared" si="2"/>
        <v>FAIL</v>
      </c>
      <c r="AA10" s="11"/>
      <c r="AB10" s="15"/>
      <c r="AC10" s="54">
        <f t="shared" si="3"/>
        <v>42125550</v>
      </c>
      <c r="AD10" s="54">
        <f t="shared" si="3"/>
        <v>34053550</v>
      </c>
      <c r="AE10" s="54">
        <f t="shared" si="4"/>
        <v>8072000</v>
      </c>
      <c r="AG10" s="4"/>
      <c r="AH10" s="4"/>
      <c r="AI10" s="225"/>
      <c r="AJ10" s="226"/>
    </row>
    <row r="11" spans="3:36" x14ac:dyDescent="0.25">
      <c r="C11" s="39">
        <v>2019</v>
      </c>
      <c r="D11" s="62" t="str">
        <f>+'[1]PN-654.566'!$F$4</f>
        <v>PN-654.566</v>
      </c>
      <c r="E11" s="63" t="str">
        <f>+'[1]PN-654.566'!$F$5</f>
        <v>Rehab of Berth 25 and East End Bulkhead Extension (Grouting)</v>
      </c>
      <c r="F11" s="64">
        <f>+'[1]PN-654.566'!$F$6</f>
        <v>43517</v>
      </c>
      <c r="G11" s="65" t="str">
        <f>+'[1]PN-654.566'!$G$7</f>
        <v>Public</v>
      </c>
      <c r="H11" s="94">
        <f>+'[1]PN-654.566'!$F$7</f>
        <v>4450000</v>
      </c>
      <c r="I11" s="94">
        <f>+'[1]PN-654.566'!$F$8</f>
        <v>5282906</v>
      </c>
      <c r="J11" s="94"/>
      <c r="K11" s="153">
        <f>+'[1]PN-654.566'!$G$9</f>
        <v>0.18716988764044945</v>
      </c>
      <c r="L11" s="11" t="str">
        <f>+'[1]PN-654.566'!$F$11</f>
        <v>FAIL</v>
      </c>
      <c r="M11" s="15">
        <f>+'[1]PN-654.566'!$H$12</f>
        <v>7</v>
      </c>
      <c r="N11" s="35" t="s">
        <v>25</v>
      </c>
      <c r="O11" s="15">
        <v>1</v>
      </c>
      <c r="P11" s="35" t="s">
        <v>492</v>
      </c>
      <c r="Q11" s="35"/>
      <c r="R11" s="15"/>
      <c r="S11" s="24"/>
      <c r="T11" s="62" t="str">
        <f>+'[1]PN-654.566'!$J$4</f>
        <v>Ed Minall</v>
      </c>
      <c r="U11" s="62"/>
      <c r="V11" s="94">
        <f>+'[1]PN-654.566'!$F$12</f>
        <v>7461118.4285714282</v>
      </c>
      <c r="W11" s="199">
        <f t="shared" si="0"/>
        <v>0.70805818867179027</v>
      </c>
      <c r="X11" s="15"/>
      <c r="Y11" s="200">
        <f t="shared" si="1"/>
        <v>1.1871698876404495</v>
      </c>
      <c r="Z11" s="11" t="str">
        <f t="shared" si="2"/>
        <v>FAIL</v>
      </c>
      <c r="AA11" s="11"/>
      <c r="AB11" s="15"/>
      <c r="AC11" s="54">
        <f t="shared" si="3"/>
        <v>4450000</v>
      </c>
      <c r="AD11" s="54">
        <f t="shared" si="3"/>
        <v>5282906</v>
      </c>
      <c r="AE11" s="54">
        <f t="shared" si="4"/>
        <v>-832906</v>
      </c>
      <c r="AG11" s="4"/>
      <c r="AH11" s="4"/>
      <c r="AI11" s="225"/>
      <c r="AJ11" s="226"/>
    </row>
    <row r="12" spans="3:36" x14ac:dyDescent="0.25">
      <c r="C12" s="39">
        <v>2019</v>
      </c>
      <c r="D12" s="62" t="str">
        <f>+'[1]GWB-984.205'!$F$4</f>
        <v>GWB-984.205</v>
      </c>
      <c r="E12" s="63" t="str">
        <f>+'[1]GWB-984.205'!$F$5</f>
        <v>GWB - Maintenance Pavement Repairs via Work Order</v>
      </c>
      <c r="F12" s="64">
        <f>+'[1]GWB-984.205'!$F$6</f>
        <v>43516</v>
      </c>
      <c r="G12" s="65" t="str">
        <f>+'[1]GWB-984.205'!$G$7</f>
        <v>PQL</v>
      </c>
      <c r="H12" s="94">
        <f>+'[1]GWB-984.205'!$F$7</f>
        <v>1790000</v>
      </c>
      <c r="I12" s="94">
        <f>+'[1]GWB-984.205'!$F$8</f>
        <v>1443785</v>
      </c>
      <c r="J12" s="94"/>
      <c r="K12" s="153">
        <f>+'[1]GWB-984.205'!$G$9</f>
        <v>-0.19341620111731844</v>
      </c>
      <c r="L12" s="11" t="str">
        <f>+'[1]GWB-984.205'!$F$11</f>
        <v>GOOD</v>
      </c>
      <c r="M12" s="15">
        <f>+'[1]GWB-984.205'!$H$12</f>
        <v>7</v>
      </c>
      <c r="N12" s="35" t="s">
        <v>226</v>
      </c>
      <c r="O12" s="15">
        <v>1</v>
      </c>
      <c r="P12" s="35" t="s">
        <v>457</v>
      </c>
      <c r="Q12" s="35"/>
      <c r="R12" s="15"/>
      <c r="S12" s="24"/>
      <c r="T12" s="62" t="str">
        <f>+'[1]GWB-984.205'!$J$4</f>
        <v>Boris Lenderman</v>
      </c>
      <c r="U12" s="62"/>
      <c r="V12" s="94">
        <f>+'[1]GWB-984.205'!$F$12</f>
        <v>3495752.1428571427</v>
      </c>
      <c r="W12" s="199">
        <f t="shared" si="0"/>
        <v>0.41301126080980327</v>
      </c>
      <c r="X12" s="15"/>
      <c r="Y12" s="200">
        <f t="shared" si="1"/>
        <v>0.80658379888268161</v>
      </c>
      <c r="Z12" s="11" t="str">
        <f t="shared" si="2"/>
        <v>FAIL</v>
      </c>
      <c r="AA12" s="11"/>
      <c r="AB12" s="15"/>
      <c r="AC12" s="54">
        <f t="shared" si="3"/>
        <v>1790000</v>
      </c>
      <c r="AD12" s="54">
        <f t="shared" si="3"/>
        <v>1443785</v>
      </c>
      <c r="AE12" s="54">
        <f t="shared" si="4"/>
        <v>346215</v>
      </c>
      <c r="AG12" s="4"/>
      <c r="AH12" s="4"/>
      <c r="AI12" s="225"/>
      <c r="AJ12" s="226"/>
    </row>
    <row r="13" spans="3:36" x14ac:dyDescent="0.25">
      <c r="C13" s="39">
        <v>2019</v>
      </c>
      <c r="D13" s="62" t="str">
        <f>+'[1]AK-196A'!$F$4</f>
        <v>AK-196A</v>
      </c>
      <c r="E13" s="63" t="str">
        <f>+'[1]AK-196A'!$F$5</f>
        <v>SI Bridges - Maintenance Pavement Repairs via Work Order</v>
      </c>
      <c r="F13" s="64">
        <f>+'[1]AK-196A'!$F$6</f>
        <v>43516</v>
      </c>
      <c r="G13" s="65" t="str">
        <f>+'[1]AK-196A'!$G$7</f>
        <v>PQL</v>
      </c>
      <c r="H13" s="94">
        <f>+'[1]AK-196A'!$F$7</f>
        <v>1880000</v>
      </c>
      <c r="I13" s="94">
        <f>+'[1]AK-196A'!$F$8</f>
        <v>1101828</v>
      </c>
      <c r="J13" s="94"/>
      <c r="K13" s="153">
        <f>+'[1]AK-196A'!$G$9</f>
        <v>-0.41392127659574468</v>
      </c>
      <c r="L13" s="11" t="str">
        <f>+'[1]AK-196A'!$F$11</f>
        <v>GOOD</v>
      </c>
      <c r="M13" s="15">
        <f>+'[1]AK-196A'!$H$12</f>
        <v>6</v>
      </c>
      <c r="N13" s="35" t="s">
        <v>226</v>
      </c>
      <c r="O13" s="15">
        <v>1</v>
      </c>
      <c r="P13" s="35" t="s">
        <v>457</v>
      </c>
      <c r="Q13" s="35"/>
      <c r="R13" s="15"/>
      <c r="S13" s="24"/>
      <c r="T13" s="62" t="str">
        <f>+'[1]AK-196A'!$J$4</f>
        <v>Tun Tun Lin</v>
      </c>
      <c r="U13" s="62"/>
      <c r="V13" s="94">
        <f>+'[1]AK-196A'!$F$12</f>
        <v>3114163.5</v>
      </c>
      <c r="W13" s="199">
        <f t="shared" si="0"/>
        <v>0.35381186633264439</v>
      </c>
      <c r="X13" s="15"/>
      <c r="Y13" s="200">
        <f t="shared" si="1"/>
        <v>0.58607872340425526</v>
      </c>
      <c r="Z13" s="11" t="str">
        <f t="shared" si="2"/>
        <v>FAIL</v>
      </c>
      <c r="AA13" s="11"/>
      <c r="AB13" s="15"/>
      <c r="AC13" s="54">
        <f t="shared" si="3"/>
        <v>1880000</v>
      </c>
      <c r="AD13" s="54">
        <f t="shared" si="3"/>
        <v>1101828</v>
      </c>
      <c r="AE13" s="54">
        <f t="shared" si="4"/>
        <v>778172</v>
      </c>
      <c r="AG13" s="4"/>
      <c r="AH13" s="4"/>
      <c r="AI13" s="225"/>
      <c r="AJ13" s="226"/>
    </row>
    <row r="14" spans="3:36" x14ac:dyDescent="0.25">
      <c r="C14" s="39">
        <v>2019</v>
      </c>
      <c r="D14" s="62" t="str">
        <f>+'[1]GWB-934.046'!$F$4</f>
        <v>GWB-934.046</v>
      </c>
      <c r="E14" s="63" t="str">
        <f>+'[1]GWB-934.046'!$F$5</f>
        <v>Flag Hoist System Upgrade</v>
      </c>
      <c r="F14" s="64">
        <f>+'[1]GWB-934.046'!$F$6</f>
        <v>43503</v>
      </c>
      <c r="G14" s="65" t="str">
        <f>+'[1]GWB-934.046'!$G$7</f>
        <v>SBE</v>
      </c>
      <c r="H14" s="94">
        <f>+'[1]GWB-934.046'!$F$7</f>
        <v>1130000</v>
      </c>
      <c r="I14" s="94">
        <f>+'[1]GWB-934.046'!$F$8</f>
        <v>1686000</v>
      </c>
      <c r="J14" s="94"/>
      <c r="K14" s="153">
        <f>+'[1]GWB-934.046'!$G$9</f>
        <v>0.49203539823008852</v>
      </c>
      <c r="L14" s="11" t="str">
        <f>+'[1]GWB-934.046'!$F$11</f>
        <v>FAIL</v>
      </c>
      <c r="M14" s="15">
        <f>+'[1]GWB-934.046'!$H$12</f>
        <v>2</v>
      </c>
      <c r="N14" s="35" t="s">
        <v>25</v>
      </c>
      <c r="O14" s="15">
        <v>1</v>
      </c>
      <c r="P14" s="35" t="s">
        <v>457</v>
      </c>
      <c r="Q14" s="35"/>
      <c r="R14" s="15"/>
      <c r="S14" s="24"/>
      <c r="T14" s="62" t="str">
        <f>+'[1]GWB-934.046'!$J$4</f>
        <v>Joe Lucin</v>
      </c>
      <c r="U14" s="62"/>
      <c r="V14" s="94">
        <f>+'[1]GWB-934.046'!$F$12</f>
        <v>1933500</v>
      </c>
      <c r="W14" s="199">
        <f t="shared" si="0"/>
        <v>0.8719937936384794</v>
      </c>
      <c r="X14" s="15"/>
      <c r="Y14" s="200">
        <f t="shared" si="1"/>
        <v>1.4920353982300885</v>
      </c>
      <c r="Z14" s="11" t="str">
        <f t="shared" si="2"/>
        <v>FAIL</v>
      </c>
      <c r="AA14" s="11"/>
      <c r="AB14" s="15"/>
      <c r="AC14" s="54">
        <f t="shared" si="3"/>
        <v>1130000</v>
      </c>
      <c r="AD14" s="54">
        <f t="shared" si="3"/>
        <v>1686000</v>
      </c>
      <c r="AE14" s="54">
        <f t="shared" si="4"/>
        <v>-556000</v>
      </c>
      <c r="AG14" s="4"/>
      <c r="AH14" s="4"/>
      <c r="AI14" s="225"/>
      <c r="AJ14" s="226"/>
    </row>
    <row r="15" spans="3:36" x14ac:dyDescent="0.25">
      <c r="C15" s="39">
        <v>2019</v>
      </c>
      <c r="D15" s="62" t="str">
        <f>+'[1]LGA-124.270'!$F$4</f>
        <v>LGA-124.270</v>
      </c>
      <c r="E15" s="63" t="str">
        <f>+'[1]LGA-124.270'!$F$5</f>
        <v>Replace West Field Lighting Vault Emergency Generator</v>
      </c>
      <c r="F15" s="64">
        <f>+'[1]LGA-124.270'!$F$6</f>
        <v>43503</v>
      </c>
      <c r="G15" s="65" t="str">
        <f>+'[1]LGA-124.270'!$G$7</f>
        <v>SBE</v>
      </c>
      <c r="H15" s="94">
        <f>+'[1]LGA-124.270'!$F$7</f>
        <v>684000</v>
      </c>
      <c r="I15" s="94">
        <f>+'[1]LGA-124.270'!$F$8</f>
        <v>615000</v>
      </c>
      <c r="J15" s="94"/>
      <c r="K15" s="153">
        <f>+'[1]LGA-124.270'!$G$9</f>
        <v>-0.10087719298245613</v>
      </c>
      <c r="L15" s="11" t="str">
        <f>+'[1]LGA-124.270'!$F$11</f>
        <v>GOOD</v>
      </c>
      <c r="M15" s="15">
        <f>+'[1]LGA-124.270'!$H$12</f>
        <v>5</v>
      </c>
      <c r="N15" s="35" t="s">
        <v>93</v>
      </c>
      <c r="O15" s="15">
        <v>1</v>
      </c>
      <c r="P15" s="35" t="s">
        <v>458</v>
      </c>
      <c r="Q15" s="35"/>
      <c r="R15" s="15"/>
      <c r="S15" s="24"/>
      <c r="T15" s="62" t="str">
        <f>+'[1]LGA-124.270'!$J$4</f>
        <v>Joe Lucin</v>
      </c>
      <c r="U15" s="62"/>
      <c r="V15" s="94">
        <f>+'[1]LGA-124.270'!$F$12</f>
        <v>924493.4</v>
      </c>
      <c r="W15" s="199">
        <f t="shared" si="0"/>
        <v>0.66522919471355879</v>
      </c>
      <c r="X15" s="15"/>
      <c r="Y15" s="200">
        <f t="shared" si="1"/>
        <v>0.89912280701754388</v>
      </c>
      <c r="Z15" s="11" t="str">
        <f t="shared" si="2"/>
        <v>FAIL</v>
      </c>
      <c r="AA15" s="11"/>
      <c r="AB15" s="15"/>
      <c r="AC15" s="54">
        <f t="shared" si="3"/>
        <v>684000</v>
      </c>
      <c r="AD15" s="54">
        <f t="shared" si="3"/>
        <v>615000</v>
      </c>
      <c r="AE15" s="54">
        <f t="shared" si="4"/>
        <v>69000</v>
      </c>
      <c r="AG15" s="4"/>
      <c r="AH15" s="4"/>
      <c r="AI15" s="225"/>
      <c r="AJ15" s="226"/>
    </row>
    <row r="16" spans="3:36" x14ac:dyDescent="0.25">
      <c r="C16" s="39">
        <v>2019</v>
      </c>
      <c r="D16" s="62" t="str">
        <f>+'[1]MFP-994.679'!$F$4</f>
        <v>MFP-994.679</v>
      </c>
      <c r="E16" s="63" t="str">
        <f>+'[1]MFP-994.679'!$F$5</f>
        <v>NJ - Maintenance Dredging via Work Order</v>
      </c>
      <c r="F16" s="64">
        <f>+'[1]MFP-994.679'!$F$6</f>
        <v>43501</v>
      </c>
      <c r="G16" s="65" t="str">
        <f>+'[1]MFP-994.679'!$G$7</f>
        <v>PQL</v>
      </c>
      <c r="H16" s="94">
        <f>+'[1]MFP-994.679'!$F$7</f>
        <v>13910000</v>
      </c>
      <c r="I16" s="94">
        <f>+'[1]MFP-994.679'!$F$8</f>
        <v>11745510</v>
      </c>
      <c r="J16" s="94" t="s">
        <v>519</v>
      </c>
      <c r="K16" s="153">
        <f>+'[1]MFP-994.679'!$G$9</f>
        <v>-0.15560675772825305</v>
      </c>
      <c r="L16" s="11" t="str">
        <f>+'[1]MFP-994.679'!$F$11</f>
        <v>GOOD</v>
      </c>
      <c r="M16" s="15">
        <f>+'[1]MFP-994.679'!$H$12</f>
        <v>4</v>
      </c>
      <c r="N16" s="35" t="s">
        <v>25</v>
      </c>
      <c r="O16" s="15">
        <v>1</v>
      </c>
      <c r="P16" s="35" t="s">
        <v>492</v>
      </c>
      <c r="Q16" s="35"/>
      <c r="R16" s="15"/>
      <c r="S16" s="24"/>
      <c r="T16" s="62" t="str">
        <f>+'[1]MFP-994.679'!$J$4</f>
        <v>Ed Minall</v>
      </c>
      <c r="U16" s="62"/>
      <c r="V16" s="94">
        <f>+'[1]MFP-994.679'!$F$12</f>
        <v>15613590</v>
      </c>
      <c r="W16" s="199">
        <f t="shared" si="0"/>
        <v>0.75226197178227427</v>
      </c>
      <c r="X16" s="15"/>
      <c r="Y16" s="200">
        <f t="shared" si="1"/>
        <v>0.84439324227174695</v>
      </c>
      <c r="Z16" s="11" t="str">
        <f t="shared" si="2"/>
        <v>FAIL</v>
      </c>
      <c r="AA16" s="11"/>
      <c r="AB16" s="15"/>
      <c r="AC16" s="54">
        <f t="shared" si="3"/>
        <v>13910000</v>
      </c>
      <c r="AD16" s="54">
        <f t="shared" si="3"/>
        <v>11745510</v>
      </c>
      <c r="AE16" s="54">
        <f t="shared" si="4"/>
        <v>2164490</v>
      </c>
      <c r="AG16" s="4"/>
      <c r="AH16" s="4"/>
      <c r="AI16" s="225"/>
      <c r="AJ16" s="226"/>
    </row>
    <row r="17" spans="2:43" x14ac:dyDescent="0.25">
      <c r="C17" s="39">
        <v>2019</v>
      </c>
      <c r="D17" s="62" t="str">
        <f>+'[1]GWB-244.260'!$F$4</f>
        <v>GWB-244.260</v>
      </c>
      <c r="E17" s="63" t="str">
        <f>+'[1]GWB-244.260'!$F$5</f>
        <v>Main Span Upper Level Struct Stl Rehab (Phase 2) &amp; Appurtenances</v>
      </c>
      <c r="F17" s="64">
        <f>+'[1]GWB-244.260'!$F$6</f>
        <v>43496</v>
      </c>
      <c r="G17" s="65" t="str">
        <f>+'[1]GWB-244.260'!$G$7</f>
        <v>Public</v>
      </c>
      <c r="H17" s="94">
        <f>+'[1]GWB-244.260'!$F$7</f>
        <v>92495500</v>
      </c>
      <c r="I17" s="94">
        <f>+'[1]GWB-244.260'!$F$8</f>
        <v>63348000</v>
      </c>
      <c r="J17" s="94" t="s">
        <v>519</v>
      </c>
      <c r="K17" s="153">
        <f>+'[1]GWB-244.260'!$G$9</f>
        <v>-0.31512343843754559</v>
      </c>
      <c r="L17" s="11" t="str">
        <f>+'[1]GWB-244.260'!$F$11</f>
        <v>FAIL</v>
      </c>
      <c r="M17" s="15">
        <f>+'[1]GWB-244.260'!$H$12</f>
        <v>3</v>
      </c>
      <c r="N17" s="35" t="s">
        <v>226</v>
      </c>
      <c r="O17" s="15">
        <v>1</v>
      </c>
      <c r="P17" s="35" t="s">
        <v>457</v>
      </c>
      <c r="Q17" s="35"/>
      <c r="R17" s="15"/>
      <c r="S17" s="24"/>
      <c r="T17" s="62" t="str">
        <f>+'[1]GWB-244.260'!$J$4</f>
        <v>Boris Lenderman</v>
      </c>
      <c r="U17" s="62"/>
      <c r="V17" s="94">
        <f>+'[1]GWB-244.260'!$F$12</f>
        <v>68785236.666666672</v>
      </c>
      <c r="W17" s="199">
        <f t="shared" si="0"/>
        <v>0.92095343521146078</v>
      </c>
      <c r="X17" s="15"/>
      <c r="Y17" s="200">
        <f t="shared" si="1"/>
        <v>0.68487656156245436</v>
      </c>
      <c r="Z17" s="11" t="str">
        <f t="shared" si="2"/>
        <v>FAIL</v>
      </c>
      <c r="AA17" s="11"/>
      <c r="AB17" s="15"/>
      <c r="AC17" s="54">
        <f t="shared" si="3"/>
        <v>92495500</v>
      </c>
      <c r="AD17" s="54">
        <f t="shared" si="3"/>
        <v>63348000</v>
      </c>
      <c r="AE17" s="54">
        <f t="shared" si="4"/>
        <v>29147500</v>
      </c>
      <c r="AG17" s="4"/>
      <c r="AH17" s="4"/>
      <c r="AI17" s="225"/>
      <c r="AJ17" s="226"/>
    </row>
    <row r="18" spans="2:43" x14ac:dyDescent="0.25">
      <c r="C18" s="39">
        <v>2019</v>
      </c>
      <c r="D18" s="62" t="str">
        <f>+'[1]EWR-154.306A'!$F$4</f>
        <v>EWR-154.306A</v>
      </c>
      <c r="E18" s="63" t="str">
        <f>+'[1]EWR-154.306A'!$F$5</f>
        <v>Rehab of Runway 11-29</v>
      </c>
      <c r="F18" s="64">
        <f>+'[1]EWR-154.306A'!$F$6</f>
        <v>43489</v>
      </c>
      <c r="G18" s="65" t="str">
        <f>+'[1]EWR-154.306A'!$G$7</f>
        <v>Public</v>
      </c>
      <c r="H18" s="94">
        <f>+'[1]EWR-154.306A'!$F$7</f>
        <v>23450000</v>
      </c>
      <c r="I18" s="94">
        <f>+'[1]EWR-154.306A'!$F$8</f>
        <v>25644000</v>
      </c>
      <c r="J18" s="94" t="s">
        <v>519</v>
      </c>
      <c r="K18" s="153">
        <f>+'[1]EWR-154.306A'!$G$9</f>
        <v>9.3560767590618335E-2</v>
      </c>
      <c r="L18" s="11" t="str">
        <f>+'[1]EWR-154.306A'!$F$11</f>
        <v>GOOD</v>
      </c>
      <c r="M18" s="15">
        <f>+'[1]EWR-154.306A'!$H$12</f>
        <v>2</v>
      </c>
      <c r="N18" s="35" t="s">
        <v>25</v>
      </c>
      <c r="O18" s="15">
        <v>1</v>
      </c>
      <c r="P18" s="35" t="s">
        <v>458</v>
      </c>
      <c r="Q18" s="35"/>
      <c r="R18" s="15"/>
      <c r="S18" s="24"/>
      <c r="T18" s="62" t="str">
        <f>+'[1]EWR-154.306A'!$J$4</f>
        <v>Joe Lucin</v>
      </c>
      <c r="U18" s="62"/>
      <c r="V18" s="94">
        <f>+'[1]EWR-154.306A'!$F$12</f>
        <v>28255558.5</v>
      </c>
      <c r="W18" s="199">
        <f t="shared" si="0"/>
        <v>0.9075736372367228</v>
      </c>
      <c r="X18" s="15"/>
      <c r="Y18" s="200">
        <f t="shared" si="1"/>
        <v>1.0935607675906183</v>
      </c>
      <c r="Z18" s="11" t="str">
        <f t="shared" si="2"/>
        <v>FAIL</v>
      </c>
      <c r="AA18" s="11"/>
      <c r="AB18" s="15"/>
      <c r="AC18" s="54">
        <f t="shared" si="3"/>
        <v>23450000</v>
      </c>
      <c r="AD18" s="54">
        <f t="shared" si="3"/>
        <v>25644000</v>
      </c>
      <c r="AE18" s="54">
        <f t="shared" si="4"/>
        <v>-2194000</v>
      </c>
      <c r="AG18" s="4"/>
      <c r="AH18" s="4"/>
      <c r="AI18" s="225"/>
      <c r="AJ18" s="226"/>
    </row>
    <row r="19" spans="2:43" x14ac:dyDescent="0.25">
      <c r="C19" s="39">
        <v>2019</v>
      </c>
      <c r="D19" s="62" t="str">
        <f>+'[1]GWB-244.236'!$F$4</f>
        <v>GWB-244.236</v>
      </c>
      <c r="E19" s="63" t="str">
        <f>+'[1]GWB-244.236'!$F$5</f>
        <v>Intelligent Transportation System Repl Signs and Field Devices</v>
      </c>
      <c r="F19" s="64">
        <f>+'[1]GWB-244.236'!$F$6</f>
        <v>43488</v>
      </c>
      <c r="G19" s="65" t="str">
        <f>+'[1]GWB-244.236'!$G$7</f>
        <v>Public</v>
      </c>
      <c r="H19" s="94">
        <f>+'[1]GWB-244.236'!$F$7</f>
        <v>28219450</v>
      </c>
      <c r="I19" s="94">
        <f>+'[1]GWB-244.236'!$F$8</f>
        <v>27620150</v>
      </c>
      <c r="J19" s="94" t="s">
        <v>519</v>
      </c>
      <c r="K19" s="153">
        <f>+'[1]GWB-244.236'!$G$9</f>
        <v>-2.1237125457795953E-2</v>
      </c>
      <c r="L19" s="11" t="str">
        <f>+'[1]GWB-244.236'!$F$11</f>
        <v>GOOD</v>
      </c>
      <c r="M19" s="15">
        <f>+'[1]GWB-244.236'!$H$12</f>
        <v>6</v>
      </c>
      <c r="N19" s="35" t="s">
        <v>226</v>
      </c>
      <c r="O19" s="15">
        <v>1</v>
      </c>
      <c r="P19" s="35" t="s">
        <v>457</v>
      </c>
      <c r="Q19" s="35"/>
      <c r="R19" s="15"/>
      <c r="S19" s="24"/>
      <c r="T19" s="62" t="str">
        <f>+'[1]GWB-244.236'!$J$4</f>
        <v>Boris Lenderman</v>
      </c>
      <c r="U19" s="62"/>
      <c r="V19" s="94">
        <f>+'[1]GWB-244.236'!$F$12</f>
        <v>38331440.5</v>
      </c>
      <c r="W19" s="199">
        <f t="shared" si="0"/>
        <v>0.72056123223441082</v>
      </c>
      <c r="X19" s="15"/>
      <c r="Y19" s="200">
        <f t="shared" si="1"/>
        <v>0.97876287454220401</v>
      </c>
      <c r="Z19" s="11" t="str">
        <f t="shared" si="2"/>
        <v>FAIL</v>
      </c>
      <c r="AA19" s="11"/>
      <c r="AB19" s="15"/>
      <c r="AC19" s="54">
        <f t="shared" si="3"/>
        <v>28219450</v>
      </c>
      <c r="AD19" s="54">
        <f t="shared" si="3"/>
        <v>27620150</v>
      </c>
      <c r="AE19" s="54">
        <f t="shared" si="4"/>
        <v>599300</v>
      </c>
      <c r="AG19" s="4"/>
      <c r="AH19" s="4"/>
      <c r="AI19" s="225"/>
      <c r="AJ19" s="226"/>
    </row>
    <row r="20" spans="2:43" x14ac:dyDescent="0.25">
      <c r="C20" s="39">
        <v>2019</v>
      </c>
      <c r="D20" s="62" t="str">
        <f>+'[1]JFK-174.016'!$F$4</f>
        <v>JFK-174.016</v>
      </c>
      <c r="E20" s="63" t="str">
        <f>+'[1]JFK-174.016'!$F$5</f>
        <v>Bridges J31 &amp; J32 Rehab - Aqueduct Road</v>
      </c>
      <c r="F20" s="64">
        <f>+'[1]JFK-174.016'!$F$6</f>
        <v>43475</v>
      </c>
      <c r="G20" s="65" t="str">
        <f>+'[1]JFK-174.016'!$G$7</f>
        <v>Public</v>
      </c>
      <c r="H20" s="94">
        <f>+'[1]JFK-174.016'!$F$7</f>
        <v>4500000</v>
      </c>
      <c r="I20" s="94">
        <f>+'[1]JFK-174.016'!$F$8</f>
        <v>4863085</v>
      </c>
      <c r="J20" s="94"/>
      <c r="K20" s="153">
        <f>+'[1]JFK-174.016'!$G$9</f>
        <v>8.0685555555555552E-2</v>
      </c>
      <c r="L20" s="11" t="str">
        <f>+'[1]JFK-174.016'!$F$11</f>
        <v>GOOD</v>
      </c>
      <c r="M20" s="15">
        <f>+'[1]JFK-174.016'!$H$12</f>
        <v>6</v>
      </c>
      <c r="N20" s="35" t="s">
        <v>93</v>
      </c>
      <c r="O20" s="15">
        <v>1</v>
      </c>
      <c r="P20" s="35" t="s">
        <v>458</v>
      </c>
      <c r="Q20" s="35"/>
      <c r="R20" s="15"/>
      <c r="S20" s="24"/>
      <c r="T20" s="62" t="str">
        <f>+'[1]JFK-174.016'!$J$4</f>
        <v>Wen Chang</v>
      </c>
      <c r="U20" s="62"/>
      <c r="V20" s="94">
        <f>+'[1]JFK-174.016'!$F$12</f>
        <v>6990880.833333333</v>
      </c>
      <c r="W20" s="199">
        <f t="shared" si="0"/>
        <v>0.69563265573234279</v>
      </c>
      <c r="X20" s="15"/>
      <c r="Y20" s="200">
        <f t="shared" si="1"/>
        <v>1.0806855555555555</v>
      </c>
      <c r="Z20" s="11" t="str">
        <f t="shared" si="2"/>
        <v>FAIL</v>
      </c>
      <c r="AA20" s="11"/>
      <c r="AB20" s="15"/>
      <c r="AC20" s="54">
        <f t="shared" si="3"/>
        <v>4500000</v>
      </c>
      <c r="AD20" s="54">
        <f t="shared" si="3"/>
        <v>4863085</v>
      </c>
      <c r="AE20" s="54">
        <f t="shared" si="4"/>
        <v>-363085</v>
      </c>
      <c r="AG20" s="4"/>
      <c r="AH20" s="4"/>
      <c r="AI20" s="225"/>
      <c r="AJ20" s="226"/>
    </row>
    <row r="21" spans="2:43" x14ac:dyDescent="0.25">
      <c r="B21" s="203">
        <f>(COUNTIF(L6:L21,"G*")/COUNTA(L6:L21))</f>
        <v>0.6</v>
      </c>
      <c r="C21" s="39">
        <v>2019</v>
      </c>
      <c r="D21" s="62" t="str">
        <f>+'[1]EWR-154.360'!$F$4</f>
        <v>EWR-154.360</v>
      </c>
      <c r="E21" s="63" t="str">
        <f>+'[1]EWR-154.360'!$F$5</f>
        <v>Bldg 76 Underground Storage Tank Repl</v>
      </c>
      <c r="F21" s="64">
        <f>+'[1]EWR-154.360'!$F$6</f>
        <v>43468</v>
      </c>
      <c r="G21" s="65" t="str">
        <f>+'[1]EWR-154.360'!$G$7</f>
        <v>SBE</v>
      </c>
      <c r="H21" s="94">
        <f>+'[1]EWR-154.360'!$F$7</f>
        <v>426000</v>
      </c>
      <c r="I21" s="94">
        <f>+'[1]EWR-154.360'!$F$8</f>
        <v>745850</v>
      </c>
      <c r="J21" s="94"/>
      <c r="K21" s="153">
        <f>+'[1]EWR-154.360'!$G$9</f>
        <v>0.75082159624413147</v>
      </c>
      <c r="L21" s="11" t="str">
        <f>+'[1]EWR-154.360'!$F$11</f>
        <v>FAIL</v>
      </c>
      <c r="M21" s="15">
        <f>+'[1]EWR-154.360'!$H$12</f>
        <v>2</v>
      </c>
      <c r="N21" s="35" t="s">
        <v>25</v>
      </c>
      <c r="O21" s="15">
        <v>1</v>
      </c>
      <c r="P21" s="35" t="s">
        <v>458</v>
      </c>
      <c r="Q21" s="35"/>
      <c r="R21" s="15"/>
      <c r="S21" s="24"/>
      <c r="T21" s="62" t="str">
        <f>+'[1]EWR-154.360'!$J$4</f>
        <v>Tun Tun Lin</v>
      </c>
      <c r="U21" s="62"/>
      <c r="V21" s="94">
        <f>+'[1]EWR-154.360'!$F$12</f>
        <v>848425</v>
      </c>
      <c r="W21" s="199">
        <f t="shared" si="0"/>
        <v>0.87909950791171876</v>
      </c>
      <c r="X21" s="15"/>
      <c r="Y21" s="200">
        <f t="shared" si="1"/>
        <v>1.7508215962441314</v>
      </c>
      <c r="Z21" s="11" t="str">
        <f t="shared" si="2"/>
        <v>FAIL</v>
      </c>
      <c r="AA21" s="11"/>
      <c r="AB21" s="15"/>
      <c r="AC21" s="54">
        <f t="shared" si="3"/>
        <v>426000</v>
      </c>
      <c r="AD21" s="54">
        <f t="shared" si="3"/>
        <v>745850</v>
      </c>
      <c r="AE21" s="54">
        <f t="shared" si="4"/>
        <v>-319850</v>
      </c>
      <c r="AG21" s="4">
        <f>SUM(H6:H21)</f>
        <v>221061500</v>
      </c>
      <c r="AH21" s="4">
        <f>SUM(I6:I21)</f>
        <v>184829915</v>
      </c>
      <c r="AI21" s="204">
        <f>+AH21/AG21</f>
        <v>0.83610178615453168</v>
      </c>
      <c r="AJ21" s="1" t="s">
        <v>1240</v>
      </c>
      <c r="AK21" s="205">
        <f>+AG21</f>
        <v>221061500</v>
      </c>
      <c r="AL21" s="205">
        <f>+AH21</f>
        <v>184829915</v>
      </c>
      <c r="AM21" s="206">
        <f>+AL21/AK21</f>
        <v>0.83610178615453168</v>
      </c>
      <c r="AN21" s="207" t="s">
        <v>1241</v>
      </c>
      <c r="AO21" s="208"/>
      <c r="AQ21" s="224"/>
    </row>
    <row r="22" spans="2:43" ht="7.5" customHeight="1" x14ac:dyDescent="0.25">
      <c r="C22" s="39"/>
      <c r="G22" s="45"/>
      <c r="M22" s="52"/>
      <c r="P22" s="11"/>
      <c r="S22" s="15"/>
      <c r="V22" s="54"/>
      <c r="W22" s="54"/>
      <c r="X22" s="54"/>
    </row>
    <row r="23" spans="2:43" x14ac:dyDescent="0.25">
      <c r="C23" s="39"/>
      <c r="D23" s="15"/>
      <c r="E23" s="24"/>
      <c r="F23" s="25"/>
      <c r="G23" s="46"/>
      <c r="H23" s="27"/>
      <c r="I23" s="27"/>
      <c r="J23" s="27"/>
      <c r="K23" s="26"/>
      <c r="L23" s="11"/>
      <c r="M23" s="15"/>
      <c r="P23" s="11"/>
      <c r="V23" s="54"/>
      <c r="W23" s="54"/>
      <c r="X23" s="54"/>
    </row>
    <row r="24" spans="2:43" x14ac:dyDescent="0.25">
      <c r="C24" s="39"/>
      <c r="D24" s="15"/>
      <c r="E24" s="24"/>
      <c r="F24" s="25"/>
      <c r="G24" s="46"/>
      <c r="H24" s="27"/>
      <c r="I24" s="27"/>
      <c r="J24" s="27"/>
      <c r="K24" s="26"/>
      <c r="L24" s="11"/>
      <c r="M24" s="15"/>
      <c r="P24" s="11"/>
      <c r="V24" s="54"/>
      <c r="W24" s="54"/>
      <c r="X24" s="54"/>
    </row>
    <row r="25" spans="2:43" x14ac:dyDescent="0.25">
      <c r="C25" s="39"/>
      <c r="G25" s="46"/>
      <c r="H25" s="68"/>
      <c r="L25">
        <f>COUNTA(L6:L22)</f>
        <v>15</v>
      </c>
      <c r="P25" s="11"/>
      <c r="V25" s="54"/>
      <c r="W25" s="54"/>
      <c r="X25" s="54"/>
    </row>
    <row r="26" spans="2:43" x14ac:dyDescent="0.25">
      <c r="C26" s="39"/>
      <c r="G26" s="45"/>
      <c r="H26" s="69"/>
      <c r="L26">
        <v>6</v>
      </c>
      <c r="M26" t="s">
        <v>789</v>
      </c>
      <c r="N26" s="76" t="s">
        <v>819</v>
      </c>
      <c r="P26" s="11"/>
      <c r="V26" s="54"/>
      <c r="W26" s="54"/>
      <c r="X26" s="54"/>
    </row>
    <row r="27" spans="2:43" x14ac:dyDescent="0.25">
      <c r="C27" s="39"/>
      <c r="G27" s="45"/>
      <c r="H27" s="69"/>
      <c r="L27">
        <f>+L25-L26</f>
        <v>9</v>
      </c>
      <c r="M27" t="s">
        <v>790</v>
      </c>
      <c r="P27" s="11"/>
      <c r="V27" s="54"/>
      <c r="W27" s="54"/>
      <c r="X27" s="54"/>
    </row>
    <row r="28" spans="2:43" x14ac:dyDescent="0.25">
      <c r="C28" s="39"/>
      <c r="G28" s="45"/>
      <c r="H28" s="67"/>
      <c r="L28">
        <f>+L27/L25</f>
        <v>0.6</v>
      </c>
      <c r="P28" s="11"/>
    </row>
    <row r="29" spans="2:43" x14ac:dyDescent="0.25">
      <c r="C29" s="39"/>
      <c r="G29" s="45"/>
      <c r="P29" s="11"/>
    </row>
    <row r="30" spans="2:43" x14ac:dyDescent="0.25">
      <c r="C30" s="39"/>
      <c r="G30" s="45"/>
      <c r="H30" s="55">
        <f>SUM(H6:H22)</f>
        <v>221061500</v>
      </c>
      <c r="I30" s="55">
        <f>SUM(I6:I22)</f>
        <v>184829915</v>
      </c>
      <c r="J30" s="7">
        <f>+I30/H30</f>
        <v>0.83610178615453168</v>
      </c>
      <c r="L30" s="4">
        <f>COUNTA(L6:L22)-H25</f>
        <v>15</v>
      </c>
      <c r="P30" s="11"/>
    </row>
    <row r="31" spans="2:43" x14ac:dyDescent="0.25">
      <c r="C31" s="39"/>
      <c r="G31" s="45"/>
      <c r="L31">
        <f>+L26-H26</f>
        <v>6</v>
      </c>
      <c r="M31" t="s">
        <v>789</v>
      </c>
      <c r="P31" s="11"/>
    </row>
    <row r="32" spans="2:43" x14ac:dyDescent="0.25">
      <c r="C32" s="39"/>
      <c r="G32" s="45"/>
      <c r="L32">
        <f>+L27-H27</f>
        <v>9</v>
      </c>
      <c r="M32" t="s">
        <v>790</v>
      </c>
      <c r="P32" s="11"/>
    </row>
    <row r="33" spans="3:16" x14ac:dyDescent="0.25">
      <c r="C33" s="39"/>
      <c r="G33" s="45"/>
      <c r="L33">
        <f>+L32/L30</f>
        <v>0.6</v>
      </c>
      <c r="P33" s="11"/>
    </row>
    <row r="34" spans="3:16" x14ac:dyDescent="0.25">
      <c r="C34" s="39"/>
      <c r="G34" s="45"/>
      <c r="P34" s="11"/>
    </row>
    <row r="35" spans="3:16" x14ac:dyDescent="0.25">
      <c r="C35" s="39"/>
      <c r="G35" s="45"/>
      <c r="P35" s="11"/>
    </row>
    <row r="36" spans="3:16" x14ac:dyDescent="0.25">
      <c r="C36" s="39"/>
      <c r="E36" s="125" t="s">
        <v>1168</v>
      </c>
      <c r="F36" s="70"/>
      <c r="G36" s="70"/>
      <c r="H36" s="121"/>
      <c r="I36" s="121" t="str">
        <f>"'18 final"</f>
        <v>'18 final</v>
      </c>
      <c r="P36" s="11"/>
    </row>
    <row r="37" spans="3:16" x14ac:dyDescent="0.25">
      <c r="C37" s="39"/>
      <c r="E37" s="71" t="s">
        <v>800</v>
      </c>
      <c r="F37" s="11"/>
      <c r="G37" s="11"/>
      <c r="H37" s="104"/>
      <c r="I37" s="104">
        <f>+L25</f>
        <v>15</v>
      </c>
      <c r="P37" s="11"/>
    </row>
    <row r="38" spans="3:16" x14ac:dyDescent="0.25">
      <c r="C38" s="39"/>
      <c r="E38" s="72" t="s">
        <v>801</v>
      </c>
      <c r="F38" s="11"/>
      <c r="G38" s="11"/>
      <c r="H38" s="104"/>
      <c r="I38" s="104">
        <f>+I37-I39</f>
        <v>10</v>
      </c>
      <c r="P38" s="11"/>
    </row>
    <row r="39" spans="3:16" x14ac:dyDescent="0.25">
      <c r="C39" s="39"/>
      <c r="E39" s="72" t="s">
        <v>802</v>
      </c>
      <c r="F39" s="11"/>
      <c r="G39" s="11"/>
      <c r="H39" s="104"/>
      <c r="I39" s="104">
        <v>5</v>
      </c>
      <c r="P39" s="11"/>
    </row>
    <row r="40" spans="3:16" x14ac:dyDescent="0.25">
      <c r="C40" s="39"/>
      <c r="E40" s="72"/>
      <c r="F40" s="11"/>
      <c r="G40" s="11"/>
      <c r="H40" s="104"/>
      <c r="I40" s="104"/>
      <c r="P40" s="11"/>
    </row>
    <row r="41" spans="3:16" x14ac:dyDescent="0.25">
      <c r="C41" s="39"/>
      <c r="E41" s="72" t="s">
        <v>1144</v>
      </c>
      <c r="F41" s="78"/>
      <c r="G41" s="78"/>
      <c r="H41" s="122"/>
      <c r="I41" s="122">
        <f>I30/1000000</f>
        <v>184.829915</v>
      </c>
      <c r="P41" s="11"/>
    </row>
    <row r="42" spans="3:16" x14ac:dyDescent="0.25">
      <c r="C42" s="39"/>
      <c r="E42" s="72" t="s">
        <v>806</v>
      </c>
      <c r="F42" s="75"/>
      <c r="G42" s="75"/>
      <c r="H42" s="123"/>
      <c r="I42" s="123">
        <f>AVERAGE(M6:M22)</f>
        <v>4.333333333333333</v>
      </c>
      <c r="P42" s="11"/>
    </row>
    <row r="43" spans="3:16" x14ac:dyDescent="0.25">
      <c r="C43" s="39"/>
      <c r="E43" s="72" t="s">
        <v>807</v>
      </c>
      <c r="F43" s="74"/>
      <c r="G43" s="74"/>
      <c r="H43" s="124"/>
      <c r="I43" s="124">
        <f>+J30</f>
        <v>0.83610178615453168</v>
      </c>
      <c r="P43" s="11"/>
    </row>
    <row r="44" spans="3:16" x14ac:dyDescent="0.25">
      <c r="C44" s="39"/>
      <c r="E44" s="72"/>
      <c r="F44" s="11"/>
      <c r="G44" s="11"/>
      <c r="H44" s="104"/>
      <c r="I44" s="104"/>
      <c r="P44" s="11"/>
    </row>
    <row r="45" spans="3:16" x14ac:dyDescent="0.25">
      <c r="C45" s="39"/>
      <c r="E45" s="72" t="s">
        <v>803</v>
      </c>
      <c r="F45" s="74"/>
      <c r="G45" s="74"/>
      <c r="H45" s="124"/>
      <c r="I45" s="151">
        <f>+L28</f>
        <v>0.6</v>
      </c>
      <c r="P45" s="11"/>
    </row>
    <row r="46" spans="3:16" x14ac:dyDescent="0.25">
      <c r="C46" s="107">
        <v>14</v>
      </c>
      <c r="D46" s="52" t="s">
        <v>789</v>
      </c>
      <c r="E46" s="72" t="s">
        <v>804</v>
      </c>
      <c r="F46" s="74"/>
      <c r="G46" s="74"/>
      <c r="H46" s="108"/>
      <c r="I46" s="152">
        <v>0.6</v>
      </c>
      <c r="P46" s="11"/>
    </row>
    <row r="47" spans="3:16" x14ac:dyDescent="0.25">
      <c r="C47" s="107">
        <v>9</v>
      </c>
      <c r="D47" s="52" t="s">
        <v>789</v>
      </c>
      <c r="E47" s="72" t="s">
        <v>805</v>
      </c>
      <c r="F47" s="74"/>
      <c r="G47" s="74"/>
      <c r="H47" s="108"/>
      <c r="I47" s="152">
        <v>0.6</v>
      </c>
      <c r="P47" s="11"/>
    </row>
    <row r="48" spans="3:16" x14ac:dyDescent="0.25">
      <c r="C48" s="39"/>
      <c r="E48" s="72"/>
      <c r="F48" s="11"/>
      <c r="G48" s="11"/>
      <c r="H48" s="104"/>
      <c r="I48" s="104"/>
      <c r="P48" s="11"/>
    </row>
    <row r="49" spans="2:41" x14ac:dyDescent="0.25">
      <c r="C49" s="39"/>
      <c r="E49" s="72" t="s">
        <v>1141</v>
      </c>
      <c r="F49" s="11"/>
      <c r="G49" s="11"/>
      <c r="H49" s="104"/>
      <c r="I49" s="104">
        <v>5</v>
      </c>
    </row>
    <row r="50" spans="2:41" x14ac:dyDescent="0.25">
      <c r="E50" s="106" t="s">
        <v>1143</v>
      </c>
      <c r="F50" s="74"/>
      <c r="G50" s="74"/>
      <c r="H50" s="108"/>
      <c r="I50" s="108">
        <f>+I49/I37</f>
        <v>0.33333333333333331</v>
      </c>
    </row>
    <row r="51" spans="2:41" x14ac:dyDescent="0.25">
      <c r="C51" s="39"/>
      <c r="E51" s="72" t="s">
        <v>1142</v>
      </c>
      <c r="F51" s="11"/>
      <c r="G51" s="11"/>
      <c r="H51" s="104"/>
      <c r="I51" s="104">
        <v>0</v>
      </c>
    </row>
    <row r="52" spans="2:41" x14ac:dyDescent="0.25">
      <c r="C52" s="39"/>
      <c r="E52" s="106" t="s">
        <v>1169</v>
      </c>
      <c r="F52" s="74"/>
      <c r="G52" s="74"/>
      <c r="H52" s="108"/>
      <c r="I52" s="108">
        <v>0</v>
      </c>
    </row>
    <row r="53" spans="2:41" x14ac:dyDescent="0.25">
      <c r="C53" s="39"/>
      <c r="E53" s="72"/>
      <c r="F53" s="11"/>
      <c r="G53" s="11"/>
    </row>
    <row r="54" spans="2:41" x14ac:dyDescent="0.25">
      <c r="C54" s="39"/>
      <c r="E54" s="72"/>
      <c r="F54" s="11"/>
      <c r="G54" s="11"/>
    </row>
    <row r="55" spans="2:41" x14ac:dyDescent="0.25">
      <c r="C55" s="79"/>
      <c r="D55" s="80"/>
      <c r="E55" s="81"/>
      <c r="F55" s="82"/>
      <c r="G55" s="82"/>
      <c r="H55" s="80"/>
      <c r="I55" s="80"/>
      <c r="J55" s="80"/>
      <c r="K55" s="80"/>
      <c r="L55" s="80"/>
      <c r="M55" s="80"/>
      <c r="N55" s="82"/>
      <c r="O55" s="80"/>
      <c r="P55" s="80"/>
      <c r="Q55" s="80"/>
      <c r="R55" s="80"/>
      <c r="S55" s="80"/>
    </row>
    <row r="56" spans="2:41" x14ac:dyDescent="0.25">
      <c r="C56" s="39"/>
      <c r="E56" s="36"/>
      <c r="G56" s="45"/>
    </row>
    <row r="57" spans="2:41" x14ac:dyDescent="0.25">
      <c r="C57" s="39"/>
      <c r="G57" s="45"/>
    </row>
    <row r="58" spans="2:41" x14ac:dyDescent="0.25">
      <c r="C58" s="39"/>
      <c r="D58" s="31" t="s">
        <v>837</v>
      </c>
      <c r="G58" s="45"/>
    </row>
    <row r="59" spans="2:41" x14ac:dyDescent="0.25">
      <c r="B59" s="224"/>
      <c r="C59" s="39">
        <v>2018</v>
      </c>
      <c r="D59" s="62" t="s">
        <v>1324</v>
      </c>
      <c r="E59" s="63" t="s">
        <v>1325</v>
      </c>
      <c r="F59" s="64">
        <v>43452</v>
      </c>
      <c r="G59" s="65" t="s">
        <v>34</v>
      </c>
      <c r="H59" s="94">
        <v>10250000</v>
      </c>
      <c r="I59" s="94">
        <v>8275000</v>
      </c>
      <c r="J59" s="94"/>
      <c r="K59" s="153">
        <v>-0.1926829268292683</v>
      </c>
      <c r="L59" s="11" t="s">
        <v>465</v>
      </c>
      <c r="M59" s="15">
        <v>3</v>
      </c>
      <c r="N59" s="35" t="s">
        <v>25</v>
      </c>
      <c r="O59" s="15">
        <v>4</v>
      </c>
      <c r="P59" s="35" t="s">
        <v>458</v>
      </c>
      <c r="Q59" s="35"/>
      <c r="R59" s="15"/>
      <c r="S59" s="24"/>
      <c r="T59" s="62" t="s">
        <v>784</v>
      </c>
      <c r="U59" s="62"/>
      <c r="V59" s="94">
        <v>9049324.666666666</v>
      </c>
      <c r="W59" s="199">
        <v>0.91443287812195495</v>
      </c>
      <c r="X59" s="15"/>
      <c r="Y59" s="200">
        <v>0.80731707317073176</v>
      </c>
      <c r="Z59" s="11" t="s">
        <v>465</v>
      </c>
      <c r="AA59" s="11"/>
      <c r="AB59" s="15"/>
      <c r="AC59" s="54">
        <v>10250000</v>
      </c>
      <c r="AD59" s="54">
        <v>8275000</v>
      </c>
      <c r="AE59" s="54">
        <v>1975000</v>
      </c>
      <c r="AG59" s="4"/>
      <c r="AH59" s="4"/>
      <c r="AI59" s="225"/>
      <c r="AJ59" s="226"/>
      <c r="AK59" s="227"/>
      <c r="AL59" s="227"/>
      <c r="AM59" s="225"/>
      <c r="AN59" s="226"/>
      <c r="AO59" s="228"/>
    </row>
    <row r="60" spans="2:41" x14ac:dyDescent="0.25">
      <c r="B60" s="224"/>
      <c r="C60" s="39">
        <v>2018</v>
      </c>
      <c r="D60" s="62" t="s">
        <v>1326</v>
      </c>
      <c r="E60" s="63" t="s">
        <v>1327</v>
      </c>
      <c r="F60" s="64">
        <v>43441</v>
      </c>
      <c r="G60" s="65" t="s">
        <v>34</v>
      </c>
      <c r="H60" s="94">
        <v>5000000</v>
      </c>
      <c r="I60" s="94">
        <v>4380000</v>
      </c>
      <c r="J60" s="105" t="s">
        <v>519</v>
      </c>
      <c r="K60" s="153">
        <v>-0.124</v>
      </c>
      <c r="L60" s="11" t="s">
        <v>464</v>
      </c>
      <c r="M60" s="15">
        <v>4</v>
      </c>
      <c r="N60" s="35" t="s">
        <v>25</v>
      </c>
      <c r="O60" s="15">
        <v>4</v>
      </c>
      <c r="P60" s="35" t="s">
        <v>459</v>
      </c>
      <c r="Q60" s="35"/>
      <c r="R60" s="15"/>
      <c r="S60" s="24"/>
      <c r="T60" s="62" t="s">
        <v>447</v>
      </c>
      <c r="U60" s="62"/>
      <c r="V60" s="94">
        <v>5853509.5</v>
      </c>
      <c r="W60" s="199">
        <v>0.74826905124182341</v>
      </c>
      <c r="X60" s="15"/>
      <c r="Y60" s="200">
        <v>0.876</v>
      </c>
      <c r="Z60" s="11" t="s">
        <v>465</v>
      </c>
      <c r="AA60" s="11"/>
      <c r="AB60" s="15"/>
      <c r="AC60" s="54">
        <v>5000000</v>
      </c>
      <c r="AD60" s="54">
        <v>4380000</v>
      </c>
      <c r="AE60" s="54">
        <v>620000</v>
      </c>
      <c r="AG60" s="4"/>
      <c r="AH60" s="4"/>
      <c r="AI60" s="225"/>
      <c r="AJ60" s="226"/>
      <c r="AK60" s="227"/>
      <c r="AL60" s="227"/>
      <c r="AM60" s="225"/>
      <c r="AN60" s="226"/>
      <c r="AO60" s="228"/>
    </row>
    <row r="61" spans="2:41" x14ac:dyDescent="0.25">
      <c r="B61" s="224"/>
      <c r="C61" s="39">
        <v>2018</v>
      </c>
      <c r="D61" s="62" t="s">
        <v>1328</v>
      </c>
      <c r="E61" s="63" t="s">
        <v>1329</v>
      </c>
      <c r="F61" s="64">
        <v>43440</v>
      </c>
      <c r="G61" s="65" t="s">
        <v>1225</v>
      </c>
      <c r="H61" s="94">
        <v>1500000</v>
      </c>
      <c r="I61" s="94">
        <v>2546000</v>
      </c>
      <c r="J61" s="105"/>
      <c r="K61" s="153">
        <v>0.69733333333333336</v>
      </c>
      <c r="L61" s="11" t="s">
        <v>465</v>
      </c>
      <c r="M61" s="15">
        <v>3</v>
      </c>
      <c r="N61" s="35" t="s">
        <v>25</v>
      </c>
      <c r="O61" s="15">
        <v>4</v>
      </c>
      <c r="P61" s="35" t="s">
        <v>459</v>
      </c>
      <c r="Q61" s="35"/>
      <c r="R61" s="15"/>
      <c r="S61" s="24"/>
      <c r="T61" s="62" t="s">
        <v>447</v>
      </c>
      <c r="U61" s="62"/>
      <c r="V61" s="94">
        <v>4262816.666666667</v>
      </c>
      <c r="W61" s="199">
        <v>0.59725768173625415</v>
      </c>
      <c r="X61" s="15"/>
      <c r="Y61" s="200">
        <v>1.6973333333333334</v>
      </c>
      <c r="Z61" s="11" t="s">
        <v>465</v>
      </c>
      <c r="AA61" s="11"/>
      <c r="AB61" s="15"/>
      <c r="AC61" s="54">
        <v>1500000</v>
      </c>
      <c r="AD61" s="54">
        <v>2546000</v>
      </c>
      <c r="AE61" s="54">
        <v>-1046000</v>
      </c>
      <c r="AG61" s="4"/>
      <c r="AH61" s="4"/>
      <c r="AI61" s="225"/>
      <c r="AJ61" s="226"/>
      <c r="AK61" s="227"/>
      <c r="AL61" s="227"/>
      <c r="AM61" s="225"/>
      <c r="AN61" s="226"/>
      <c r="AO61" s="228"/>
    </row>
    <row r="62" spans="2:41" x14ac:dyDescent="0.25">
      <c r="B62" s="224"/>
      <c r="C62" s="39">
        <v>2018</v>
      </c>
      <c r="D62" s="62" t="s">
        <v>1330</v>
      </c>
      <c r="E62" s="63" t="s">
        <v>1331</v>
      </c>
      <c r="F62" s="64">
        <v>43438</v>
      </c>
      <c r="G62" s="65" t="s">
        <v>34</v>
      </c>
      <c r="H62" s="94">
        <v>122920000</v>
      </c>
      <c r="I62" s="94">
        <v>119769038</v>
      </c>
      <c r="J62" s="94" t="s">
        <v>519</v>
      </c>
      <c r="K62" s="153">
        <v>-2.5634249918646275E-2</v>
      </c>
      <c r="L62" s="11" t="s">
        <v>464</v>
      </c>
      <c r="M62" s="15">
        <v>2</v>
      </c>
      <c r="N62" s="35" t="s">
        <v>25</v>
      </c>
      <c r="O62" s="15">
        <v>4</v>
      </c>
      <c r="P62" s="35" t="s">
        <v>458</v>
      </c>
      <c r="Q62" s="35"/>
      <c r="R62" s="15"/>
      <c r="S62" s="24"/>
      <c r="T62" s="62" t="s">
        <v>784</v>
      </c>
      <c r="U62" s="62"/>
      <c r="V62" s="94">
        <v>122138179</v>
      </c>
      <c r="W62" s="199">
        <v>0.98060278105177912</v>
      </c>
      <c r="X62" s="15"/>
      <c r="Y62" s="200">
        <v>0.97436575008135373</v>
      </c>
      <c r="Z62" s="11" t="s">
        <v>465</v>
      </c>
      <c r="AA62" s="11"/>
      <c r="AB62" s="15"/>
      <c r="AC62" s="54">
        <v>122920000</v>
      </c>
      <c r="AD62" s="54">
        <v>119769038</v>
      </c>
      <c r="AE62" s="54">
        <v>3150962</v>
      </c>
      <c r="AG62" s="4"/>
      <c r="AH62" s="4"/>
      <c r="AI62" s="225"/>
      <c r="AJ62" s="226"/>
      <c r="AK62" s="227"/>
      <c r="AL62" s="227"/>
      <c r="AM62" s="225"/>
      <c r="AN62" s="226"/>
      <c r="AO62" s="228"/>
    </row>
    <row r="63" spans="2:41" x14ac:dyDescent="0.25">
      <c r="B63" s="224"/>
      <c r="C63" s="39">
        <v>2018</v>
      </c>
      <c r="D63" s="62" t="s">
        <v>1332</v>
      </c>
      <c r="E63" s="63" t="s">
        <v>1333</v>
      </c>
      <c r="F63" s="64">
        <v>43419</v>
      </c>
      <c r="G63" s="65" t="s">
        <v>34</v>
      </c>
      <c r="H63" s="94">
        <v>12570000</v>
      </c>
      <c r="I63" s="94">
        <v>9714000</v>
      </c>
      <c r="J63" s="94"/>
      <c r="K63" s="153">
        <v>-0.22720763723150358</v>
      </c>
      <c r="L63" s="11" t="s">
        <v>465</v>
      </c>
      <c r="M63" s="15">
        <v>4</v>
      </c>
      <c r="N63" s="35" t="s">
        <v>25</v>
      </c>
      <c r="O63" s="15">
        <v>4</v>
      </c>
      <c r="P63" s="35" t="s">
        <v>458</v>
      </c>
      <c r="Q63" s="35"/>
      <c r="R63" s="15"/>
      <c r="S63" s="24"/>
      <c r="T63" s="62" t="s">
        <v>784</v>
      </c>
      <c r="U63" s="62"/>
      <c r="V63" s="94">
        <v>10579250</v>
      </c>
      <c r="W63" s="199">
        <v>0.91821253869603237</v>
      </c>
      <c r="X63" s="15"/>
      <c r="Y63" s="200">
        <v>0.77279236276849639</v>
      </c>
      <c r="Z63" s="11" t="s">
        <v>465</v>
      </c>
      <c r="AA63" s="11"/>
      <c r="AB63" s="15"/>
      <c r="AC63" s="54">
        <v>12570000</v>
      </c>
      <c r="AD63" s="54">
        <v>9714000</v>
      </c>
      <c r="AE63" s="54">
        <v>2856000</v>
      </c>
      <c r="AG63" s="4"/>
      <c r="AH63" s="4"/>
      <c r="AI63" s="225"/>
      <c r="AJ63" s="226"/>
      <c r="AK63" s="227"/>
      <c r="AL63" s="227"/>
      <c r="AM63" s="225"/>
      <c r="AN63" s="226"/>
      <c r="AO63" s="228"/>
    </row>
    <row r="64" spans="2:41" x14ac:dyDescent="0.25">
      <c r="B64" s="224"/>
      <c r="C64" s="39">
        <v>2018</v>
      </c>
      <c r="D64" s="62" t="s">
        <v>1334</v>
      </c>
      <c r="E64" s="63" t="s">
        <v>1335</v>
      </c>
      <c r="F64" s="64">
        <v>43405</v>
      </c>
      <c r="G64" s="65" t="s">
        <v>34</v>
      </c>
      <c r="H64" s="94">
        <v>9650000</v>
      </c>
      <c r="I64" s="94">
        <v>9200000</v>
      </c>
      <c r="J64" s="94" t="s">
        <v>519</v>
      </c>
      <c r="K64" s="153">
        <v>-4.6632124352331605E-2</v>
      </c>
      <c r="L64" s="11" t="s">
        <v>464</v>
      </c>
      <c r="M64" s="15">
        <v>1</v>
      </c>
      <c r="N64" s="35" t="s">
        <v>25</v>
      </c>
      <c r="O64" s="15">
        <v>4</v>
      </c>
      <c r="P64" s="35" t="s">
        <v>459</v>
      </c>
      <c r="Q64" s="35"/>
      <c r="R64" s="15"/>
      <c r="S64" s="24" t="s">
        <v>1323</v>
      </c>
      <c r="T64" s="62" t="s">
        <v>447</v>
      </c>
      <c r="U64" s="62"/>
      <c r="V64" s="94">
        <v>9200000</v>
      </c>
      <c r="W64" s="199">
        <v>1</v>
      </c>
      <c r="X64" s="15"/>
      <c r="Y64" s="200">
        <v>0.95336787564766834</v>
      </c>
      <c r="Z64" s="11" t="s">
        <v>465</v>
      </c>
      <c r="AA64" s="11"/>
      <c r="AB64" s="15"/>
      <c r="AC64" s="54">
        <v>9650000</v>
      </c>
      <c r="AD64" s="54">
        <v>9200000</v>
      </c>
      <c r="AE64" s="54">
        <v>450000</v>
      </c>
      <c r="AG64" s="4"/>
      <c r="AH64" s="4"/>
      <c r="AI64" s="225"/>
      <c r="AJ64" s="226"/>
      <c r="AK64" s="227"/>
      <c r="AL64" s="227"/>
      <c r="AM64" s="225"/>
      <c r="AN64" s="226"/>
      <c r="AO64" s="228"/>
    </row>
    <row r="65" spans="2:43" x14ac:dyDescent="0.25">
      <c r="B65" s="224"/>
      <c r="C65" s="39">
        <v>2018</v>
      </c>
      <c r="D65" s="62" t="s">
        <v>1336</v>
      </c>
      <c r="E65" s="63" t="s">
        <v>1337</v>
      </c>
      <c r="F65" s="64">
        <v>43404</v>
      </c>
      <c r="G65" s="65" t="s">
        <v>34</v>
      </c>
      <c r="H65" s="94">
        <v>6500000</v>
      </c>
      <c r="I65" s="94">
        <v>4149491</v>
      </c>
      <c r="J65" s="105"/>
      <c r="K65" s="153">
        <v>-0.36161676923076924</v>
      </c>
      <c r="L65" s="11" t="s">
        <v>465</v>
      </c>
      <c r="M65" s="15">
        <v>8</v>
      </c>
      <c r="N65" s="35" t="s">
        <v>25</v>
      </c>
      <c r="O65" s="15">
        <v>4</v>
      </c>
      <c r="P65" s="35" t="s">
        <v>459</v>
      </c>
      <c r="Q65" s="35"/>
      <c r="R65" s="15"/>
      <c r="S65" s="24" t="s">
        <v>932</v>
      </c>
      <c r="T65" s="62" t="s">
        <v>447</v>
      </c>
      <c r="U65" s="62"/>
      <c r="V65" s="94">
        <v>5708325.25</v>
      </c>
      <c r="W65" s="199">
        <v>0.72691916074684082</v>
      </c>
      <c r="X65" s="15"/>
      <c r="Y65" s="200">
        <v>0.63838323076923076</v>
      </c>
      <c r="Z65" s="11" t="s">
        <v>465</v>
      </c>
      <c r="AA65" s="11"/>
      <c r="AB65" s="15"/>
      <c r="AC65" s="54">
        <v>6500000</v>
      </c>
      <c r="AD65" s="54">
        <v>4149491</v>
      </c>
      <c r="AE65" s="54">
        <v>2350509</v>
      </c>
      <c r="AG65" s="4"/>
      <c r="AH65" s="4"/>
      <c r="AI65" s="225"/>
      <c r="AJ65" s="226"/>
      <c r="AK65" s="227"/>
      <c r="AL65" s="227"/>
      <c r="AM65" s="225"/>
      <c r="AN65" s="226"/>
      <c r="AO65" s="228"/>
    </row>
    <row r="66" spans="2:43" x14ac:dyDescent="0.25">
      <c r="B66" s="224"/>
      <c r="C66" s="39">
        <v>2018</v>
      </c>
      <c r="D66" s="62" t="s">
        <v>1338</v>
      </c>
      <c r="E66" s="63" t="s">
        <v>1339</v>
      </c>
      <c r="F66" s="64">
        <v>43397</v>
      </c>
      <c r="G66" s="65" t="s">
        <v>34</v>
      </c>
      <c r="H66" s="94">
        <v>2971000</v>
      </c>
      <c r="I66" s="94">
        <v>2384000</v>
      </c>
      <c r="J66" s="105" t="s">
        <v>519</v>
      </c>
      <c r="K66" s="153">
        <v>-0.1975765735442612</v>
      </c>
      <c r="L66" s="11" t="s">
        <v>464</v>
      </c>
      <c r="M66" s="15">
        <v>2</v>
      </c>
      <c r="N66" s="35" t="s">
        <v>25</v>
      </c>
      <c r="O66" s="15">
        <v>4</v>
      </c>
      <c r="P66" s="35" t="s">
        <v>459</v>
      </c>
      <c r="Q66" s="35"/>
      <c r="R66" s="15"/>
      <c r="S66" s="24"/>
      <c r="T66" s="62" t="s">
        <v>447</v>
      </c>
      <c r="U66" s="62"/>
      <c r="V66" s="94">
        <v>3291500</v>
      </c>
      <c r="W66" s="199">
        <v>0.72428983746012454</v>
      </c>
      <c r="X66" s="15"/>
      <c r="Y66" s="200">
        <v>0.80242342645573883</v>
      </c>
      <c r="Z66" s="11" t="s">
        <v>465</v>
      </c>
      <c r="AA66" s="11"/>
      <c r="AB66" s="15"/>
      <c r="AC66" s="54">
        <v>2971000</v>
      </c>
      <c r="AD66" s="54">
        <v>2384000</v>
      </c>
      <c r="AE66" s="54">
        <v>587000</v>
      </c>
      <c r="AG66" s="4"/>
      <c r="AH66" s="4"/>
      <c r="AI66" s="225"/>
      <c r="AJ66" s="226"/>
      <c r="AK66" s="227"/>
      <c r="AL66" s="227"/>
      <c r="AM66" s="225"/>
      <c r="AN66" s="226"/>
      <c r="AO66" s="228"/>
    </row>
    <row r="67" spans="2:43" x14ac:dyDescent="0.25">
      <c r="B67" s="224"/>
      <c r="C67" s="39">
        <v>2018</v>
      </c>
      <c r="D67" s="62" t="s">
        <v>1340</v>
      </c>
      <c r="E67" s="63" t="s">
        <v>1341</v>
      </c>
      <c r="F67" s="64">
        <v>43382</v>
      </c>
      <c r="G67" s="65" t="s">
        <v>34</v>
      </c>
      <c r="H67" s="94">
        <v>1130000</v>
      </c>
      <c r="I67" s="94">
        <v>1383700</v>
      </c>
      <c r="J67" s="105"/>
      <c r="K67" s="153">
        <v>0.22451327433628318</v>
      </c>
      <c r="L67" s="11" t="s">
        <v>465</v>
      </c>
      <c r="M67" s="15">
        <v>4</v>
      </c>
      <c r="N67" s="35" t="s">
        <v>25</v>
      </c>
      <c r="O67" s="15">
        <v>4</v>
      </c>
      <c r="P67" s="35" t="s">
        <v>457</v>
      </c>
      <c r="Q67" s="35"/>
      <c r="R67" s="15"/>
      <c r="S67" s="24"/>
      <c r="T67" s="62" t="s">
        <v>784</v>
      </c>
      <c r="U67" s="62"/>
      <c r="V67" s="94">
        <v>1772637.5</v>
      </c>
      <c r="W67" s="199">
        <v>0.78058824773818669</v>
      </c>
      <c r="X67" s="15"/>
      <c r="Y67" s="200">
        <v>1.2245132743362832</v>
      </c>
      <c r="Z67" s="11" t="s">
        <v>465</v>
      </c>
      <c r="AA67" s="11"/>
      <c r="AB67" s="15"/>
      <c r="AC67" s="54">
        <v>1130000</v>
      </c>
      <c r="AD67" s="54">
        <v>1383700</v>
      </c>
      <c r="AE67" s="54">
        <v>-253700</v>
      </c>
      <c r="AG67" s="4"/>
      <c r="AH67" s="4"/>
      <c r="AI67" s="225"/>
      <c r="AJ67" s="226"/>
      <c r="AK67" s="227"/>
      <c r="AL67" s="227"/>
      <c r="AM67" s="225"/>
      <c r="AN67" s="226"/>
      <c r="AO67" s="228"/>
    </row>
    <row r="68" spans="2:43" x14ac:dyDescent="0.25">
      <c r="B68" s="224"/>
      <c r="C68" s="39">
        <v>2018</v>
      </c>
      <c r="D68" s="62" t="s">
        <v>1342</v>
      </c>
      <c r="E68" s="63" t="s">
        <v>1343</v>
      </c>
      <c r="F68" s="64">
        <v>43376</v>
      </c>
      <c r="G68" s="65" t="s">
        <v>34</v>
      </c>
      <c r="H68" s="94">
        <v>21700000</v>
      </c>
      <c r="I68" s="94">
        <v>15765000</v>
      </c>
      <c r="J68" s="94" t="s">
        <v>519</v>
      </c>
      <c r="K68" s="153">
        <v>-0.27350230414746546</v>
      </c>
      <c r="L68" s="11" t="s">
        <v>464</v>
      </c>
      <c r="M68" s="15">
        <v>5</v>
      </c>
      <c r="N68" s="35" t="s">
        <v>25</v>
      </c>
      <c r="O68" s="15">
        <v>4</v>
      </c>
      <c r="P68" s="35" t="s">
        <v>459</v>
      </c>
      <c r="Q68" s="35"/>
      <c r="R68" s="15"/>
      <c r="S68" s="24"/>
      <c r="T68" s="62" t="s">
        <v>447</v>
      </c>
      <c r="U68" s="62"/>
      <c r="V68" s="94">
        <v>26085716</v>
      </c>
      <c r="W68" s="199">
        <v>0.60435373903480361</v>
      </c>
      <c r="X68" s="15"/>
      <c r="Y68" s="200">
        <v>0.72649769585253454</v>
      </c>
      <c r="Z68" s="11" t="s">
        <v>465</v>
      </c>
      <c r="AA68" s="11"/>
      <c r="AB68" s="15"/>
      <c r="AC68" s="54">
        <v>21700000</v>
      </c>
      <c r="AD68" s="54">
        <v>15765000</v>
      </c>
      <c r="AE68" s="54">
        <v>5935000</v>
      </c>
      <c r="AG68" s="4">
        <v>405750200</v>
      </c>
      <c r="AH68" s="4">
        <v>351743588</v>
      </c>
      <c r="AI68" s="204">
        <v>0.86689689370455025</v>
      </c>
      <c r="AJ68" s="1" t="s">
        <v>1240</v>
      </c>
      <c r="AK68" s="205">
        <v>1162894350</v>
      </c>
      <c r="AL68" s="205">
        <v>925393062</v>
      </c>
      <c r="AM68" s="206">
        <v>0.795767097845131</v>
      </c>
      <c r="AN68" s="207" t="s">
        <v>1241</v>
      </c>
      <c r="AO68" s="208"/>
      <c r="AQ68" s="203">
        <v>0.5892857142857143</v>
      </c>
    </row>
    <row r="69" spans="2:43" x14ac:dyDescent="0.25">
      <c r="B69" s="52"/>
      <c r="C69" s="39">
        <v>2018</v>
      </c>
      <c r="D69" s="62" t="s">
        <v>1256</v>
      </c>
      <c r="E69" s="63" t="s">
        <v>1257</v>
      </c>
      <c r="F69" s="64">
        <v>43368</v>
      </c>
      <c r="G69" s="65" t="s">
        <v>34</v>
      </c>
      <c r="H69" s="94">
        <v>64356250</v>
      </c>
      <c r="I69" s="94">
        <v>51485000</v>
      </c>
      <c r="J69" s="27" t="s">
        <v>519</v>
      </c>
      <c r="K69" s="26">
        <v>-0.2</v>
      </c>
      <c r="L69" s="11" t="s">
        <v>464</v>
      </c>
      <c r="M69" s="15">
        <v>8</v>
      </c>
      <c r="N69" s="35" t="s">
        <v>25</v>
      </c>
      <c r="O69" s="15">
        <v>3</v>
      </c>
      <c r="P69" s="35" t="s">
        <v>457</v>
      </c>
      <c r="Q69" s="35"/>
      <c r="R69" s="15"/>
      <c r="S69" s="24"/>
      <c r="T69" s="62" t="s">
        <v>1226</v>
      </c>
      <c r="U69" s="62"/>
      <c r="V69" s="94">
        <v>75310398.875</v>
      </c>
      <c r="W69" s="199">
        <v>0.68363732989191395</v>
      </c>
      <c r="X69" s="15"/>
      <c r="Y69" s="200">
        <v>0.8</v>
      </c>
      <c r="Z69" s="11" t="s">
        <v>465</v>
      </c>
      <c r="AA69" s="11"/>
      <c r="AB69" s="15"/>
      <c r="AC69" s="54">
        <v>64356250</v>
      </c>
      <c r="AD69" s="54">
        <v>51485000</v>
      </c>
      <c r="AE69" s="54">
        <v>12871250</v>
      </c>
    </row>
    <row r="70" spans="2:43" x14ac:dyDescent="0.25">
      <c r="B70" s="52"/>
      <c r="C70" s="39">
        <v>2018</v>
      </c>
      <c r="D70" s="62" t="s">
        <v>1269</v>
      </c>
      <c r="E70" s="63" t="s">
        <v>1270</v>
      </c>
      <c r="F70" s="64">
        <v>43368</v>
      </c>
      <c r="G70" s="65" t="s">
        <v>1225</v>
      </c>
      <c r="H70" s="94">
        <v>760000</v>
      </c>
      <c r="I70" s="94">
        <v>994150</v>
      </c>
      <c r="J70" s="105"/>
      <c r="K70" s="26">
        <v>0.30809210526315789</v>
      </c>
      <c r="L70" s="11" t="s">
        <v>465</v>
      </c>
      <c r="M70" s="15">
        <v>3</v>
      </c>
      <c r="N70" s="35" t="s">
        <v>25</v>
      </c>
      <c r="O70" s="15">
        <v>3</v>
      </c>
      <c r="P70" s="35" t="s">
        <v>458</v>
      </c>
      <c r="Q70" s="35"/>
      <c r="R70" s="15"/>
      <c r="S70" s="24"/>
      <c r="T70" s="62" t="s">
        <v>784</v>
      </c>
      <c r="U70" s="62"/>
      <c r="V70" s="94">
        <v>2705657.5</v>
      </c>
      <c r="W70" s="199">
        <v>0.36743379381906244</v>
      </c>
      <c r="X70" s="15"/>
      <c r="Y70" s="200">
        <v>1.308092105263158</v>
      </c>
      <c r="Z70" s="11" t="s">
        <v>465</v>
      </c>
      <c r="AA70" s="11"/>
      <c r="AB70" s="15"/>
      <c r="AC70" s="54">
        <v>760000</v>
      </c>
      <c r="AD70" s="54">
        <v>994150</v>
      </c>
      <c r="AE70" s="54">
        <v>-234150</v>
      </c>
    </row>
    <row r="71" spans="2:43" x14ac:dyDescent="0.25">
      <c r="B71" s="52"/>
      <c r="C71" s="39">
        <v>2018</v>
      </c>
      <c r="D71" s="62" t="s">
        <v>1295</v>
      </c>
      <c r="E71" s="63" t="s">
        <v>1296</v>
      </c>
      <c r="F71" s="64">
        <v>43363</v>
      </c>
      <c r="G71" s="65" t="s">
        <v>1225</v>
      </c>
      <c r="H71" s="94">
        <v>1700000</v>
      </c>
      <c r="I71" s="94">
        <v>1560315</v>
      </c>
      <c r="J71" s="105" t="s">
        <v>519</v>
      </c>
      <c r="K71" s="26">
        <v>-8.2167647058823526E-2</v>
      </c>
      <c r="L71" s="11" t="s">
        <v>464</v>
      </c>
      <c r="M71" s="15">
        <v>2</v>
      </c>
      <c r="N71" s="35" t="s">
        <v>25</v>
      </c>
      <c r="O71" s="15">
        <v>3</v>
      </c>
      <c r="P71" s="35" t="s">
        <v>459</v>
      </c>
      <c r="Q71" s="35"/>
      <c r="R71" s="15"/>
      <c r="S71" s="24"/>
      <c r="T71" s="62" t="s">
        <v>447</v>
      </c>
      <c r="U71" s="62"/>
      <c r="V71" s="94">
        <v>2705657.5</v>
      </c>
      <c r="W71" s="199">
        <v>0.57668607353295831</v>
      </c>
      <c r="X71" s="15"/>
      <c r="Y71" s="200">
        <v>0.91783235294117649</v>
      </c>
      <c r="Z71" s="11" t="s">
        <v>465</v>
      </c>
      <c r="AA71" s="11"/>
      <c r="AB71" s="15"/>
      <c r="AC71" s="54">
        <v>1700000</v>
      </c>
      <c r="AD71" s="54">
        <v>1560315</v>
      </c>
      <c r="AE71" s="54">
        <v>139685</v>
      </c>
    </row>
    <row r="72" spans="2:43" x14ac:dyDescent="0.25">
      <c r="B72" s="52"/>
      <c r="C72" s="39">
        <v>2018</v>
      </c>
      <c r="D72" s="62" t="s">
        <v>1297</v>
      </c>
      <c r="E72" s="63" t="s">
        <v>1298</v>
      </c>
      <c r="F72" s="64">
        <v>43356</v>
      </c>
      <c r="G72" s="65" t="s">
        <v>34</v>
      </c>
      <c r="H72" s="94">
        <v>5960000</v>
      </c>
      <c r="I72" s="94">
        <v>6956000</v>
      </c>
      <c r="J72" s="27"/>
      <c r="K72" s="26">
        <v>0.16711409395973154</v>
      </c>
      <c r="L72" s="11" t="s">
        <v>465</v>
      </c>
      <c r="M72" s="15">
        <v>4</v>
      </c>
      <c r="N72" s="35" t="s">
        <v>25</v>
      </c>
      <c r="O72" s="15">
        <v>3</v>
      </c>
      <c r="P72" s="35" t="s">
        <v>459</v>
      </c>
      <c r="Q72" s="35"/>
      <c r="R72" s="15"/>
      <c r="S72" s="24"/>
      <c r="T72" s="62" t="s">
        <v>447</v>
      </c>
      <c r="U72" s="62"/>
      <c r="V72" s="94">
        <v>8933697.75</v>
      </c>
      <c r="W72" s="199">
        <v>0.77862495403988785</v>
      </c>
      <c r="X72" s="15"/>
      <c r="Y72" s="200">
        <v>1.1671140939597315</v>
      </c>
      <c r="Z72" s="11" t="s">
        <v>465</v>
      </c>
      <c r="AA72" s="11"/>
      <c r="AB72" s="15"/>
      <c r="AC72" s="54">
        <v>5960000</v>
      </c>
      <c r="AD72" s="54">
        <v>6956000</v>
      </c>
      <c r="AE72" s="54">
        <v>-996000</v>
      </c>
    </row>
    <row r="73" spans="2:43" x14ac:dyDescent="0.25">
      <c r="B73" s="52"/>
      <c r="C73" s="39">
        <v>2018</v>
      </c>
      <c r="D73" s="62" t="s">
        <v>1223</v>
      </c>
      <c r="E73" s="63" t="s">
        <v>1224</v>
      </c>
      <c r="F73" s="64">
        <v>43326</v>
      </c>
      <c r="G73" s="65" t="s">
        <v>1225</v>
      </c>
      <c r="H73" s="94">
        <v>858000</v>
      </c>
      <c r="I73" s="94">
        <v>743300</v>
      </c>
      <c r="J73" s="105" t="s">
        <v>519</v>
      </c>
      <c r="K73" s="26">
        <v>-0.13368298368298367</v>
      </c>
      <c r="L73" s="11" t="s">
        <v>464</v>
      </c>
      <c r="M73" s="15">
        <v>2</v>
      </c>
      <c r="N73" s="35" t="s">
        <v>25</v>
      </c>
      <c r="O73" s="15">
        <v>3</v>
      </c>
      <c r="P73" s="35" t="s">
        <v>457</v>
      </c>
      <c r="Q73" s="35"/>
      <c r="R73" s="15"/>
      <c r="S73" s="24"/>
      <c r="T73" s="62" t="s">
        <v>1226</v>
      </c>
      <c r="U73" s="62"/>
      <c r="V73" s="94">
        <v>2139150</v>
      </c>
      <c r="W73" s="199">
        <v>0.34747446415632377</v>
      </c>
      <c r="X73" s="15"/>
      <c r="Y73" s="200">
        <v>0.8663170163170163</v>
      </c>
      <c r="Z73" s="11" t="s">
        <v>465</v>
      </c>
      <c r="AA73" s="11"/>
      <c r="AB73" s="15"/>
      <c r="AC73" s="54">
        <v>858000</v>
      </c>
      <c r="AD73" s="54">
        <v>743300</v>
      </c>
      <c r="AE73" s="54">
        <v>114700</v>
      </c>
    </row>
    <row r="74" spans="2:43" x14ac:dyDescent="0.25">
      <c r="B74" s="52"/>
      <c r="C74" s="39">
        <v>2018</v>
      </c>
      <c r="D74" s="62" t="s">
        <v>1229</v>
      </c>
      <c r="E74" s="63" t="s">
        <v>1230</v>
      </c>
      <c r="F74" s="64">
        <v>43314</v>
      </c>
      <c r="G74" s="65" t="s">
        <v>1225</v>
      </c>
      <c r="H74" s="94">
        <v>1980000</v>
      </c>
      <c r="I74" s="94">
        <v>2882170</v>
      </c>
      <c r="J74" s="105"/>
      <c r="K74" s="26">
        <v>0.45564141414141413</v>
      </c>
      <c r="L74" s="11" t="s">
        <v>465</v>
      </c>
      <c r="M74" s="15">
        <v>6</v>
      </c>
      <c r="N74" s="35" t="s">
        <v>25</v>
      </c>
      <c r="O74" s="15">
        <v>3</v>
      </c>
      <c r="P74" s="35" t="s">
        <v>492</v>
      </c>
      <c r="Q74" s="35"/>
      <c r="R74" s="15"/>
      <c r="S74" s="24"/>
      <c r="T74" s="62" t="s">
        <v>816</v>
      </c>
      <c r="U74" s="62"/>
      <c r="V74" s="94">
        <v>4467184.666666667</v>
      </c>
      <c r="W74" s="199">
        <v>0.64518711785215355</v>
      </c>
      <c r="X74" s="15"/>
      <c r="Y74" s="200">
        <v>1.4556414141414142</v>
      </c>
      <c r="Z74" s="11" t="s">
        <v>465</v>
      </c>
      <c r="AA74" s="11"/>
      <c r="AB74" s="15"/>
      <c r="AC74" s="54">
        <v>1980000</v>
      </c>
      <c r="AD74" s="54">
        <v>2882170</v>
      </c>
      <c r="AE74" s="54">
        <v>-902170</v>
      </c>
    </row>
    <row r="75" spans="2:43" x14ac:dyDescent="0.25">
      <c r="B75" s="52"/>
      <c r="C75" s="39">
        <v>2018</v>
      </c>
      <c r="D75" s="62" t="s">
        <v>1273</v>
      </c>
      <c r="E75" s="63" t="s">
        <v>1274</v>
      </c>
      <c r="F75" s="64">
        <v>43311</v>
      </c>
      <c r="G75" s="65" t="s">
        <v>190</v>
      </c>
      <c r="H75" s="94">
        <v>9350000</v>
      </c>
      <c r="I75" s="94">
        <v>6855365</v>
      </c>
      <c r="J75" s="27" t="s">
        <v>519</v>
      </c>
      <c r="K75" s="26">
        <v>-0.26680588235294117</v>
      </c>
      <c r="L75" s="11" t="s">
        <v>464</v>
      </c>
      <c r="M75" s="15">
        <v>3</v>
      </c>
      <c r="N75" s="35" t="s">
        <v>25</v>
      </c>
      <c r="O75" s="15">
        <v>3</v>
      </c>
      <c r="P75" s="35" t="s">
        <v>458</v>
      </c>
      <c r="Q75" s="35"/>
      <c r="R75" s="15"/>
      <c r="S75" s="24" t="s">
        <v>932</v>
      </c>
      <c r="T75" s="62" t="s">
        <v>784</v>
      </c>
      <c r="U75" s="62"/>
      <c r="V75" s="94">
        <v>10087545</v>
      </c>
      <c r="W75" s="199">
        <v>0.67958705512590034</v>
      </c>
      <c r="X75" s="15"/>
      <c r="Y75" s="200">
        <v>0.73319411764705877</v>
      </c>
      <c r="Z75" s="11" t="s">
        <v>465</v>
      </c>
      <c r="AA75" s="11"/>
      <c r="AB75" s="15"/>
      <c r="AC75" s="54">
        <v>9350000</v>
      </c>
      <c r="AD75" s="54">
        <v>6855365</v>
      </c>
      <c r="AE75" s="54">
        <v>2494635</v>
      </c>
    </row>
    <row r="76" spans="2:43" x14ac:dyDescent="0.25">
      <c r="B76" s="224"/>
      <c r="C76" s="39">
        <v>2018</v>
      </c>
      <c r="D76" s="62" t="s">
        <v>1277</v>
      </c>
      <c r="E76" s="63" t="s">
        <v>1278</v>
      </c>
      <c r="F76" s="64">
        <v>43287</v>
      </c>
      <c r="G76" s="65" t="s">
        <v>190</v>
      </c>
      <c r="H76" s="94">
        <v>3730000</v>
      </c>
      <c r="I76" s="94">
        <v>4547000</v>
      </c>
      <c r="J76" s="105"/>
      <c r="K76" s="26">
        <v>0.2190348525469169</v>
      </c>
      <c r="L76" s="11" t="s">
        <v>465</v>
      </c>
      <c r="M76" s="15">
        <v>3</v>
      </c>
      <c r="N76" s="35" t="s">
        <v>25</v>
      </c>
      <c r="O76" s="15">
        <v>3</v>
      </c>
      <c r="P76" s="35" t="s">
        <v>458</v>
      </c>
      <c r="Q76" s="35"/>
      <c r="R76" s="15"/>
      <c r="S76" s="24"/>
      <c r="T76" s="62" t="s">
        <v>784</v>
      </c>
      <c r="U76" s="62"/>
      <c r="V76" s="94">
        <v>4717276.666666667</v>
      </c>
      <c r="W76" s="199">
        <v>0.96390360822593257</v>
      </c>
      <c r="X76" s="15"/>
      <c r="Y76" s="200">
        <v>1.2190348525469168</v>
      </c>
      <c r="Z76" s="11" t="s">
        <v>465</v>
      </c>
      <c r="AA76" s="11"/>
      <c r="AB76" s="15"/>
      <c r="AC76" s="54">
        <v>3730000</v>
      </c>
      <c r="AD76" s="54">
        <v>4547000</v>
      </c>
      <c r="AE76" s="54">
        <v>-817000</v>
      </c>
      <c r="AG76" s="4">
        <v>203524650</v>
      </c>
      <c r="AH76" s="4">
        <v>173859860</v>
      </c>
      <c r="AI76" s="209">
        <v>0.85424473153497626</v>
      </c>
      <c r="AJ76" s="1" t="s">
        <v>1240</v>
      </c>
      <c r="AK76" s="210">
        <v>757144150</v>
      </c>
      <c r="AL76" s="210">
        <v>573649474</v>
      </c>
      <c r="AM76" s="211">
        <v>0.75764895495791651</v>
      </c>
      <c r="AN76" s="212"/>
      <c r="AO76" s="213"/>
    </row>
    <row r="77" spans="2:43" x14ac:dyDescent="0.25">
      <c r="B77" s="52"/>
      <c r="C77" s="39">
        <v>2018</v>
      </c>
      <c r="D77" s="62" t="s">
        <v>1299</v>
      </c>
      <c r="E77" s="63" t="s">
        <v>1300</v>
      </c>
      <c r="F77" s="64">
        <v>43264</v>
      </c>
      <c r="G77" s="65" t="s">
        <v>34</v>
      </c>
      <c r="H77" s="94">
        <v>38600000</v>
      </c>
      <c r="I77" s="94">
        <v>35950000</v>
      </c>
      <c r="J77" s="27" t="s">
        <v>519</v>
      </c>
      <c r="K77" s="26">
        <v>-6.8652849740932637E-2</v>
      </c>
      <c r="L77" s="11" t="s">
        <v>464</v>
      </c>
      <c r="M77" s="15">
        <v>2</v>
      </c>
      <c r="N77" s="35" t="s">
        <v>25</v>
      </c>
      <c r="O77" s="15">
        <v>2</v>
      </c>
      <c r="P77" s="35" t="s">
        <v>459</v>
      </c>
      <c r="Q77" s="35"/>
      <c r="R77" s="15"/>
      <c r="S77" s="24"/>
      <c r="T77" s="62" t="s">
        <v>447</v>
      </c>
      <c r="U77" s="62"/>
      <c r="V77" s="94">
        <v>39922000</v>
      </c>
      <c r="W77" s="199">
        <v>0.90050598667401438</v>
      </c>
      <c r="X77" s="15"/>
      <c r="Y77" s="200">
        <v>0.93134715025906734</v>
      </c>
      <c r="Z77" s="11" t="s">
        <v>465</v>
      </c>
      <c r="AA77" s="11"/>
      <c r="AB77" s="15"/>
      <c r="AC77" s="54">
        <v>38600000</v>
      </c>
      <c r="AD77" s="54">
        <v>35950000</v>
      </c>
      <c r="AE77" s="54">
        <v>2650000</v>
      </c>
    </row>
    <row r="78" spans="2:43" x14ac:dyDescent="0.25">
      <c r="B78" s="52"/>
      <c r="C78" s="39">
        <v>2018</v>
      </c>
      <c r="D78" s="62" t="s">
        <v>1301</v>
      </c>
      <c r="E78" s="63" t="s">
        <v>1302</v>
      </c>
      <c r="F78" s="64">
        <v>43251</v>
      </c>
      <c r="G78" s="65" t="s">
        <v>34</v>
      </c>
      <c r="H78" s="94">
        <v>1567000</v>
      </c>
      <c r="I78" s="94">
        <v>918315</v>
      </c>
      <c r="J78" s="105" t="s">
        <v>519</v>
      </c>
      <c r="K78" s="26">
        <v>-0.41396617740906189</v>
      </c>
      <c r="L78" s="11" t="s">
        <v>464</v>
      </c>
      <c r="M78" s="15">
        <v>5</v>
      </c>
      <c r="N78" s="35" t="s">
        <v>25</v>
      </c>
      <c r="O78" s="15">
        <v>2</v>
      </c>
      <c r="P78" s="35" t="s">
        <v>459</v>
      </c>
      <c r="Q78" s="35"/>
      <c r="R78" s="15"/>
      <c r="S78" s="24" t="s">
        <v>932</v>
      </c>
      <c r="T78" s="62" t="s">
        <v>816</v>
      </c>
      <c r="U78" s="62"/>
      <c r="V78" s="94">
        <v>2609788.4</v>
      </c>
      <c r="W78" s="199">
        <v>0.351873354943259</v>
      </c>
      <c r="X78" s="15"/>
      <c r="Y78" s="200">
        <v>0.58603382259093806</v>
      </c>
      <c r="Z78" s="11" t="s">
        <v>465</v>
      </c>
      <c r="AA78" s="11"/>
      <c r="AB78" s="15"/>
      <c r="AC78" s="54">
        <v>1567000</v>
      </c>
      <c r="AD78" s="54">
        <v>918315</v>
      </c>
      <c r="AE78" s="54">
        <v>648685</v>
      </c>
    </row>
    <row r="79" spans="2:43" x14ac:dyDescent="0.25">
      <c r="B79" s="52"/>
      <c r="C79" s="39">
        <v>2018</v>
      </c>
      <c r="D79" s="62" t="s">
        <v>1279</v>
      </c>
      <c r="E79" s="63" t="s">
        <v>1280</v>
      </c>
      <c r="F79" s="64">
        <v>43250</v>
      </c>
      <c r="G79" s="65" t="s">
        <v>34</v>
      </c>
      <c r="H79" s="94">
        <v>153277500</v>
      </c>
      <c r="I79" s="94">
        <v>118434757</v>
      </c>
      <c r="J79" s="27"/>
      <c r="K79" s="26">
        <v>-0.22731805385656734</v>
      </c>
      <c r="L79" s="11" t="s">
        <v>465</v>
      </c>
      <c r="M79" s="15">
        <v>13</v>
      </c>
      <c r="N79" s="35" t="s">
        <v>25</v>
      </c>
      <c r="O79" s="15">
        <v>2</v>
      </c>
      <c r="P79" s="35" t="s">
        <v>458</v>
      </c>
      <c r="Q79" s="35"/>
      <c r="R79" s="15"/>
      <c r="S79" s="24"/>
      <c r="T79" s="62" t="s">
        <v>784</v>
      </c>
      <c r="U79" s="62"/>
      <c r="V79" s="94">
        <v>138481360</v>
      </c>
      <c r="W79" s="199">
        <v>0.85523970157427687</v>
      </c>
      <c r="X79" s="15"/>
      <c r="Y79" s="200">
        <v>0.77268194614343266</v>
      </c>
      <c r="Z79" s="11" t="s">
        <v>465</v>
      </c>
      <c r="AA79" s="11"/>
      <c r="AB79" s="15"/>
      <c r="AC79" s="54">
        <v>153277500</v>
      </c>
      <c r="AD79" s="54">
        <v>118434757</v>
      </c>
      <c r="AE79" s="54">
        <v>34842743</v>
      </c>
    </row>
    <row r="80" spans="2:43" x14ac:dyDescent="0.25">
      <c r="B80" s="52"/>
      <c r="C80" s="39">
        <v>2018</v>
      </c>
      <c r="D80" s="62" t="s">
        <v>1303</v>
      </c>
      <c r="E80" s="63" t="s">
        <v>1304</v>
      </c>
      <c r="F80" s="64">
        <v>43195</v>
      </c>
      <c r="G80" s="65" t="s">
        <v>34</v>
      </c>
      <c r="H80" s="94">
        <v>1520000</v>
      </c>
      <c r="I80" s="94">
        <v>856934</v>
      </c>
      <c r="J80" s="105" t="s">
        <v>519</v>
      </c>
      <c r="K80" s="26">
        <v>-0.43622763157894739</v>
      </c>
      <c r="L80" s="11" t="s">
        <v>464</v>
      </c>
      <c r="M80" s="15">
        <v>4</v>
      </c>
      <c r="N80" s="35" t="s">
        <v>25</v>
      </c>
      <c r="O80" s="15">
        <v>2</v>
      </c>
      <c r="P80" s="35" t="s">
        <v>459</v>
      </c>
      <c r="Q80" s="35" t="s">
        <v>1242</v>
      </c>
      <c r="R80" s="15"/>
      <c r="S80" s="24" t="s">
        <v>932</v>
      </c>
      <c r="T80" s="62" t="s">
        <v>447</v>
      </c>
      <c r="U80" s="62"/>
      <c r="V80" s="94">
        <v>1906983.5</v>
      </c>
      <c r="W80" s="199">
        <v>0.4493662373061959</v>
      </c>
      <c r="X80" s="15"/>
      <c r="Y80" s="200">
        <v>0.56377236842105261</v>
      </c>
      <c r="Z80" s="11" t="s">
        <v>465</v>
      </c>
      <c r="AA80" s="11"/>
      <c r="AB80" s="15"/>
      <c r="AC80" s="54">
        <v>1520000</v>
      </c>
      <c r="AD80" s="54">
        <v>856934</v>
      </c>
      <c r="AE80" s="54">
        <v>663066</v>
      </c>
    </row>
    <row r="81" spans="2:41" x14ac:dyDescent="0.25">
      <c r="B81" s="224"/>
      <c r="C81" s="39">
        <v>2018</v>
      </c>
      <c r="D81" s="62" t="s">
        <v>1281</v>
      </c>
      <c r="E81" s="63" t="s">
        <v>1282</v>
      </c>
      <c r="F81" s="64">
        <v>43193</v>
      </c>
      <c r="G81" s="65" t="s">
        <v>34</v>
      </c>
      <c r="H81" s="94">
        <v>3441000</v>
      </c>
      <c r="I81" s="94">
        <v>2993080</v>
      </c>
      <c r="J81" s="105" t="s">
        <v>519</v>
      </c>
      <c r="K81" s="26">
        <v>-0.13017146178436501</v>
      </c>
      <c r="L81" s="11" t="s">
        <v>464</v>
      </c>
      <c r="M81" s="15">
        <v>3</v>
      </c>
      <c r="N81" s="35" t="s">
        <v>25</v>
      </c>
      <c r="O81" s="15">
        <v>2</v>
      </c>
      <c r="P81" s="35" t="s">
        <v>458</v>
      </c>
      <c r="Q81" s="35" t="s">
        <v>1235</v>
      </c>
      <c r="R81" s="15"/>
      <c r="S81" s="24"/>
      <c r="T81" s="62" t="s">
        <v>784</v>
      </c>
      <c r="U81" s="62"/>
      <c r="V81" s="94">
        <v>3534026.6666666665</v>
      </c>
      <c r="W81" s="199">
        <v>0.84693192279250873</v>
      </c>
      <c r="X81" s="15"/>
      <c r="Y81" s="200">
        <v>0.86982853821563499</v>
      </c>
      <c r="Z81" s="11" t="s">
        <v>465</v>
      </c>
      <c r="AA81" s="74">
        <v>0</v>
      </c>
      <c r="AB81" s="15"/>
      <c r="AC81" s="54">
        <v>3441000</v>
      </c>
      <c r="AD81" s="54">
        <v>2993080</v>
      </c>
      <c r="AE81" s="54">
        <v>447920</v>
      </c>
      <c r="AG81" s="4">
        <v>215665500</v>
      </c>
      <c r="AH81" s="4">
        <v>170989542</v>
      </c>
      <c r="AI81" s="209">
        <v>0.79284606021825466</v>
      </c>
      <c r="AJ81" s="1" t="s">
        <v>1240</v>
      </c>
      <c r="AK81" s="210">
        <v>553619500</v>
      </c>
      <c r="AL81" s="210">
        <v>399789614</v>
      </c>
      <c r="AM81" s="211">
        <v>0.72213788351024488</v>
      </c>
      <c r="AN81" s="212"/>
      <c r="AO81" s="213"/>
    </row>
    <row r="82" spans="2:41" x14ac:dyDescent="0.25">
      <c r="B82" s="52"/>
      <c r="C82" s="39">
        <v>2018</v>
      </c>
      <c r="D82" s="62" t="s">
        <v>1233</v>
      </c>
      <c r="E82" s="63" t="s">
        <v>1234</v>
      </c>
      <c r="F82" s="64">
        <v>43173</v>
      </c>
      <c r="G82" s="65" t="s">
        <v>693</v>
      </c>
      <c r="H82" s="94">
        <v>600000</v>
      </c>
      <c r="I82" s="94">
        <v>749000</v>
      </c>
      <c r="J82" s="105"/>
      <c r="K82" s="26">
        <v>0.24833333333333332</v>
      </c>
      <c r="L82" s="11" t="s">
        <v>465</v>
      </c>
      <c r="M82" s="15">
        <v>3</v>
      </c>
      <c r="N82" s="35" t="s">
        <v>25</v>
      </c>
      <c r="O82" s="15">
        <v>1</v>
      </c>
      <c r="P82" s="35" t="s">
        <v>457</v>
      </c>
      <c r="Q82" s="35" t="s">
        <v>1235</v>
      </c>
      <c r="R82" s="15"/>
      <c r="S82" s="24"/>
      <c r="T82" s="62" t="s">
        <v>1226</v>
      </c>
      <c r="U82" s="62"/>
      <c r="V82" s="94">
        <v>994735</v>
      </c>
      <c r="W82" s="199">
        <v>0.75296435734140243</v>
      </c>
      <c r="X82" s="15"/>
      <c r="Y82" s="200">
        <v>1.2483333333333333</v>
      </c>
      <c r="Z82" s="11" t="s">
        <v>465</v>
      </c>
      <c r="AA82" s="11"/>
      <c r="AB82" s="15"/>
      <c r="AC82" s="54">
        <v>600000</v>
      </c>
      <c r="AD82" s="54">
        <v>749000</v>
      </c>
      <c r="AE82" s="54">
        <v>-149000</v>
      </c>
    </row>
    <row r="83" spans="2:41" x14ac:dyDescent="0.25">
      <c r="B83" s="52"/>
      <c r="C83" s="39">
        <v>2018</v>
      </c>
      <c r="D83" s="62" t="s">
        <v>1285</v>
      </c>
      <c r="E83" s="63" t="s">
        <v>1286</v>
      </c>
      <c r="F83" s="64">
        <v>43168</v>
      </c>
      <c r="G83" s="65" t="s">
        <v>34</v>
      </c>
      <c r="H83" s="94">
        <v>10900000</v>
      </c>
      <c r="I83" s="94">
        <v>10417536</v>
      </c>
      <c r="J83" s="27" t="s">
        <v>519</v>
      </c>
      <c r="K83" s="26">
        <v>-4.4262752293577984E-2</v>
      </c>
      <c r="L83" s="11" t="s">
        <v>464</v>
      </c>
      <c r="M83" s="15">
        <v>11</v>
      </c>
      <c r="N83" s="35" t="s">
        <v>25</v>
      </c>
      <c r="O83" s="15">
        <v>1</v>
      </c>
      <c r="P83" s="35" t="s">
        <v>458</v>
      </c>
      <c r="Q83" s="35" t="s">
        <v>1235</v>
      </c>
      <c r="R83" s="15"/>
      <c r="S83" s="24"/>
      <c r="T83" s="62" t="s">
        <v>784</v>
      </c>
      <c r="U83" s="62"/>
      <c r="V83" s="94">
        <v>12059792.454545455</v>
      </c>
      <c r="W83" s="199">
        <v>0.86382382112003331</v>
      </c>
      <c r="X83" s="15"/>
      <c r="Y83" s="200">
        <v>0.95573724770642199</v>
      </c>
      <c r="Z83" s="11" t="s">
        <v>465</v>
      </c>
      <c r="AA83" s="11"/>
      <c r="AB83" s="15"/>
      <c r="AC83" s="54">
        <v>10900000</v>
      </c>
      <c r="AD83" s="54">
        <v>10417536</v>
      </c>
      <c r="AE83" s="54">
        <v>482464</v>
      </c>
    </row>
    <row r="84" spans="2:41" x14ac:dyDescent="0.25">
      <c r="B84" s="52"/>
      <c r="C84" s="39">
        <v>2018</v>
      </c>
      <c r="D84" s="62" t="s">
        <v>1305</v>
      </c>
      <c r="E84" s="63" t="s">
        <v>1306</v>
      </c>
      <c r="F84" s="64">
        <v>43167</v>
      </c>
      <c r="G84" s="65" t="s">
        <v>34</v>
      </c>
      <c r="H84" s="94">
        <v>1600000</v>
      </c>
      <c r="I84" s="94">
        <v>1948000</v>
      </c>
      <c r="J84" s="105"/>
      <c r="K84" s="26">
        <v>0.2175</v>
      </c>
      <c r="L84" s="11" t="s">
        <v>465</v>
      </c>
      <c r="M84" s="15">
        <v>2</v>
      </c>
      <c r="N84" s="35" t="s">
        <v>25</v>
      </c>
      <c r="O84" s="15">
        <v>1</v>
      </c>
      <c r="P84" s="35" t="s">
        <v>459</v>
      </c>
      <c r="Q84" s="35" t="s">
        <v>1243</v>
      </c>
      <c r="R84" s="15"/>
      <c r="S84" s="24"/>
      <c r="T84" s="62" t="s">
        <v>447</v>
      </c>
      <c r="U84" s="62"/>
      <c r="V84" s="94">
        <v>2353500</v>
      </c>
      <c r="W84" s="199">
        <v>0.82770342043764611</v>
      </c>
      <c r="X84" s="15"/>
      <c r="Y84" s="200">
        <v>1.2175</v>
      </c>
      <c r="Z84" s="11" t="s">
        <v>465</v>
      </c>
      <c r="AA84" s="11"/>
      <c r="AB84" s="15"/>
      <c r="AC84" s="54">
        <v>1600000</v>
      </c>
      <c r="AD84" s="54">
        <v>1948000</v>
      </c>
      <c r="AE84" s="54">
        <v>-348000</v>
      </c>
    </row>
    <row r="85" spans="2:41" x14ac:dyDescent="0.25">
      <c r="B85" s="52"/>
      <c r="C85" s="39">
        <v>2018</v>
      </c>
      <c r="D85" s="62" t="s">
        <v>1287</v>
      </c>
      <c r="E85" s="63" t="s">
        <v>1288</v>
      </c>
      <c r="F85" s="64">
        <v>43160</v>
      </c>
      <c r="G85" s="65" t="s">
        <v>34</v>
      </c>
      <c r="H85" s="94">
        <v>1273000</v>
      </c>
      <c r="I85" s="94">
        <v>1050950</v>
      </c>
      <c r="J85" s="105" t="s">
        <v>519</v>
      </c>
      <c r="K85" s="26">
        <v>-0.1744304791830322</v>
      </c>
      <c r="L85" s="11" t="s">
        <v>464</v>
      </c>
      <c r="M85" s="15">
        <v>6</v>
      </c>
      <c r="N85" s="35" t="s">
        <v>25</v>
      </c>
      <c r="O85" s="15">
        <v>1</v>
      </c>
      <c r="P85" s="35" t="s">
        <v>458</v>
      </c>
      <c r="Q85" s="35" t="s">
        <v>1238</v>
      </c>
      <c r="R85" s="15"/>
      <c r="S85" s="24" t="s">
        <v>1244</v>
      </c>
      <c r="T85" s="62" t="s">
        <v>784</v>
      </c>
      <c r="U85" s="62"/>
      <c r="V85" s="94">
        <v>2050444.6666666667</v>
      </c>
      <c r="W85" s="199">
        <v>0.51254735964589138</v>
      </c>
      <c r="X85" s="15"/>
      <c r="Y85" s="200">
        <v>0.82556952081696777</v>
      </c>
      <c r="Z85" s="11" t="s">
        <v>465</v>
      </c>
      <c r="AA85" s="11"/>
      <c r="AB85" s="15"/>
      <c r="AC85" s="54">
        <v>1273000</v>
      </c>
      <c r="AD85" s="54">
        <v>1050950</v>
      </c>
      <c r="AE85" s="54">
        <v>222050</v>
      </c>
    </row>
    <row r="86" spans="2:41" x14ac:dyDescent="0.25">
      <c r="B86" s="52"/>
      <c r="C86" s="39">
        <v>2018</v>
      </c>
      <c r="D86" s="62" t="s">
        <v>1236</v>
      </c>
      <c r="E86" s="63" t="s">
        <v>1237</v>
      </c>
      <c r="F86" s="64">
        <v>43138</v>
      </c>
      <c r="G86" s="65" t="s">
        <v>693</v>
      </c>
      <c r="H86" s="94">
        <v>1056000</v>
      </c>
      <c r="I86" s="94">
        <v>619790</v>
      </c>
      <c r="J86" s="105" t="s">
        <v>519</v>
      </c>
      <c r="K86" s="26">
        <v>-0.41307765151515152</v>
      </c>
      <c r="L86" s="11" t="s">
        <v>464</v>
      </c>
      <c r="M86" s="15">
        <v>6</v>
      </c>
      <c r="N86" s="35" t="s">
        <v>25</v>
      </c>
      <c r="O86" s="15">
        <v>1</v>
      </c>
      <c r="P86" s="35" t="s">
        <v>457</v>
      </c>
      <c r="Q86" s="35" t="s">
        <v>1238</v>
      </c>
      <c r="R86" s="15"/>
      <c r="S86" s="24"/>
      <c r="T86" s="62" t="s">
        <v>784</v>
      </c>
      <c r="U86" s="62"/>
      <c r="V86" s="94">
        <v>2319072.3333333335</v>
      </c>
      <c r="W86" s="199">
        <v>0.26725772676057108</v>
      </c>
      <c r="X86" s="15"/>
      <c r="Y86" s="200">
        <v>0.58692234848484848</v>
      </c>
      <c r="Z86" s="11" t="s">
        <v>465</v>
      </c>
      <c r="AA86" s="11"/>
      <c r="AB86" s="15"/>
      <c r="AC86" s="54">
        <v>1056000</v>
      </c>
      <c r="AD86" s="54">
        <v>619790</v>
      </c>
      <c r="AE86" s="54">
        <v>436210</v>
      </c>
    </row>
    <row r="87" spans="2:41" x14ac:dyDescent="0.25">
      <c r="B87" s="52"/>
      <c r="C87" s="39"/>
      <c r="E87" s="85"/>
      <c r="F87" s="85"/>
      <c r="G87" s="85"/>
      <c r="H87" s="86">
        <f>SUM(H59:H86)</f>
        <v>496719750</v>
      </c>
      <c r="I87" s="86">
        <f>SUM(I59:I86)</f>
        <v>427527891</v>
      </c>
      <c r="J87" s="85"/>
      <c r="K87" s="87">
        <f>+I87/H87</f>
        <v>0.86070242022790522</v>
      </c>
      <c r="L87" s="85">
        <f>COUNTA(L58:L86)</f>
        <v>28</v>
      </c>
      <c r="M87" s="88">
        <f>SUM(M59:M86)/L87</f>
        <v>4.3571428571428568</v>
      </c>
      <c r="N87" s="89"/>
      <c r="O87" s="85"/>
      <c r="P87" s="233">
        <f>16/L87</f>
        <v>0.5714285714285714</v>
      </c>
      <c r="Q87" s="85"/>
    </row>
    <row r="88" spans="2:41" x14ac:dyDescent="0.25">
      <c r="B88" s="52"/>
      <c r="C88" s="39"/>
      <c r="G88" s="45"/>
    </row>
    <row r="89" spans="2:41" x14ac:dyDescent="0.25">
      <c r="B89" s="52"/>
      <c r="C89" s="39"/>
      <c r="D89" s="83" t="s">
        <v>838</v>
      </c>
      <c r="G89" s="45"/>
    </row>
    <row r="90" spans="2:41" x14ac:dyDescent="0.25">
      <c r="B90" s="224"/>
      <c r="C90" s="39">
        <v>2018</v>
      </c>
      <c r="D90" s="62" t="s">
        <v>1312</v>
      </c>
      <c r="E90" s="63" t="s">
        <v>1313</v>
      </c>
      <c r="F90" s="64">
        <v>43438</v>
      </c>
      <c r="G90" s="65" t="s">
        <v>1225</v>
      </c>
      <c r="H90" s="94">
        <v>448000</v>
      </c>
      <c r="I90" s="94">
        <v>432222</v>
      </c>
      <c r="J90" s="105" t="s">
        <v>519</v>
      </c>
      <c r="K90" s="153">
        <v>-3.521875E-2</v>
      </c>
      <c r="L90" s="11" t="s">
        <v>464</v>
      </c>
      <c r="M90" s="15">
        <v>6</v>
      </c>
      <c r="N90" s="35" t="s">
        <v>93</v>
      </c>
      <c r="O90" s="15">
        <v>4</v>
      </c>
      <c r="P90" s="35" t="s">
        <v>458</v>
      </c>
      <c r="Q90" s="35"/>
      <c r="R90" s="15"/>
      <c r="S90" s="24"/>
      <c r="T90" s="62" t="s">
        <v>784</v>
      </c>
      <c r="U90" s="62"/>
      <c r="V90" s="94">
        <v>792267</v>
      </c>
      <c r="W90" s="199">
        <v>0.54555093169348212</v>
      </c>
      <c r="X90" s="15"/>
      <c r="Y90" s="200">
        <v>0.96478125000000003</v>
      </c>
      <c r="Z90" s="11" t="s">
        <v>465</v>
      </c>
      <c r="AA90" s="11"/>
      <c r="AB90" s="15"/>
      <c r="AC90" s="54">
        <v>448000</v>
      </c>
      <c r="AD90" s="54">
        <v>432222</v>
      </c>
      <c r="AE90" s="54">
        <v>15778</v>
      </c>
      <c r="AG90" s="4"/>
      <c r="AH90" s="4"/>
      <c r="AI90" s="225"/>
      <c r="AJ90" s="226"/>
      <c r="AK90" s="227"/>
      <c r="AL90" s="227"/>
      <c r="AM90" s="225"/>
      <c r="AN90" s="226"/>
      <c r="AO90" s="228"/>
    </row>
    <row r="91" spans="2:41" x14ac:dyDescent="0.25">
      <c r="B91" s="224"/>
      <c r="C91" s="39">
        <v>2018</v>
      </c>
      <c r="D91" s="62" t="s">
        <v>1314</v>
      </c>
      <c r="E91" s="63" t="s">
        <v>1315</v>
      </c>
      <c r="F91" s="64">
        <v>43433</v>
      </c>
      <c r="G91" s="65" t="s">
        <v>1225</v>
      </c>
      <c r="H91" s="94">
        <v>287000</v>
      </c>
      <c r="I91" s="94">
        <v>369034</v>
      </c>
      <c r="J91" s="105"/>
      <c r="K91" s="153">
        <v>0.28583275261324043</v>
      </c>
      <c r="L91" s="11" t="s">
        <v>465</v>
      </c>
      <c r="M91" s="15">
        <v>5</v>
      </c>
      <c r="N91" s="35" t="s">
        <v>93</v>
      </c>
      <c r="O91" s="15">
        <v>4</v>
      </c>
      <c r="P91" s="35" t="s">
        <v>458</v>
      </c>
      <c r="Q91" s="35"/>
      <c r="R91" s="15"/>
      <c r="S91" s="24"/>
      <c r="T91" s="62" t="s">
        <v>784</v>
      </c>
      <c r="U91" s="62"/>
      <c r="V91" s="94">
        <v>503308</v>
      </c>
      <c r="W91" s="199">
        <v>0.73321703608923361</v>
      </c>
      <c r="X91" s="15"/>
      <c r="Y91" s="200">
        <v>1.2858327526132405</v>
      </c>
      <c r="Z91" s="11" t="s">
        <v>465</v>
      </c>
      <c r="AA91" s="11"/>
      <c r="AB91" s="15"/>
      <c r="AC91" s="54">
        <v>287000</v>
      </c>
      <c r="AD91" s="54">
        <v>369034</v>
      </c>
      <c r="AE91" s="54">
        <v>-82034</v>
      </c>
      <c r="AG91" s="4"/>
      <c r="AH91" s="4"/>
      <c r="AI91" s="225"/>
      <c r="AJ91" s="226"/>
      <c r="AK91" s="227"/>
      <c r="AL91" s="227"/>
      <c r="AM91" s="225"/>
      <c r="AN91" s="226"/>
      <c r="AO91" s="228"/>
    </row>
    <row r="92" spans="2:41" x14ac:dyDescent="0.25">
      <c r="B92" s="224"/>
      <c r="C92" s="39">
        <v>2018</v>
      </c>
      <c r="D92" s="62" t="s">
        <v>1344</v>
      </c>
      <c r="E92" s="63" t="s">
        <v>1345</v>
      </c>
      <c r="F92" s="64">
        <v>43413</v>
      </c>
      <c r="G92" s="65" t="s">
        <v>34</v>
      </c>
      <c r="H92" s="94">
        <v>186355200</v>
      </c>
      <c r="I92" s="94">
        <v>152100000</v>
      </c>
      <c r="J92" s="94"/>
      <c r="K92" s="153">
        <v>-0.18381671131259014</v>
      </c>
      <c r="L92" s="11" t="s">
        <v>465</v>
      </c>
      <c r="M92" s="15">
        <v>3</v>
      </c>
      <c r="N92" s="35" t="s">
        <v>93</v>
      </c>
      <c r="O92" s="15">
        <v>4</v>
      </c>
      <c r="P92" s="35" t="s">
        <v>458</v>
      </c>
      <c r="Q92" s="35"/>
      <c r="R92" s="15"/>
      <c r="S92" s="24"/>
      <c r="T92" s="62" t="s">
        <v>442</v>
      </c>
      <c r="U92" s="62"/>
      <c r="V92" s="94">
        <v>157872084</v>
      </c>
      <c r="W92" s="199">
        <v>0.96343822255491351</v>
      </c>
      <c r="X92" s="15"/>
      <c r="Y92" s="200">
        <v>0.81618328868740986</v>
      </c>
      <c r="Z92" s="11" t="s">
        <v>465</v>
      </c>
      <c r="AA92" s="11"/>
      <c r="AB92" s="15"/>
      <c r="AC92" s="54">
        <v>186355200</v>
      </c>
      <c r="AD92" s="54">
        <v>152100000</v>
      </c>
      <c r="AE92" s="54">
        <v>34255200</v>
      </c>
      <c r="AG92" s="4"/>
      <c r="AH92" s="4"/>
      <c r="AI92" s="225"/>
      <c r="AJ92" s="226"/>
      <c r="AK92" s="227"/>
      <c r="AL92" s="227"/>
      <c r="AM92" s="225"/>
      <c r="AN92" s="226"/>
      <c r="AO92" s="228"/>
    </row>
    <row r="93" spans="2:41" x14ac:dyDescent="0.25">
      <c r="B93" s="224"/>
      <c r="C93" s="39">
        <v>2018</v>
      </c>
      <c r="D93" s="62" t="s">
        <v>1346</v>
      </c>
      <c r="E93" s="63" t="s">
        <v>1347</v>
      </c>
      <c r="F93" s="64">
        <v>43412</v>
      </c>
      <c r="G93" s="65" t="s">
        <v>34</v>
      </c>
      <c r="H93" s="94">
        <v>784000</v>
      </c>
      <c r="I93" s="94">
        <v>968530</v>
      </c>
      <c r="J93" s="105"/>
      <c r="K93" s="153">
        <v>0.23536989795918367</v>
      </c>
      <c r="L93" s="11" t="s">
        <v>465</v>
      </c>
      <c r="M93" s="15">
        <v>3</v>
      </c>
      <c r="N93" s="35" t="s">
        <v>93</v>
      </c>
      <c r="O93" s="15">
        <v>4</v>
      </c>
      <c r="P93" s="35" t="s">
        <v>458</v>
      </c>
      <c r="Q93" s="35"/>
      <c r="R93" s="15"/>
      <c r="S93" s="24"/>
      <c r="T93" s="62" t="s">
        <v>784</v>
      </c>
      <c r="U93" s="62"/>
      <c r="V93" s="94">
        <v>1009710</v>
      </c>
      <c r="W93" s="199">
        <v>0.9592160125184459</v>
      </c>
      <c r="X93" s="15"/>
      <c r="Y93" s="200">
        <v>1.2353698979591836</v>
      </c>
      <c r="Z93" s="11" t="s">
        <v>465</v>
      </c>
      <c r="AA93" s="11"/>
      <c r="AB93" s="15"/>
      <c r="AC93" s="54">
        <v>784000</v>
      </c>
      <c r="AD93" s="54">
        <v>968530</v>
      </c>
      <c r="AE93" s="54">
        <v>-184530</v>
      </c>
      <c r="AG93" s="4"/>
      <c r="AH93" s="4"/>
      <c r="AI93" s="225"/>
      <c r="AJ93" s="226"/>
      <c r="AK93" s="227"/>
      <c r="AL93" s="227"/>
      <c r="AM93" s="225"/>
      <c r="AN93" s="226"/>
      <c r="AO93" s="228"/>
    </row>
    <row r="94" spans="2:41" x14ac:dyDescent="0.25">
      <c r="B94" s="224"/>
      <c r="C94" s="39">
        <v>2018</v>
      </c>
      <c r="D94" s="62" t="s">
        <v>1318</v>
      </c>
      <c r="E94" s="63" t="s">
        <v>1319</v>
      </c>
      <c r="F94" s="64">
        <v>43410</v>
      </c>
      <c r="G94" s="65" t="s">
        <v>1225</v>
      </c>
      <c r="H94" s="94">
        <v>2215000</v>
      </c>
      <c r="I94" s="94">
        <v>1984098</v>
      </c>
      <c r="J94" s="105" t="s">
        <v>519</v>
      </c>
      <c r="K94" s="153">
        <v>-0.10424469525959368</v>
      </c>
      <c r="L94" s="11" t="s">
        <v>464</v>
      </c>
      <c r="M94" s="15">
        <v>4</v>
      </c>
      <c r="N94" s="35" t="s">
        <v>93</v>
      </c>
      <c r="O94" s="15">
        <v>4</v>
      </c>
      <c r="P94" s="35" t="s">
        <v>457</v>
      </c>
      <c r="Q94" s="35"/>
      <c r="R94" s="15"/>
      <c r="S94" s="24"/>
      <c r="T94" s="62" t="s">
        <v>1348</v>
      </c>
      <c r="U94" s="62"/>
      <c r="V94" s="94">
        <v>2858292.5</v>
      </c>
      <c r="W94" s="199">
        <v>0.69415498938614573</v>
      </c>
      <c r="X94" s="15"/>
      <c r="Y94" s="200">
        <v>0.89575530474040632</v>
      </c>
      <c r="Z94" s="11" t="s">
        <v>465</v>
      </c>
      <c r="AA94" s="11"/>
      <c r="AB94" s="15"/>
      <c r="AC94" s="54">
        <v>2215000</v>
      </c>
      <c r="AD94" s="54">
        <v>1984098</v>
      </c>
      <c r="AE94" s="54">
        <v>230902</v>
      </c>
      <c r="AG94" s="4"/>
      <c r="AH94" s="4"/>
      <c r="AI94" s="225"/>
      <c r="AJ94" s="226"/>
      <c r="AK94" s="227"/>
      <c r="AL94" s="227"/>
      <c r="AM94" s="225"/>
      <c r="AN94" s="226"/>
      <c r="AO94" s="228"/>
    </row>
    <row r="95" spans="2:41" x14ac:dyDescent="0.25">
      <c r="B95" s="224"/>
      <c r="C95" s="39">
        <v>2018</v>
      </c>
      <c r="D95" s="62" t="s">
        <v>1349</v>
      </c>
      <c r="E95" s="63" t="s">
        <v>1350</v>
      </c>
      <c r="F95" s="64">
        <v>43391</v>
      </c>
      <c r="G95" s="65" t="s">
        <v>34</v>
      </c>
      <c r="H95" s="94">
        <v>7950000</v>
      </c>
      <c r="I95" s="94">
        <v>6875775</v>
      </c>
      <c r="J95" s="94" t="s">
        <v>519</v>
      </c>
      <c r="K95" s="153">
        <v>-0.13512264150943396</v>
      </c>
      <c r="L95" s="11" t="s">
        <v>464</v>
      </c>
      <c r="M95" s="15">
        <v>2</v>
      </c>
      <c r="N95" s="35" t="s">
        <v>93</v>
      </c>
      <c r="O95" s="15">
        <v>4</v>
      </c>
      <c r="P95" s="35" t="s">
        <v>457</v>
      </c>
      <c r="Q95" s="35"/>
      <c r="R95" s="15"/>
      <c r="S95" s="24"/>
      <c r="T95" s="62" t="s">
        <v>1226</v>
      </c>
      <c r="U95" s="62"/>
      <c r="V95" s="94">
        <v>7451400</v>
      </c>
      <c r="W95" s="199">
        <v>0.92274941621708673</v>
      </c>
      <c r="X95" s="15"/>
      <c r="Y95" s="200">
        <v>0.86487735849056602</v>
      </c>
      <c r="Z95" s="11" t="s">
        <v>465</v>
      </c>
      <c r="AA95" s="11"/>
      <c r="AB95" s="15"/>
      <c r="AC95" s="54">
        <v>7950000</v>
      </c>
      <c r="AD95" s="54">
        <v>6875775</v>
      </c>
      <c r="AE95" s="54">
        <v>1074225</v>
      </c>
      <c r="AG95" s="4"/>
      <c r="AH95" s="4"/>
      <c r="AI95" s="225"/>
      <c r="AJ95" s="226"/>
      <c r="AK95" s="227"/>
      <c r="AL95" s="227"/>
      <c r="AM95" s="225"/>
      <c r="AN95" s="226"/>
      <c r="AO95" s="228"/>
    </row>
    <row r="96" spans="2:41" x14ac:dyDescent="0.25">
      <c r="B96" s="224"/>
      <c r="C96" s="39">
        <v>2018</v>
      </c>
      <c r="D96" s="62" t="s">
        <v>1351</v>
      </c>
      <c r="E96" s="63" t="s">
        <v>1352</v>
      </c>
      <c r="F96" s="64">
        <v>43389</v>
      </c>
      <c r="G96" s="65" t="s">
        <v>34</v>
      </c>
      <c r="H96" s="94">
        <v>3800000</v>
      </c>
      <c r="I96" s="94">
        <v>3781700</v>
      </c>
      <c r="J96" s="105" t="s">
        <v>519</v>
      </c>
      <c r="K96" s="153">
        <v>-4.8157894736842108E-3</v>
      </c>
      <c r="L96" s="11" t="s">
        <v>464</v>
      </c>
      <c r="M96" s="15">
        <v>8</v>
      </c>
      <c r="N96" s="35" t="s">
        <v>93</v>
      </c>
      <c r="O96" s="15">
        <v>4</v>
      </c>
      <c r="P96" s="35" t="s">
        <v>458</v>
      </c>
      <c r="Q96" s="35"/>
      <c r="R96" s="15"/>
      <c r="S96" s="24"/>
      <c r="T96" s="62" t="s">
        <v>1353</v>
      </c>
      <c r="U96" s="62"/>
      <c r="V96" s="94">
        <v>4748686.375</v>
      </c>
      <c r="W96" s="199">
        <v>0.79636760597819012</v>
      </c>
      <c r="X96" s="15"/>
      <c r="Y96" s="200">
        <v>0.99518421052631578</v>
      </c>
      <c r="Z96" s="11" t="s">
        <v>465</v>
      </c>
      <c r="AA96" s="11"/>
      <c r="AB96" s="15"/>
      <c r="AC96" s="54">
        <v>3800000</v>
      </c>
      <c r="AD96" s="54">
        <v>3781700</v>
      </c>
      <c r="AE96" s="54">
        <v>18300</v>
      </c>
      <c r="AG96" s="4"/>
      <c r="AH96" s="4"/>
      <c r="AI96" s="225"/>
      <c r="AJ96" s="226"/>
      <c r="AK96" s="227"/>
      <c r="AL96" s="227"/>
      <c r="AM96" s="225"/>
      <c r="AN96" s="226"/>
      <c r="AO96" s="228"/>
    </row>
    <row r="97" spans="2:35" x14ac:dyDescent="0.25">
      <c r="B97" s="52"/>
      <c r="C97" s="39">
        <v>2018</v>
      </c>
      <c r="D97" s="62" t="s">
        <v>1271</v>
      </c>
      <c r="E97" s="63" t="s">
        <v>1272</v>
      </c>
      <c r="F97" s="64">
        <v>43350</v>
      </c>
      <c r="G97" s="65" t="s">
        <v>34</v>
      </c>
      <c r="H97" s="94">
        <v>17920000</v>
      </c>
      <c r="I97" s="94">
        <v>21068000</v>
      </c>
      <c r="J97" s="27"/>
      <c r="K97" s="26">
        <v>0.17566964285714284</v>
      </c>
      <c r="L97" s="11" t="s">
        <v>465</v>
      </c>
      <c r="M97" s="15">
        <v>2</v>
      </c>
      <c r="N97" s="35" t="s">
        <v>93</v>
      </c>
      <c r="O97" s="15">
        <v>3</v>
      </c>
      <c r="P97" s="35" t="s">
        <v>458</v>
      </c>
      <c r="Q97" s="35"/>
      <c r="R97" s="15"/>
      <c r="S97" s="24"/>
      <c r="T97" s="62" t="s">
        <v>536</v>
      </c>
      <c r="U97" s="62"/>
      <c r="V97" s="94">
        <v>22772500</v>
      </c>
      <c r="W97" s="199">
        <v>0.92515094961027555</v>
      </c>
      <c r="X97" s="15"/>
      <c r="Y97" s="200">
        <v>1.1756696428571429</v>
      </c>
      <c r="Z97" s="11" t="s">
        <v>465</v>
      </c>
      <c r="AA97" s="11"/>
      <c r="AB97" s="15"/>
      <c r="AC97" s="54">
        <v>17920000</v>
      </c>
      <c r="AD97" s="54">
        <v>21068000</v>
      </c>
      <c r="AE97" s="54">
        <v>-3148000</v>
      </c>
    </row>
    <row r="98" spans="2:35" x14ac:dyDescent="0.25">
      <c r="B98" s="52"/>
      <c r="C98" s="39">
        <v>2018</v>
      </c>
      <c r="D98" s="62" t="s">
        <v>1258</v>
      </c>
      <c r="E98" s="63" t="s">
        <v>712</v>
      </c>
      <c r="F98" s="64">
        <v>43340</v>
      </c>
      <c r="G98" s="65" t="s">
        <v>34</v>
      </c>
      <c r="H98" s="94">
        <v>2500000</v>
      </c>
      <c r="I98" s="94">
        <v>2952000</v>
      </c>
      <c r="J98" s="105"/>
      <c r="K98" s="26">
        <v>0.18079999999999999</v>
      </c>
      <c r="L98" s="11" t="s">
        <v>465</v>
      </c>
      <c r="M98" s="15">
        <v>3</v>
      </c>
      <c r="N98" s="35" t="s">
        <v>93</v>
      </c>
      <c r="O98" s="15">
        <v>3</v>
      </c>
      <c r="P98" s="35" t="s">
        <v>457</v>
      </c>
      <c r="Q98" s="35"/>
      <c r="R98" s="15"/>
      <c r="S98" s="24"/>
      <c r="T98" s="62" t="s">
        <v>1226</v>
      </c>
      <c r="U98" s="62"/>
      <c r="V98" s="94">
        <v>2139150</v>
      </c>
      <c r="W98" s="199">
        <v>1.379987378164224</v>
      </c>
      <c r="X98" s="15"/>
      <c r="Y98" s="200">
        <v>1.1808000000000001</v>
      </c>
      <c r="Z98" s="11" t="s">
        <v>465</v>
      </c>
      <c r="AA98" s="11"/>
      <c r="AB98" s="15"/>
      <c r="AC98" s="54">
        <v>2500000</v>
      </c>
      <c r="AD98" s="54">
        <v>2952000</v>
      </c>
      <c r="AE98" s="54">
        <v>-452000</v>
      </c>
    </row>
    <row r="99" spans="2:35" x14ac:dyDescent="0.25">
      <c r="B99" s="52"/>
      <c r="C99" s="39">
        <v>2018</v>
      </c>
      <c r="D99" s="62" t="s">
        <v>1259</v>
      </c>
      <c r="E99" s="63" t="s">
        <v>1260</v>
      </c>
      <c r="F99" s="64">
        <v>43319</v>
      </c>
      <c r="G99" s="65" t="s">
        <v>34</v>
      </c>
      <c r="H99" s="94">
        <v>54744000</v>
      </c>
      <c r="I99" s="94">
        <v>34776250</v>
      </c>
      <c r="J99" s="27" t="s">
        <v>519</v>
      </c>
      <c r="K99" s="26">
        <v>-0.36474773491158846</v>
      </c>
      <c r="L99" s="11" t="s">
        <v>464</v>
      </c>
      <c r="M99" s="15">
        <v>4</v>
      </c>
      <c r="N99" s="35" t="s">
        <v>93</v>
      </c>
      <c r="O99" s="15">
        <v>3</v>
      </c>
      <c r="P99" s="35" t="s">
        <v>457</v>
      </c>
      <c r="Q99" s="35"/>
      <c r="R99" s="15"/>
      <c r="S99" s="24" t="s">
        <v>932</v>
      </c>
      <c r="T99" s="62" t="s">
        <v>1226</v>
      </c>
      <c r="U99" s="62"/>
      <c r="V99" s="94">
        <v>49859526.25</v>
      </c>
      <c r="W99" s="199">
        <v>0.69748456544951631</v>
      </c>
      <c r="X99" s="15"/>
      <c r="Y99" s="200">
        <v>0.63525226508841148</v>
      </c>
      <c r="Z99" s="11" t="s">
        <v>465</v>
      </c>
      <c r="AA99" s="11"/>
      <c r="AB99" s="15"/>
      <c r="AC99" s="54">
        <v>54744000</v>
      </c>
      <c r="AD99" s="54">
        <v>34776250</v>
      </c>
      <c r="AE99" s="54">
        <v>19967750</v>
      </c>
    </row>
    <row r="100" spans="2:35" x14ac:dyDescent="0.25">
      <c r="B100" s="52"/>
      <c r="C100" s="39">
        <v>2018</v>
      </c>
      <c r="D100" s="62" t="s">
        <v>1275</v>
      </c>
      <c r="E100" s="63" t="s">
        <v>1276</v>
      </c>
      <c r="F100" s="64">
        <v>43299</v>
      </c>
      <c r="G100" s="65" t="s">
        <v>190</v>
      </c>
      <c r="H100" s="94">
        <v>34796400</v>
      </c>
      <c r="I100" s="94">
        <v>34483510</v>
      </c>
      <c r="J100" s="27" t="s">
        <v>519</v>
      </c>
      <c r="K100" s="26">
        <v>-8.9920221632122863E-3</v>
      </c>
      <c r="L100" s="11" t="s">
        <v>464</v>
      </c>
      <c r="M100" s="15">
        <v>2</v>
      </c>
      <c r="N100" s="35" t="s">
        <v>93</v>
      </c>
      <c r="O100" s="15">
        <v>3</v>
      </c>
      <c r="P100" s="35" t="s">
        <v>458</v>
      </c>
      <c r="Q100" s="35"/>
      <c r="R100" s="15"/>
      <c r="S100" s="24"/>
      <c r="T100" s="62" t="s">
        <v>784</v>
      </c>
      <c r="U100" s="62"/>
      <c r="V100" s="94">
        <v>35471255</v>
      </c>
      <c r="W100" s="199">
        <v>0.97215364948322236</v>
      </c>
      <c r="X100" s="15"/>
      <c r="Y100" s="200">
        <v>0.99100797783678773</v>
      </c>
      <c r="Z100" s="11" t="s">
        <v>465</v>
      </c>
      <c r="AA100" s="11"/>
      <c r="AB100" s="15"/>
      <c r="AC100" s="54">
        <v>34796400</v>
      </c>
      <c r="AD100" s="54">
        <v>34483510</v>
      </c>
      <c r="AE100" s="54">
        <v>312890</v>
      </c>
    </row>
    <row r="101" spans="2:35" x14ac:dyDescent="0.25">
      <c r="B101" s="52"/>
      <c r="C101" s="39">
        <v>2018</v>
      </c>
      <c r="D101" s="62" t="s">
        <v>1250</v>
      </c>
      <c r="E101" s="63" t="s">
        <v>1251</v>
      </c>
      <c r="F101" s="64">
        <v>43230</v>
      </c>
      <c r="G101" s="65" t="s">
        <v>34</v>
      </c>
      <c r="H101" s="94">
        <v>4390000</v>
      </c>
      <c r="I101" s="94">
        <v>4220000</v>
      </c>
      <c r="J101" s="105" t="s">
        <v>519</v>
      </c>
      <c r="K101" s="26">
        <v>-3.8724373576309798E-2</v>
      </c>
      <c r="L101" s="11" t="s">
        <v>464</v>
      </c>
      <c r="M101" s="15">
        <v>4</v>
      </c>
      <c r="N101" s="35" t="s">
        <v>93</v>
      </c>
      <c r="O101" s="15">
        <v>2</v>
      </c>
      <c r="P101" s="35" t="s">
        <v>492</v>
      </c>
      <c r="Q101" s="35"/>
      <c r="R101" s="15"/>
      <c r="S101" s="24"/>
      <c r="T101" s="62" t="s">
        <v>816</v>
      </c>
      <c r="U101" s="62"/>
      <c r="V101" s="94">
        <v>6081225</v>
      </c>
      <c r="W101" s="199">
        <v>0.69393913232942372</v>
      </c>
      <c r="X101" s="15"/>
      <c r="Y101" s="200">
        <v>0.96127562642369024</v>
      </c>
      <c r="Z101" s="11" t="s">
        <v>465</v>
      </c>
      <c r="AA101" s="11"/>
      <c r="AB101" s="15"/>
      <c r="AC101" s="54">
        <v>4390000</v>
      </c>
      <c r="AD101" s="54">
        <v>4220000</v>
      </c>
      <c r="AE101" s="54">
        <v>170000</v>
      </c>
    </row>
    <row r="102" spans="2:35" x14ac:dyDescent="0.25">
      <c r="B102" s="52"/>
      <c r="C102" s="39">
        <v>2018</v>
      </c>
      <c r="D102" s="62" t="s">
        <v>1231</v>
      </c>
      <c r="E102" s="63" t="s">
        <v>1232</v>
      </c>
      <c r="F102" s="64">
        <v>43221</v>
      </c>
      <c r="G102" s="65" t="s">
        <v>1225</v>
      </c>
      <c r="H102" s="94">
        <v>960000</v>
      </c>
      <c r="I102" s="94">
        <v>413834</v>
      </c>
      <c r="J102" s="105"/>
      <c r="K102" s="26">
        <v>-0.56892291666666661</v>
      </c>
      <c r="L102" s="11" t="s">
        <v>465</v>
      </c>
      <c r="M102" s="15">
        <v>5</v>
      </c>
      <c r="N102" s="35" t="s">
        <v>93</v>
      </c>
      <c r="O102" s="15">
        <v>2</v>
      </c>
      <c r="P102" s="35" t="s">
        <v>457</v>
      </c>
      <c r="Q102" s="35"/>
      <c r="R102" s="15"/>
      <c r="S102" s="24"/>
      <c r="T102" s="62" t="s">
        <v>816</v>
      </c>
      <c r="U102" s="62"/>
      <c r="V102" s="94">
        <v>710613.8</v>
      </c>
      <c r="W102" s="199">
        <v>0.58236133325865602</v>
      </c>
      <c r="X102" s="15"/>
      <c r="Y102" s="200">
        <v>0.43107708333333333</v>
      </c>
      <c r="Z102" s="11" t="s">
        <v>465</v>
      </c>
      <c r="AA102" s="11"/>
      <c r="AB102" s="15"/>
      <c r="AC102" s="54">
        <v>960000</v>
      </c>
      <c r="AD102" s="54">
        <v>413834</v>
      </c>
      <c r="AE102" s="54">
        <v>546166</v>
      </c>
    </row>
    <row r="103" spans="2:35" x14ac:dyDescent="0.25">
      <c r="B103" s="52"/>
      <c r="C103" s="39">
        <v>2018</v>
      </c>
      <c r="D103" s="62" t="s">
        <v>1252</v>
      </c>
      <c r="E103" s="63" t="s">
        <v>1253</v>
      </c>
      <c r="F103" s="64">
        <v>43193</v>
      </c>
      <c r="G103" s="65" t="s">
        <v>34</v>
      </c>
      <c r="H103" s="94">
        <v>9140000</v>
      </c>
      <c r="I103" s="94">
        <v>4659626</v>
      </c>
      <c r="J103" s="27" t="s">
        <v>519</v>
      </c>
      <c r="K103" s="26">
        <v>-0.49019409190371993</v>
      </c>
      <c r="L103" s="11" t="s">
        <v>464</v>
      </c>
      <c r="M103" s="15">
        <v>5</v>
      </c>
      <c r="N103" s="35" t="s">
        <v>93</v>
      </c>
      <c r="O103" s="15">
        <v>2</v>
      </c>
      <c r="P103" s="35" t="s">
        <v>492</v>
      </c>
      <c r="Q103" s="35" t="s">
        <v>1238</v>
      </c>
      <c r="R103" s="15"/>
      <c r="S103" s="24" t="s">
        <v>932</v>
      </c>
      <c r="T103" s="62" t="s">
        <v>816</v>
      </c>
      <c r="U103" s="62"/>
      <c r="V103" s="94">
        <v>10095414</v>
      </c>
      <c r="W103" s="199">
        <v>0.46155868397274247</v>
      </c>
      <c r="X103" s="15"/>
      <c r="Y103" s="200">
        <v>0.50980590809628012</v>
      </c>
      <c r="Z103" s="11" t="s">
        <v>465</v>
      </c>
      <c r="AA103" s="11"/>
      <c r="AB103" s="15"/>
      <c r="AC103" s="54">
        <v>9140000</v>
      </c>
      <c r="AD103" s="54">
        <v>4659626</v>
      </c>
      <c r="AE103" s="54">
        <v>4480374</v>
      </c>
    </row>
    <row r="104" spans="2:35" x14ac:dyDescent="0.25">
      <c r="B104" s="52"/>
      <c r="C104" s="39">
        <v>2018</v>
      </c>
      <c r="D104" s="62" t="s">
        <v>1283</v>
      </c>
      <c r="E104" s="63" t="s">
        <v>1284</v>
      </c>
      <c r="F104" s="64">
        <v>43179</v>
      </c>
      <c r="G104" s="65" t="s">
        <v>34</v>
      </c>
      <c r="H104" s="94">
        <v>1440000</v>
      </c>
      <c r="I104" s="94">
        <v>1928000</v>
      </c>
      <c r="J104" s="105"/>
      <c r="K104" s="26">
        <v>0.33888888888888891</v>
      </c>
      <c r="L104" s="11" t="s">
        <v>465</v>
      </c>
      <c r="M104" s="15">
        <v>7</v>
      </c>
      <c r="N104" s="35" t="s">
        <v>93</v>
      </c>
      <c r="O104" s="15">
        <v>1</v>
      </c>
      <c r="P104" s="35" t="s">
        <v>458</v>
      </c>
      <c r="Q104" s="35" t="s">
        <v>1238</v>
      </c>
      <c r="R104" s="15"/>
      <c r="S104" s="24"/>
      <c r="T104" s="62" t="s">
        <v>784</v>
      </c>
      <c r="U104" s="62"/>
      <c r="V104" s="94">
        <v>2393861.8571428573</v>
      </c>
      <c r="W104" s="199">
        <v>0.8053931743167182</v>
      </c>
      <c r="X104" s="15"/>
      <c r="Y104" s="200">
        <v>1.3388888888888888</v>
      </c>
      <c r="Z104" s="11" t="s">
        <v>465</v>
      </c>
      <c r="AA104" s="11"/>
      <c r="AB104" s="15"/>
      <c r="AC104" s="54">
        <v>1440000</v>
      </c>
      <c r="AD104" s="54">
        <v>1928000</v>
      </c>
      <c r="AE104" s="54">
        <v>-488000</v>
      </c>
    </row>
    <row r="105" spans="2:35" x14ac:dyDescent="0.25">
      <c r="B105" s="52"/>
      <c r="C105" s="39">
        <v>2018</v>
      </c>
      <c r="D105" s="62" t="s">
        <v>1265</v>
      </c>
      <c r="E105" s="63" t="s">
        <v>1266</v>
      </c>
      <c r="F105" s="64">
        <v>43174</v>
      </c>
      <c r="G105" s="65" t="s">
        <v>34</v>
      </c>
      <c r="H105" s="94">
        <v>1150000</v>
      </c>
      <c r="I105" s="94">
        <v>1253317</v>
      </c>
      <c r="J105" s="105" t="s">
        <v>519</v>
      </c>
      <c r="K105" s="26">
        <v>8.9840869565217391E-2</v>
      </c>
      <c r="L105" s="11" t="s">
        <v>464</v>
      </c>
      <c r="M105" s="15">
        <v>6</v>
      </c>
      <c r="N105" s="35" t="s">
        <v>93</v>
      </c>
      <c r="O105" s="15">
        <v>1</v>
      </c>
      <c r="P105" s="35" t="s">
        <v>457</v>
      </c>
      <c r="Q105" s="35" t="s">
        <v>1243</v>
      </c>
      <c r="R105" s="15"/>
      <c r="S105" s="24"/>
      <c r="T105" s="62" t="s">
        <v>784</v>
      </c>
      <c r="U105" s="62"/>
      <c r="V105" s="94">
        <v>1900429</v>
      </c>
      <c r="W105" s="199">
        <v>0.65949162004999928</v>
      </c>
      <c r="X105" s="15"/>
      <c r="Y105" s="200">
        <v>1.0898408695652173</v>
      </c>
      <c r="Z105" s="11" t="s">
        <v>465</v>
      </c>
      <c r="AA105" s="11"/>
      <c r="AB105" s="15"/>
      <c r="AC105" s="54">
        <v>1150000</v>
      </c>
      <c r="AD105" s="54">
        <v>1253317</v>
      </c>
      <c r="AE105" s="54">
        <v>-103317</v>
      </c>
    </row>
    <row r="106" spans="2:35" x14ac:dyDescent="0.25">
      <c r="B106" s="52"/>
      <c r="C106" s="39">
        <v>2018</v>
      </c>
      <c r="D106" s="62" t="s">
        <v>1289</v>
      </c>
      <c r="E106" s="63" t="s">
        <v>1290</v>
      </c>
      <c r="F106" s="64">
        <v>43147</v>
      </c>
      <c r="G106" s="65" t="s">
        <v>34</v>
      </c>
      <c r="H106" s="94">
        <v>23100000</v>
      </c>
      <c r="I106" s="94">
        <v>16848000</v>
      </c>
      <c r="J106" s="27" t="s">
        <v>519</v>
      </c>
      <c r="K106" s="26">
        <v>-0.27064935064935064</v>
      </c>
      <c r="L106" s="11" t="s">
        <v>464</v>
      </c>
      <c r="M106" s="15">
        <v>6</v>
      </c>
      <c r="N106" s="35" t="s">
        <v>93</v>
      </c>
      <c r="O106" s="15">
        <v>1</v>
      </c>
      <c r="P106" s="35" t="s">
        <v>458</v>
      </c>
      <c r="Q106" s="35" t="s">
        <v>1243</v>
      </c>
      <c r="R106" s="15"/>
      <c r="S106" s="24"/>
      <c r="T106" s="62" t="s">
        <v>442</v>
      </c>
      <c r="U106" s="62"/>
      <c r="V106" s="94">
        <v>24152208.666666668</v>
      </c>
      <c r="W106" s="199">
        <v>0.69757595392310978</v>
      </c>
      <c r="X106" s="15"/>
      <c r="Y106" s="200">
        <v>0.7293506493506493</v>
      </c>
      <c r="Z106" s="11" t="s">
        <v>465</v>
      </c>
      <c r="AA106" s="11"/>
      <c r="AB106" s="15"/>
      <c r="AC106" s="54">
        <v>23100000</v>
      </c>
      <c r="AD106" s="54">
        <v>16848000</v>
      </c>
      <c r="AE106" s="54">
        <v>6252000</v>
      </c>
    </row>
    <row r="107" spans="2:35" x14ac:dyDescent="0.25">
      <c r="B107" s="52"/>
      <c r="C107" s="39">
        <v>2018</v>
      </c>
      <c r="D107" s="62" t="s">
        <v>1291</v>
      </c>
      <c r="E107" s="63" t="s">
        <v>1292</v>
      </c>
      <c r="F107" s="64">
        <v>43139</v>
      </c>
      <c r="G107" s="65" t="s">
        <v>190</v>
      </c>
      <c r="H107" s="94">
        <v>10590000</v>
      </c>
      <c r="I107" s="94">
        <v>9125000</v>
      </c>
      <c r="J107" s="27"/>
      <c r="K107" s="26">
        <v>-0.13833805476864966</v>
      </c>
      <c r="L107" s="11" t="s">
        <v>465</v>
      </c>
      <c r="M107" s="15">
        <v>2</v>
      </c>
      <c r="N107" s="35" t="s">
        <v>93</v>
      </c>
      <c r="O107" s="15">
        <v>1</v>
      </c>
      <c r="P107" s="35" t="s">
        <v>458</v>
      </c>
      <c r="Q107" s="35" t="s">
        <v>1235</v>
      </c>
      <c r="R107" s="15"/>
      <c r="S107" s="24"/>
      <c r="T107" s="62" t="s">
        <v>784</v>
      </c>
      <c r="U107" s="62"/>
      <c r="V107" s="94">
        <v>9478917</v>
      </c>
      <c r="W107" s="199">
        <v>0.96266271769232714</v>
      </c>
      <c r="X107" s="15"/>
      <c r="Y107" s="200">
        <v>0.86166194523135031</v>
      </c>
      <c r="Z107" s="11" t="s">
        <v>465</v>
      </c>
      <c r="AA107" s="11"/>
      <c r="AB107" s="15"/>
      <c r="AC107" s="54">
        <v>10590000</v>
      </c>
      <c r="AD107" s="54">
        <v>9125000</v>
      </c>
      <c r="AE107" s="54">
        <v>1465000</v>
      </c>
    </row>
    <row r="108" spans="2:35" x14ac:dyDescent="0.25">
      <c r="B108" s="52"/>
      <c r="C108" s="39">
        <v>2018</v>
      </c>
      <c r="D108" s="62" t="s">
        <v>1293</v>
      </c>
      <c r="E108" s="63" t="s">
        <v>1294</v>
      </c>
      <c r="F108" s="64">
        <v>43125</v>
      </c>
      <c r="G108" s="65" t="s">
        <v>34</v>
      </c>
      <c r="H108" s="94">
        <v>1700000</v>
      </c>
      <c r="I108" s="94">
        <v>1555555</v>
      </c>
      <c r="J108" s="105" t="s">
        <v>519</v>
      </c>
      <c r="K108" s="26">
        <v>-8.4967647058823523E-2</v>
      </c>
      <c r="L108" s="11" t="s">
        <v>464</v>
      </c>
      <c r="M108" s="15">
        <v>9</v>
      </c>
      <c r="N108" s="35" t="s">
        <v>93</v>
      </c>
      <c r="O108" s="15">
        <v>1</v>
      </c>
      <c r="P108" s="35" t="s">
        <v>458</v>
      </c>
      <c r="Q108" s="35" t="s">
        <v>1245</v>
      </c>
      <c r="R108" s="15"/>
      <c r="S108" s="24"/>
      <c r="T108" s="62" t="s">
        <v>784</v>
      </c>
      <c r="U108" s="62"/>
      <c r="V108" s="94">
        <v>2601779.6666666665</v>
      </c>
      <c r="W108" s="199">
        <v>0.59788114263839154</v>
      </c>
      <c r="X108" s="15"/>
      <c r="Y108" s="200">
        <v>0.91503235294117646</v>
      </c>
      <c r="Z108" s="11" t="s">
        <v>465</v>
      </c>
      <c r="AA108" s="11"/>
      <c r="AB108" s="15"/>
      <c r="AC108" s="54">
        <v>1700000</v>
      </c>
      <c r="AD108" s="54">
        <v>1555555</v>
      </c>
      <c r="AE108" s="54">
        <v>144445</v>
      </c>
    </row>
    <row r="109" spans="2:35" x14ac:dyDescent="0.25">
      <c r="B109" s="52"/>
      <c r="C109" s="39">
        <v>2018</v>
      </c>
      <c r="D109" s="62" t="s">
        <v>1254</v>
      </c>
      <c r="E109" s="63" t="s">
        <v>1255</v>
      </c>
      <c r="F109" s="64">
        <v>43124</v>
      </c>
      <c r="G109" s="65" t="s">
        <v>34</v>
      </c>
      <c r="H109" s="94">
        <v>22000000</v>
      </c>
      <c r="I109" s="94">
        <v>19988889</v>
      </c>
      <c r="J109" s="27" t="s">
        <v>519</v>
      </c>
      <c r="K109" s="26">
        <v>-9.1414136363636364E-2</v>
      </c>
      <c r="L109" s="11" t="s">
        <v>464</v>
      </c>
      <c r="M109" s="15">
        <v>13</v>
      </c>
      <c r="N109" s="35" t="s">
        <v>93</v>
      </c>
      <c r="O109" s="15">
        <v>1</v>
      </c>
      <c r="P109" s="35" t="s">
        <v>492</v>
      </c>
      <c r="Q109" s="35" t="s">
        <v>1245</v>
      </c>
      <c r="R109" s="15"/>
      <c r="S109" s="24"/>
      <c r="T109" s="62" t="s">
        <v>816</v>
      </c>
      <c r="U109" s="62"/>
      <c r="V109" s="94">
        <v>27586889.692307692</v>
      </c>
      <c r="W109" s="199">
        <v>0.72457929193712933</v>
      </c>
      <c r="X109" s="15"/>
      <c r="Y109" s="200">
        <v>0.90858586363636362</v>
      </c>
      <c r="Z109" s="11" t="s">
        <v>465</v>
      </c>
      <c r="AA109" s="11"/>
      <c r="AB109" s="15"/>
      <c r="AC109" s="54">
        <v>22000000</v>
      </c>
      <c r="AD109" s="54">
        <v>19988889</v>
      </c>
      <c r="AE109" s="54">
        <v>2011111</v>
      </c>
    </row>
    <row r="110" spans="2:35" x14ac:dyDescent="0.25">
      <c r="B110" s="224"/>
      <c r="C110" s="39">
        <v>2018</v>
      </c>
      <c r="D110" s="62" t="s">
        <v>1267</v>
      </c>
      <c r="E110" s="63" t="s">
        <v>1268</v>
      </c>
      <c r="F110" s="64">
        <v>43108</v>
      </c>
      <c r="G110" s="65" t="s">
        <v>190</v>
      </c>
      <c r="H110" s="94">
        <v>8520000</v>
      </c>
      <c r="I110" s="94">
        <v>6850075</v>
      </c>
      <c r="J110" s="27" t="s">
        <v>519</v>
      </c>
      <c r="K110" s="26">
        <v>-0.19600058685446009</v>
      </c>
      <c r="L110" s="11" t="s">
        <v>464</v>
      </c>
      <c r="M110" s="15">
        <v>5</v>
      </c>
      <c r="N110" s="35" t="s">
        <v>93</v>
      </c>
      <c r="O110" s="15">
        <v>1</v>
      </c>
      <c r="P110" s="35" t="s">
        <v>457</v>
      </c>
      <c r="Q110" s="35" t="s">
        <v>1235</v>
      </c>
      <c r="R110" s="15"/>
      <c r="S110" s="24"/>
      <c r="T110" s="62" t="s">
        <v>784</v>
      </c>
      <c r="U110" s="62"/>
      <c r="V110" s="94">
        <v>10472836.199999999</v>
      </c>
      <c r="W110" s="199">
        <v>0.65408021945382866</v>
      </c>
      <c r="X110" s="15"/>
      <c r="Y110" s="200">
        <v>0.80399941314553991</v>
      </c>
      <c r="Z110" s="11" t="s">
        <v>465</v>
      </c>
      <c r="AA110" s="74">
        <v>0</v>
      </c>
      <c r="AB110" s="15"/>
      <c r="AC110" s="54">
        <v>8520000</v>
      </c>
      <c r="AD110" s="54">
        <v>6850075</v>
      </c>
      <c r="AE110" s="54">
        <v>1669925</v>
      </c>
      <c r="AG110" s="4">
        <v>337954000</v>
      </c>
      <c r="AH110" s="4">
        <v>228800072</v>
      </c>
      <c r="AI110" s="7">
        <v>0.67701542813519</v>
      </c>
    </row>
    <row r="111" spans="2:35" x14ac:dyDescent="0.25">
      <c r="B111" s="52"/>
      <c r="C111" s="39"/>
      <c r="E111" s="85"/>
      <c r="F111" s="85"/>
      <c r="G111" s="85"/>
      <c r="H111" s="86">
        <f>SUM(H89:H110)</f>
        <v>394789600</v>
      </c>
      <c r="I111" s="86">
        <f>SUM(I89:I110)</f>
        <v>326633415</v>
      </c>
      <c r="J111" s="85"/>
      <c r="K111" s="87">
        <f>+I111/H111</f>
        <v>0.82736073847943314</v>
      </c>
      <c r="L111" s="85">
        <f>COUNTA(L89:L110)</f>
        <v>21</v>
      </c>
      <c r="M111" s="88">
        <f>SUM(M89:M110)/L111</f>
        <v>4.9523809523809526</v>
      </c>
      <c r="N111" s="89"/>
      <c r="O111" s="85"/>
      <c r="P111" s="233">
        <f>13/L111</f>
        <v>0.61904761904761907</v>
      </c>
      <c r="Q111" s="85"/>
    </row>
    <row r="112" spans="2:35" x14ac:dyDescent="0.25">
      <c r="B112" s="52"/>
      <c r="C112" s="39"/>
    </row>
    <row r="113" spans="2:41" x14ac:dyDescent="0.25">
      <c r="B113" s="52"/>
      <c r="C113" s="39"/>
      <c r="D113" s="31" t="s">
        <v>839</v>
      </c>
    </row>
    <row r="114" spans="2:41" x14ac:dyDescent="0.25">
      <c r="B114" s="224"/>
      <c r="C114" s="39">
        <v>2018</v>
      </c>
      <c r="D114" s="62" t="s">
        <v>1354</v>
      </c>
      <c r="E114" s="63" t="s">
        <v>1355</v>
      </c>
      <c r="F114" s="64">
        <v>43412</v>
      </c>
      <c r="G114" s="65" t="s">
        <v>34</v>
      </c>
      <c r="H114" s="94">
        <v>9720000</v>
      </c>
      <c r="I114" s="94">
        <v>7666000</v>
      </c>
      <c r="J114" s="94"/>
      <c r="K114" s="153">
        <v>-0.21131687242798353</v>
      </c>
      <c r="L114" s="11" t="s">
        <v>465</v>
      </c>
      <c r="M114" s="15">
        <v>4</v>
      </c>
      <c r="N114" s="35" t="s">
        <v>226</v>
      </c>
      <c r="O114" s="15">
        <v>4</v>
      </c>
      <c r="P114" s="35" t="s">
        <v>459</v>
      </c>
      <c r="Q114" s="35"/>
      <c r="R114" s="15"/>
      <c r="S114" s="24"/>
      <c r="T114" s="62" t="s">
        <v>447</v>
      </c>
      <c r="U114" s="62"/>
      <c r="V114" s="94">
        <v>8557038.75</v>
      </c>
      <c r="W114" s="199">
        <v>0.89587066553835581</v>
      </c>
      <c r="X114" s="15"/>
      <c r="Y114" s="200">
        <v>0.78868312757201642</v>
      </c>
      <c r="Z114" s="11" t="s">
        <v>465</v>
      </c>
      <c r="AA114" s="11"/>
      <c r="AB114" s="15"/>
      <c r="AC114" s="54">
        <v>9720000</v>
      </c>
      <c r="AD114" s="54">
        <v>7666000</v>
      </c>
      <c r="AE114" s="54">
        <v>2054000</v>
      </c>
      <c r="AG114" s="4"/>
      <c r="AH114" s="4"/>
      <c r="AI114" s="225"/>
      <c r="AJ114" s="226"/>
      <c r="AK114" s="227"/>
      <c r="AL114" s="227"/>
      <c r="AM114" s="225"/>
      <c r="AN114" s="226"/>
      <c r="AO114" s="228"/>
    </row>
    <row r="115" spans="2:41" x14ac:dyDescent="0.25">
      <c r="B115" s="52"/>
      <c r="C115" s="39">
        <v>2018</v>
      </c>
      <c r="D115" s="62" t="s">
        <v>1227</v>
      </c>
      <c r="E115" s="63" t="s">
        <v>1228</v>
      </c>
      <c r="F115" s="64">
        <v>43326</v>
      </c>
      <c r="G115" s="65" t="s">
        <v>1225</v>
      </c>
      <c r="H115" s="94">
        <v>1300000</v>
      </c>
      <c r="I115" s="94">
        <v>695800</v>
      </c>
      <c r="J115" s="105"/>
      <c r="K115" s="26">
        <v>-0.46476923076923077</v>
      </c>
      <c r="L115" s="11" t="s">
        <v>465</v>
      </c>
      <c r="M115" s="15">
        <v>2</v>
      </c>
      <c r="N115" s="35" t="s">
        <v>226</v>
      </c>
      <c r="O115" s="15">
        <v>3</v>
      </c>
      <c r="P115" s="35" t="s">
        <v>457</v>
      </c>
      <c r="Q115" s="35"/>
      <c r="R115" s="15"/>
      <c r="S115" s="24" t="s">
        <v>932</v>
      </c>
      <c r="T115" s="62" t="s">
        <v>1226</v>
      </c>
      <c r="U115" s="62"/>
      <c r="V115" s="94">
        <v>1057500</v>
      </c>
      <c r="W115" s="199">
        <v>0.65796690307328609</v>
      </c>
      <c r="X115" s="15"/>
      <c r="Y115" s="200">
        <v>0.53523076923076918</v>
      </c>
      <c r="Z115" s="11" t="s">
        <v>465</v>
      </c>
      <c r="AA115" s="11"/>
      <c r="AB115" s="15"/>
      <c r="AC115" s="54">
        <v>1300000</v>
      </c>
      <c r="AD115" s="54">
        <v>695800</v>
      </c>
      <c r="AE115" s="54">
        <v>604200</v>
      </c>
    </row>
    <row r="116" spans="2:41" x14ac:dyDescent="0.25">
      <c r="B116" s="52"/>
      <c r="C116" s="39">
        <v>2018</v>
      </c>
      <c r="D116" s="62" t="s">
        <v>1261</v>
      </c>
      <c r="E116" s="63" t="s">
        <v>1262</v>
      </c>
      <c r="F116" s="64">
        <v>43299</v>
      </c>
      <c r="G116" s="65" t="s">
        <v>34</v>
      </c>
      <c r="H116" s="94">
        <v>3570000</v>
      </c>
      <c r="I116" s="94">
        <v>3861000</v>
      </c>
      <c r="J116" s="105" t="s">
        <v>519</v>
      </c>
      <c r="K116" s="26">
        <v>8.1512605042016809E-2</v>
      </c>
      <c r="L116" s="11" t="s">
        <v>464</v>
      </c>
      <c r="M116" s="15">
        <v>6</v>
      </c>
      <c r="N116" s="35" t="s">
        <v>226</v>
      </c>
      <c r="O116" s="15">
        <v>3</v>
      </c>
      <c r="P116" s="35" t="s">
        <v>457</v>
      </c>
      <c r="Q116" s="35"/>
      <c r="R116" s="15"/>
      <c r="S116" s="24"/>
      <c r="T116" s="62" t="s">
        <v>1226</v>
      </c>
      <c r="U116" s="62"/>
      <c r="V116" s="94">
        <v>5535683.333333333</v>
      </c>
      <c r="W116" s="199">
        <v>0.69747486760141031</v>
      </c>
      <c r="X116" s="15"/>
      <c r="Y116" s="200">
        <v>1.0815126050420167</v>
      </c>
      <c r="Z116" s="11" t="s">
        <v>465</v>
      </c>
      <c r="AA116" s="11"/>
      <c r="AB116" s="15"/>
      <c r="AC116" s="54">
        <v>3570000</v>
      </c>
      <c r="AD116" s="54">
        <v>3861000</v>
      </c>
      <c r="AE116" s="54">
        <v>-291000</v>
      </c>
    </row>
    <row r="117" spans="2:41" x14ac:dyDescent="0.25">
      <c r="B117" s="52"/>
      <c r="C117" s="39">
        <v>2018</v>
      </c>
      <c r="D117" s="62" t="s">
        <v>1248</v>
      </c>
      <c r="E117" s="63" t="s">
        <v>1249</v>
      </c>
      <c r="F117" s="64">
        <v>43259</v>
      </c>
      <c r="G117" s="65" t="s">
        <v>756</v>
      </c>
      <c r="H117" s="94">
        <v>2770000</v>
      </c>
      <c r="I117" s="94">
        <v>2542996</v>
      </c>
      <c r="J117" s="105" t="s">
        <v>519</v>
      </c>
      <c r="K117" s="26">
        <v>-8.1950902527075806E-2</v>
      </c>
      <c r="L117" s="11" t="s">
        <v>464</v>
      </c>
      <c r="M117" s="15">
        <v>6</v>
      </c>
      <c r="N117" s="35" t="s">
        <v>226</v>
      </c>
      <c r="O117" s="15">
        <v>2</v>
      </c>
      <c r="P117" s="35" t="s">
        <v>492</v>
      </c>
      <c r="Q117" s="35"/>
      <c r="R117" s="15"/>
      <c r="S117" s="24"/>
      <c r="T117" s="62" t="s">
        <v>447</v>
      </c>
      <c r="U117" s="62"/>
      <c r="V117" s="94">
        <v>4162248.5</v>
      </c>
      <c r="W117" s="199">
        <v>0.61096688484601536</v>
      </c>
      <c r="X117" s="15"/>
      <c r="Y117" s="200">
        <v>0.91804909747292418</v>
      </c>
      <c r="Z117" s="11" t="s">
        <v>465</v>
      </c>
      <c r="AA117" s="11"/>
      <c r="AB117" s="15"/>
      <c r="AC117" s="54">
        <v>2770000</v>
      </c>
      <c r="AD117" s="54">
        <v>2542996</v>
      </c>
      <c r="AE117" s="54">
        <v>227004</v>
      </c>
    </row>
    <row r="118" spans="2:41" x14ac:dyDescent="0.25">
      <c r="B118" s="52"/>
      <c r="C118" s="39">
        <v>2018</v>
      </c>
      <c r="D118" s="62" t="s">
        <v>1263</v>
      </c>
      <c r="E118" s="63" t="s">
        <v>1264</v>
      </c>
      <c r="F118" s="64">
        <v>43179</v>
      </c>
      <c r="G118" s="65" t="s">
        <v>34</v>
      </c>
      <c r="H118" s="94">
        <v>27125000</v>
      </c>
      <c r="I118" s="94">
        <v>22964560</v>
      </c>
      <c r="J118" s="27" t="s">
        <v>519</v>
      </c>
      <c r="K118" s="26">
        <v>-0.15338027649769584</v>
      </c>
      <c r="L118" s="11" t="s">
        <v>464</v>
      </c>
      <c r="M118" s="15">
        <v>10</v>
      </c>
      <c r="N118" s="35" t="s">
        <v>226</v>
      </c>
      <c r="O118" s="15">
        <v>1</v>
      </c>
      <c r="P118" s="35" t="s">
        <v>457</v>
      </c>
      <c r="Q118" s="35" t="s">
        <v>1238</v>
      </c>
      <c r="R118" s="15"/>
      <c r="S118" s="24"/>
      <c r="T118" s="62" t="s">
        <v>816</v>
      </c>
      <c r="U118" s="62"/>
      <c r="V118" s="94">
        <v>31632465.399999999</v>
      </c>
      <c r="W118" s="199">
        <v>0.72598071979555534</v>
      </c>
      <c r="X118" s="15"/>
      <c r="Y118" s="200">
        <v>0.84661972350230419</v>
      </c>
      <c r="Z118" s="11" t="s">
        <v>465</v>
      </c>
      <c r="AA118" s="11"/>
      <c r="AB118" s="15"/>
      <c r="AC118" s="54">
        <v>27125000</v>
      </c>
      <c r="AD118" s="54">
        <v>22964560</v>
      </c>
      <c r="AE118" s="54">
        <v>4160440</v>
      </c>
    </row>
    <row r="119" spans="2:41" x14ac:dyDescent="0.25">
      <c r="B119" s="52"/>
      <c r="C119" s="39">
        <v>2018</v>
      </c>
      <c r="D119" s="62" t="s">
        <v>1307</v>
      </c>
      <c r="E119" s="63" t="s">
        <v>1308</v>
      </c>
      <c r="F119" s="64">
        <v>43118</v>
      </c>
      <c r="G119" s="65" t="s">
        <v>756</v>
      </c>
      <c r="H119" s="94">
        <v>26900000</v>
      </c>
      <c r="I119" s="94">
        <v>24990000</v>
      </c>
      <c r="J119" s="27" t="s">
        <v>519</v>
      </c>
      <c r="K119" s="26">
        <v>-7.1003717472118963E-2</v>
      </c>
      <c r="L119" s="11" t="s">
        <v>464</v>
      </c>
      <c r="M119" s="15">
        <v>2</v>
      </c>
      <c r="N119" s="35" t="s">
        <v>226</v>
      </c>
      <c r="O119" s="15">
        <v>1</v>
      </c>
      <c r="P119" s="35" t="s">
        <v>459</v>
      </c>
      <c r="Q119" s="35" t="s">
        <v>1246</v>
      </c>
      <c r="R119" s="15"/>
      <c r="S119" s="24"/>
      <c r="T119" s="62" t="s">
        <v>447</v>
      </c>
      <c r="U119" s="62"/>
      <c r="V119" s="94">
        <v>35017000</v>
      </c>
      <c r="W119" s="199">
        <v>0.71365336836393756</v>
      </c>
      <c r="X119" s="15"/>
      <c r="Y119" s="200">
        <v>0.92899628252788102</v>
      </c>
      <c r="Z119" s="11" t="s">
        <v>465</v>
      </c>
      <c r="AA119" s="11"/>
      <c r="AB119" s="15"/>
      <c r="AC119" s="54">
        <v>26900000</v>
      </c>
      <c r="AD119" s="54">
        <v>24990000</v>
      </c>
      <c r="AE119" s="54">
        <v>1910000</v>
      </c>
    </row>
    <row r="120" spans="2:41" x14ac:dyDescent="0.25">
      <c r="B120" s="52"/>
      <c r="C120" s="39">
        <v>2018</v>
      </c>
      <c r="D120" s="62" t="s">
        <v>1309</v>
      </c>
      <c r="E120" s="63" t="s">
        <v>1310</v>
      </c>
      <c r="F120" s="64">
        <v>43110</v>
      </c>
      <c r="G120" s="65" t="s">
        <v>190</v>
      </c>
      <c r="H120" s="94">
        <v>200000000</v>
      </c>
      <c r="I120" s="94">
        <v>108511400</v>
      </c>
      <c r="J120" s="27"/>
      <c r="K120" s="26">
        <v>-0.45744299999999999</v>
      </c>
      <c r="L120" s="11" t="s">
        <v>465</v>
      </c>
      <c r="M120" s="15">
        <v>5</v>
      </c>
      <c r="N120" s="35" t="s">
        <v>226</v>
      </c>
      <c r="O120" s="15">
        <v>1</v>
      </c>
      <c r="P120" s="35" t="s">
        <v>459</v>
      </c>
      <c r="Q120" s="35" t="s">
        <v>1246</v>
      </c>
      <c r="R120" s="15"/>
      <c r="S120" s="24" t="s">
        <v>932</v>
      </c>
      <c r="T120" s="62" t="s">
        <v>447</v>
      </c>
      <c r="U120" s="62"/>
      <c r="V120" s="94">
        <v>136419680</v>
      </c>
      <c r="W120" s="199">
        <v>0.79542335827206168</v>
      </c>
      <c r="X120" s="15"/>
      <c r="Y120" s="200">
        <v>0.54255699999999996</v>
      </c>
      <c r="Z120" s="11" t="s">
        <v>465</v>
      </c>
      <c r="AA120" s="11"/>
      <c r="AB120" s="15"/>
      <c r="AC120" s="54">
        <v>200000000</v>
      </c>
      <c r="AD120" s="54">
        <v>108511400</v>
      </c>
      <c r="AE120" s="54">
        <v>91488600</v>
      </c>
    </row>
    <row r="121" spans="2:41" x14ac:dyDescent="0.25">
      <c r="B121" s="52"/>
      <c r="C121" s="39"/>
      <c r="E121" s="85"/>
      <c r="F121" s="85"/>
      <c r="G121" s="85"/>
      <c r="H121" s="86">
        <f>SUM(H113:H120)</f>
        <v>271385000</v>
      </c>
      <c r="I121" s="86">
        <f>SUM(I113:I120)</f>
        <v>171231756</v>
      </c>
      <c r="J121" s="85"/>
      <c r="K121" s="87">
        <f>+I121/H121</f>
        <v>0.63095512279602783</v>
      </c>
      <c r="L121" s="85">
        <f>COUNTA(L113:L120)</f>
        <v>7</v>
      </c>
      <c r="M121" s="88">
        <f>SUM(M113:M120)/L121</f>
        <v>5</v>
      </c>
      <c r="N121" s="89"/>
      <c r="O121" s="85"/>
      <c r="P121" s="119">
        <f>4/L121</f>
        <v>0.5714285714285714</v>
      </c>
      <c r="Q121" s="85"/>
    </row>
    <row r="122" spans="2:41" x14ac:dyDescent="0.25">
      <c r="B122" s="52"/>
      <c r="C122" s="39"/>
    </row>
    <row r="123" spans="2:41" x14ac:dyDescent="0.25">
      <c r="B123" s="52"/>
      <c r="C123" s="39"/>
    </row>
    <row r="124" spans="2:41" x14ac:dyDescent="0.25">
      <c r="B124" s="52"/>
      <c r="C124" s="39"/>
      <c r="F124" s="31"/>
      <c r="G124" s="36" t="s">
        <v>853</v>
      </c>
      <c r="H124" s="36" t="s">
        <v>854</v>
      </c>
      <c r="I124" s="36" t="s">
        <v>59</v>
      </c>
      <c r="J124" s="36" t="s">
        <v>60</v>
      </c>
      <c r="K124" s="36" t="s">
        <v>856</v>
      </c>
      <c r="L124" s="36" t="s">
        <v>62</v>
      </c>
      <c r="M124" s="37" t="s">
        <v>855</v>
      </c>
      <c r="N124" s="36"/>
      <c r="O124" s="36"/>
      <c r="P124" s="31"/>
      <c r="Q124" s="31"/>
    </row>
    <row r="125" spans="2:41" x14ac:dyDescent="0.25">
      <c r="B125" s="52"/>
      <c r="C125" s="39"/>
      <c r="G125" t="s">
        <v>93</v>
      </c>
      <c r="H125" s="4">
        <f>+H111</f>
        <v>394789600</v>
      </c>
      <c r="I125" s="4">
        <f>+I111</f>
        <v>326633415</v>
      </c>
      <c r="J125" s="91">
        <f>+K111</f>
        <v>0.82736073847943314</v>
      </c>
      <c r="K125" s="120">
        <f>+P111</f>
        <v>0.61904761904761907</v>
      </c>
      <c r="L125">
        <f>+L111</f>
        <v>21</v>
      </c>
      <c r="M125" s="84">
        <f>+M111</f>
        <v>4.9523809523809526</v>
      </c>
    </row>
    <row r="126" spans="2:41" x14ac:dyDescent="0.25">
      <c r="B126" s="52"/>
      <c r="C126" s="39"/>
      <c r="G126" t="s">
        <v>25</v>
      </c>
      <c r="H126" s="4">
        <f>+H87</f>
        <v>496719750</v>
      </c>
      <c r="I126" s="4">
        <f>+I87</f>
        <v>427527891</v>
      </c>
      <c r="J126" s="91">
        <f>+K87</f>
        <v>0.86070242022790522</v>
      </c>
      <c r="K126" s="120">
        <f>+P87</f>
        <v>0.5714285714285714</v>
      </c>
      <c r="L126">
        <f>+L87</f>
        <v>28</v>
      </c>
      <c r="M126" s="84">
        <f>+M87</f>
        <v>4.3571428571428568</v>
      </c>
    </row>
    <row r="127" spans="2:41" s="11" customFormat="1" x14ac:dyDescent="0.25">
      <c r="B127" s="104"/>
      <c r="C127" s="39"/>
      <c r="D127"/>
      <c r="E127"/>
      <c r="F127"/>
      <c r="G127" t="s">
        <v>1373</v>
      </c>
      <c r="H127" s="4">
        <f>+H121</f>
        <v>271385000</v>
      </c>
      <c r="I127" s="4">
        <f>+I121</f>
        <v>171231756</v>
      </c>
      <c r="J127" s="91">
        <f>+K121</f>
        <v>0.63095512279602783</v>
      </c>
      <c r="K127" s="120">
        <f>+P121</f>
        <v>0.5714285714285714</v>
      </c>
      <c r="L127">
        <f>+L121</f>
        <v>7</v>
      </c>
      <c r="M127" s="84">
        <f>+M121</f>
        <v>5</v>
      </c>
      <c r="O127"/>
      <c r="P127"/>
      <c r="Q127"/>
      <c r="R127"/>
      <c r="S127"/>
      <c r="T127"/>
      <c r="U127"/>
      <c r="V127"/>
      <c r="W127"/>
      <c r="X127"/>
      <c r="Y127"/>
      <c r="Z127"/>
      <c r="AA127"/>
    </row>
    <row r="128" spans="2:41" s="11" customFormat="1" x14ac:dyDescent="0.25">
      <c r="B128" s="104"/>
      <c r="C128" s="39"/>
      <c r="D128"/>
      <c r="E128"/>
      <c r="F128"/>
      <c r="G128"/>
      <c r="H128"/>
      <c r="I128"/>
      <c r="J128"/>
      <c r="K128"/>
      <c r="L128"/>
      <c r="M128"/>
      <c r="O128"/>
      <c r="P128"/>
      <c r="Q128"/>
      <c r="R128"/>
      <c r="S128"/>
      <c r="T128"/>
      <c r="U128"/>
      <c r="V128"/>
      <c r="W128"/>
      <c r="X128"/>
      <c r="Y128"/>
      <c r="Z128"/>
      <c r="AA128"/>
    </row>
    <row r="129" spans="2:27" s="11" customFormat="1" x14ac:dyDescent="0.25">
      <c r="B129" s="104"/>
      <c r="C129" s="113"/>
      <c r="D129" s="114"/>
      <c r="E129" s="114"/>
      <c r="F129" s="114"/>
      <c r="G129" s="114"/>
      <c r="H129" s="114"/>
      <c r="I129" s="114"/>
      <c r="J129" s="114"/>
      <c r="K129" s="114"/>
      <c r="L129" s="114"/>
      <c r="M129" s="114"/>
      <c r="N129" s="115"/>
      <c r="O129" s="114"/>
      <c r="P129" s="114"/>
      <c r="Q129" s="114"/>
      <c r="R129" s="114"/>
      <c r="S129" s="114"/>
      <c r="T129"/>
      <c r="U129"/>
      <c r="V129"/>
      <c r="W129"/>
      <c r="X129"/>
      <c r="Y129"/>
      <c r="Z129"/>
      <c r="AA129"/>
    </row>
    <row r="130" spans="2:27" s="11" customFormat="1" x14ac:dyDescent="0.25">
      <c r="B130" s="104"/>
      <c r="C130" s="39"/>
      <c r="D130"/>
      <c r="E130"/>
      <c r="F130"/>
      <c r="G130"/>
      <c r="H130"/>
      <c r="I130"/>
      <c r="J130"/>
      <c r="K130"/>
      <c r="L130"/>
      <c r="M130"/>
      <c r="O130"/>
      <c r="P130"/>
      <c r="Q130"/>
      <c r="R130"/>
      <c r="S130"/>
      <c r="T130"/>
      <c r="U130"/>
      <c r="V130"/>
      <c r="W130"/>
      <c r="X130"/>
      <c r="Y130"/>
      <c r="Z130"/>
      <c r="AA130"/>
    </row>
    <row r="131" spans="2:27" x14ac:dyDescent="0.25">
      <c r="B131" s="52"/>
      <c r="C131" s="39"/>
      <c r="E131" s="131" t="s">
        <v>1166</v>
      </c>
      <c r="F131" s="132" t="s">
        <v>842</v>
      </c>
      <c r="G131" s="132" t="s">
        <v>843</v>
      </c>
      <c r="H131" s="133">
        <f>SUM(F132:G140)</f>
        <v>56</v>
      </c>
      <c r="I131" s="137" t="s">
        <v>1167</v>
      </c>
    </row>
    <row r="132" spans="2:27" x14ac:dyDescent="0.25">
      <c r="B132" s="52"/>
      <c r="C132" s="39"/>
      <c r="E132" s="133" t="s">
        <v>844</v>
      </c>
      <c r="F132" s="134">
        <v>10</v>
      </c>
      <c r="G132" s="134">
        <v>6</v>
      </c>
      <c r="H132" s="135">
        <f t="shared" ref="H132:H140" si="5">F132/(+F132+G132)</f>
        <v>0.625</v>
      </c>
      <c r="I132" s="136">
        <f>+(F132+G132)/$H$131</f>
        <v>0.2857142857142857</v>
      </c>
    </row>
    <row r="133" spans="2:27" x14ac:dyDescent="0.25">
      <c r="B133" s="52"/>
      <c r="C133" s="39"/>
      <c r="E133" s="133" t="s">
        <v>1358</v>
      </c>
      <c r="F133" s="134">
        <v>0</v>
      </c>
      <c r="G133" s="134">
        <v>0</v>
      </c>
      <c r="H133" s="138" t="s">
        <v>1165</v>
      </c>
      <c r="I133" s="136">
        <f t="shared" ref="I133:I141" si="6">+(F133+G133)/$H$131</f>
        <v>0</v>
      </c>
    </row>
    <row r="134" spans="2:27" x14ac:dyDescent="0.25">
      <c r="B134" s="52"/>
      <c r="C134" s="39"/>
      <c r="E134" s="133" t="s">
        <v>1356</v>
      </c>
      <c r="F134" s="134">
        <v>1</v>
      </c>
      <c r="G134" s="134">
        <v>0</v>
      </c>
      <c r="H134" s="135">
        <f t="shared" si="5"/>
        <v>1</v>
      </c>
      <c r="I134" s="136">
        <f t="shared" si="6"/>
        <v>1.7857142857142856E-2</v>
      </c>
    </row>
    <row r="135" spans="2:27" x14ac:dyDescent="0.25">
      <c r="C135" s="39"/>
      <c r="E135" s="133" t="s">
        <v>847</v>
      </c>
      <c r="F135" s="134">
        <v>11</v>
      </c>
      <c r="G135" s="134">
        <v>10</v>
      </c>
      <c r="H135" s="135">
        <f t="shared" si="5"/>
        <v>0.52380952380952384</v>
      </c>
      <c r="I135" s="136">
        <f t="shared" si="6"/>
        <v>0.375</v>
      </c>
    </row>
    <row r="136" spans="2:27" x14ac:dyDescent="0.25">
      <c r="C136" s="39"/>
      <c r="E136" s="133" t="s">
        <v>848</v>
      </c>
      <c r="F136" s="134">
        <v>1</v>
      </c>
      <c r="G136" s="134">
        <v>1</v>
      </c>
      <c r="H136" s="135">
        <f t="shared" si="5"/>
        <v>0.5</v>
      </c>
      <c r="I136" s="136">
        <f t="shared" si="6"/>
        <v>3.5714285714285712E-2</v>
      </c>
    </row>
    <row r="137" spans="2:27" x14ac:dyDescent="0.25">
      <c r="C137" s="39"/>
      <c r="E137" s="133" t="s">
        <v>849</v>
      </c>
      <c r="F137" s="134">
        <v>4</v>
      </c>
      <c r="G137" s="134">
        <v>2</v>
      </c>
      <c r="H137" s="135">
        <f t="shared" si="5"/>
        <v>0.66666666666666663</v>
      </c>
      <c r="I137" s="136">
        <f t="shared" si="6"/>
        <v>0.10714285714285714</v>
      </c>
    </row>
    <row r="138" spans="2:27" x14ac:dyDescent="0.25">
      <c r="C138" s="39"/>
      <c r="E138" s="133" t="s">
        <v>1163</v>
      </c>
      <c r="F138" s="134">
        <v>5</v>
      </c>
      <c r="G138" s="134">
        <v>3</v>
      </c>
      <c r="H138" s="135">
        <f t="shared" si="5"/>
        <v>0.625</v>
      </c>
      <c r="I138" s="136">
        <f t="shared" si="6"/>
        <v>0.14285714285714285</v>
      </c>
    </row>
    <row r="139" spans="2:27" x14ac:dyDescent="0.25">
      <c r="C139" s="39"/>
      <c r="E139" s="133" t="s">
        <v>1164</v>
      </c>
      <c r="F139" s="134">
        <v>0</v>
      </c>
      <c r="G139" s="134">
        <v>1</v>
      </c>
      <c r="H139" s="135">
        <f t="shared" si="5"/>
        <v>0</v>
      </c>
      <c r="I139" s="136">
        <f t="shared" si="6"/>
        <v>1.7857142857142856E-2</v>
      </c>
    </row>
    <row r="140" spans="2:27" x14ac:dyDescent="0.25">
      <c r="C140" s="39"/>
      <c r="E140" s="133" t="s">
        <v>1357</v>
      </c>
      <c r="F140" s="134">
        <v>1</v>
      </c>
      <c r="G140" s="134">
        <v>0</v>
      </c>
      <c r="H140" s="135">
        <f t="shared" si="5"/>
        <v>1</v>
      </c>
      <c r="I140" s="136">
        <f t="shared" si="6"/>
        <v>1.7857142857142856E-2</v>
      </c>
    </row>
    <row r="141" spans="2:27" x14ac:dyDescent="0.25">
      <c r="C141" s="39"/>
      <c r="E141" s="133" t="s">
        <v>1359</v>
      </c>
      <c r="F141" s="134">
        <v>0</v>
      </c>
      <c r="G141" s="134">
        <v>0</v>
      </c>
      <c r="H141" s="138" t="s">
        <v>1165</v>
      </c>
      <c r="I141" s="136">
        <f t="shared" si="6"/>
        <v>0</v>
      </c>
    </row>
    <row r="142" spans="2:27" x14ac:dyDescent="0.25">
      <c r="C142" s="39"/>
      <c r="F142" s="11"/>
      <c r="G142" s="11"/>
    </row>
    <row r="143" spans="2:27" x14ac:dyDescent="0.25">
      <c r="B143" s="52"/>
      <c r="C143" s="39"/>
    </row>
    <row r="144" spans="2:27" x14ac:dyDescent="0.25">
      <c r="C144" s="39"/>
    </row>
    <row r="145" spans="2:41" x14ac:dyDescent="0.25">
      <c r="C145" s="116"/>
      <c r="D145" s="117"/>
      <c r="E145" s="117"/>
      <c r="F145" s="117"/>
      <c r="G145" s="117"/>
      <c r="H145" s="117"/>
      <c r="I145" s="117"/>
      <c r="J145" s="117"/>
      <c r="K145" s="117"/>
      <c r="L145" s="117"/>
      <c r="M145" s="117"/>
      <c r="N145" s="118"/>
      <c r="O145" s="117"/>
      <c r="P145" s="117"/>
      <c r="Q145" s="117"/>
      <c r="R145" s="117"/>
      <c r="S145" s="117"/>
    </row>
    <row r="146" spans="2:41" x14ac:dyDescent="0.25">
      <c r="C146" s="39"/>
    </row>
    <row r="147" spans="2:41" x14ac:dyDescent="0.25">
      <c r="C147" s="39"/>
    </row>
    <row r="148" spans="2:41" x14ac:dyDescent="0.25">
      <c r="B148" s="224"/>
      <c r="C148" s="39">
        <v>2018</v>
      </c>
      <c r="D148" s="62" t="s">
        <v>1318</v>
      </c>
      <c r="E148" s="63" t="s">
        <v>1319</v>
      </c>
      <c r="F148" s="64">
        <v>43410</v>
      </c>
      <c r="G148" s="65" t="s">
        <v>1225</v>
      </c>
      <c r="H148" s="94">
        <v>2215000</v>
      </c>
      <c r="I148" s="94">
        <v>1984098</v>
      </c>
      <c r="J148" s="105" t="s">
        <v>519</v>
      </c>
      <c r="K148" s="153">
        <v>-0.10424469525959368</v>
      </c>
      <c r="L148" s="11" t="s">
        <v>464</v>
      </c>
      <c r="M148" s="15">
        <v>4</v>
      </c>
      <c r="N148" s="35" t="s">
        <v>93</v>
      </c>
      <c r="O148" s="15">
        <v>4</v>
      </c>
      <c r="P148" s="35" t="s">
        <v>457</v>
      </c>
      <c r="Q148" s="35"/>
      <c r="R148" s="15"/>
      <c r="S148" s="24"/>
      <c r="T148" s="62" t="s">
        <v>1348</v>
      </c>
      <c r="U148" s="62"/>
      <c r="V148" s="94">
        <v>2858292.5</v>
      </c>
      <c r="W148" s="199">
        <v>0.69415498938614573</v>
      </c>
      <c r="X148" s="15"/>
      <c r="Y148" s="200">
        <v>0.89575530474040632</v>
      </c>
      <c r="Z148" s="11" t="s">
        <v>465</v>
      </c>
      <c r="AA148" s="11"/>
      <c r="AB148" s="15"/>
      <c r="AC148" s="54">
        <v>2215000</v>
      </c>
      <c r="AD148" s="54">
        <v>1984098</v>
      </c>
      <c r="AE148" s="54">
        <v>230902</v>
      </c>
      <c r="AG148" s="4"/>
      <c r="AH148" s="4"/>
      <c r="AI148" s="225"/>
      <c r="AJ148" s="226"/>
      <c r="AK148" s="227"/>
      <c r="AL148" s="227"/>
      <c r="AM148" s="225"/>
      <c r="AN148" s="226"/>
      <c r="AO148" s="228"/>
    </row>
    <row r="149" spans="2:41" x14ac:dyDescent="0.25">
      <c r="B149" s="224"/>
      <c r="C149" s="39">
        <v>2018</v>
      </c>
      <c r="D149" s="62" t="s">
        <v>1349</v>
      </c>
      <c r="E149" s="63" t="s">
        <v>1350</v>
      </c>
      <c r="F149" s="64">
        <v>43391</v>
      </c>
      <c r="G149" s="65" t="s">
        <v>34</v>
      </c>
      <c r="H149" s="94">
        <v>7950000</v>
      </c>
      <c r="I149" s="94">
        <v>6875775</v>
      </c>
      <c r="J149" s="94" t="s">
        <v>519</v>
      </c>
      <c r="K149" s="153">
        <v>-0.13512264150943396</v>
      </c>
      <c r="L149" s="11" t="s">
        <v>464</v>
      </c>
      <c r="M149" s="15">
        <v>2</v>
      </c>
      <c r="N149" s="35" t="s">
        <v>93</v>
      </c>
      <c r="O149" s="15">
        <v>4</v>
      </c>
      <c r="P149" s="35" t="s">
        <v>457</v>
      </c>
      <c r="Q149" s="35"/>
      <c r="R149" s="15"/>
      <c r="S149" s="24"/>
      <c r="T149" s="62" t="s">
        <v>1226</v>
      </c>
      <c r="U149" s="62"/>
      <c r="V149" s="94">
        <v>7451400</v>
      </c>
      <c r="W149" s="199">
        <v>0.92274941621708673</v>
      </c>
      <c r="X149" s="15"/>
      <c r="Y149" s="200">
        <v>0.86487735849056602</v>
      </c>
      <c r="Z149" s="11" t="s">
        <v>465</v>
      </c>
      <c r="AA149" s="11"/>
      <c r="AB149" s="15"/>
      <c r="AC149" s="54">
        <v>7950000</v>
      </c>
      <c r="AD149" s="54">
        <v>6875775</v>
      </c>
      <c r="AE149" s="54">
        <v>1074225</v>
      </c>
      <c r="AG149" s="4"/>
      <c r="AH149" s="4"/>
      <c r="AI149" s="225"/>
      <c r="AJ149" s="226"/>
      <c r="AK149" s="227"/>
      <c r="AL149" s="227"/>
      <c r="AM149" s="225"/>
      <c r="AN149" s="226"/>
      <c r="AO149" s="228"/>
    </row>
    <row r="150" spans="2:41" x14ac:dyDescent="0.25">
      <c r="B150" s="224"/>
      <c r="C150" s="39">
        <v>2018</v>
      </c>
      <c r="D150" s="62" t="s">
        <v>1340</v>
      </c>
      <c r="E150" s="63" t="s">
        <v>1341</v>
      </c>
      <c r="F150" s="64">
        <v>43382</v>
      </c>
      <c r="G150" s="65" t="s">
        <v>34</v>
      </c>
      <c r="H150" s="94">
        <v>1130000</v>
      </c>
      <c r="I150" s="94">
        <v>1383700</v>
      </c>
      <c r="J150" s="105"/>
      <c r="K150" s="153">
        <v>0.22451327433628318</v>
      </c>
      <c r="L150" s="11" t="s">
        <v>465</v>
      </c>
      <c r="M150" s="15">
        <v>4</v>
      </c>
      <c r="N150" s="35" t="s">
        <v>25</v>
      </c>
      <c r="O150" s="15">
        <v>4</v>
      </c>
      <c r="P150" s="35" t="s">
        <v>457</v>
      </c>
      <c r="Q150" s="35"/>
      <c r="R150" s="15"/>
      <c r="S150" s="24"/>
      <c r="T150" s="62" t="s">
        <v>784</v>
      </c>
      <c r="U150" s="62"/>
      <c r="V150" s="94">
        <v>1772637.5</v>
      </c>
      <c r="W150" s="199">
        <v>0.78058824773818669</v>
      </c>
      <c r="X150" s="15"/>
      <c r="Y150" s="200">
        <v>1.2245132743362832</v>
      </c>
      <c r="Z150" s="11" t="s">
        <v>465</v>
      </c>
      <c r="AA150" s="11"/>
      <c r="AB150" s="15"/>
      <c r="AC150" s="54">
        <v>1130000</v>
      </c>
      <c r="AD150" s="54">
        <v>1383700</v>
      </c>
      <c r="AE150" s="54">
        <v>-253700</v>
      </c>
      <c r="AG150" s="4"/>
      <c r="AH150" s="4"/>
      <c r="AI150" s="225"/>
      <c r="AJ150" s="226"/>
      <c r="AK150" s="227"/>
      <c r="AL150" s="227"/>
      <c r="AM150" s="225"/>
      <c r="AN150" s="226"/>
      <c r="AO150" s="228"/>
    </row>
    <row r="151" spans="2:41" x14ac:dyDescent="0.25">
      <c r="C151" s="39">
        <v>2018</v>
      </c>
      <c r="D151" s="62" t="s">
        <v>1256</v>
      </c>
      <c r="E151" s="63" t="s">
        <v>1257</v>
      </c>
      <c r="F151" s="64">
        <v>43368</v>
      </c>
      <c r="G151" s="65" t="s">
        <v>34</v>
      </c>
      <c r="H151" s="94">
        <v>64356250</v>
      </c>
      <c r="I151" s="94">
        <v>51485000</v>
      </c>
      <c r="J151" s="27" t="s">
        <v>519</v>
      </c>
      <c r="K151" s="26">
        <v>-0.2</v>
      </c>
      <c r="L151" s="11" t="s">
        <v>464</v>
      </c>
      <c r="M151" s="15">
        <v>8</v>
      </c>
      <c r="N151" s="35" t="s">
        <v>25</v>
      </c>
      <c r="O151" s="15">
        <v>3</v>
      </c>
      <c r="P151" s="35" t="s">
        <v>457</v>
      </c>
      <c r="Q151" s="35"/>
      <c r="R151" s="15"/>
      <c r="S151" s="24"/>
      <c r="T151" s="62" t="s">
        <v>1226</v>
      </c>
      <c r="U151" s="62"/>
      <c r="V151" s="94">
        <v>75310398.875</v>
      </c>
      <c r="W151" s="199">
        <v>0.68363732989191395</v>
      </c>
      <c r="X151" s="15"/>
      <c r="Y151" s="200">
        <v>0.8</v>
      </c>
      <c r="Z151" s="11" t="s">
        <v>465</v>
      </c>
      <c r="AA151" s="11"/>
      <c r="AB151" s="15"/>
      <c r="AC151" s="54">
        <v>64356250</v>
      </c>
      <c r="AD151" s="54">
        <v>51485000</v>
      </c>
      <c r="AE151" s="54">
        <v>12871250</v>
      </c>
    </row>
    <row r="152" spans="2:41" x14ac:dyDescent="0.25">
      <c r="C152" s="39">
        <v>2018</v>
      </c>
      <c r="D152" s="62" t="s">
        <v>1258</v>
      </c>
      <c r="E152" s="63" t="s">
        <v>712</v>
      </c>
      <c r="F152" s="64">
        <v>43340</v>
      </c>
      <c r="G152" s="65" t="s">
        <v>34</v>
      </c>
      <c r="H152" s="94">
        <v>2500000</v>
      </c>
      <c r="I152" s="94">
        <v>2952000</v>
      </c>
      <c r="J152" s="105"/>
      <c r="K152" s="26">
        <v>0.18079999999999999</v>
      </c>
      <c r="L152" s="11" t="s">
        <v>465</v>
      </c>
      <c r="M152" s="15">
        <v>3</v>
      </c>
      <c r="N152" s="35" t="s">
        <v>93</v>
      </c>
      <c r="O152" s="15">
        <v>3</v>
      </c>
      <c r="P152" s="35" t="s">
        <v>457</v>
      </c>
      <c r="Q152" s="35"/>
      <c r="R152" s="15"/>
      <c r="S152" s="24"/>
      <c r="T152" s="62" t="s">
        <v>1226</v>
      </c>
      <c r="U152" s="62"/>
      <c r="V152" s="94">
        <v>2139150</v>
      </c>
      <c r="W152" s="199">
        <v>1.379987378164224</v>
      </c>
      <c r="X152" s="15"/>
      <c r="Y152" s="200">
        <v>1.1808000000000001</v>
      </c>
      <c r="Z152" s="11" t="s">
        <v>465</v>
      </c>
      <c r="AA152" s="11"/>
      <c r="AB152" s="15"/>
      <c r="AC152" s="54">
        <v>2500000</v>
      </c>
      <c r="AD152" s="54">
        <v>2952000</v>
      </c>
      <c r="AE152" s="54">
        <v>-452000</v>
      </c>
    </row>
    <row r="153" spans="2:41" x14ac:dyDescent="0.25">
      <c r="C153" s="39">
        <v>2018</v>
      </c>
      <c r="D153" s="62" t="s">
        <v>1223</v>
      </c>
      <c r="E153" s="63" t="s">
        <v>1224</v>
      </c>
      <c r="F153" s="64">
        <v>43326</v>
      </c>
      <c r="G153" s="65" t="s">
        <v>1225</v>
      </c>
      <c r="H153" s="94">
        <v>858000</v>
      </c>
      <c r="I153" s="94">
        <v>743300</v>
      </c>
      <c r="J153" s="105" t="s">
        <v>519</v>
      </c>
      <c r="K153" s="26">
        <v>-0.13368298368298367</v>
      </c>
      <c r="L153" s="11" t="s">
        <v>464</v>
      </c>
      <c r="M153" s="15">
        <v>2</v>
      </c>
      <c r="N153" s="35" t="s">
        <v>25</v>
      </c>
      <c r="O153" s="15">
        <v>3</v>
      </c>
      <c r="P153" s="35" t="s">
        <v>457</v>
      </c>
      <c r="Q153" s="35"/>
      <c r="R153" s="15"/>
      <c r="S153" s="24"/>
      <c r="T153" s="62" t="s">
        <v>1226</v>
      </c>
      <c r="U153" s="62"/>
      <c r="V153" s="94">
        <v>2139150</v>
      </c>
      <c r="W153" s="199">
        <v>0.34747446415632377</v>
      </c>
      <c r="X153" s="15"/>
      <c r="Y153" s="200">
        <v>0.8663170163170163</v>
      </c>
      <c r="Z153" s="11" t="s">
        <v>465</v>
      </c>
      <c r="AA153" s="11"/>
      <c r="AB153" s="15"/>
      <c r="AC153" s="54">
        <v>858000</v>
      </c>
      <c r="AD153" s="54">
        <v>743300</v>
      </c>
      <c r="AE153" s="54">
        <v>114700</v>
      </c>
    </row>
    <row r="154" spans="2:41" x14ac:dyDescent="0.25">
      <c r="C154" s="39">
        <v>2018</v>
      </c>
      <c r="D154" s="62" t="s">
        <v>1227</v>
      </c>
      <c r="E154" s="63" t="s">
        <v>1228</v>
      </c>
      <c r="F154" s="64">
        <v>43326</v>
      </c>
      <c r="G154" s="65" t="s">
        <v>1225</v>
      </c>
      <c r="H154" s="94">
        <v>1300000</v>
      </c>
      <c r="I154" s="94">
        <v>695800</v>
      </c>
      <c r="J154" s="105"/>
      <c r="K154" s="26">
        <v>-0.46476923076923077</v>
      </c>
      <c r="L154" s="11" t="s">
        <v>465</v>
      </c>
      <c r="M154" s="15">
        <v>2</v>
      </c>
      <c r="N154" s="35" t="s">
        <v>226</v>
      </c>
      <c r="O154" s="15">
        <v>3</v>
      </c>
      <c r="P154" s="35" t="s">
        <v>457</v>
      </c>
      <c r="Q154" s="35"/>
      <c r="R154" s="15"/>
      <c r="S154" s="24" t="s">
        <v>932</v>
      </c>
      <c r="T154" s="62" t="s">
        <v>1226</v>
      </c>
      <c r="U154" s="62"/>
      <c r="V154" s="94">
        <v>1057500</v>
      </c>
      <c r="W154" s="199">
        <v>0.65796690307328609</v>
      </c>
      <c r="X154" s="15"/>
      <c r="Y154" s="200">
        <v>0.53523076923076918</v>
      </c>
      <c r="Z154" s="11" t="s">
        <v>465</v>
      </c>
      <c r="AA154" s="11"/>
      <c r="AB154" s="15"/>
      <c r="AC154" s="54">
        <v>1300000</v>
      </c>
      <c r="AD154" s="54">
        <v>695800</v>
      </c>
      <c r="AE154" s="54">
        <v>604200</v>
      </c>
    </row>
    <row r="155" spans="2:41" x14ac:dyDescent="0.25">
      <c r="C155" s="39">
        <v>2018</v>
      </c>
      <c r="D155" s="62" t="s">
        <v>1259</v>
      </c>
      <c r="E155" s="63" t="s">
        <v>1260</v>
      </c>
      <c r="F155" s="64">
        <v>43319</v>
      </c>
      <c r="G155" s="65" t="s">
        <v>34</v>
      </c>
      <c r="H155" s="94">
        <v>54744000</v>
      </c>
      <c r="I155" s="94">
        <v>34776250</v>
      </c>
      <c r="J155" s="27" t="s">
        <v>519</v>
      </c>
      <c r="K155" s="26">
        <v>-0.36474773491158846</v>
      </c>
      <c r="L155" s="11" t="s">
        <v>464</v>
      </c>
      <c r="M155" s="15">
        <v>4</v>
      </c>
      <c r="N155" s="35" t="s">
        <v>93</v>
      </c>
      <c r="O155" s="15">
        <v>3</v>
      </c>
      <c r="P155" s="35" t="s">
        <v>457</v>
      </c>
      <c r="Q155" s="35"/>
      <c r="R155" s="15"/>
      <c r="S155" s="24" t="s">
        <v>932</v>
      </c>
      <c r="T155" s="62" t="s">
        <v>1226</v>
      </c>
      <c r="U155" s="62"/>
      <c r="V155" s="94">
        <v>49859526.25</v>
      </c>
      <c r="W155" s="199">
        <v>0.69748456544951631</v>
      </c>
      <c r="X155" s="15"/>
      <c r="Y155" s="200">
        <v>0.63525226508841148</v>
      </c>
      <c r="Z155" s="11" t="s">
        <v>465</v>
      </c>
      <c r="AA155" s="11"/>
      <c r="AB155" s="15"/>
      <c r="AC155" s="54">
        <v>54744000</v>
      </c>
      <c r="AD155" s="54">
        <v>34776250</v>
      </c>
      <c r="AE155" s="54">
        <v>19967750</v>
      </c>
    </row>
    <row r="156" spans="2:41" x14ac:dyDescent="0.25">
      <c r="C156" s="39">
        <v>2018</v>
      </c>
      <c r="D156" s="62" t="s">
        <v>1261</v>
      </c>
      <c r="E156" s="63" t="s">
        <v>1262</v>
      </c>
      <c r="F156" s="64">
        <v>43299</v>
      </c>
      <c r="G156" s="65" t="s">
        <v>34</v>
      </c>
      <c r="H156" s="94">
        <v>3570000</v>
      </c>
      <c r="I156" s="94">
        <v>3861000</v>
      </c>
      <c r="J156" s="105" t="s">
        <v>519</v>
      </c>
      <c r="K156" s="26">
        <v>8.1512605042016809E-2</v>
      </c>
      <c r="L156" s="11" t="s">
        <v>464</v>
      </c>
      <c r="M156" s="15">
        <v>6</v>
      </c>
      <c r="N156" s="35" t="s">
        <v>226</v>
      </c>
      <c r="O156" s="15">
        <v>3</v>
      </c>
      <c r="P156" s="35" t="s">
        <v>457</v>
      </c>
      <c r="Q156" s="35"/>
      <c r="R156" s="15"/>
      <c r="S156" s="24"/>
      <c r="T156" s="62" t="s">
        <v>1226</v>
      </c>
      <c r="U156" s="62"/>
      <c r="V156" s="94">
        <v>5535683.333333333</v>
      </c>
      <c r="W156" s="199">
        <v>0.69747486760141031</v>
      </c>
      <c r="X156" s="15"/>
      <c r="Y156" s="200">
        <v>1.0815126050420167</v>
      </c>
      <c r="Z156" s="11" t="s">
        <v>465</v>
      </c>
      <c r="AA156" s="11"/>
      <c r="AB156" s="15"/>
      <c r="AC156" s="54">
        <v>3570000</v>
      </c>
      <c r="AD156" s="54">
        <v>3861000</v>
      </c>
      <c r="AE156" s="54">
        <v>-291000</v>
      </c>
    </row>
    <row r="157" spans="2:41" x14ac:dyDescent="0.25">
      <c r="C157" s="39">
        <v>2018</v>
      </c>
      <c r="D157" s="62" t="s">
        <v>1231</v>
      </c>
      <c r="E157" s="63" t="s">
        <v>1232</v>
      </c>
      <c r="F157" s="64">
        <v>43221</v>
      </c>
      <c r="G157" s="65" t="s">
        <v>1225</v>
      </c>
      <c r="H157" s="94">
        <v>960000</v>
      </c>
      <c r="I157" s="94">
        <v>413834</v>
      </c>
      <c r="J157" s="105"/>
      <c r="K157" s="26">
        <v>-0.56892291666666661</v>
      </c>
      <c r="L157" s="11" t="s">
        <v>465</v>
      </c>
      <c r="M157" s="15">
        <v>5</v>
      </c>
      <c r="N157" s="35" t="s">
        <v>93</v>
      </c>
      <c r="O157" s="15">
        <v>2</v>
      </c>
      <c r="P157" s="35" t="s">
        <v>457</v>
      </c>
      <c r="Q157" s="35"/>
      <c r="R157" s="15"/>
      <c r="S157" s="24"/>
      <c r="T157" s="62" t="s">
        <v>816</v>
      </c>
      <c r="U157" s="62"/>
      <c r="V157" s="94">
        <v>710613.8</v>
      </c>
      <c r="W157" s="199">
        <v>0.58236133325865602</v>
      </c>
      <c r="X157" s="15"/>
      <c r="Y157" s="200">
        <v>0.43107708333333333</v>
      </c>
      <c r="Z157" s="11" t="s">
        <v>465</v>
      </c>
      <c r="AA157" s="11"/>
      <c r="AB157" s="15"/>
      <c r="AC157" s="54">
        <v>960000</v>
      </c>
      <c r="AD157" s="54">
        <v>413834</v>
      </c>
      <c r="AE157" s="54">
        <v>546166</v>
      </c>
    </row>
    <row r="158" spans="2:41" x14ac:dyDescent="0.25">
      <c r="C158" s="39">
        <v>2018</v>
      </c>
      <c r="D158" s="62" t="s">
        <v>1263</v>
      </c>
      <c r="E158" s="63" t="s">
        <v>1264</v>
      </c>
      <c r="F158" s="64">
        <v>43179</v>
      </c>
      <c r="G158" s="65" t="s">
        <v>34</v>
      </c>
      <c r="H158" s="94">
        <v>27125000</v>
      </c>
      <c r="I158" s="94">
        <v>22964560</v>
      </c>
      <c r="J158" s="27" t="s">
        <v>519</v>
      </c>
      <c r="K158" s="26">
        <v>-0.15338027649769584</v>
      </c>
      <c r="L158" s="11" t="s">
        <v>464</v>
      </c>
      <c r="M158" s="15">
        <v>10</v>
      </c>
      <c r="N158" s="35" t="s">
        <v>226</v>
      </c>
      <c r="O158" s="15">
        <v>1</v>
      </c>
      <c r="P158" s="35" t="s">
        <v>457</v>
      </c>
      <c r="Q158" s="35" t="s">
        <v>1238</v>
      </c>
      <c r="R158" s="15"/>
      <c r="S158" s="24"/>
      <c r="T158" s="62" t="s">
        <v>816</v>
      </c>
      <c r="U158" s="62"/>
      <c r="V158" s="94">
        <v>31632465.399999999</v>
      </c>
      <c r="W158" s="199">
        <v>0.72598071979555534</v>
      </c>
      <c r="X158" s="15"/>
      <c r="Y158" s="200">
        <v>0.84661972350230419</v>
      </c>
      <c r="Z158" s="11" t="s">
        <v>465</v>
      </c>
      <c r="AA158" s="11"/>
      <c r="AB158" s="15"/>
      <c r="AC158" s="54">
        <v>27125000</v>
      </c>
      <c r="AD158" s="54">
        <v>22964560</v>
      </c>
      <c r="AE158" s="54">
        <v>4160440</v>
      </c>
    </row>
    <row r="159" spans="2:41" x14ac:dyDescent="0.25">
      <c r="C159" s="39">
        <v>2018</v>
      </c>
      <c r="D159" s="62" t="s">
        <v>1265</v>
      </c>
      <c r="E159" s="63" t="s">
        <v>1266</v>
      </c>
      <c r="F159" s="64">
        <v>43174</v>
      </c>
      <c r="G159" s="65" t="s">
        <v>34</v>
      </c>
      <c r="H159" s="94">
        <v>1150000</v>
      </c>
      <c r="I159" s="94">
        <v>1253317</v>
      </c>
      <c r="J159" s="105" t="s">
        <v>519</v>
      </c>
      <c r="K159" s="26">
        <v>8.9840869565217391E-2</v>
      </c>
      <c r="L159" s="11" t="s">
        <v>464</v>
      </c>
      <c r="M159" s="15">
        <v>6</v>
      </c>
      <c r="N159" s="35" t="s">
        <v>93</v>
      </c>
      <c r="O159" s="15">
        <v>1</v>
      </c>
      <c r="P159" s="35" t="s">
        <v>457</v>
      </c>
      <c r="Q159" s="35" t="s">
        <v>1243</v>
      </c>
      <c r="R159" s="15"/>
      <c r="S159" s="24"/>
      <c r="T159" s="62" t="s">
        <v>784</v>
      </c>
      <c r="U159" s="62"/>
      <c r="V159" s="94">
        <v>1900429</v>
      </c>
      <c r="W159" s="199">
        <v>0.65949162004999928</v>
      </c>
      <c r="X159" s="15"/>
      <c r="Y159" s="200">
        <v>1.0898408695652173</v>
      </c>
      <c r="Z159" s="11" t="s">
        <v>465</v>
      </c>
      <c r="AA159" s="11"/>
      <c r="AB159" s="15"/>
      <c r="AC159" s="54">
        <v>1150000</v>
      </c>
      <c r="AD159" s="54">
        <v>1253317</v>
      </c>
      <c r="AE159" s="54">
        <v>-103317</v>
      </c>
    </row>
    <row r="160" spans="2:41" x14ac:dyDescent="0.25">
      <c r="C160" s="39">
        <v>2018</v>
      </c>
      <c r="D160" s="62" t="s">
        <v>1233</v>
      </c>
      <c r="E160" s="63" t="s">
        <v>1234</v>
      </c>
      <c r="F160" s="64">
        <v>43173</v>
      </c>
      <c r="G160" s="65" t="s">
        <v>693</v>
      </c>
      <c r="H160" s="94">
        <v>600000</v>
      </c>
      <c r="I160" s="94">
        <v>749000</v>
      </c>
      <c r="J160" s="105"/>
      <c r="K160" s="26">
        <v>0.24833333333333332</v>
      </c>
      <c r="L160" s="11" t="s">
        <v>465</v>
      </c>
      <c r="M160" s="15">
        <v>3</v>
      </c>
      <c r="N160" s="35" t="s">
        <v>25</v>
      </c>
      <c r="O160" s="15">
        <v>1</v>
      </c>
      <c r="P160" s="35" t="s">
        <v>457</v>
      </c>
      <c r="Q160" s="35" t="s">
        <v>1235</v>
      </c>
      <c r="R160" s="15"/>
      <c r="S160" s="24"/>
      <c r="T160" s="62" t="s">
        <v>1226</v>
      </c>
      <c r="U160" s="62"/>
      <c r="V160" s="94">
        <v>994735</v>
      </c>
      <c r="W160" s="199">
        <v>0.75296435734140243</v>
      </c>
      <c r="X160" s="15"/>
      <c r="Y160" s="200">
        <v>1.2483333333333333</v>
      </c>
      <c r="Z160" s="11" t="s">
        <v>465</v>
      </c>
      <c r="AA160" s="11"/>
      <c r="AB160" s="15"/>
      <c r="AC160" s="54">
        <v>600000</v>
      </c>
      <c r="AD160" s="54">
        <v>749000</v>
      </c>
      <c r="AE160" s="54">
        <v>-149000</v>
      </c>
    </row>
    <row r="161" spans="2:35" x14ac:dyDescent="0.25">
      <c r="C161" s="39">
        <v>2018</v>
      </c>
      <c r="D161" s="62" t="s">
        <v>1236</v>
      </c>
      <c r="E161" s="63" t="s">
        <v>1237</v>
      </c>
      <c r="F161" s="64">
        <v>43138</v>
      </c>
      <c r="G161" s="65" t="s">
        <v>693</v>
      </c>
      <c r="H161" s="94">
        <v>1056000</v>
      </c>
      <c r="I161" s="94">
        <v>619790</v>
      </c>
      <c r="J161" s="105" t="s">
        <v>519</v>
      </c>
      <c r="K161" s="26">
        <v>-0.41307765151515152</v>
      </c>
      <c r="L161" s="11" t="s">
        <v>464</v>
      </c>
      <c r="M161" s="15">
        <v>6</v>
      </c>
      <c r="N161" s="35" t="s">
        <v>25</v>
      </c>
      <c r="O161" s="15">
        <v>1</v>
      </c>
      <c r="P161" s="35" t="s">
        <v>457</v>
      </c>
      <c r="Q161" s="35" t="s">
        <v>1238</v>
      </c>
      <c r="R161" s="15"/>
      <c r="S161" s="24"/>
      <c r="T161" s="62" t="s">
        <v>784</v>
      </c>
      <c r="U161" s="62"/>
      <c r="V161" s="94">
        <v>2319072.3333333335</v>
      </c>
      <c r="W161" s="199">
        <v>0.26725772676057108</v>
      </c>
      <c r="X161" s="15"/>
      <c r="Y161" s="200">
        <v>0.58692234848484848</v>
      </c>
      <c r="Z161" s="11" t="s">
        <v>465</v>
      </c>
      <c r="AA161" s="11"/>
      <c r="AB161" s="15"/>
      <c r="AC161" s="54">
        <v>1056000</v>
      </c>
      <c r="AD161" s="54">
        <v>619790</v>
      </c>
      <c r="AE161" s="54">
        <v>436210</v>
      </c>
    </row>
    <row r="162" spans="2:35" x14ac:dyDescent="0.25">
      <c r="B162" s="224"/>
      <c r="C162" s="39">
        <v>2018</v>
      </c>
      <c r="D162" s="62" t="s">
        <v>1267</v>
      </c>
      <c r="E162" s="63" t="s">
        <v>1268</v>
      </c>
      <c r="F162" s="64">
        <v>43108</v>
      </c>
      <c r="G162" s="65" t="s">
        <v>190</v>
      </c>
      <c r="H162" s="94">
        <v>8520000</v>
      </c>
      <c r="I162" s="94">
        <v>6850075</v>
      </c>
      <c r="J162" s="27" t="s">
        <v>519</v>
      </c>
      <c r="K162" s="26">
        <v>-0.19600058685446009</v>
      </c>
      <c r="L162" s="11" t="s">
        <v>464</v>
      </c>
      <c r="M162" s="15">
        <v>5</v>
      </c>
      <c r="N162" s="35" t="s">
        <v>93</v>
      </c>
      <c r="O162" s="15">
        <v>1</v>
      </c>
      <c r="P162" s="35" t="s">
        <v>457</v>
      </c>
      <c r="Q162" s="35" t="s">
        <v>1235</v>
      </c>
      <c r="R162" s="15"/>
      <c r="S162" s="24"/>
      <c r="T162" s="62" t="s">
        <v>784</v>
      </c>
      <c r="U162" s="62"/>
      <c r="V162" s="94">
        <v>10472836.199999999</v>
      </c>
      <c r="W162" s="199">
        <v>0.65408021945382866</v>
      </c>
      <c r="X162" s="15"/>
      <c r="Y162" s="200">
        <v>0.80399941314553991</v>
      </c>
      <c r="Z162" s="11" t="s">
        <v>465</v>
      </c>
      <c r="AA162" s="74">
        <v>0</v>
      </c>
      <c r="AB162" s="15"/>
      <c r="AC162" s="54">
        <v>8520000</v>
      </c>
      <c r="AD162" s="54">
        <v>6850075</v>
      </c>
      <c r="AE162" s="54">
        <v>1669925</v>
      </c>
      <c r="AG162" s="4">
        <v>337954000</v>
      </c>
      <c r="AH162" s="4">
        <v>228800072</v>
      </c>
      <c r="AI162" s="7">
        <v>0.67701542813519</v>
      </c>
    </row>
    <row r="163" spans="2:35" x14ac:dyDescent="0.25">
      <c r="C163" s="39"/>
      <c r="E163" s="85"/>
      <c r="F163" s="85"/>
      <c r="G163" s="85"/>
      <c r="H163" s="86">
        <f>SUM(H148:H162)</f>
        <v>178034250</v>
      </c>
      <c r="I163" s="86">
        <f>SUM(I148:I162)</f>
        <v>137607499</v>
      </c>
      <c r="J163" s="85"/>
      <c r="K163" s="87">
        <f>+I163/H163</f>
        <v>0.77292711374356338</v>
      </c>
      <c r="L163" s="85">
        <f>COUNTA(L148:L162)</f>
        <v>15</v>
      </c>
      <c r="M163" s="88">
        <f>SUM(M148:M162)/L163</f>
        <v>4.666666666666667</v>
      </c>
      <c r="N163" s="89"/>
      <c r="O163" s="85"/>
      <c r="P163" s="119">
        <f>10/L163</f>
        <v>0.66666666666666663</v>
      </c>
      <c r="Q163" s="85"/>
    </row>
    <row r="164" spans="2:35" x14ac:dyDescent="0.25">
      <c r="C164" s="39"/>
    </row>
    <row r="165" spans="2:35" x14ac:dyDescent="0.25">
      <c r="C165" s="39"/>
      <c r="E165" s="126" t="s">
        <v>1170</v>
      </c>
      <c r="F165" s="70" t="str">
        <f>"'15 final"</f>
        <v>'15 final</v>
      </c>
      <c r="G165" s="70" t="str">
        <f>"'16 final"</f>
        <v>'16 final</v>
      </c>
      <c r="H165" s="121" t="str">
        <f>"'17 final"</f>
        <v>'17 final</v>
      </c>
      <c r="I165" s="121" t="str">
        <f>"'18 final"</f>
        <v>'18 final</v>
      </c>
      <c r="P165" s="11"/>
    </row>
    <row r="166" spans="2:35" x14ac:dyDescent="0.25">
      <c r="C166" s="39"/>
      <c r="E166" s="71" t="s">
        <v>800</v>
      </c>
      <c r="F166" s="11">
        <v>9</v>
      </c>
      <c r="G166" s="11">
        <v>13</v>
      </c>
      <c r="H166" s="104">
        <v>17</v>
      </c>
      <c r="I166" s="104">
        <f>+L163</f>
        <v>15</v>
      </c>
      <c r="P166" s="11"/>
    </row>
    <row r="167" spans="2:35" x14ac:dyDescent="0.25">
      <c r="C167" s="39"/>
      <c r="E167" s="72" t="s">
        <v>801</v>
      </c>
      <c r="F167" s="11">
        <v>6</v>
      </c>
      <c r="G167" s="11">
        <v>11</v>
      </c>
      <c r="H167" s="104">
        <v>14</v>
      </c>
      <c r="I167" s="104">
        <f>+I166-I168</f>
        <v>10</v>
      </c>
      <c r="P167" s="11"/>
    </row>
    <row r="168" spans="2:35" x14ac:dyDescent="0.25">
      <c r="C168" s="39"/>
      <c r="E168" s="72" t="s">
        <v>802</v>
      </c>
      <c r="F168" s="11">
        <v>3</v>
      </c>
      <c r="G168" s="11">
        <v>2</v>
      </c>
      <c r="H168" s="104">
        <v>3</v>
      </c>
      <c r="I168" s="104">
        <v>5</v>
      </c>
      <c r="P168" s="11"/>
    </row>
    <row r="169" spans="2:35" x14ac:dyDescent="0.25">
      <c r="C169" s="39"/>
      <c r="E169" s="72"/>
      <c r="F169" s="11"/>
      <c r="G169" s="11"/>
      <c r="H169" s="104"/>
      <c r="I169" s="104"/>
      <c r="P169" s="11"/>
    </row>
    <row r="170" spans="2:35" x14ac:dyDescent="0.25">
      <c r="C170" s="39"/>
      <c r="E170" s="72" t="s">
        <v>1144</v>
      </c>
      <c r="F170" s="78">
        <v>38</v>
      </c>
      <c r="G170" s="78">
        <v>121</v>
      </c>
      <c r="H170" s="122">
        <v>651</v>
      </c>
      <c r="I170" s="122">
        <f>+I163/1000000</f>
        <v>137.60749899999999</v>
      </c>
      <c r="P170" s="11"/>
    </row>
    <row r="171" spans="2:35" x14ac:dyDescent="0.25">
      <c r="C171" s="39"/>
      <c r="E171" s="72" t="s">
        <v>806</v>
      </c>
      <c r="F171" s="75">
        <v>5</v>
      </c>
      <c r="G171" s="75">
        <v>5.9</v>
      </c>
      <c r="H171" s="123">
        <v>4.5</v>
      </c>
      <c r="I171" s="123">
        <f>+M163</f>
        <v>4.666666666666667</v>
      </c>
      <c r="P171" s="11"/>
    </row>
    <row r="172" spans="2:35" x14ac:dyDescent="0.25">
      <c r="C172" s="39"/>
      <c r="E172" s="72" t="s">
        <v>807</v>
      </c>
      <c r="F172" s="74">
        <v>1.016</v>
      </c>
      <c r="G172" s="74">
        <v>0.78800000000000003</v>
      </c>
      <c r="H172" s="124">
        <v>0.91900000000000004</v>
      </c>
      <c r="I172" s="124">
        <f>+I163/H163</f>
        <v>0.77292711374356338</v>
      </c>
      <c r="P172" s="11"/>
    </row>
    <row r="173" spans="2:35" x14ac:dyDescent="0.25">
      <c r="C173" s="39"/>
      <c r="E173" s="72"/>
      <c r="F173" s="11"/>
      <c r="G173" s="11"/>
      <c r="H173" s="104"/>
      <c r="I173" s="104"/>
      <c r="P173" s="11"/>
    </row>
    <row r="174" spans="2:35" x14ac:dyDescent="0.25">
      <c r="C174" s="39"/>
      <c r="E174" s="72" t="s">
        <v>803</v>
      </c>
      <c r="F174" s="74">
        <f>3/9</f>
        <v>0.33333333333333331</v>
      </c>
      <c r="G174" s="74">
        <f>7/13</f>
        <v>0.53846153846153844</v>
      </c>
      <c r="H174" s="108">
        <v>0.58799999999999997</v>
      </c>
      <c r="I174" s="108">
        <f>+P163</f>
        <v>0.66666666666666663</v>
      </c>
      <c r="P174" s="11"/>
    </row>
    <row r="175" spans="2:35" x14ac:dyDescent="0.25">
      <c r="C175" s="107"/>
      <c r="D175" s="52"/>
      <c r="E175" s="72" t="s">
        <v>804</v>
      </c>
      <c r="F175" s="74">
        <f>1/6</f>
        <v>0.16666666666666666</v>
      </c>
      <c r="G175" s="74">
        <f>6/11</f>
        <v>0.54545454545454541</v>
      </c>
      <c r="H175" s="108">
        <v>0.57099999999999995</v>
      </c>
      <c r="I175" s="108">
        <f>5/I167</f>
        <v>0.5</v>
      </c>
      <c r="P175" s="11"/>
    </row>
    <row r="176" spans="2:35" x14ac:dyDescent="0.25">
      <c r="C176" s="107"/>
      <c r="D176" s="52"/>
      <c r="E176" s="72" t="s">
        <v>805</v>
      </c>
      <c r="F176" s="74">
        <f>2/3</f>
        <v>0.66666666666666663</v>
      </c>
      <c r="G176" s="74">
        <v>0.5</v>
      </c>
      <c r="H176" s="108">
        <v>0.66700000000000004</v>
      </c>
      <c r="I176" s="108">
        <f>5/I168</f>
        <v>1</v>
      </c>
      <c r="P176" s="11"/>
    </row>
    <row r="177" spans="2:41" x14ac:dyDescent="0.25">
      <c r="C177" s="39"/>
      <c r="E177" s="72"/>
      <c r="F177" s="11"/>
      <c r="G177" s="11"/>
      <c r="H177" s="104"/>
      <c r="I177" s="104"/>
      <c r="P177" s="11"/>
    </row>
    <row r="178" spans="2:41" x14ac:dyDescent="0.25">
      <c r="C178" s="39"/>
      <c r="E178" s="72" t="s">
        <v>1141</v>
      </c>
      <c r="F178" s="11">
        <v>3</v>
      </c>
      <c r="G178" s="11">
        <v>4</v>
      </c>
      <c r="H178" s="104">
        <v>5</v>
      </c>
      <c r="I178" s="104">
        <v>5</v>
      </c>
    </row>
    <row r="179" spans="2:41" x14ac:dyDescent="0.25">
      <c r="E179" s="106" t="s">
        <v>1143</v>
      </c>
      <c r="F179" s="108">
        <f>+F178/F166</f>
        <v>0.33333333333333331</v>
      </c>
      <c r="G179" s="108">
        <f>+G178/G166</f>
        <v>0.30769230769230771</v>
      </c>
      <c r="H179" s="108">
        <v>0.29399999999999998</v>
      </c>
      <c r="I179" s="108">
        <f>+I178/I166</f>
        <v>0.33333333333333331</v>
      </c>
    </row>
    <row r="180" spans="2:41" x14ac:dyDescent="0.25">
      <c r="C180" s="39"/>
      <c r="E180" s="72" t="s">
        <v>1142</v>
      </c>
      <c r="F180" s="11">
        <v>1</v>
      </c>
      <c r="G180" s="11">
        <v>2</v>
      </c>
      <c r="H180" s="104">
        <v>0</v>
      </c>
      <c r="I180" s="104">
        <v>4</v>
      </c>
    </row>
    <row r="181" spans="2:41" x14ac:dyDescent="0.25">
      <c r="B181" s="52"/>
      <c r="C181" s="39"/>
      <c r="E181" s="106" t="s">
        <v>1169</v>
      </c>
      <c r="F181" s="108">
        <f t="shared" ref="F181:G181" si="7">+F180/F166</f>
        <v>0.1111111111111111</v>
      </c>
      <c r="G181" s="108">
        <f t="shared" si="7"/>
        <v>0.15384615384615385</v>
      </c>
      <c r="H181" s="108">
        <v>0</v>
      </c>
      <c r="I181" s="108">
        <f>+I180/I166</f>
        <v>0.26666666666666666</v>
      </c>
    </row>
    <row r="182" spans="2:41" x14ac:dyDescent="0.25">
      <c r="B182" s="52"/>
      <c r="C182" s="39"/>
    </row>
    <row r="183" spans="2:41" x14ac:dyDescent="0.25">
      <c r="B183" s="52"/>
      <c r="C183" s="39"/>
    </row>
    <row r="184" spans="2:41" x14ac:dyDescent="0.25">
      <c r="B184" s="52"/>
      <c r="C184" s="39"/>
    </row>
    <row r="185" spans="2:41" x14ac:dyDescent="0.25">
      <c r="B185" s="224"/>
      <c r="C185" s="39">
        <v>2018</v>
      </c>
      <c r="D185" s="62" t="s">
        <v>1324</v>
      </c>
      <c r="E185" s="63" t="s">
        <v>1325</v>
      </c>
      <c r="F185" s="64">
        <v>43452</v>
      </c>
      <c r="G185" s="65" t="s">
        <v>34</v>
      </c>
      <c r="H185" s="94">
        <v>10250000</v>
      </c>
      <c r="I185" s="94">
        <v>8275000</v>
      </c>
      <c r="J185" s="94"/>
      <c r="K185" s="153">
        <v>-0.1926829268292683</v>
      </c>
      <c r="L185" s="11" t="s">
        <v>465</v>
      </c>
      <c r="M185" s="15">
        <v>3</v>
      </c>
      <c r="N185" s="35" t="s">
        <v>25</v>
      </c>
      <c r="O185" s="15">
        <v>4</v>
      </c>
      <c r="P185" s="35" t="s">
        <v>458</v>
      </c>
      <c r="Q185" s="35"/>
      <c r="R185" s="15"/>
      <c r="S185" s="24"/>
      <c r="T185" s="62" t="s">
        <v>784</v>
      </c>
      <c r="U185" s="62"/>
      <c r="V185" s="94">
        <v>9049324.666666666</v>
      </c>
      <c r="W185" s="199">
        <v>0.91443287812195495</v>
      </c>
      <c r="X185" s="15"/>
      <c r="Y185" s="200">
        <v>0.80731707317073176</v>
      </c>
      <c r="Z185" s="11" t="s">
        <v>465</v>
      </c>
      <c r="AA185" s="11"/>
      <c r="AB185" s="15"/>
      <c r="AC185" s="54">
        <v>10250000</v>
      </c>
      <c r="AD185" s="54">
        <v>8275000</v>
      </c>
      <c r="AE185" s="54">
        <v>1975000</v>
      </c>
      <c r="AG185" s="4"/>
      <c r="AH185" s="4"/>
      <c r="AI185" s="225"/>
      <c r="AJ185" s="226"/>
      <c r="AK185" s="227"/>
      <c r="AL185" s="227"/>
      <c r="AM185" s="225"/>
      <c r="AN185" s="226"/>
      <c r="AO185" s="228"/>
    </row>
    <row r="186" spans="2:41" x14ac:dyDescent="0.25">
      <c r="B186" s="224"/>
      <c r="C186" s="39">
        <v>2018</v>
      </c>
      <c r="D186" s="62" t="s">
        <v>1330</v>
      </c>
      <c r="E186" s="63" t="s">
        <v>1331</v>
      </c>
      <c r="F186" s="64">
        <v>43438</v>
      </c>
      <c r="G186" s="65" t="s">
        <v>34</v>
      </c>
      <c r="H186" s="94">
        <v>122920000</v>
      </c>
      <c r="I186" s="94">
        <v>119769038</v>
      </c>
      <c r="J186" s="94" t="s">
        <v>519</v>
      </c>
      <c r="K186" s="153">
        <v>-2.5634249918646275E-2</v>
      </c>
      <c r="L186" s="11" t="s">
        <v>464</v>
      </c>
      <c r="M186" s="15">
        <v>2</v>
      </c>
      <c r="N186" s="35" t="s">
        <v>25</v>
      </c>
      <c r="O186" s="15">
        <v>4</v>
      </c>
      <c r="P186" s="35" t="s">
        <v>458</v>
      </c>
      <c r="Q186" s="35"/>
      <c r="R186" s="15"/>
      <c r="S186" s="24"/>
      <c r="T186" s="62" t="s">
        <v>784</v>
      </c>
      <c r="U186" s="62"/>
      <c r="V186" s="94">
        <v>122138179</v>
      </c>
      <c r="W186" s="199">
        <v>0.98060278105177912</v>
      </c>
      <c r="X186" s="15"/>
      <c r="Y186" s="200">
        <v>0.97436575008135373</v>
      </c>
      <c r="Z186" s="11" t="s">
        <v>465</v>
      </c>
      <c r="AA186" s="11"/>
      <c r="AB186" s="15"/>
      <c r="AC186" s="54">
        <v>122920000</v>
      </c>
      <c r="AD186" s="54">
        <v>119769038</v>
      </c>
      <c r="AE186" s="54">
        <v>3150962</v>
      </c>
      <c r="AG186" s="4"/>
      <c r="AH186" s="4"/>
      <c r="AI186" s="225"/>
      <c r="AJ186" s="226"/>
      <c r="AK186" s="227"/>
      <c r="AL186" s="227"/>
      <c r="AM186" s="225"/>
      <c r="AN186" s="226"/>
      <c r="AO186" s="228"/>
    </row>
    <row r="187" spans="2:41" x14ac:dyDescent="0.25">
      <c r="B187" s="224"/>
      <c r="C187" s="39">
        <v>2018</v>
      </c>
      <c r="D187" s="62" t="s">
        <v>1312</v>
      </c>
      <c r="E187" s="63" t="s">
        <v>1313</v>
      </c>
      <c r="F187" s="64">
        <v>43438</v>
      </c>
      <c r="G187" s="65" t="s">
        <v>1225</v>
      </c>
      <c r="H187" s="94">
        <v>448000</v>
      </c>
      <c r="I187" s="94">
        <v>432222</v>
      </c>
      <c r="J187" s="105" t="s">
        <v>519</v>
      </c>
      <c r="K187" s="153">
        <v>-3.521875E-2</v>
      </c>
      <c r="L187" s="11" t="s">
        <v>464</v>
      </c>
      <c r="M187" s="15">
        <v>6</v>
      </c>
      <c r="N187" s="35" t="s">
        <v>93</v>
      </c>
      <c r="O187" s="15">
        <v>4</v>
      </c>
      <c r="P187" s="35" t="s">
        <v>458</v>
      </c>
      <c r="Q187" s="35"/>
      <c r="R187" s="15"/>
      <c r="S187" s="24"/>
      <c r="T187" s="62" t="s">
        <v>784</v>
      </c>
      <c r="U187" s="62"/>
      <c r="V187" s="94">
        <v>792267</v>
      </c>
      <c r="W187" s="199">
        <v>0.54555093169348212</v>
      </c>
      <c r="X187" s="15"/>
      <c r="Y187" s="200">
        <v>0.96478125000000003</v>
      </c>
      <c r="Z187" s="11" t="s">
        <v>465</v>
      </c>
      <c r="AA187" s="11"/>
      <c r="AB187" s="15"/>
      <c r="AC187" s="54">
        <v>448000</v>
      </c>
      <c r="AD187" s="54">
        <v>432222</v>
      </c>
      <c r="AE187" s="54">
        <v>15778</v>
      </c>
      <c r="AG187" s="4"/>
      <c r="AH187" s="4"/>
      <c r="AI187" s="225"/>
      <c r="AJ187" s="226"/>
      <c r="AK187" s="227"/>
      <c r="AL187" s="227"/>
      <c r="AM187" s="225"/>
      <c r="AN187" s="226"/>
      <c r="AO187" s="228"/>
    </row>
    <row r="188" spans="2:41" x14ac:dyDescent="0.25">
      <c r="B188" s="224"/>
      <c r="C188" s="39">
        <v>2018</v>
      </c>
      <c r="D188" s="62" t="s">
        <v>1314</v>
      </c>
      <c r="E188" s="63" t="s">
        <v>1315</v>
      </c>
      <c r="F188" s="64">
        <v>43433</v>
      </c>
      <c r="G188" s="65" t="s">
        <v>1225</v>
      </c>
      <c r="H188" s="94">
        <v>287000</v>
      </c>
      <c r="I188" s="94">
        <v>369034</v>
      </c>
      <c r="J188" s="105"/>
      <c r="K188" s="153">
        <v>0.28583275261324043</v>
      </c>
      <c r="L188" s="11" t="s">
        <v>465</v>
      </c>
      <c r="M188" s="15">
        <v>5</v>
      </c>
      <c r="N188" s="35" t="s">
        <v>93</v>
      </c>
      <c r="O188" s="15">
        <v>4</v>
      </c>
      <c r="P188" s="35" t="s">
        <v>458</v>
      </c>
      <c r="Q188" s="35"/>
      <c r="R188" s="15"/>
      <c r="S188" s="24"/>
      <c r="T188" s="62" t="s">
        <v>784</v>
      </c>
      <c r="U188" s="62"/>
      <c r="V188" s="94">
        <v>503308</v>
      </c>
      <c r="W188" s="199">
        <v>0.73321703608923361</v>
      </c>
      <c r="X188" s="15"/>
      <c r="Y188" s="200">
        <v>1.2858327526132405</v>
      </c>
      <c r="Z188" s="11" t="s">
        <v>465</v>
      </c>
      <c r="AA188" s="11"/>
      <c r="AB188" s="15"/>
      <c r="AC188" s="54">
        <v>287000</v>
      </c>
      <c r="AD188" s="54">
        <v>369034</v>
      </c>
      <c r="AE188" s="54">
        <v>-82034</v>
      </c>
      <c r="AG188" s="4"/>
      <c r="AH188" s="4"/>
      <c r="AI188" s="225"/>
      <c r="AJ188" s="226"/>
      <c r="AK188" s="227"/>
      <c r="AL188" s="227"/>
      <c r="AM188" s="225"/>
      <c r="AN188" s="226"/>
      <c r="AO188" s="228"/>
    </row>
    <row r="189" spans="2:41" x14ac:dyDescent="0.25">
      <c r="B189" s="224"/>
      <c r="C189" s="39">
        <v>2018</v>
      </c>
      <c r="D189" s="62" t="s">
        <v>1332</v>
      </c>
      <c r="E189" s="63" t="s">
        <v>1333</v>
      </c>
      <c r="F189" s="64">
        <v>43419</v>
      </c>
      <c r="G189" s="65" t="s">
        <v>34</v>
      </c>
      <c r="H189" s="94">
        <v>12570000</v>
      </c>
      <c r="I189" s="94">
        <v>9714000</v>
      </c>
      <c r="J189" s="94"/>
      <c r="K189" s="153">
        <v>-0.22720763723150358</v>
      </c>
      <c r="L189" s="11" t="s">
        <v>465</v>
      </c>
      <c r="M189" s="15">
        <v>4</v>
      </c>
      <c r="N189" s="35" t="s">
        <v>25</v>
      </c>
      <c r="O189" s="15">
        <v>4</v>
      </c>
      <c r="P189" s="35" t="s">
        <v>458</v>
      </c>
      <c r="Q189" s="35"/>
      <c r="R189" s="15"/>
      <c r="S189" s="24"/>
      <c r="T189" s="62" t="s">
        <v>784</v>
      </c>
      <c r="U189" s="62"/>
      <c r="V189" s="94">
        <v>10579250</v>
      </c>
      <c r="W189" s="199">
        <v>0.91821253869603237</v>
      </c>
      <c r="X189" s="15"/>
      <c r="Y189" s="200">
        <v>0.77279236276849639</v>
      </c>
      <c r="Z189" s="11" t="s">
        <v>465</v>
      </c>
      <c r="AA189" s="11"/>
      <c r="AB189" s="15"/>
      <c r="AC189" s="54">
        <v>12570000</v>
      </c>
      <c r="AD189" s="54">
        <v>9714000</v>
      </c>
      <c r="AE189" s="54">
        <v>2856000</v>
      </c>
      <c r="AG189" s="4"/>
      <c r="AH189" s="4"/>
      <c r="AI189" s="225"/>
      <c r="AJ189" s="226"/>
      <c r="AK189" s="227"/>
      <c r="AL189" s="227"/>
      <c r="AM189" s="225"/>
      <c r="AN189" s="226"/>
      <c r="AO189" s="228"/>
    </row>
    <row r="190" spans="2:41" x14ac:dyDescent="0.25">
      <c r="B190" s="224"/>
      <c r="C190" s="39">
        <v>2018</v>
      </c>
      <c r="D190" s="62" t="s">
        <v>1344</v>
      </c>
      <c r="E190" s="63" t="s">
        <v>1345</v>
      </c>
      <c r="F190" s="64">
        <v>43413</v>
      </c>
      <c r="G190" s="65" t="s">
        <v>34</v>
      </c>
      <c r="H190" s="94">
        <v>186355200</v>
      </c>
      <c r="I190" s="94">
        <v>152100000</v>
      </c>
      <c r="J190" s="94"/>
      <c r="K190" s="153">
        <v>-0.18381671131259014</v>
      </c>
      <c r="L190" s="11" t="s">
        <v>465</v>
      </c>
      <c r="M190" s="15">
        <v>3</v>
      </c>
      <c r="N190" s="35" t="s">
        <v>93</v>
      </c>
      <c r="O190" s="15">
        <v>4</v>
      </c>
      <c r="P190" s="35" t="s">
        <v>458</v>
      </c>
      <c r="Q190" s="35"/>
      <c r="R190" s="15"/>
      <c r="S190" s="24"/>
      <c r="T190" s="62" t="s">
        <v>442</v>
      </c>
      <c r="U190" s="62"/>
      <c r="V190" s="94">
        <v>157872084</v>
      </c>
      <c r="W190" s="199">
        <v>0.96343822255491351</v>
      </c>
      <c r="X190" s="15"/>
      <c r="Y190" s="200">
        <v>0.81618328868740986</v>
      </c>
      <c r="Z190" s="11" t="s">
        <v>465</v>
      </c>
      <c r="AA190" s="11"/>
      <c r="AB190" s="15"/>
      <c r="AC190" s="54">
        <v>186355200</v>
      </c>
      <c r="AD190" s="54">
        <v>152100000</v>
      </c>
      <c r="AE190" s="54">
        <v>34255200</v>
      </c>
      <c r="AG190" s="4"/>
      <c r="AH190" s="4"/>
      <c r="AI190" s="225"/>
      <c r="AJ190" s="226"/>
      <c r="AK190" s="227"/>
      <c r="AL190" s="227"/>
      <c r="AM190" s="225"/>
      <c r="AN190" s="226"/>
      <c r="AO190" s="228"/>
    </row>
    <row r="191" spans="2:41" x14ac:dyDescent="0.25">
      <c r="B191" s="224"/>
      <c r="C191" s="39">
        <v>2018</v>
      </c>
      <c r="D191" s="62" t="s">
        <v>1346</v>
      </c>
      <c r="E191" s="63" t="s">
        <v>1347</v>
      </c>
      <c r="F191" s="64">
        <v>43412</v>
      </c>
      <c r="G191" s="65" t="s">
        <v>34</v>
      </c>
      <c r="H191" s="94">
        <v>784000</v>
      </c>
      <c r="I191" s="94">
        <v>968530</v>
      </c>
      <c r="J191" s="105"/>
      <c r="K191" s="153">
        <v>0.23536989795918367</v>
      </c>
      <c r="L191" s="11" t="s">
        <v>465</v>
      </c>
      <c r="M191" s="15">
        <v>3</v>
      </c>
      <c r="N191" s="35" t="s">
        <v>93</v>
      </c>
      <c r="O191" s="15">
        <v>4</v>
      </c>
      <c r="P191" s="35" t="s">
        <v>458</v>
      </c>
      <c r="Q191" s="35"/>
      <c r="R191" s="15"/>
      <c r="S191" s="24"/>
      <c r="T191" s="62" t="s">
        <v>784</v>
      </c>
      <c r="U191" s="62"/>
      <c r="V191" s="94">
        <v>1009710</v>
      </c>
      <c r="W191" s="199">
        <v>0.9592160125184459</v>
      </c>
      <c r="X191" s="15"/>
      <c r="Y191" s="200">
        <v>1.2353698979591836</v>
      </c>
      <c r="Z191" s="11" t="s">
        <v>465</v>
      </c>
      <c r="AA191" s="11"/>
      <c r="AB191" s="15"/>
      <c r="AC191" s="54">
        <v>784000</v>
      </c>
      <c r="AD191" s="54">
        <v>968530</v>
      </c>
      <c r="AE191" s="54">
        <v>-184530</v>
      </c>
      <c r="AG191" s="4"/>
      <c r="AH191" s="4"/>
      <c r="AI191" s="225"/>
      <c r="AJ191" s="226"/>
      <c r="AK191" s="227"/>
      <c r="AL191" s="227"/>
      <c r="AM191" s="225"/>
      <c r="AN191" s="226"/>
      <c r="AO191" s="228"/>
    </row>
    <row r="192" spans="2:41" x14ac:dyDescent="0.25">
      <c r="B192" s="224"/>
      <c r="C192" s="39">
        <v>2018</v>
      </c>
      <c r="D192" s="62" t="s">
        <v>1351</v>
      </c>
      <c r="E192" s="63" t="s">
        <v>1352</v>
      </c>
      <c r="F192" s="64">
        <v>43389</v>
      </c>
      <c r="G192" s="65" t="s">
        <v>34</v>
      </c>
      <c r="H192" s="94">
        <v>3800000</v>
      </c>
      <c r="I192" s="94">
        <v>3781700</v>
      </c>
      <c r="J192" s="105" t="s">
        <v>519</v>
      </c>
      <c r="K192" s="153">
        <v>-4.8157894736842108E-3</v>
      </c>
      <c r="L192" s="11" t="s">
        <v>464</v>
      </c>
      <c r="M192" s="15">
        <v>8</v>
      </c>
      <c r="N192" s="35" t="s">
        <v>93</v>
      </c>
      <c r="O192" s="15">
        <v>4</v>
      </c>
      <c r="P192" s="35" t="s">
        <v>458</v>
      </c>
      <c r="Q192" s="35"/>
      <c r="R192" s="15"/>
      <c r="S192" s="24"/>
      <c r="T192" s="62" t="s">
        <v>1353</v>
      </c>
      <c r="U192" s="62"/>
      <c r="V192" s="94">
        <v>4748686.375</v>
      </c>
      <c r="W192" s="199">
        <v>0.79636760597819012</v>
      </c>
      <c r="X192" s="15"/>
      <c r="Y192" s="200">
        <v>0.99518421052631578</v>
      </c>
      <c r="Z192" s="11" t="s">
        <v>465</v>
      </c>
      <c r="AA192" s="11"/>
      <c r="AB192" s="15"/>
      <c r="AC192" s="54">
        <v>3800000</v>
      </c>
      <c r="AD192" s="54">
        <v>3781700</v>
      </c>
      <c r="AE192" s="54">
        <v>18300</v>
      </c>
      <c r="AG192" s="4"/>
      <c r="AH192" s="4"/>
      <c r="AI192" s="225"/>
      <c r="AJ192" s="226"/>
      <c r="AK192" s="227"/>
      <c r="AL192" s="227"/>
      <c r="AM192" s="225"/>
      <c r="AN192" s="226"/>
      <c r="AO192" s="228"/>
    </row>
    <row r="193" spans="2:41" x14ac:dyDescent="0.25">
      <c r="B193" s="52"/>
      <c r="C193" s="39">
        <v>2018</v>
      </c>
      <c r="D193" s="62" t="s">
        <v>1269</v>
      </c>
      <c r="E193" s="63" t="s">
        <v>1270</v>
      </c>
      <c r="F193" s="64">
        <v>43368</v>
      </c>
      <c r="G193" s="65" t="s">
        <v>1225</v>
      </c>
      <c r="H193" s="94">
        <v>760000</v>
      </c>
      <c r="I193" s="94">
        <v>994150</v>
      </c>
      <c r="J193" s="105"/>
      <c r="K193" s="26">
        <v>0.30809210526315789</v>
      </c>
      <c r="L193" s="11" t="s">
        <v>465</v>
      </c>
      <c r="M193" s="15">
        <v>3</v>
      </c>
      <c r="N193" s="35" t="s">
        <v>25</v>
      </c>
      <c r="O193" s="15">
        <v>3</v>
      </c>
      <c r="P193" s="35" t="s">
        <v>458</v>
      </c>
      <c r="Q193" s="35"/>
      <c r="R193" s="15"/>
      <c r="S193" s="24"/>
      <c r="T193" s="62" t="s">
        <v>784</v>
      </c>
      <c r="U193" s="62"/>
      <c r="V193" s="94">
        <v>2705657.5</v>
      </c>
      <c r="W193" s="199">
        <v>0.36743379381906244</v>
      </c>
      <c r="X193" s="15"/>
      <c r="Y193" s="200">
        <v>1.308092105263158</v>
      </c>
      <c r="Z193" s="11" t="s">
        <v>465</v>
      </c>
      <c r="AA193" s="11"/>
      <c r="AB193" s="15"/>
      <c r="AC193" s="54">
        <v>760000</v>
      </c>
      <c r="AD193" s="54">
        <v>994150</v>
      </c>
      <c r="AE193" s="54">
        <v>-234150</v>
      </c>
    </row>
    <row r="194" spans="2:41" x14ac:dyDescent="0.25">
      <c r="B194" s="52"/>
      <c r="C194" s="39">
        <v>2018</v>
      </c>
      <c r="D194" s="62" t="s">
        <v>1271</v>
      </c>
      <c r="E194" s="63" t="s">
        <v>1272</v>
      </c>
      <c r="F194" s="64">
        <v>43350</v>
      </c>
      <c r="G194" s="65" t="s">
        <v>34</v>
      </c>
      <c r="H194" s="94">
        <v>17920000</v>
      </c>
      <c r="I194" s="94">
        <v>21068000</v>
      </c>
      <c r="J194" s="27"/>
      <c r="K194" s="26">
        <v>0.17566964285714284</v>
      </c>
      <c r="L194" s="11" t="s">
        <v>465</v>
      </c>
      <c r="M194" s="15">
        <v>2</v>
      </c>
      <c r="N194" s="35" t="s">
        <v>93</v>
      </c>
      <c r="O194" s="15">
        <v>3</v>
      </c>
      <c r="P194" s="35" t="s">
        <v>458</v>
      </c>
      <c r="Q194" s="35"/>
      <c r="R194" s="15"/>
      <c r="S194" s="24"/>
      <c r="T194" s="62" t="s">
        <v>536</v>
      </c>
      <c r="U194" s="62"/>
      <c r="V194" s="94">
        <v>22772500</v>
      </c>
      <c r="W194" s="199">
        <v>0.92515094961027555</v>
      </c>
      <c r="X194" s="15"/>
      <c r="Y194" s="200">
        <v>1.1756696428571429</v>
      </c>
      <c r="Z194" s="11" t="s">
        <v>465</v>
      </c>
      <c r="AA194" s="11"/>
      <c r="AB194" s="15"/>
      <c r="AC194" s="54">
        <v>17920000</v>
      </c>
      <c r="AD194" s="54">
        <v>21068000</v>
      </c>
      <c r="AE194" s="54">
        <v>-3148000</v>
      </c>
    </row>
    <row r="195" spans="2:41" x14ac:dyDescent="0.25">
      <c r="B195" s="52"/>
      <c r="C195" s="39">
        <v>2018</v>
      </c>
      <c r="D195" s="62" t="s">
        <v>1273</v>
      </c>
      <c r="E195" s="63" t="s">
        <v>1274</v>
      </c>
      <c r="F195" s="64">
        <v>43311</v>
      </c>
      <c r="G195" s="65" t="s">
        <v>190</v>
      </c>
      <c r="H195" s="94">
        <v>9350000</v>
      </c>
      <c r="I195" s="94">
        <v>6855365</v>
      </c>
      <c r="J195" s="27" t="s">
        <v>519</v>
      </c>
      <c r="K195" s="26">
        <v>-0.26680588235294117</v>
      </c>
      <c r="L195" s="11" t="s">
        <v>464</v>
      </c>
      <c r="M195" s="15">
        <v>3</v>
      </c>
      <c r="N195" s="35" t="s">
        <v>25</v>
      </c>
      <c r="O195" s="15">
        <v>3</v>
      </c>
      <c r="P195" s="35" t="s">
        <v>458</v>
      </c>
      <c r="Q195" s="35"/>
      <c r="R195" s="15"/>
      <c r="S195" s="24" t="s">
        <v>932</v>
      </c>
      <c r="T195" s="62" t="s">
        <v>784</v>
      </c>
      <c r="U195" s="62"/>
      <c r="V195" s="94">
        <v>10087545</v>
      </c>
      <c r="W195" s="199">
        <v>0.67958705512590034</v>
      </c>
      <c r="X195" s="15"/>
      <c r="Y195" s="200">
        <v>0.73319411764705877</v>
      </c>
      <c r="Z195" s="11" t="s">
        <v>465</v>
      </c>
      <c r="AA195" s="11"/>
      <c r="AB195" s="15"/>
      <c r="AC195" s="54">
        <v>9350000</v>
      </c>
      <c r="AD195" s="54">
        <v>6855365</v>
      </c>
      <c r="AE195" s="54">
        <v>2494635</v>
      </c>
    </row>
    <row r="196" spans="2:41" x14ac:dyDescent="0.25">
      <c r="B196" s="52"/>
      <c r="C196" s="39">
        <v>2018</v>
      </c>
      <c r="D196" s="62" t="s">
        <v>1275</v>
      </c>
      <c r="E196" s="63" t="s">
        <v>1276</v>
      </c>
      <c r="F196" s="64">
        <v>43299</v>
      </c>
      <c r="G196" s="65" t="s">
        <v>190</v>
      </c>
      <c r="H196" s="94">
        <v>34796400</v>
      </c>
      <c r="I196" s="94">
        <v>34483510</v>
      </c>
      <c r="J196" s="27" t="s">
        <v>519</v>
      </c>
      <c r="K196" s="26">
        <v>-8.9920221632122863E-3</v>
      </c>
      <c r="L196" s="11" t="s">
        <v>464</v>
      </c>
      <c r="M196" s="15">
        <v>2</v>
      </c>
      <c r="N196" s="35" t="s">
        <v>93</v>
      </c>
      <c r="O196" s="15">
        <v>3</v>
      </c>
      <c r="P196" s="35" t="s">
        <v>458</v>
      </c>
      <c r="Q196" s="35"/>
      <c r="R196" s="15"/>
      <c r="S196" s="24"/>
      <c r="T196" s="62" t="s">
        <v>784</v>
      </c>
      <c r="U196" s="62"/>
      <c r="V196" s="94">
        <v>35471255</v>
      </c>
      <c r="W196" s="199">
        <v>0.97215364948322236</v>
      </c>
      <c r="X196" s="15"/>
      <c r="Y196" s="200">
        <v>0.99100797783678773</v>
      </c>
      <c r="Z196" s="11" t="s">
        <v>465</v>
      </c>
      <c r="AA196" s="11"/>
      <c r="AB196" s="15"/>
      <c r="AC196" s="54">
        <v>34796400</v>
      </c>
      <c r="AD196" s="54">
        <v>34483510</v>
      </c>
      <c r="AE196" s="54">
        <v>312890</v>
      </c>
    </row>
    <row r="197" spans="2:41" x14ac:dyDescent="0.25">
      <c r="B197" s="224"/>
      <c r="C197" s="39">
        <v>2018</v>
      </c>
      <c r="D197" s="62" t="s">
        <v>1277</v>
      </c>
      <c r="E197" s="63" t="s">
        <v>1278</v>
      </c>
      <c r="F197" s="64">
        <v>43287</v>
      </c>
      <c r="G197" s="65" t="s">
        <v>190</v>
      </c>
      <c r="H197" s="94">
        <v>3730000</v>
      </c>
      <c r="I197" s="94">
        <v>4547000</v>
      </c>
      <c r="J197" s="105"/>
      <c r="K197" s="26">
        <v>0.2190348525469169</v>
      </c>
      <c r="L197" s="11" t="s">
        <v>465</v>
      </c>
      <c r="M197" s="15">
        <v>3</v>
      </c>
      <c r="N197" s="35" t="s">
        <v>25</v>
      </c>
      <c r="O197" s="15">
        <v>3</v>
      </c>
      <c r="P197" s="35" t="s">
        <v>458</v>
      </c>
      <c r="Q197" s="35"/>
      <c r="R197" s="15"/>
      <c r="S197" s="24"/>
      <c r="T197" s="62" t="s">
        <v>784</v>
      </c>
      <c r="U197" s="62"/>
      <c r="V197" s="94">
        <v>4717276.666666667</v>
      </c>
      <c r="W197" s="199">
        <v>0.96390360822593257</v>
      </c>
      <c r="X197" s="15"/>
      <c r="Y197" s="200">
        <v>1.2190348525469168</v>
      </c>
      <c r="Z197" s="11" t="s">
        <v>465</v>
      </c>
      <c r="AA197" s="11"/>
      <c r="AB197" s="15"/>
      <c r="AC197" s="54">
        <v>3730000</v>
      </c>
      <c r="AD197" s="54">
        <v>4547000</v>
      </c>
      <c r="AE197" s="54">
        <v>-817000</v>
      </c>
      <c r="AG197" s="4">
        <v>203524650</v>
      </c>
      <c r="AH197" s="4">
        <v>173859860</v>
      </c>
      <c r="AI197" s="209">
        <v>0.85424473153497626</v>
      </c>
      <c r="AJ197" s="1" t="s">
        <v>1240</v>
      </c>
      <c r="AK197" s="210">
        <v>757144150</v>
      </c>
      <c r="AL197" s="210">
        <v>573649474</v>
      </c>
      <c r="AM197" s="211">
        <v>0.75764895495791651</v>
      </c>
      <c r="AN197" s="212"/>
      <c r="AO197" s="213"/>
    </row>
    <row r="198" spans="2:41" x14ac:dyDescent="0.25">
      <c r="B198" s="52"/>
      <c r="C198" s="39">
        <v>2018</v>
      </c>
      <c r="D198" s="62" t="s">
        <v>1279</v>
      </c>
      <c r="E198" s="63" t="s">
        <v>1280</v>
      </c>
      <c r="F198" s="64">
        <v>43250</v>
      </c>
      <c r="G198" s="65" t="s">
        <v>34</v>
      </c>
      <c r="H198" s="94">
        <v>153277500</v>
      </c>
      <c r="I198" s="94">
        <v>118434757</v>
      </c>
      <c r="J198" s="27"/>
      <c r="K198" s="26">
        <v>-0.22731805385656734</v>
      </c>
      <c r="L198" s="11" t="s">
        <v>465</v>
      </c>
      <c r="M198" s="15">
        <v>13</v>
      </c>
      <c r="N198" s="35" t="s">
        <v>25</v>
      </c>
      <c r="O198" s="15">
        <v>2</v>
      </c>
      <c r="P198" s="35" t="s">
        <v>458</v>
      </c>
      <c r="Q198" s="35"/>
      <c r="R198" s="15"/>
      <c r="S198" s="24"/>
      <c r="T198" s="62" t="s">
        <v>784</v>
      </c>
      <c r="U198" s="62"/>
      <c r="V198" s="94">
        <v>138481360</v>
      </c>
      <c r="W198" s="199">
        <v>0.85523970157427687</v>
      </c>
      <c r="X198" s="15"/>
      <c r="Y198" s="200">
        <v>0.77268194614343266</v>
      </c>
      <c r="Z198" s="11" t="s">
        <v>465</v>
      </c>
      <c r="AA198" s="11"/>
      <c r="AB198" s="15"/>
      <c r="AC198" s="54">
        <v>153277500</v>
      </c>
      <c r="AD198" s="54">
        <v>118434757</v>
      </c>
      <c r="AE198" s="54">
        <v>34842743</v>
      </c>
    </row>
    <row r="199" spans="2:41" x14ac:dyDescent="0.25">
      <c r="B199" s="224"/>
      <c r="C199" s="39">
        <v>2018</v>
      </c>
      <c r="D199" s="62" t="s">
        <v>1281</v>
      </c>
      <c r="E199" s="63" t="s">
        <v>1282</v>
      </c>
      <c r="F199" s="64">
        <v>43193</v>
      </c>
      <c r="G199" s="65" t="s">
        <v>34</v>
      </c>
      <c r="H199" s="94">
        <v>3441000</v>
      </c>
      <c r="I199" s="94">
        <v>2993080</v>
      </c>
      <c r="J199" s="105" t="s">
        <v>519</v>
      </c>
      <c r="K199" s="26">
        <v>-0.13017146178436501</v>
      </c>
      <c r="L199" s="11" t="s">
        <v>464</v>
      </c>
      <c r="M199" s="15">
        <v>3</v>
      </c>
      <c r="N199" s="35" t="s">
        <v>25</v>
      </c>
      <c r="O199" s="15">
        <v>2</v>
      </c>
      <c r="P199" s="35" t="s">
        <v>458</v>
      </c>
      <c r="Q199" s="35" t="s">
        <v>1235</v>
      </c>
      <c r="R199" s="15"/>
      <c r="S199" s="24"/>
      <c r="T199" s="62" t="s">
        <v>784</v>
      </c>
      <c r="U199" s="62"/>
      <c r="V199" s="94">
        <v>3534026.6666666665</v>
      </c>
      <c r="W199" s="199">
        <v>0.84693192279250873</v>
      </c>
      <c r="X199" s="15"/>
      <c r="Y199" s="200">
        <v>0.86982853821563499</v>
      </c>
      <c r="Z199" s="11" t="s">
        <v>465</v>
      </c>
      <c r="AA199" s="74">
        <v>0</v>
      </c>
      <c r="AB199" s="15"/>
      <c r="AC199" s="54">
        <v>3441000</v>
      </c>
      <c r="AD199" s="54">
        <v>2993080</v>
      </c>
      <c r="AE199" s="54">
        <v>447920</v>
      </c>
      <c r="AG199" s="4">
        <v>215665500</v>
      </c>
      <c r="AH199" s="4">
        <v>170989542</v>
      </c>
      <c r="AI199" s="209">
        <v>0.79284606021825466</v>
      </c>
      <c r="AJ199" s="1" t="s">
        <v>1240</v>
      </c>
      <c r="AK199" s="210">
        <v>553619500</v>
      </c>
      <c r="AL199" s="210">
        <v>399789614</v>
      </c>
      <c r="AM199" s="211">
        <v>0.72213788351024488</v>
      </c>
      <c r="AN199" s="212"/>
      <c r="AO199" s="213"/>
    </row>
    <row r="200" spans="2:41" x14ac:dyDescent="0.25">
      <c r="B200" s="52"/>
      <c r="C200" s="39">
        <v>2018</v>
      </c>
      <c r="D200" s="62" t="s">
        <v>1283</v>
      </c>
      <c r="E200" s="63" t="s">
        <v>1284</v>
      </c>
      <c r="F200" s="64">
        <v>43179</v>
      </c>
      <c r="G200" s="65" t="s">
        <v>34</v>
      </c>
      <c r="H200" s="94">
        <v>1440000</v>
      </c>
      <c r="I200" s="94">
        <v>1928000</v>
      </c>
      <c r="J200" s="105"/>
      <c r="K200" s="26">
        <v>0.33888888888888891</v>
      </c>
      <c r="L200" s="11" t="s">
        <v>465</v>
      </c>
      <c r="M200" s="15">
        <v>7</v>
      </c>
      <c r="N200" s="35" t="s">
        <v>93</v>
      </c>
      <c r="O200" s="15">
        <v>1</v>
      </c>
      <c r="P200" s="35" t="s">
        <v>458</v>
      </c>
      <c r="Q200" s="35" t="s">
        <v>1238</v>
      </c>
      <c r="R200" s="15"/>
      <c r="S200" s="24"/>
      <c r="T200" s="62" t="s">
        <v>784</v>
      </c>
      <c r="U200" s="62"/>
      <c r="V200" s="94">
        <v>2393861.8571428573</v>
      </c>
      <c r="W200" s="199">
        <v>0.8053931743167182</v>
      </c>
      <c r="X200" s="15"/>
      <c r="Y200" s="200">
        <v>1.3388888888888888</v>
      </c>
      <c r="Z200" s="11" t="s">
        <v>465</v>
      </c>
      <c r="AA200" s="11"/>
      <c r="AB200" s="15"/>
      <c r="AC200" s="54">
        <v>1440000</v>
      </c>
      <c r="AD200" s="54">
        <v>1928000</v>
      </c>
      <c r="AE200" s="54">
        <v>-488000</v>
      </c>
    </row>
    <row r="201" spans="2:41" x14ac:dyDescent="0.25">
      <c r="B201" s="52"/>
      <c r="C201" s="39">
        <v>2018</v>
      </c>
      <c r="D201" s="62" t="s">
        <v>1285</v>
      </c>
      <c r="E201" s="63" t="s">
        <v>1286</v>
      </c>
      <c r="F201" s="64">
        <v>43168</v>
      </c>
      <c r="G201" s="65" t="s">
        <v>34</v>
      </c>
      <c r="H201" s="94">
        <v>10900000</v>
      </c>
      <c r="I201" s="94">
        <v>10417536</v>
      </c>
      <c r="J201" s="27" t="s">
        <v>519</v>
      </c>
      <c r="K201" s="26">
        <v>-4.4262752293577984E-2</v>
      </c>
      <c r="L201" s="11" t="s">
        <v>464</v>
      </c>
      <c r="M201" s="15">
        <v>11</v>
      </c>
      <c r="N201" s="35" t="s">
        <v>25</v>
      </c>
      <c r="O201" s="15">
        <v>1</v>
      </c>
      <c r="P201" s="35" t="s">
        <v>458</v>
      </c>
      <c r="Q201" s="35" t="s">
        <v>1235</v>
      </c>
      <c r="R201" s="15"/>
      <c r="S201" s="24"/>
      <c r="T201" s="62" t="s">
        <v>784</v>
      </c>
      <c r="U201" s="62"/>
      <c r="V201" s="94">
        <v>12059792.454545455</v>
      </c>
      <c r="W201" s="199">
        <v>0.86382382112003331</v>
      </c>
      <c r="X201" s="15"/>
      <c r="Y201" s="200">
        <v>0.95573724770642199</v>
      </c>
      <c r="Z201" s="11" t="s">
        <v>465</v>
      </c>
      <c r="AA201" s="11"/>
      <c r="AB201" s="15"/>
      <c r="AC201" s="54">
        <v>10900000</v>
      </c>
      <c r="AD201" s="54">
        <v>10417536</v>
      </c>
      <c r="AE201" s="54">
        <v>482464</v>
      </c>
    </row>
    <row r="202" spans="2:41" x14ac:dyDescent="0.25">
      <c r="C202" s="39">
        <v>2018</v>
      </c>
      <c r="D202" s="62" t="s">
        <v>1287</v>
      </c>
      <c r="E202" s="63" t="s">
        <v>1288</v>
      </c>
      <c r="F202" s="64">
        <v>43160</v>
      </c>
      <c r="G202" s="65" t="s">
        <v>34</v>
      </c>
      <c r="H202" s="94">
        <v>1273000</v>
      </c>
      <c r="I202" s="94">
        <v>1050950</v>
      </c>
      <c r="J202" s="105" t="s">
        <v>519</v>
      </c>
      <c r="K202" s="26">
        <v>-0.1744304791830322</v>
      </c>
      <c r="L202" s="11" t="s">
        <v>464</v>
      </c>
      <c r="M202" s="15">
        <v>6</v>
      </c>
      <c r="N202" s="35" t="s">
        <v>25</v>
      </c>
      <c r="O202" s="15">
        <v>1</v>
      </c>
      <c r="P202" s="35" t="s">
        <v>458</v>
      </c>
      <c r="Q202" s="35" t="s">
        <v>1238</v>
      </c>
      <c r="R202" s="15"/>
      <c r="S202" s="24" t="s">
        <v>1244</v>
      </c>
      <c r="T202" s="62" t="s">
        <v>784</v>
      </c>
      <c r="U202" s="62"/>
      <c r="V202" s="94">
        <v>2050444.6666666667</v>
      </c>
      <c r="W202" s="199">
        <v>0.51254735964589138</v>
      </c>
      <c r="X202" s="15"/>
      <c r="Y202" s="200">
        <v>0.82556952081696777</v>
      </c>
      <c r="Z202" s="11" t="s">
        <v>465</v>
      </c>
      <c r="AA202" s="11"/>
      <c r="AB202" s="15"/>
      <c r="AC202" s="54">
        <v>1273000</v>
      </c>
      <c r="AD202" s="54">
        <v>1050950</v>
      </c>
      <c r="AE202" s="54">
        <v>222050</v>
      </c>
    </row>
    <row r="203" spans="2:41" x14ac:dyDescent="0.25">
      <c r="C203" s="39">
        <v>2018</v>
      </c>
      <c r="D203" s="62" t="s">
        <v>1289</v>
      </c>
      <c r="E203" s="63" t="s">
        <v>1290</v>
      </c>
      <c r="F203" s="64">
        <v>43147</v>
      </c>
      <c r="G203" s="65" t="s">
        <v>34</v>
      </c>
      <c r="H203" s="94">
        <v>23100000</v>
      </c>
      <c r="I203" s="94">
        <v>16848000</v>
      </c>
      <c r="J203" s="27" t="s">
        <v>519</v>
      </c>
      <c r="K203" s="26">
        <v>-0.27064935064935064</v>
      </c>
      <c r="L203" s="11" t="s">
        <v>464</v>
      </c>
      <c r="M203" s="15">
        <v>6</v>
      </c>
      <c r="N203" s="35" t="s">
        <v>93</v>
      </c>
      <c r="O203" s="15">
        <v>1</v>
      </c>
      <c r="P203" s="35" t="s">
        <v>458</v>
      </c>
      <c r="Q203" s="35" t="s">
        <v>1243</v>
      </c>
      <c r="R203" s="15"/>
      <c r="S203" s="24"/>
      <c r="T203" s="62" t="s">
        <v>442</v>
      </c>
      <c r="U203" s="62"/>
      <c r="V203" s="94">
        <v>24152208.666666668</v>
      </c>
      <c r="W203" s="199">
        <v>0.69757595392310978</v>
      </c>
      <c r="X203" s="15"/>
      <c r="Y203" s="200">
        <v>0.7293506493506493</v>
      </c>
      <c r="Z203" s="11" t="s">
        <v>465</v>
      </c>
      <c r="AA203" s="11"/>
      <c r="AB203" s="15"/>
      <c r="AC203" s="54">
        <v>23100000</v>
      </c>
      <c r="AD203" s="54">
        <v>16848000</v>
      </c>
      <c r="AE203" s="54">
        <v>6252000</v>
      </c>
    </row>
    <row r="204" spans="2:41" x14ac:dyDescent="0.25">
      <c r="C204" s="39">
        <v>2018</v>
      </c>
      <c r="D204" s="62" t="s">
        <v>1291</v>
      </c>
      <c r="E204" s="63" t="s">
        <v>1292</v>
      </c>
      <c r="F204" s="64">
        <v>43139</v>
      </c>
      <c r="G204" s="65" t="s">
        <v>190</v>
      </c>
      <c r="H204" s="94">
        <v>10590000</v>
      </c>
      <c r="I204" s="94">
        <v>9125000</v>
      </c>
      <c r="J204" s="27"/>
      <c r="K204" s="26">
        <v>-0.13833805476864966</v>
      </c>
      <c r="L204" s="11" t="s">
        <v>465</v>
      </c>
      <c r="M204" s="15">
        <v>2</v>
      </c>
      <c r="N204" s="35" t="s">
        <v>93</v>
      </c>
      <c r="O204" s="15">
        <v>1</v>
      </c>
      <c r="P204" s="35" t="s">
        <v>458</v>
      </c>
      <c r="Q204" s="35" t="s">
        <v>1235</v>
      </c>
      <c r="R204" s="15"/>
      <c r="S204" s="24"/>
      <c r="T204" s="62" t="s">
        <v>784</v>
      </c>
      <c r="U204" s="62"/>
      <c r="V204" s="94">
        <v>9478917</v>
      </c>
      <c r="W204" s="199">
        <v>0.96266271769232714</v>
      </c>
      <c r="X204" s="15"/>
      <c r="Y204" s="200">
        <v>0.86166194523135031</v>
      </c>
      <c r="Z204" s="11" t="s">
        <v>465</v>
      </c>
      <c r="AA204" s="11"/>
      <c r="AB204" s="15"/>
      <c r="AC204" s="54">
        <v>10590000</v>
      </c>
      <c r="AD204" s="54">
        <v>9125000</v>
      </c>
      <c r="AE204" s="54">
        <v>1465000</v>
      </c>
    </row>
    <row r="205" spans="2:41" x14ac:dyDescent="0.25">
      <c r="C205" s="39">
        <v>2018</v>
      </c>
      <c r="D205" s="62" t="s">
        <v>1293</v>
      </c>
      <c r="E205" s="63" t="s">
        <v>1294</v>
      </c>
      <c r="F205" s="64">
        <v>43125</v>
      </c>
      <c r="G205" s="65" t="s">
        <v>34</v>
      </c>
      <c r="H205" s="94">
        <v>1700000</v>
      </c>
      <c r="I205" s="94">
        <v>1555555</v>
      </c>
      <c r="J205" s="105" t="s">
        <v>519</v>
      </c>
      <c r="K205" s="26">
        <v>-8.4967647058823523E-2</v>
      </c>
      <c r="L205" s="11" t="s">
        <v>464</v>
      </c>
      <c r="M205" s="15">
        <v>9</v>
      </c>
      <c r="N205" s="35" t="s">
        <v>93</v>
      </c>
      <c r="O205" s="15">
        <v>1</v>
      </c>
      <c r="P205" s="35" t="s">
        <v>458</v>
      </c>
      <c r="Q205" s="35" t="s">
        <v>1245</v>
      </c>
      <c r="R205" s="15"/>
      <c r="S205" s="24"/>
      <c r="T205" s="62" t="s">
        <v>784</v>
      </c>
      <c r="U205" s="62"/>
      <c r="V205" s="94">
        <v>2601779.6666666665</v>
      </c>
      <c r="W205" s="199">
        <v>0.59788114263839154</v>
      </c>
      <c r="X205" s="15"/>
      <c r="Y205" s="200">
        <v>0.91503235294117646</v>
      </c>
      <c r="Z205" s="11" t="s">
        <v>465</v>
      </c>
      <c r="AA205" s="11"/>
      <c r="AB205" s="15"/>
      <c r="AC205" s="54">
        <v>1700000</v>
      </c>
      <c r="AD205" s="54">
        <v>1555555</v>
      </c>
      <c r="AE205" s="54">
        <v>144445</v>
      </c>
    </row>
    <row r="206" spans="2:41" x14ac:dyDescent="0.25">
      <c r="C206" s="39"/>
      <c r="E206" s="85"/>
      <c r="F206" s="85"/>
      <c r="G206" s="85"/>
      <c r="H206" s="86">
        <f>SUM(H185:H205)</f>
        <v>609692100</v>
      </c>
      <c r="I206" s="86">
        <f>SUM(I185:I205)</f>
        <v>525710427</v>
      </c>
      <c r="J206" s="85"/>
      <c r="K206" s="87">
        <f>+I206/H206</f>
        <v>0.86225559917866734</v>
      </c>
      <c r="L206" s="85">
        <f>COUNTA(L185:L205)</f>
        <v>21</v>
      </c>
      <c r="M206" s="88">
        <f>SUM(M185:M205)/L206</f>
        <v>4.9523809523809526</v>
      </c>
      <c r="N206" s="89"/>
      <c r="O206" s="85"/>
      <c r="P206" s="119">
        <f>10/L206</f>
        <v>0.47619047619047616</v>
      </c>
      <c r="Q206" s="85"/>
    </row>
    <row r="207" spans="2:41" x14ac:dyDescent="0.25">
      <c r="C207" s="39"/>
    </row>
    <row r="208" spans="2:41" x14ac:dyDescent="0.25">
      <c r="C208" s="39"/>
      <c r="E208" s="126" t="s">
        <v>1178</v>
      </c>
      <c r="F208" s="70" t="str">
        <f>"'15 final"</f>
        <v>'15 final</v>
      </c>
      <c r="G208" s="70" t="str">
        <f>"'16 final"</f>
        <v>'16 final</v>
      </c>
      <c r="H208" s="121" t="str">
        <f>"'17 final"</f>
        <v>'17 final</v>
      </c>
      <c r="I208" s="121" t="str">
        <f>"'18 final"</f>
        <v>'18 final</v>
      </c>
      <c r="P208" s="11"/>
    </row>
    <row r="209" spans="3:16" x14ac:dyDescent="0.25">
      <c r="C209" s="39"/>
      <c r="E209" s="71" t="s">
        <v>800</v>
      </c>
      <c r="F209" s="11">
        <v>18</v>
      </c>
      <c r="G209" s="11">
        <v>13</v>
      </c>
      <c r="H209" s="104">
        <v>34</v>
      </c>
      <c r="I209" s="104">
        <f>+L206</f>
        <v>21</v>
      </c>
      <c r="P209" s="11"/>
    </row>
    <row r="210" spans="3:16" x14ac:dyDescent="0.25">
      <c r="C210" s="39"/>
      <c r="E210" s="72" t="s">
        <v>801</v>
      </c>
      <c r="F210" s="11">
        <v>14</v>
      </c>
      <c r="G210" s="11">
        <v>11</v>
      </c>
      <c r="H210" s="104">
        <v>19</v>
      </c>
      <c r="I210" s="104">
        <f>+I209-I211</f>
        <v>11</v>
      </c>
      <c r="P210" s="11"/>
    </row>
    <row r="211" spans="3:16" x14ac:dyDescent="0.25">
      <c r="C211" s="39"/>
      <c r="E211" s="72" t="s">
        <v>802</v>
      </c>
      <c r="F211" s="11">
        <v>4</v>
      </c>
      <c r="G211" s="11">
        <v>2</v>
      </c>
      <c r="H211" s="104">
        <v>15</v>
      </c>
      <c r="I211" s="104">
        <v>10</v>
      </c>
      <c r="P211" s="11"/>
    </row>
    <row r="212" spans="3:16" x14ac:dyDescent="0.25">
      <c r="C212" s="39"/>
      <c r="E212" s="72"/>
      <c r="F212" s="11"/>
      <c r="G212" s="11"/>
      <c r="H212" s="104"/>
      <c r="I212" s="104"/>
      <c r="P212" s="11"/>
    </row>
    <row r="213" spans="3:16" x14ac:dyDescent="0.25">
      <c r="C213" s="39"/>
      <c r="E213" s="72" t="s">
        <v>1144</v>
      </c>
      <c r="F213" s="78">
        <v>73</v>
      </c>
      <c r="G213" s="78">
        <v>105</v>
      </c>
      <c r="H213" s="122">
        <v>269.34216099999998</v>
      </c>
      <c r="I213" s="122">
        <f>+I206/1000000</f>
        <v>525.71042699999998</v>
      </c>
      <c r="P213" s="11"/>
    </row>
    <row r="214" spans="3:16" x14ac:dyDescent="0.25">
      <c r="C214" s="39"/>
      <c r="E214" s="72" t="s">
        <v>806</v>
      </c>
      <c r="F214" s="75">
        <v>6.5</v>
      </c>
      <c r="G214" s="75">
        <v>6.1</v>
      </c>
      <c r="H214" s="123">
        <v>5.6764705882352944</v>
      </c>
      <c r="I214" s="123">
        <f>+M206</f>
        <v>4.9523809523809526</v>
      </c>
      <c r="P214" s="11"/>
    </row>
    <row r="215" spans="3:16" x14ac:dyDescent="0.25">
      <c r="C215" s="39"/>
      <c r="E215" s="72" t="s">
        <v>807</v>
      </c>
      <c r="F215" s="74">
        <v>0.95899999999999996</v>
      </c>
      <c r="G215" s="74">
        <v>0.88100000000000001</v>
      </c>
      <c r="H215" s="124">
        <v>0.88817047961530071</v>
      </c>
      <c r="I215" s="124">
        <f>+I206/H206</f>
        <v>0.86225559917866734</v>
      </c>
      <c r="P215" s="11"/>
    </row>
    <row r="216" spans="3:16" x14ac:dyDescent="0.25">
      <c r="C216" s="39"/>
      <c r="E216" s="72"/>
      <c r="F216" s="11"/>
      <c r="G216" s="11"/>
      <c r="H216" s="104"/>
      <c r="I216" s="104"/>
      <c r="P216" s="11"/>
    </row>
    <row r="217" spans="3:16" x14ac:dyDescent="0.25">
      <c r="C217" s="39"/>
      <c r="E217" s="72" t="s">
        <v>803</v>
      </c>
      <c r="F217" s="74">
        <f>9/F209</f>
        <v>0.5</v>
      </c>
      <c r="G217" s="74">
        <f>7/13</f>
        <v>0.53846153846153844</v>
      </c>
      <c r="H217" s="108">
        <v>0.61764705882352944</v>
      </c>
      <c r="I217" s="108">
        <f>+P206</f>
        <v>0.47619047619047616</v>
      </c>
      <c r="P217" s="11"/>
    </row>
    <row r="218" spans="3:16" x14ac:dyDescent="0.25">
      <c r="C218" s="107"/>
      <c r="D218" s="52"/>
      <c r="E218" s="72" t="s">
        <v>804</v>
      </c>
      <c r="F218" s="74">
        <v>0.5</v>
      </c>
      <c r="G218" s="74">
        <f>6/11</f>
        <v>0.54545454545454541</v>
      </c>
      <c r="H218" s="108">
        <v>0.63157894736842102</v>
      </c>
      <c r="I218" s="108">
        <f>5/I210</f>
        <v>0.45454545454545453</v>
      </c>
      <c r="P218" s="11"/>
    </row>
    <row r="219" spans="3:16" x14ac:dyDescent="0.25">
      <c r="C219" s="107"/>
      <c r="D219" s="52"/>
      <c r="E219" s="72" t="s">
        <v>805</v>
      </c>
      <c r="F219" s="74">
        <v>0.5</v>
      </c>
      <c r="G219" s="74">
        <v>0.5</v>
      </c>
      <c r="H219" s="108">
        <v>0.6</v>
      </c>
      <c r="I219" s="108">
        <f>5/I211</f>
        <v>0.5</v>
      </c>
      <c r="P219" s="11"/>
    </row>
    <row r="220" spans="3:16" x14ac:dyDescent="0.25">
      <c r="C220" s="39"/>
      <c r="E220" s="72"/>
      <c r="F220" s="11"/>
      <c r="G220" s="11"/>
      <c r="H220" s="104"/>
      <c r="I220" s="104"/>
      <c r="P220" s="11"/>
    </row>
    <row r="221" spans="3:16" x14ac:dyDescent="0.25">
      <c r="C221" s="39"/>
      <c r="E221" s="72" t="s">
        <v>1141</v>
      </c>
      <c r="F221" s="11">
        <v>6</v>
      </c>
      <c r="G221" s="11">
        <v>4</v>
      </c>
      <c r="H221" s="104">
        <v>13</v>
      </c>
      <c r="I221" s="104">
        <v>11</v>
      </c>
    </row>
    <row r="222" spans="3:16" x14ac:dyDescent="0.25">
      <c r="E222" s="106" t="s">
        <v>1143</v>
      </c>
      <c r="F222" s="108">
        <f>+F221/F209</f>
        <v>0.33333333333333331</v>
      </c>
      <c r="G222" s="108">
        <f>+G221/G209</f>
        <v>0.30769230769230771</v>
      </c>
      <c r="H222" s="108">
        <v>0.38235294117647056</v>
      </c>
      <c r="I222" s="108">
        <f>+I221/I209</f>
        <v>0.52380952380952384</v>
      </c>
    </row>
    <row r="223" spans="3:16" x14ac:dyDescent="0.25">
      <c r="C223" s="39"/>
      <c r="E223" s="72" t="s">
        <v>1142</v>
      </c>
      <c r="F223" s="11">
        <v>2</v>
      </c>
      <c r="G223" s="11">
        <v>0</v>
      </c>
      <c r="H223" s="104">
        <v>0</v>
      </c>
      <c r="I223" s="104">
        <v>3</v>
      </c>
    </row>
    <row r="224" spans="3:16" x14ac:dyDescent="0.25">
      <c r="C224" s="39"/>
      <c r="E224" s="106" t="s">
        <v>1169</v>
      </c>
      <c r="F224" s="108">
        <f t="shared" ref="F224:G224" si="8">+F223/F209</f>
        <v>0.1111111111111111</v>
      </c>
      <c r="G224" s="108">
        <f t="shared" si="8"/>
        <v>0</v>
      </c>
      <c r="H224" s="108">
        <v>0</v>
      </c>
      <c r="I224" s="108">
        <f>+I223/I209</f>
        <v>0.14285714285714285</v>
      </c>
    </row>
    <row r="225" spans="2:31" x14ac:dyDescent="0.25">
      <c r="C225" s="39"/>
      <c r="H225" s="52"/>
    </row>
    <row r="226" spans="2:31" x14ac:dyDescent="0.25">
      <c r="B226" s="52"/>
      <c r="C226" s="39"/>
      <c r="H226" s="52"/>
    </row>
    <row r="227" spans="2:31" x14ac:dyDescent="0.25">
      <c r="C227" s="39"/>
    </row>
    <row r="228" spans="2:31" x14ac:dyDescent="0.25">
      <c r="C228" s="39">
        <v>2018</v>
      </c>
      <c r="D228" s="62" t="s">
        <v>1229</v>
      </c>
      <c r="E228" s="63" t="s">
        <v>1230</v>
      </c>
      <c r="F228" s="64">
        <v>43314</v>
      </c>
      <c r="G228" s="65" t="s">
        <v>1225</v>
      </c>
      <c r="H228" s="94">
        <v>1980000</v>
      </c>
      <c r="I228" s="94">
        <v>2882170</v>
      </c>
      <c r="J228" s="105"/>
      <c r="K228" s="26">
        <v>0.45564141414141413</v>
      </c>
      <c r="L228" s="11" t="s">
        <v>465</v>
      </c>
      <c r="M228" s="15">
        <v>6</v>
      </c>
      <c r="N228" s="35" t="s">
        <v>25</v>
      </c>
      <c r="O228" s="15">
        <v>3</v>
      </c>
      <c r="P228" s="35" t="s">
        <v>492</v>
      </c>
      <c r="Q228" s="35"/>
      <c r="R228" s="15"/>
      <c r="S228" s="24"/>
      <c r="T228" s="62" t="s">
        <v>816</v>
      </c>
      <c r="U228" s="62"/>
      <c r="V228" s="94">
        <v>4467184.666666667</v>
      </c>
      <c r="W228" s="199">
        <v>0.64518711785215355</v>
      </c>
      <c r="X228" s="15"/>
      <c r="Y228" s="200">
        <v>1.4556414141414142</v>
      </c>
      <c r="Z228" s="11" t="s">
        <v>465</v>
      </c>
      <c r="AA228" s="11"/>
      <c r="AB228" s="15"/>
      <c r="AC228" s="54">
        <v>1980000</v>
      </c>
      <c r="AD228" s="54">
        <v>2882170</v>
      </c>
      <c r="AE228" s="54">
        <v>-902170</v>
      </c>
    </row>
    <row r="229" spans="2:31" x14ac:dyDescent="0.25">
      <c r="C229" s="39">
        <v>2018</v>
      </c>
      <c r="D229" s="62" t="s">
        <v>1248</v>
      </c>
      <c r="E229" s="63" t="s">
        <v>1249</v>
      </c>
      <c r="F229" s="64">
        <v>43259</v>
      </c>
      <c r="G229" s="65" t="s">
        <v>756</v>
      </c>
      <c r="H229" s="94">
        <v>2770000</v>
      </c>
      <c r="I229" s="94">
        <v>2542996</v>
      </c>
      <c r="J229" s="105" t="s">
        <v>519</v>
      </c>
      <c r="K229" s="26">
        <v>-8.1950902527075806E-2</v>
      </c>
      <c r="L229" s="11" t="s">
        <v>464</v>
      </c>
      <c r="M229" s="15">
        <v>6</v>
      </c>
      <c r="N229" s="35" t="s">
        <v>226</v>
      </c>
      <c r="O229" s="15">
        <v>2</v>
      </c>
      <c r="P229" s="35" t="s">
        <v>492</v>
      </c>
      <c r="Q229" s="35"/>
      <c r="R229" s="15"/>
      <c r="S229" s="24"/>
      <c r="T229" s="62" t="s">
        <v>447</v>
      </c>
      <c r="U229" s="62"/>
      <c r="V229" s="94">
        <v>4162248.5</v>
      </c>
      <c r="W229" s="199">
        <v>0.61096688484601536</v>
      </c>
      <c r="X229" s="15"/>
      <c r="Y229" s="200">
        <v>0.91804909747292418</v>
      </c>
      <c r="Z229" s="11" t="s">
        <v>465</v>
      </c>
      <c r="AA229" s="11"/>
      <c r="AB229" s="15"/>
      <c r="AC229" s="54">
        <v>2770000</v>
      </c>
      <c r="AD229" s="54">
        <v>2542996</v>
      </c>
      <c r="AE229" s="54">
        <v>227004</v>
      </c>
    </row>
    <row r="230" spans="2:31" x14ac:dyDescent="0.25">
      <c r="C230" s="39">
        <v>2018</v>
      </c>
      <c r="D230" s="62" t="s">
        <v>1250</v>
      </c>
      <c r="E230" s="63" t="s">
        <v>1251</v>
      </c>
      <c r="F230" s="64">
        <v>43230</v>
      </c>
      <c r="G230" s="65" t="s">
        <v>34</v>
      </c>
      <c r="H230" s="94">
        <v>4390000</v>
      </c>
      <c r="I230" s="94">
        <v>4220000</v>
      </c>
      <c r="J230" s="105" t="s">
        <v>519</v>
      </c>
      <c r="K230" s="26">
        <v>-3.8724373576309798E-2</v>
      </c>
      <c r="L230" s="11" t="s">
        <v>464</v>
      </c>
      <c r="M230" s="15">
        <v>4</v>
      </c>
      <c r="N230" s="35" t="s">
        <v>93</v>
      </c>
      <c r="O230" s="15">
        <v>2</v>
      </c>
      <c r="P230" s="35" t="s">
        <v>492</v>
      </c>
      <c r="Q230" s="35"/>
      <c r="R230" s="15"/>
      <c r="S230" s="24"/>
      <c r="T230" s="62" t="s">
        <v>816</v>
      </c>
      <c r="U230" s="62"/>
      <c r="V230" s="94">
        <v>6081225</v>
      </c>
      <c r="W230" s="199">
        <v>0.69393913232942372</v>
      </c>
      <c r="X230" s="15"/>
      <c r="Y230" s="200">
        <v>0.96127562642369024</v>
      </c>
      <c r="Z230" s="11" t="s">
        <v>465</v>
      </c>
      <c r="AA230" s="11"/>
      <c r="AB230" s="15"/>
      <c r="AC230" s="54">
        <v>4390000</v>
      </c>
      <c r="AD230" s="54">
        <v>4220000</v>
      </c>
      <c r="AE230" s="54">
        <v>170000</v>
      </c>
    </row>
    <row r="231" spans="2:31" x14ac:dyDescent="0.25">
      <c r="C231" s="39">
        <v>2018</v>
      </c>
      <c r="D231" s="62" t="s">
        <v>1252</v>
      </c>
      <c r="E231" s="63" t="s">
        <v>1253</v>
      </c>
      <c r="F231" s="64">
        <v>43193</v>
      </c>
      <c r="G231" s="65" t="s">
        <v>34</v>
      </c>
      <c r="H231" s="94">
        <v>9140000</v>
      </c>
      <c r="I231" s="94">
        <v>4659626</v>
      </c>
      <c r="J231" s="27" t="s">
        <v>519</v>
      </c>
      <c r="K231" s="26">
        <v>-0.49019409190371993</v>
      </c>
      <c r="L231" s="11" t="s">
        <v>464</v>
      </c>
      <c r="M231" s="15">
        <v>5</v>
      </c>
      <c r="N231" s="35" t="s">
        <v>93</v>
      </c>
      <c r="O231" s="15">
        <v>2</v>
      </c>
      <c r="P231" s="35" t="s">
        <v>492</v>
      </c>
      <c r="Q231" s="35" t="s">
        <v>1238</v>
      </c>
      <c r="R231" s="15"/>
      <c r="S231" s="24" t="s">
        <v>932</v>
      </c>
      <c r="T231" s="62" t="s">
        <v>816</v>
      </c>
      <c r="U231" s="62"/>
      <c r="V231" s="94">
        <v>10095414</v>
      </c>
      <c r="W231" s="199">
        <v>0.46155868397274247</v>
      </c>
      <c r="X231" s="15"/>
      <c r="Y231" s="200">
        <v>0.50980590809628012</v>
      </c>
      <c r="Z231" s="11" t="s">
        <v>465</v>
      </c>
      <c r="AA231" s="11"/>
      <c r="AB231" s="15"/>
      <c r="AC231" s="54">
        <v>9140000</v>
      </c>
      <c r="AD231" s="54">
        <v>4659626</v>
      </c>
      <c r="AE231" s="54">
        <v>4480374</v>
      </c>
    </row>
    <row r="232" spans="2:31" x14ac:dyDescent="0.25">
      <c r="C232" s="39">
        <v>2018</v>
      </c>
      <c r="D232" s="62" t="s">
        <v>1254</v>
      </c>
      <c r="E232" s="63" t="s">
        <v>1255</v>
      </c>
      <c r="F232" s="64">
        <v>43124</v>
      </c>
      <c r="G232" s="65" t="s">
        <v>34</v>
      </c>
      <c r="H232" s="94">
        <v>22000000</v>
      </c>
      <c r="I232" s="94">
        <v>19988889</v>
      </c>
      <c r="J232" s="27" t="s">
        <v>519</v>
      </c>
      <c r="K232" s="26">
        <v>-9.1414136363636364E-2</v>
      </c>
      <c r="L232" s="11" t="s">
        <v>464</v>
      </c>
      <c r="M232" s="15">
        <v>13</v>
      </c>
      <c r="N232" s="35" t="s">
        <v>93</v>
      </c>
      <c r="O232" s="15">
        <v>1</v>
      </c>
      <c r="P232" s="35" t="s">
        <v>492</v>
      </c>
      <c r="Q232" s="35" t="s">
        <v>1245</v>
      </c>
      <c r="R232" s="15"/>
      <c r="S232" s="24"/>
      <c r="T232" s="62" t="s">
        <v>816</v>
      </c>
      <c r="U232" s="62"/>
      <c r="V232" s="94">
        <v>27586889.692307692</v>
      </c>
      <c r="W232" s="199">
        <v>0.72457929193712933</v>
      </c>
      <c r="X232" s="15"/>
      <c r="Y232" s="200">
        <v>0.90858586363636362</v>
      </c>
      <c r="Z232" s="11" t="s">
        <v>465</v>
      </c>
      <c r="AA232" s="11"/>
      <c r="AB232" s="15"/>
      <c r="AC232" s="54">
        <v>22000000</v>
      </c>
      <c r="AD232" s="54">
        <v>19988889</v>
      </c>
      <c r="AE232" s="54">
        <v>2011111</v>
      </c>
    </row>
    <row r="233" spans="2:31" x14ac:dyDescent="0.25">
      <c r="C233" s="39"/>
      <c r="E233" s="85"/>
      <c r="F233" s="85"/>
      <c r="G233" s="85"/>
      <c r="H233" s="86">
        <f>SUM(H228:H232)</f>
        <v>40280000</v>
      </c>
      <c r="I233" s="86">
        <f>SUM(I228:I232)</f>
        <v>34293681</v>
      </c>
      <c r="J233" s="85"/>
      <c r="K233" s="87">
        <f>+I233/H233</f>
        <v>0.85138234856007944</v>
      </c>
      <c r="L233" s="85">
        <f>COUNTA(L228:L232)</f>
        <v>5</v>
      </c>
      <c r="M233" s="88">
        <f>SUM(M228:M232)/L233</f>
        <v>6.8</v>
      </c>
      <c r="N233" s="89"/>
      <c r="O233" s="85"/>
      <c r="P233" s="119">
        <f>4/L233</f>
        <v>0.8</v>
      </c>
      <c r="Q233" s="85"/>
    </row>
    <row r="234" spans="2:31" x14ac:dyDescent="0.25">
      <c r="C234" s="39"/>
    </row>
    <row r="235" spans="2:31" x14ac:dyDescent="0.25">
      <c r="C235" s="39"/>
      <c r="E235" s="126" t="s">
        <v>1171</v>
      </c>
      <c r="F235" s="70" t="str">
        <f>"'15 final"</f>
        <v>'15 final</v>
      </c>
      <c r="G235" s="70" t="str">
        <f>"'16 final"</f>
        <v>'16 final</v>
      </c>
      <c r="H235" s="121" t="s">
        <v>1360</v>
      </c>
      <c r="I235" s="121" t="str">
        <f>"'18 final"</f>
        <v>'18 final</v>
      </c>
      <c r="P235" s="11"/>
    </row>
    <row r="236" spans="2:31" x14ac:dyDescent="0.25">
      <c r="C236" s="39"/>
      <c r="E236" s="71" t="s">
        <v>800</v>
      </c>
      <c r="F236" s="11">
        <v>8</v>
      </c>
      <c r="G236" s="11">
        <v>10</v>
      </c>
      <c r="H236" s="104">
        <v>10</v>
      </c>
      <c r="I236" s="104">
        <f>+L233</f>
        <v>5</v>
      </c>
      <c r="P236" s="11"/>
    </row>
    <row r="237" spans="2:31" x14ac:dyDescent="0.25">
      <c r="C237" s="39"/>
      <c r="E237" s="72" t="s">
        <v>801</v>
      </c>
      <c r="F237" s="11">
        <v>4</v>
      </c>
      <c r="G237" s="11">
        <v>7</v>
      </c>
      <c r="H237" s="104">
        <v>7</v>
      </c>
      <c r="I237" s="104">
        <f>+I236-I238</f>
        <v>4</v>
      </c>
      <c r="P237" s="11"/>
    </row>
    <row r="238" spans="2:31" x14ac:dyDescent="0.25">
      <c r="C238" s="39"/>
      <c r="E238" s="72" t="s">
        <v>802</v>
      </c>
      <c r="F238" s="11">
        <v>4</v>
      </c>
      <c r="G238" s="11">
        <v>3</v>
      </c>
      <c r="H238" s="104">
        <v>3</v>
      </c>
      <c r="I238" s="104">
        <v>1</v>
      </c>
      <c r="P238" s="11"/>
    </row>
    <row r="239" spans="2:31" x14ac:dyDescent="0.25">
      <c r="C239" s="39"/>
      <c r="E239" s="72"/>
      <c r="F239" s="11"/>
      <c r="G239" s="11"/>
      <c r="H239" s="104"/>
      <c r="I239" s="104"/>
      <c r="P239" s="11"/>
    </row>
    <row r="240" spans="2:31" x14ac:dyDescent="0.25">
      <c r="C240" s="39"/>
      <c r="E240" s="72" t="s">
        <v>1144</v>
      </c>
      <c r="F240" s="78">
        <v>53</v>
      </c>
      <c r="G240" s="78">
        <v>81</v>
      </c>
      <c r="H240" s="122">
        <v>41.790157999999998</v>
      </c>
      <c r="I240" s="122">
        <f>+I233/1000000</f>
        <v>34.293680999999999</v>
      </c>
      <c r="P240" s="11"/>
    </row>
    <row r="241" spans="2:41" x14ac:dyDescent="0.25">
      <c r="C241" s="39"/>
      <c r="E241" s="72" t="s">
        <v>806</v>
      </c>
      <c r="F241" s="75">
        <v>8.75</v>
      </c>
      <c r="G241" s="75">
        <v>6.9</v>
      </c>
      <c r="H241" s="123">
        <v>5.8</v>
      </c>
      <c r="I241" s="123">
        <f>+M233</f>
        <v>6.8</v>
      </c>
      <c r="P241" s="11"/>
    </row>
    <row r="242" spans="2:41" x14ac:dyDescent="0.25">
      <c r="C242" s="39"/>
      <c r="E242" s="72" t="s">
        <v>807</v>
      </c>
      <c r="F242" s="74">
        <v>0.97399999999999998</v>
      </c>
      <c r="G242" s="74">
        <v>0.81599999999999995</v>
      </c>
      <c r="H242" s="124">
        <v>0.92343736603690196</v>
      </c>
      <c r="I242" s="124">
        <f>+I233/H233</f>
        <v>0.85138234856007944</v>
      </c>
      <c r="P242" s="11"/>
    </row>
    <row r="243" spans="2:41" x14ac:dyDescent="0.25">
      <c r="C243" s="39"/>
      <c r="E243" s="72"/>
      <c r="F243" s="11"/>
      <c r="G243" s="11"/>
      <c r="H243" s="104"/>
      <c r="I243" s="104"/>
      <c r="P243" s="11"/>
    </row>
    <row r="244" spans="2:41" x14ac:dyDescent="0.25">
      <c r="C244" s="39"/>
      <c r="E244" s="72" t="s">
        <v>803</v>
      </c>
      <c r="F244" s="74">
        <f>7/8</f>
        <v>0.875</v>
      </c>
      <c r="G244" s="74">
        <v>0.8</v>
      </c>
      <c r="H244" s="108">
        <v>0.9</v>
      </c>
      <c r="I244" s="108">
        <f>+P233</f>
        <v>0.8</v>
      </c>
      <c r="P244" s="11"/>
    </row>
    <row r="245" spans="2:41" x14ac:dyDescent="0.25">
      <c r="C245" s="107"/>
      <c r="D245" s="52"/>
      <c r="E245" s="72" t="s">
        <v>804</v>
      </c>
      <c r="F245" s="74">
        <v>0.75</v>
      </c>
      <c r="G245" s="74">
        <f>6/7</f>
        <v>0.8571428571428571</v>
      </c>
      <c r="H245" s="108">
        <v>1</v>
      </c>
      <c r="I245" s="108">
        <f>3/I237</f>
        <v>0.75</v>
      </c>
      <c r="P245" s="11"/>
    </row>
    <row r="246" spans="2:41" x14ac:dyDescent="0.25">
      <c r="C246" s="107"/>
      <c r="D246" s="52"/>
      <c r="E246" s="72" t="s">
        <v>805</v>
      </c>
      <c r="F246" s="74">
        <v>1</v>
      </c>
      <c r="G246" s="74">
        <v>0.66700000000000004</v>
      </c>
      <c r="H246" s="108">
        <v>0.66666666666666663</v>
      </c>
      <c r="I246" s="108">
        <f>1/I238</f>
        <v>1</v>
      </c>
      <c r="P246" s="11"/>
    </row>
    <row r="247" spans="2:41" x14ac:dyDescent="0.25">
      <c r="C247" s="39"/>
      <c r="E247" s="72"/>
      <c r="F247" s="11"/>
      <c r="G247" s="11"/>
      <c r="H247" s="104"/>
      <c r="I247" s="104"/>
      <c r="P247" s="11"/>
    </row>
    <row r="248" spans="2:41" x14ac:dyDescent="0.25">
      <c r="C248" s="39"/>
      <c r="E248" s="72" t="s">
        <v>1141</v>
      </c>
      <c r="F248" s="11">
        <v>1</v>
      </c>
      <c r="G248" s="11">
        <v>0</v>
      </c>
      <c r="H248" s="104">
        <v>4</v>
      </c>
      <c r="I248" s="104">
        <v>0</v>
      </c>
    </row>
    <row r="249" spans="2:41" x14ac:dyDescent="0.25">
      <c r="E249" s="106" t="s">
        <v>1143</v>
      </c>
      <c r="F249" s="108">
        <f>+F248/F236</f>
        <v>0.125</v>
      </c>
      <c r="G249" s="74">
        <v>0</v>
      </c>
      <c r="H249" s="108">
        <v>0.4</v>
      </c>
      <c r="I249" s="108">
        <f>+I248/I236</f>
        <v>0</v>
      </c>
    </row>
    <row r="250" spans="2:41" x14ac:dyDescent="0.25">
      <c r="C250" s="39"/>
      <c r="E250" s="72" t="s">
        <v>1142</v>
      </c>
      <c r="F250" s="11">
        <v>1</v>
      </c>
      <c r="G250" s="11">
        <v>0</v>
      </c>
      <c r="H250" s="104">
        <v>1</v>
      </c>
      <c r="I250" s="104">
        <v>0</v>
      </c>
    </row>
    <row r="251" spans="2:41" x14ac:dyDescent="0.25">
      <c r="C251" s="39"/>
      <c r="E251" s="106" t="s">
        <v>1169</v>
      </c>
      <c r="F251" s="108">
        <f t="shared" ref="F251:G251" si="9">+F250/F236</f>
        <v>0.125</v>
      </c>
      <c r="G251" s="108">
        <f t="shared" si="9"/>
        <v>0</v>
      </c>
      <c r="H251" s="108">
        <v>0.1</v>
      </c>
      <c r="I251" s="108">
        <f>+I250/I236</f>
        <v>0</v>
      </c>
    </row>
    <row r="252" spans="2:41" x14ac:dyDescent="0.25">
      <c r="C252" s="39"/>
    </row>
    <row r="253" spans="2:41" x14ac:dyDescent="0.25">
      <c r="C253" s="39"/>
    </row>
    <row r="254" spans="2:41" x14ac:dyDescent="0.25">
      <c r="C254" s="39"/>
    </row>
    <row r="255" spans="2:41" x14ac:dyDescent="0.25">
      <c r="B255" s="224"/>
      <c r="C255" s="39">
        <v>2018</v>
      </c>
      <c r="D255" s="62" t="s">
        <v>1326</v>
      </c>
      <c r="E255" s="63" t="s">
        <v>1327</v>
      </c>
      <c r="F255" s="64">
        <v>43441</v>
      </c>
      <c r="G255" s="65" t="s">
        <v>34</v>
      </c>
      <c r="H255" s="94">
        <v>5000000</v>
      </c>
      <c r="I255" s="94">
        <v>4380000</v>
      </c>
      <c r="J255" s="105" t="s">
        <v>519</v>
      </c>
      <c r="K255" s="153">
        <v>-0.124</v>
      </c>
      <c r="L255" s="11" t="s">
        <v>464</v>
      </c>
      <c r="M255" s="15">
        <v>4</v>
      </c>
      <c r="N255" s="35" t="s">
        <v>25</v>
      </c>
      <c r="O255" s="15">
        <v>4</v>
      </c>
      <c r="P255" s="35" t="s">
        <v>459</v>
      </c>
      <c r="Q255" s="35"/>
      <c r="R255" s="15"/>
      <c r="S255" s="24"/>
      <c r="T255" s="62" t="s">
        <v>447</v>
      </c>
      <c r="U255" s="62"/>
      <c r="V255" s="94">
        <v>5853509.5</v>
      </c>
      <c r="W255" s="199">
        <v>0.74826905124182341</v>
      </c>
      <c r="X255" s="15"/>
      <c r="Y255" s="200">
        <v>0.876</v>
      </c>
      <c r="Z255" s="11" t="s">
        <v>465</v>
      </c>
      <c r="AA255" s="11"/>
      <c r="AB255" s="15"/>
      <c r="AC255" s="54">
        <v>5000000</v>
      </c>
      <c r="AD255" s="54">
        <v>4380000</v>
      </c>
      <c r="AE255" s="54">
        <v>620000</v>
      </c>
      <c r="AG255" s="4"/>
      <c r="AH255" s="4"/>
      <c r="AI255" s="225"/>
      <c r="AJ255" s="226"/>
      <c r="AK255" s="227"/>
      <c r="AL255" s="227"/>
      <c r="AM255" s="225"/>
      <c r="AN255" s="226"/>
      <c r="AO255" s="228"/>
    </row>
    <row r="256" spans="2:41" x14ac:dyDescent="0.25">
      <c r="B256" s="224"/>
      <c r="C256" s="39">
        <v>2018</v>
      </c>
      <c r="D256" s="62" t="s">
        <v>1328</v>
      </c>
      <c r="E256" s="63" t="s">
        <v>1329</v>
      </c>
      <c r="F256" s="64">
        <v>43440</v>
      </c>
      <c r="G256" s="65" t="s">
        <v>1225</v>
      </c>
      <c r="H256" s="94">
        <v>1500000</v>
      </c>
      <c r="I256" s="94">
        <v>2546000</v>
      </c>
      <c r="J256" s="105"/>
      <c r="K256" s="153">
        <v>0.69733333333333336</v>
      </c>
      <c r="L256" s="11" t="s">
        <v>465</v>
      </c>
      <c r="M256" s="15">
        <v>3</v>
      </c>
      <c r="N256" s="35" t="s">
        <v>25</v>
      </c>
      <c r="O256" s="15">
        <v>4</v>
      </c>
      <c r="P256" s="35" t="s">
        <v>459</v>
      </c>
      <c r="Q256" s="35"/>
      <c r="R256" s="15"/>
      <c r="S256" s="24"/>
      <c r="T256" s="62" t="s">
        <v>447</v>
      </c>
      <c r="U256" s="62"/>
      <c r="V256" s="94">
        <v>4262816.666666667</v>
      </c>
      <c r="W256" s="199">
        <v>0.59725768173625415</v>
      </c>
      <c r="X256" s="15"/>
      <c r="Y256" s="200">
        <v>1.6973333333333334</v>
      </c>
      <c r="Z256" s="11" t="s">
        <v>465</v>
      </c>
      <c r="AA256" s="11"/>
      <c r="AB256" s="15"/>
      <c r="AC256" s="54">
        <v>1500000</v>
      </c>
      <c r="AD256" s="54">
        <v>2546000</v>
      </c>
      <c r="AE256" s="54">
        <v>-1046000</v>
      </c>
      <c r="AG256" s="4"/>
      <c r="AH256" s="4"/>
      <c r="AI256" s="225"/>
      <c r="AJ256" s="226"/>
      <c r="AK256" s="227"/>
      <c r="AL256" s="227"/>
      <c r="AM256" s="225"/>
      <c r="AN256" s="226"/>
      <c r="AO256" s="228"/>
    </row>
    <row r="257" spans="2:43" x14ac:dyDescent="0.25">
      <c r="B257" s="224"/>
      <c r="C257" s="39">
        <v>2018</v>
      </c>
      <c r="D257" s="62" t="s">
        <v>1354</v>
      </c>
      <c r="E257" s="63" t="s">
        <v>1355</v>
      </c>
      <c r="F257" s="64">
        <v>43412</v>
      </c>
      <c r="G257" s="65" t="s">
        <v>34</v>
      </c>
      <c r="H257" s="94">
        <v>9720000</v>
      </c>
      <c r="I257" s="94">
        <v>7666000</v>
      </c>
      <c r="J257" s="94"/>
      <c r="K257" s="153">
        <v>-0.21131687242798353</v>
      </c>
      <c r="L257" s="11" t="s">
        <v>465</v>
      </c>
      <c r="M257" s="15">
        <v>4</v>
      </c>
      <c r="N257" s="35" t="s">
        <v>226</v>
      </c>
      <c r="O257" s="15">
        <v>4</v>
      </c>
      <c r="P257" s="35" t="s">
        <v>459</v>
      </c>
      <c r="Q257" s="35"/>
      <c r="R257" s="15"/>
      <c r="S257" s="24"/>
      <c r="T257" s="62" t="s">
        <v>447</v>
      </c>
      <c r="U257" s="62"/>
      <c r="V257" s="94">
        <v>8557038.75</v>
      </c>
      <c r="W257" s="199">
        <v>0.89587066553835581</v>
      </c>
      <c r="X257" s="15"/>
      <c r="Y257" s="200">
        <v>0.78868312757201642</v>
      </c>
      <c r="Z257" s="11" t="s">
        <v>465</v>
      </c>
      <c r="AA257" s="11"/>
      <c r="AB257" s="15"/>
      <c r="AC257" s="54">
        <v>9720000</v>
      </c>
      <c r="AD257" s="54">
        <v>7666000</v>
      </c>
      <c r="AE257" s="54">
        <v>2054000</v>
      </c>
      <c r="AG257" s="4"/>
      <c r="AH257" s="4"/>
      <c r="AI257" s="225"/>
      <c r="AJ257" s="226"/>
      <c r="AK257" s="227"/>
      <c r="AL257" s="227"/>
      <c r="AM257" s="225"/>
      <c r="AN257" s="226"/>
      <c r="AO257" s="228"/>
    </row>
    <row r="258" spans="2:43" x14ac:dyDescent="0.25">
      <c r="B258" s="224"/>
      <c r="C258" s="39">
        <v>2018</v>
      </c>
      <c r="D258" s="62" t="s">
        <v>1334</v>
      </c>
      <c r="E258" s="63" t="s">
        <v>1335</v>
      </c>
      <c r="F258" s="64">
        <v>43405</v>
      </c>
      <c r="G258" s="65" t="s">
        <v>34</v>
      </c>
      <c r="H258" s="94">
        <v>9650000</v>
      </c>
      <c r="I258" s="94">
        <v>9200000</v>
      </c>
      <c r="J258" s="94" t="s">
        <v>519</v>
      </c>
      <c r="K258" s="153">
        <v>-4.6632124352331605E-2</v>
      </c>
      <c r="L258" s="11" t="s">
        <v>464</v>
      </c>
      <c r="M258" s="15">
        <v>1</v>
      </c>
      <c r="N258" s="35" t="s">
        <v>25</v>
      </c>
      <c r="O258" s="15">
        <v>4</v>
      </c>
      <c r="P258" s="35" t="s">
        <v>459</v>
      </c>
      <c r="Q258" s="35"/>
      <c r="R258" s="15"/>
      <c r="S258" s="24" t="s">
        <v>1323</v>
      </c>
      <c r="T258" s="62" t="s">
        <v>447</v>
      </c>
      <c r="U258" s="62"/>
      <c r="V258" s="94">
        <v>9200000</v>
      </c>
      <c r="W258" s="199">
        <v>1</v>
      </c>
      <c r="X258" s="15"/>
      <c r="Y258" s="200">
        <v>0.95336787564766834</v>
      </c>
      <c r="Z258" s="11" t="s">
        <v>465</v>
      </c>
      <c r="AA258" s="11"/>
      <c r="AB258" s="15"/>
      <c r="AC258" s="54">
        <v>9650000</v>
      </c>
      <c r="AD258" s="54">
        <v>9200000</v>
      </c>
      <c r="AE258" s="54">
        <v>450000</v>
      </c>
      <c r="AG258" s="4"/>
      <c r="AH258" s="4"/>
      <c r="AI258" s="225"/>
      <c r="AJ258" s="226"/>
      <c r="AK258" s="227"/>
      <c r="AL258" s="227"/>
      <c r="AM258" s="225"/>
      <c r="AN258" s="226"/>
      <c r="AO258" s="228"/>
    </row>
    <row r="259" spans="2:43" x14ac:dyDescent="0.25">
      <c r="B259" s="224"/>
      <c r="C259" s="39">
        <v>2018</v>
      </c>
      <c r="D259" s="62" t="s">
        <v>1336</v>
      </c>
      <c r="E259" s="63" t="s">
        <v>1337</v>
      </c>
      <c r="F259" s="64">
        <v>43404</v>
      </c>
      <c r="G259" s="65" t="s">
        <v>34</v>
      </c>
      <c r="H259" s="94">
        <v>6500000</v>
      </c>
      <c r="I259" s="94">
        <v>4149491</v>
      </c>
      <c r="J259" s="105"/>
      <c r="K259" s="153">
        <v>-0.36161676923076924</v>
      </c>
      <c r="L259" s="11" t="s">
        <v>465</v>
      </c>
      <c r="M259" s="15">
        <v>8</v>
      </c>
      <c r="N259" s="35" t="s">
        <v>25</v>
      </c>
      <c r="O259" s="15">
        <v>4</v>
      </c>
      <c r="P259" s="35" t="s">
        <v>459</v>
      </c>
      <c r="Q259" s="35"/>
      <c r="R259" s="15"/>
      <c r="S259" s="24" t="s">
        <v>932</v>
      </c>
      <c r="T259" s="62" t="s">
        <v>447</v>
      </c>
      <c r="U259" s="62"/>
      <c r="V259" s="94">
        <v>5708325.25</v>
      </c>
      <c r="W259" s="199">
        <v>0.72691916074684082</v>
      </c>
      <c r="X259" s="15"/>
      <c r="Y259" s="200">
        <v>0.63838323076923076</v>
      </c>
      <c r="Z259" s="11" t="s">
        <v>465</v>
      </c>
      <c r="AA259" s="11"/>
      <c r="AB259" s="15"/>
      <c r="AC259" s="54">
        <v>6500000</v>
      </c>
      <c r="AD259" s="54">
        <v>4149491</v>
      </c>
      <c r="AE259" s="54">
        <v>2350509</v>
      </c>
      <c r="AG259" s="4"/>
      <c r="AH259" s="4"/>
      <c r="AI259" s="225"/>
      <c r="AJ259" s="226"/>
      <c r="AK259" s="227"/>
      <c r="AL259" s="227"/>
      <c r="AM259" s="225"/>
      <c r="AN259" s="226"/>
      <c r="AO259" s="228"/>
    </row>
    <row r="260" spans="2:43" x14ac:dyDescent="0.25">
      <c r="B260" s="224"/>
      <c r="C260" s="39">
        <v>2018</v>
      </c>
      <c r="D260" s="62" t="s">
        <v>1338</v>
      </c>
      <c r="E260" s="63" t="s">
        <v>1339</v>
      </c>
      <c r="F260" s="64">
        <v>43397</v>
      </c>
      <c r="G260" s="65" t="s">
        <v>34</v>
      </c>
      <c r="H260" s="94">
        <v>2971000</v>
      </c>
      <c r="I260" s="94">
        <v>2384000</v>
      </c>
      <c r="J260" s="105" t="s">
        <v>519</v>
      </c>
      <c r="K260" s="153">
        <v>-0.1975765735442612</v>
      </c>
      <c r="L260" s="11" t="s">
        <v>464</v>
      </c>
      <c r="M260" s="15">
        <v>2</v>
      </c>
      <c r="N260" s="35" t="s">
        <v>25</v>
      </c>
      <c r="O260" s="15">
        <v>4</v>
      </c>
      <c r="P260" s="35" t="s">
        <v>459</v>
      </c>
      <c r="Q260" s="35"/>
      <c r="R260" s="15"/>
      <c r="S260" s="24"/>
      <c r="T260" s="62" t="s">
        <v>447</v>
      </c>
      <c r="U260" s="62"/>
      <c r="V260" s="94">
        <v>3291500</v>
      </c>
      <c r="W260" s="199">
        <v>0.72428983746012454</v>
      </c>
      <c r="X260" s="15"/>
      <c r="Y260" s="200">
        <v>0.80242342645573883</v>
      </c>
      <c r="Z260" s="11" t="s">
        <v>465</v>
      </c>
      <c r="AA260" s="11"/>
      <c r="AB260" s="15"/>
      <c r="AC260" s="54">
        <v>2971000</v>
      </c>
      <c r="AD260" s="54">
        <v>2384000</v>
      </c>
      <c r="AE260" s="54">
        <v>587000</v>
      </c>
      <c r="AG260" s="4"/>
      <c r="AH260" s="4"/>
      <c r="AI260" s="225"/>
      <c r="AJ260" s="226"/>
      <c r="AK260" s="227"/>
      <c r="AL260" s="227"/>
      <c r="AM260" s="225"/>
      <c r="AN260" s="226"/>
      <c r="AO260" s="228"/>
    </row>
    <row r="261" spans="2:43" x14ac:dyDescent="0.25">
      <c r="B261" s="224"/>
      <c r="C261" s="39">
        <v>2018</v>
      </c>
      <c r="D261" s="62" t="s">
        <v>1342</v>
      </c>
      <c r="E261" s="63" t="s">
        <v>1343</v>
      </c>
      <c r="F261" s="64">
        <v>43376</v>
      </c>
      <c r="G261" s="65" t="s">
        <v>34</v>
      </c>
      <c r="H261" s="94">
        <v>21700000</v>
      </c>
      <c r="I261" s="94">
        <v>15765000</v>
      </c>
      <c r="J261" s="94" t="s">
        <v>519</v>
      </c>
      <c r="K261" s="153">
        <v>-0.27350230414746546</v>
      </c>
      <c r="L261" s="11" t="s">
        <v>464</v>
      </c>
      <c r="M261" s="15">
        <v>5</v>
      </c>
      <c r="N261" s="35" t="s">
        <v>25</v>
      </c>
      <c r="O261" s="15">
        <v>4</v>
      </c>
      <c r="P261" s="35" t="s">
        <v>459</v>
      </c>
      <c r="Q261" s="35"/>
      <c r="R261" s="15"/>
      <c r="S261" s="24"/>
      <c r="T261" s="62" t="s">
        <v>447</v>
      </c>
      <c r="U261" s="62"/>
      <c r="V261" s="94">
        <v>26085716</v>
      </c>
      <c r="W261" s="199">
        <v>0.60435373903480361</v>
      </c>
      <c r="X261" s="15"/>
      <c r="Y261" s="200">
        <v>0.72649769585253454</v>
      </c>
      <c r="Z261" s="11" t="s">
        <v>465</v>
      </c>
      <c r="AA261" s="11"/>
      <c r="AB261" s="15"/>
      <c r="AC261" s="54">
        <v>21700000</v>
      </c>
      <c r="AD261" s="54">
        <v>15765000</v>
      </c>
      <c r="AE261" s="54">
        <v>5935000</v>
      </c>
      <c r="AG261" s="4">
        <v>405750200</v>
      </c>
      <c r="AH261" s="4">
        <v>351743588</v>
      </c>
      <c r="AI261" s="204">
        <v>0.86689689370455025</v>
      </c>
      <c r="AJ261" s="1" t="s">
        <v>1240</v>
      </c>
      <c r="AK261" s="205">
        <v>1162894350</v>
      </c>
      <c r="AL261" s="205">
        <v>925393062</v>
      </c>
      <c r="AM261" s="206">
        <v>0.795767097845131</v>
      </c>
      <c r="AN261" s="207" t="s">
        <v>1241</v>
      </c>
      <c r="AO261" s="208"/>
      <c r="AQ261" s="203">
        <v>0.5892857142857143</v>
      </c>
    </row>
    <row r="262" spans="2:43" x14ac:dyDescent="0.25">
      <c r="B262" s="52"/>
      <c r="C262" s="39">
        <v>2018</v>
      </c>
      <c r="D262" s="62" t="s">
        <v>1295</v>
      </c>
      <c r="E262" s="63" t="s">
        <v>1296</v>
      </c>
      <c r="F262" s="64">
        <v>43363</v>
      </c>
      <c r="G262" s="65" t="s">
        <v>1225</v>
      </c>
      <c r="H262" s="94">
        <v>1700000</v>
      </c>
      <c r="I262" s="94">
        <v>1560315</v>
      </c>
      <c r="J262" s="105" t="s">
        <v>519</v>
      </c>
      <c r="K262" s="26">
        <v>-8.2167647058823526E-2</v>
      </c>
      <c r="L262" s="11" t="s">
        <v>464</v>
      </c>
      <c r="M262" s="15">
        <v>2</v>
      </c>
      <c r="N262" s="35" t="s">
        <v>25</v>
      </c>
      <c r="O262" s="15">
        <v>3</v>
      </c>
      <c r="P262" s="35" t="s">
        <v>459</v>
      </c>
      <c r="Q262" s="35"/>
      <c r="R262" s="15"/>
      <c r="S262" s="24"/>
      <c r="T262" s="62" t="s">
        <v>447</v>
      </c>
      <c r="U262" s="62"/>
      <c r="V262" s="94">
        <v>2705657.5</v>
      </c>
      <c r="W262" s="199">
        <v>0.57668607353295831</v>
      </c>
      <c r="X262" s="15"/>
      <c r="Y262" s="200">
        <v>0.91783235294117649</v>
      </c>
      <c r="Z262" s="11" t="s">
        <v>465</v>
      </c>
      <c r="AA262" s="11"/>
      <c r="AB262" s="15"/>
      <c r="AC262" s="54">
        <v>1700000</v>
      </c>
      <c r="AD262" s="54">
        <v>1560315</v>
      </c>
      <c r="AE262" s="54">
        <v>139685</v>
      </c>
    </row>
    <row r="263" spans="2:43" x14ac:dyDescent="0.25">
      <c r="B263" s="52"/>
      <c r="C263" s="39">
        <v>2018</v>
      </c>
      <c r="D263" s="62" t="s">
        <v>1297</v>
      </c>
      <c r="E263" s="63" t="s">
        <v>1298</v>
      </c>
      <c r="F263" s="64">
        <v>43356</v>
      </c>
      <c r="G263" s="65" t="s">
        <v>34</v>
      </c>
      <c r="H263" s="94">
        <v>5960000</v>
      </c>
      <c r="I263" s="94">
        <v>6956000</v>
      </c>
      <c r="J263" s="27"/>
      <c r="K263" s="26">
        <v>0.16711409395973154</v>
      </c>
      <c r="L263" s="11" t="s">
        <v>465</v>
      </c>
      <c r="M263" s="15">
        <v>4</v>
      </c>
      <c r="N263" s="35" t="s">
        <v>25</v>
      </c>
      <c r="O263" s="15">
        <v>3</v>
      </c>
      <c r="P263" s="35" t="s">
        <v>459</v>
      </c>
      <c r="Q263" s="35"/>
      <c r="R263" s="15"/>
      <c r="S263" s="24"/>
      <c r="T263" s="62" t="s">
        <v>447</v>
      </c>
      <c r="U263" s="62"/>
      <c r="V263" s="94">
        <v>8933697.75</v>
      </c>
      <c r="W263" s="199">
        <v>0.77862495403988785</v>
      </c>
      <c r="X263" s="15"/>
      <c r="Y263" s="200">
        <v>1.1671140939597315</v>
      </c>
      <c r="Z263" s="11" t="s">
        <v>465</v>
      </c>
      <c r="AA263" s="11"/>
      <c r="AB263" s="15"/>
      <c r="AC263" s="54">
        <v>5960000</v>
      </c>
      <c r="AD263" s="54">
        <v>6956000</v>
      </c>
      <c r="AE263" s="54">
        <v>-996000</v>
      </c>
    </row>
    <row r="264" spans="2:43" x14ac:dyDescent="0.25">
      <c r="C264" s="39">
        <v>2018</v>
      </c>
      <c r="D264" s="62" t="s">
        <v>1299</v>
      </c>
      <c r="E264" s="63" t="s">
        <v>1300</v>
      </c>
      <c r="F264" s="64">
        <v>43264</v>
      </c>
      <c r="G264" s="65" t="s">
        <v>34</v>
      </c>
      <c r="H264" s="94">
        <v>38600000</v>
      </c>
      <c r="I264" s="94">
        <v>35950000</v>
      </c>
      <c r="J264" s="27" t="s">
        <v>519</v>
      </c>
      <c r="K264" s="26">
        <v>-6.8652849740932637E-2</v>
      </c>
      <c r="L264" s="11" t="s">
        <v>464</v>
      </c>
      <c r="M264" s="15">
        <v>2</v>
      </c>
      <c r="N264" s="35" t="s">
        <v>25</v>
      </c>
      <c r="O264" s="15">
        <v>2</v>
      </c>
      <c r="P264" s="35" t="s">
        <v>459</v>
      </c>
      <c r="Q264" s="35"/>
      <c r="R264" s="15"/>
      <c r="S264" s="24"/>
      <c r="T264" s="62" t="s">
        <v>447</v>
      </c>
      <c r="U264" s="62"/>
      <c r="V264" s="94">
        <v>39922000</v>
      </c>
      <c r="W264" s="199">
        <v>0.90050598667401438</v>
      </c>
      <c r="X264" s="15"/>
      <c r="Y264" s="200">
        <v>0.93134715025906734</v>
      </c>
      <c r="Z264" s="11" t="s">
        <v>465</v>
      </c>
      <c r="AA264" s="11"/>
      <c r="AB264" s="15"/>
      <c r="AC264" s="54">
        <v>38600000</v>
      </c>
      <c r="AD264" s="54">
        <v>35950000</v>
      </c>
      <c r="AE264" s="54">
        <v>2650000</v>
      </c>
    </row>
    <row r="265" spans="2:43" x14ac:dyDescent="0.25">
      <c r="C265" s="39">
        <v>2018</v>
      </c>
      <c r="D265" s="62" t="s">
        <v>1301</v>
      </c>
      <c r="E265" s="63" t="s">
        <v>1302</v>
      </c>
      <c r="F265" s="64">
        <v>43251</v>
      </c>
      <c r="G265" s="65" t="s">
        <v>34</v>
      </c>
      <c r="H265" s="94">
        <v>1567000</v>
      </c>
      <c r="I265" s="94">
        <v>918315</v>
      </c>
      <c r="J265" s="105" t="s">
        <v>519</v>
      </c>
      <c r="K265" s="26">
        <v>-0.41396617740906189</v>
      </c>
      <c r="L265" s="11" t="s">
        <v>464</v>
      </c>
      <c r="M265" s="15">
        <v>5</v>
      </c>
      <c r="N265" s="35" t="s">
        <v>25</v>
      </c>
      <c r="O265" s="15">
        <v>2</v>
      </c>
      <c r="P265" s="35" t="s">
        <v>459</v>
      </c>
      <c r="Q265" s="35"/>
      <c r="R265" s="15"/>
      <c r="S265" s="24" t="s">
        <v>932</v>
      </c>
      <c r="T265" s="62" t="s">
        <v>447</v>
      </c>
      <c r="U265" s="62"/>
      <c r="V265" s="94">
        <v>2609788.4</v>
      </c>
      <c r="W265" s="199">
        <v>0.351873354943259</v>
      </c>
      <c r="X265" s="15"/>
      <c r="Y265" s="200">
        <v>0.58603382259093806</v>
      </c>
      <c r="Z265" s="11" t="s">
        <v>465</v>
      </c>
      <c r="AA265" s="11"/>
      <c r="AB265" s="15"/>
      <c r="AC265" s="54">
        <v>1567000</v>
      </c>
      <c r="AD265" s="54">
        <v>918315</v>
      </c>
      <c r="AE265" s="54">
        <v>648685</v>
      </c>
    </row>
    <row r="266" spans="2:43" x14ac:dyDescent="0.25">
      <c r="C266" s="39">
        <v>2018</v>
      </c>
      <c r="D266" s="62" t="s">
        <v>1303</v>
      </c>
      <c r="E266" s="63" t="s">
        <v>1304</v>
      </c>
      <c r="F266" s="64">
        <v>43195</v>
      </c>
      <c r="G266" s="65" t="s">
        <v>34</v>
      </c>
      <c r="H266" s="94">
        <v>1520000</v>
      </c>
      <c r="I266" s="94">
        <v>856934</v>
      </c>
      <c r="J266" s="105" t="s">
        <v>519</v>
      </c>
      <c r="K266" s="26">
        <v>-0.43622763157894739</v>
      </c>
      <c r="L266" s="11" t="s">
        <v>464</v>
      </c>
      <c r="M266" s="15">
        <v>4</v>
      </c>
      <c r="N266" s="35" t="s">
        <v>25</v>
      </c>
      <c r="O266" s="15">
        <v>2</v>
      </c>
      <c r="P266" s="35" t="s">
        <v>459</v>
      </c>
      <c r="Q266" s="35" t="s">
        <v>1242</v>
      </c>
      <c r="R266" s="15"/>
      <c r="S266" s="24" t="s">
        <v>932</v>
      </c>
      <c r="T266" s="62" t="s">
        <v>447</v>
      </c>
      <c r="U266" s="62"/>
      <c r="V266" s="94">
        <v>1906983.5</v>
      </c>
      <c r="W266" s="199">
        <v>0.4493662373061959</v>
      </c>
      <c r="X266" s="15"/>
      <c r="Y266" s="200">
        <v>0.56377236842105261</v>
      </c>
      <c r="Z266" s="11" t="s">
        <v>465</v>
      </c>
      <c r="AA266" s="11"/>
      <c r="AB266" s="15"/>
      <c r="AC266" s="54">
        <v>1520000</v>
      </c>
      <c r="AD266" s="54">
        <v>856934</v>
      </c>
      <c r="AE266" s="54">
        <v>663066</v>
      </c>
    </row>
    <row r="267" spans="2:43" x14ac:dyDescent="0.25">
      <c r="C267" s="39">
        <v>2018</v>
      </c>
      <c r="D267" s="62" t="s">
        <v>1305</v>
      </c>
      <c r="E267" s="63" t="s">
        <v>1306</v>
      </c>
      <c r="F267" s="64">
        <v>43167</v>
      </c>
      <c r="G267" s="65" t="s">
        <v>34</v>
      </c>
      <c r="H267" s="94">
        <v>1600000</v>
      </c>
      <c r="I267" s="94">
        <v>1948000</v>
      </c>
      <c r="J267" s="105"/>
      <c r="K267" s="26">
        <v>0.2175</v>
      </c>
      <c r="L267" s="11" t="s">
        <v>465</v>
      </c>
      <c r="M267" s="15">
        <v>2</v>
      </c>
      <c r="N267" s="35" t="s">
        <v>25</v>
      </c>
      <c r="O267" s="15">
        <v>1</v>
      </c>
      <c r="P267" s="35" t="s">
        <v>459</v>
      </c>
      <c r="Q267" s="35" t="s">
        <v>1243</v>
      </c>
      <c r="R267" s="15"/>
      <c r="S267" s="24"/>
      <c r="T267" s="62" t="s">
        <v>447</v>
      </c>
      <c r="U267" s="62"/>
      <c r="V267" s="94">
        <v>2353500</v>
      </c>
      <c r="W267" s="199">
        <v>0.82770342043764611</v>
      </c>
      <c r="X267" s="15"/>
      <c r="Y267" s="200">
        <v>1.2175</v>
      </c>
      <c r="Z267" s="11" t="s">
        <v>465</v>
      </c>
      <c r="AA267" s="11"/>
      <c r="AB267" s="15"/>
      <c r="AC267" s="54">
        <v>1600000</v>
      </c>
      <c r="AD267" s="54">
        <v>1948000</v>
      </c>
      <c r="AE267" s="54">
        <v>-348000</v>
      </c>
    </row>
    <row r="268" spans="2:43" x14ac:dyDescent="0.25">
      <c r="C268" s="39">
        <v>2018</v>
      </c>
      <c r="D268" s="62" t="s">
        <v>1307</v>
      </c>
      <c r="E268" s="63" t="s">
        <v>1308</v>
      </c>
      <c r="F268" s="64">
        <v>43118</v>
      </c>
      <c r="G268" s="65" t="s">
        <v>756</v>
      </c>
      <c r="H268" s="94">
        <v>26900000</v>
      </c>
      <c r="I268" s="94">
        <v>24990000</v>
      </c>
      <c r="J268" s="27" t="s">
        <v>519</v>
      </c>
      <c r="K268" s="26">
        <v>-7.1003717472118963E-2</v>
      </c>
      <c r="L268" s="11" t="s">
        <v>464</v>
      </c>
      <c r="M268" s="15">
        <v>2</v>
      </c>
      <c r="N268" s="35" t="s">
        <v>226</v>
      </c>
      <c r="O268" s="15">
        <v>1</v>
      </c>
      <c r="P268" s="35" t="s">
        <v>459</v>
      </c>
      <c r="Q268" s="35" t="s">
        <v>1246</v>
      </c>
      <c r="R268" s="15"/>
      <c r="S268" s="24"/>
      <c r="T268" s="62" t="s">
        <v>447</v>
      </c>
      <c r="U268" s="62"/>
      <c r="V268" s="94">
        <v>35017000</v>
      </c>
      <c r="W268" s="199">
        <v>0.71365336836393756</v>
      </c>
      <c r="X268" s="15"/>
      <c r="Y268" s="200">
        <v>0.92899628252788102</v>
      </c>
      <c r="Z268" s="11" t="s">
        <v>465</v>
      </c>
      <c r="AA268" s="11"/>
      <c r="AB268" s="15"/>
      <c r="AC268" s="54">
        <v>26900000</v>
      </c>
      <c r="AD268" s="54">
        <v>24990000</v>
      </c>
      <c r="AE268" s="54">
        <v>1910000</v>
      </c>
    </row>
    <row r="269" spans="2:43" x14ac:dyDescent="0.25">
      <c r="C269" s="39">
        <v>2018</v>
      </c>
      <c r="D269" s="62" t="s">
        <v>1309</v>
      </c>
      <c r="E269" s="63" t="s">
        <v>1310</v>
      </c>
      <c r="F269" s="64">
        <v>43110</v>
      </c>
      <c r="G269" s="65" t="s">
        <v>190</v>
      </c>
      <c r="H269" s="94">
        <v>200000000</v>
      </c>
      <c r="I269" s="94">
        <v>108511400</v>
      </c>
      <c r="J269" s="27"/>
      <c r="K269" s="26">
        <v>-0.45744299999999999</v>
      </c>
      <c r="L269" s="11" t="s">
        <v>465</v>
      </c>
      <c r="M269" s="15">
        <v>5</v>
      </c>
      <c r="N269" s="35" t="s">
        <v>226</v>
      </c>
      <c r="O269" s="15">
        <v>1</v>
      </c>
      <c r="P269" s="35" t="s">
        <v>459</v>
      </c>
      <c r="Q269" s="35" t="s">
        <v>1246</v>
      </c>
      <c r="R269" s="15"/>
      <c r="S269" s="24" t="s">
        <v>932</v>
      </c>
      <c r="T269" s="62" t="s">
        <v>447</v>
      </c>
      <c r="U269" s="62"/>
      <c r="V269" s="94">
        <v>136419680</v>
      </c>
      <c r="W269" s="199">
        <v>0.79542335827206168</v>
      </c>
      <c r="X269" s="15"/>
      <c r="Y269" s="200">
        <v>0.54255699999999996</v>
      </c>
      <c r="Z269" s="11" t="s">
        <v>465</v>
      </c>
      <c r="AA269" s="11"/>
      <c r="AB269" s="15"/>
      <c r="AC269" s="54">
        <v>200000000</v>
      </c>
      <c r="AD269" s="54">
        <v>108511400</v>
      </c>
      <c r="AE269" s="54">
        <v>91488600</v>
      </c>
    </row>
    <row r="270" spans="2:43" x14ac:dyDescent="0.25">
      <c r="C270" s="39"/>
      <c r="E270" s="85"/>
      <c r="F270" s="85"/>
      <c r="G270" s="85"/>
      <c r="H270" s="86">
        <f>SUM(H255:H269)</f>
        <v>334888000</v>
      </c>
      <c r="I270" s="86">
        <f>SUM(I255:I269)</f>
        <v>227781455</v>
      </c>
      <c r="J270" s="85"/>
      <c r="K270" s="87">
        <f>+I270/H270</f>
        <v>0.68017204259334463</v>
      </c>
      <c r="L270" s="85">
        <f>COUNTA(L255:L269)</f>
        <v>15</v>
      </c>
      <c r="M270" s="88">
        <f>SUM(M255:M269)/L270</f>
        <v>3.5333333333333332</v>
      </c>
      <c r="N270" s="89"/>
      <c r="O270" s="85"/>
      <c r="P270" s="119">
        <f>9/L270</f>
        <v>0.6</v>
      </c>
      <c r="Q270" s="85"/>
    </row>
    <row r="271" spans="2:43" x14ac:dyDescent="0.25">
      <c r="C271" s="39"/>
    </row>
    <row r="272" spans="2:43" x14ac:dyDescent="0.25">
      <c r="C272" s="39"/>
      <c r="E272" s="126" t="s">
        <v>1172</v>
      </c>
      <c r="F272" s="70" t="str">
        <f>"'15 final"</f>
        <v>'15 final</v>
      </c>
      <c r="G272" s="70" t="str">
        <f>"'16 final"</f>
        <v>'16 final</v>
      </c>
      <c r="H272" s="121" t="s">
        <v>1360</v>
      </c>
      <c r="I272" s="121" t="str">
        <f>"'18 final"</f>
        <v>'18 final</v>
      </c>
      <c r="P272" s="11"/>
    </row>
    <row r="273" spans="3:16" x14ac:dyDescent="0.25">
      <c r="C273" s="39"/>
      <c r="E273" s="71" t="s">
        <v>800</v>
      </c>
      <c r="F273" s="11">
        <v>4</v>
      </c>
      <c r="G273" s="11">
        <v>6</v>
      </c>
      <c r="H273" s="104">
        <v>4</v>
      </c>
      <c r="I273" s="104">
        <f>+L270</f>
        <v>15</v>
      </c>
      <c r="P273" s="11"/>
    </row>
    <row r="274" spans="3:16" x14ac:dyDescent="0.25">
      <c r="C274" s="39"/>
      <c r="E274" s="72" t="s">
        <v>801</v>
      </c>
      <c r="F274" s="11">
        <v>4</v>
      </c>
      <c r="G274" s="11">
        <v>5</v>
      </c>
      <c r="H274" s="104">
        <v>2</v>
      </c>
      <c r="I274" s="104">
        <f>+I273-I275</f>
        <v>8</v>
      </c>
      <c r="P274" s="11"/>
    </row>
    <row r="275" spans="3:16" x14ac:dyDescent="0.25">
      <c r="C275" s="39"/>
      <c r="E275" s="72" t="s">
        <v>802</v>
      </c>
      <c r="F275" s="11">
        <v>0</v>
      </c>
      <c r="G275" s="11">
        <v>1</v>
      </c>
      <c r="H275" s="104">
        <v>2</v>
      </c>
      <c r="I275" s="104">
        <v>7</v>
      </c>
      <c r="P275" s="11"/>
    </row>
    <row r="276" spans="3:16" x14ac:dyDescent="0.25">
      <c r="C276" s="39"/>
      <c r="E276" s="72"/>
      <c r="F276" s="11"/>
      <c r="G276" s="11"/>
      <c r="H276" s="104"/>
      <c r="I276" s="104"/>
      <c r="P276" s="11"/>
    </row>
    <row r="277" spans="3:16" x14ac:dyDescent="0.25">
      <c r="C277" s="39"/>
      <c r="E277" s="72" t="s">
        <v>1144</v>
      </c>
      <c r="F277" s="78">
        <v>14</v>
      </c>
      <c r="G277" s="78">
        <v>32</v>
      </c>
      <c r="H277" s="122">
        <v>76.745751999999996</v>
      </c>
      <c r="I277" s="122">
        <f>+I270/1000000</f>
        <v>227.78145499999999</v>
      </c>
      <c r="P277" s="11"/>
    </row>
    <row r="278" spans="3:16" x14ac:dyDescent="0.25">
      <c r="C278" s="39"/>
      <c r="E278" s="72" t="s">
        <v>806</v>
      </c>
      <c r="F278" s="75">
        <v>2.8</v>
      </c>
      <c r="G278" s="75">
        <v>4.33</v>
      </c>
      <c r="H278" s="123">
        <v>4.5</v>
      </c>
      <c r="I278" s="123">
        <f>+M270</f>
        <v>3.5333333333333332</v>
      </c>
      <c r="P278" s="11"/>
    </row>
    <row r="279" spans="3:16" x14ac:dyDescent="0.25">
      <c r="C279" s="39"/>
      <c r="E279" s="72" t="s">
        <v>807</v>
      </c>
      <c r="F279" s="74">
        <v>1.3169999999999999</v>
      </c>
      <c r="G279" s="74">
        <v>0.90100000000000002</v>
      </c>
      <c r="H279" s="124">
        <v>1.2098520036573446</v>
      </c>
      <c r="I279" s="124">
        <f>+I270/H270</f>
        <v>0.68017204259334463</v>
      </c>
      <c r="P279" s="11"/>
    </row>
    <row r="280" spans="3:16" x14ac:dyDescent="0.25">
      <c r="C280" s="39"/>
      <c r="E280" s="72"/>
      <c r="F280" s="11"/>
      <c r="G280" s="11"/>
      <c r="H280" s="104"/>
      <c r="I280" s="104"/>
      <c r="P280" s="11"/>
    </row>
    <row r="281" spans="3:16" x14ac:dyDescent="0.25">
      <c r="C281" s="39"/>
      <c r="E281" s="72" t="s">
        <v>803</v>
      </c>
      <c r="F281" s="74">
        <v>0.25</v>
      </c>
      <c r="G281" s="74">
        <f>4/6</f>
        <v>0.66666666666666663</v>
      </c>
      <c r="H281" s="108">
        <v>0.5</v>
      </c>
      <c r="I281" s="108">
        <f>+P270</f>
        <v>0.6</v>
      </c>
      <c r="P281" s="11"/>
    </row>
    <row r="282" spans="3:16" x14ac:dyDescent="0.25">
      <c r="C282" s="107"/>
      <c r="D282" s="52"/>
      <c r="E282" s="72" t="s">
        <v>804</v>
      </c>
      <c r="F282" s="74">
        <v>0.25</v>
      </c>
      <c r="G282" s="74">
        <f>3/5</f>
        <v>0.6</v>
      </c>
      <c r="H282" s="108">
        <v>0.5</v>
      </c>
      <c r="I282" s="108">
        <f>5/I274</f>
        <v>0.625</v>
      </c>
      <c r="P282" s="11"/>
    </row>
    <row r="283" spans="3:16" x14ac:dyDescent="0.25">
      <c r="C283" s="107"/>
      <c r="D283" s="52"/>
      <c r="E283" s="72" t="s">
        <v>805</v>
      </c>
      <c r="F283" s="127" t="s">
        <v>1173</v>
      </c>
      <c r="G283" s="74">
        <v>1</v>
      </c>
      <c r="H283" s="108">
        <v>0.5</v>
      </c>
      <c r="I283" s="108">
        <f>4/I275</f>
        <v>0.5714285714285714</v>
      </c>
      <c r="P283" s="11"/>
    </row>
    <row r="284" spans="3:16" x14ac:dyDescent="0.25">
      <c r="C284" s="39"/>
      <c r="E284" s="72"/>
      <c r="F284" s="11"/>
      <c r="G284" s="11"/>
      <c r="H284" s="104"/>
      <c r="I284" s="104"/>
      <c r="P284" s="11"/>
    </row>
    <row r="285" spans="3:16" x14ac:dyDescent="0.25">
      <c r="C285" s="39"/>
      <c r="E285" s="72" t="s">
        <v>1141</v>
      </c>
      <c r="F285" s="11">
        <v>4</v>
      </c>
      <c r="G285" s="11">
        <v>3</v>
      </c>
      <c r="H285" s="104">
        <v>2</v>
      </c>
      <c r="I285" s="104">
        <v>7</v>
      </c>
    </row>
    <row r="286" spans="3:16" x14ac:dyDescent="0.25">
      <c r="E286" s="106" t="s">
        <v>1143</v>
      </c>
      <c r="F286" s="74">
        <f>F285/F273</f>
        <v>1</v>
      </c>
      <c r="G286" s="74">
        <f>G285/G273</f>
        <v>0.5</v>
      </c>
      <c r="H286" s="108">
        <v>0.5</v>
      </c>
      <c r="I286" s="108">
        <f>+I285/I273</f>
        <v>0.46666666666666667</v>
      </c>
    </row>
    <row r="287" spans="3:16" x14ac:dyDescent="0.25">
      <c r="C287" s="39"/>
      <c r="E287" s="72" t="s">
        <v>1142</v>
      </c>
      <c r="F287" s="11">
        <v>1</v>
      </c>
      <c r="G287" s="11">
        <v>1</v>
      </c>
      <c r="H287" s="104">
        <v>0</v>
      </c>
      <c r="I287" s="104">
        <v>0</v>
      </c>
    </row>
    <row r="288" spans="3:16" x14ac:dyDescent="0.25">
      <c r="C288" s="39"/>
      <c r="E288" s="106" t="s">
        <v>1169</v>
      </c>
      <c r="F288" s="108">
        <f t="shared" ref="F288:G288" si="10">+F287/F273</f>
        <v>0.25</v>
      </c>
      <c r="G288" s="108">
        <f t="shared" si="10"/>
        <v>0.16666666666666666</v>
      </c>
      <c r="H288" s="108">
        <v>0</v>
      </c>
      <c r="I288" s="108">
        <f>+I287/I273</f>
        <v>0</v>
      </c>
    </row>
    <row r="289" spans="3:16" x14ac:dyDescent="0.25">
      <c r="C289" s="39"/>
    </row>
    <row r="290" spans="3:16" x14ac:dyDescent="0.25">
      <c r="C290" s="39"/>
    </row>
    <row r="291" spans="3:16" x14ac:dyDescent="0.25">
      <c r="C291" s="39"/>
    </row>
    <row r="292" spans="3:16" x14ac:dyDescent="0.25">
      <c r="C292" s="39"/>
      <c r="E292" s="126" t="s">
        <v>1391</v>
      </c>
      <c r="F292" s="70" t="s">
        <v>1390</v>
      </c>
      <c r="G292" s="70" t="s">
        <v>457</v>
      </c>
      <c r="H292" s="121" t="s">
        <v>459</v>
      </c>
      <c r="I292" s="121" t="s">
        <v>492</v>
      </c>
      <c r="P292" s="11"/>
    </row>
    <row r="293" spans="3:16" x14ac:dyDescent="0.25">
      <c r="C293" s="39"/>
      <c r="E293" s="71" t="s">
        <v>800</v>
      </c>
      <c r="F293" s="90">
        <f>+I209</f>
        <v>21</v>
      </c>
      <c r="G293" s="90">
        <f>+I166</f>
        <v>15</v>
      </c>
      <c r="H293" s="264">
        <f>+I273</f>
        <v>15</v>
      </c>
      <c r="I293" s="264">
        <f>+I236</f>
        <v>5</v>
      </c>
      <c r="P293" s="11"/>
    </row>
    <row r="294" spans="3:16" x14ac:dyDescent="0.25">
      <c r="C294" s="39"/>
      <c r="E294" s="72" t="s">
        <v>801</v>
      </c>
      <c r="F294" s="11">
        <f t="shared" ref="F294:F308" si="11">+I210</f>
        <v>11</v>
      </c>
      <c r="G294" s="11">
        <f t="shared" ref="G294:G308" si="12">+I167</f>
        <v>10</v>
      </c>
      <c r="H294" s="104">
        <f t="shared" ref="H294:H308" si="13">+I274</f>
        <v>8</v>
      </c>
      <c r="I294" s="104">
        <f t="shared" ref="I294:I308" si="14">+I237</f>
        <v>4</v>
      </c>
      <c r="P294" s="11"/>
    </row>
    <row r="295" spans="3:16" x14ac:dyDescent="0.25">
      <c r="C295" s="39"/>
      <c r="E295" s="72" t="s">
        <v>802</v>
      </c>
      <c r="F295" s="11">
        <f t="shared" si="11"/>
        <v>10</v>
      </c>
      <c r="G295" s="11">
        <f t="shared" si="12"/>
        <v>5</v>
      </c>
      <c r="H295" s="104">
        <f t="shared" si="13"/>
        <v>7</v>
      </c>
      <c r="I295" s="104">
        <f t="shared" si="14"/>
        <v>1</v>
      </c>
      <c r="P295" s="11"/>
    </row>
    <row r="296" spans="3:16" x14ac:dyDescent="0.25">
      <c r="C296" s="39"/>
      <c r="E296" s="72"/>
      <c r="F296" s="11"/>
      <c r="G296" s="11"/>
      <c r="H296" s="104"/>
      <c r="I296" s="104"/>
      <c r="P296" s="11"/>
    </row>
    <row r="297" spans="3:16" x14ac:dyDescent="0.25">
      <c r="C297" s="39"/>
      <c r="E297" s="72" t="s">
        <v>1144</v>
      </c>
      <c r="F297" s="265">
        <f t="shared" si="11"/>
        <v>525.71042699999998</v>
      </c>
      <c r="G297" s="265">
        <f t="shared" si="12"/>
        <v>137.60749899999999</v>
      </c>
      <c r="H297" s="265">
        <f t="shared" si="13"/>
        <v>227.78145499999999</v>
      </c>
      <c r="I297" s="265">
        <f t="shared" si="14"/>
        <v>34.293680999999999</v>
      </c>
      <c r="J297" s="260"/>
      <c r="P297" s="11"/>
    </row>
    <row r="298" spans="3:16" x14ac:dyDescent="0.25">
      <c r="C298" s="39"/>
      <c r="E298" s="72" t="s">
        <v>806</v>
      </c>
      <c r="F298" s="123">
        <f t="shared" si="11"/>
        <v>4.9523809523809526</v>
      </c>
      <c r="G298" s="123">
        <f t="shared" si="12"/>
        <v>4.666666666666667</v>
      </c>
      <c r="H298" s="263">
        <f t="shared" si="13"/>
        <v>3.5333333333333332</v>
      </c>
      <c r="I298" s="262">
        <f t="shared" si="14"/>
        <v>6.8</v>
      </c>
      <c r="P298" s="11"/>
    </row>
    <row r="299" spans="3:16" x14ac:dyDescent="0.25">
      <c r="C299" s="39"/>
      <c r="E299" s="72" t="s">
        <v>807</v>
      </c>
      <c r="F299" s="267">
        <f t="shared" si="11"/>
        <v>0.86225559917866734</v>
      </c>
      <c r="G299" s="268">
        <f t="shared" si="12"/>
        <v>0.77292711374356338</v>
      </c>
      <c r="H299" s="269">
        <f t="shared" si="13"/>
        <v>0.68017204259334463</v>
      </c>
      <c r="I299" s="267">
        <f t="shared" si="14"/>
        <v>0.85138234856007944</v>
      </c>
      <c r="P299" s="11"/>
    </row>
    <row r="300" spans="3:16" x14ac:dyDescent="0.25">
      <c r="C300" s="39"/>
      <c r="E300" s="72"/>
      <c r="F300" s="11"/>
      <c r="G300" s="11"/>
      <c r="H300" s="104"/>
      <c r="I300" s="104"/>
      <c r="P300" s="11"/>
    </row>
    <row r="301" spans="3:16" x14ac:dyDescent="0.25">
      <c r="C301" s="39"/>
      <c r="E301" s="72" t="s">
        <v>803</v>
      </c>
      <c r="F301" s="266">
        <f t="shared" si="11"/>
        <v>0.47619047619047616</v>
      </c>
      <c r="G301" s="266">
        <f t="shared" si="12"/>
        <v>0.66666666666666663</v>
      </c>
      <c r="H301" s="266">
        <f t="shared" si="13"/>
        <v>0.6</v>
      </c>
      <c r="I301" s="267">
        <f t="shared" si="14"/>
        <v>0.8</v>
      </c>
      <c r="P301" s="11"/>
    </row>
    <row r="302" spans="3:16" x14ac:dyDescent="0.25">
      <c r="C302" s="107"/>
      <c r="D302" s="52"/>
      <c r="E302" s="72" t="s">
        <v>804</v>
      </c>
      <c r="F302" s="74">
        <f t="shared" si="11"/>
        <v>0.45454545454545453</v>
      </c>
      <c r="G302" s="74">
        <f t="shared" si="12"/>
        <v>0.5</v>
      </c>
      <c r="H302" s="108">
        <f t="shared" si="13"/>
        <v>0.625</v>
      </c>
      <c r="I302" s="108">
        <f t="shared" si="14"/>
        <v>0.75</v>
      </c>
      <c r="P302" s="11"/>
    </row>
    <row r="303" spans="3:16" x14ac:dyDescent="0.25">
      <c r="C303" s="107"/>
      <c r="D303" s="52"/>
      <c r="E303" s="72" t="s">
        <v>805</v>
      </c>
      <c r="F303" s="74">
        <f t="shared" si="11"/>
        <v>0.5</v>
      </c>
      <c r="G303" s="261">
        <f t="shared" si="12"/>
        <v>1</v>
      </c>
      <c r="H303" s="108">
        <f t="shared" si="13"/>
        <v>0.5714285714285714</v>
      </c>
      <c r="I303" s="261">
        <f t="shared" si="14"/>
        <v>1</v>
      </c>
      <c r="P303" s="11"/>
    </row>
    <row r="304" spans="3:16" x14ac:dyDescent="0.25">
      <c r="C304" s="39"/>
      <c r="E304" s="72"/>
      <c r="F304" s="11"/>
      <c r="G304" s="11"/>
      <c r="H304" s="104"/>
      <c r="I304" s="104"/>
      <c r="P304" s="11"/>
    </row>
    <row r="305" spans="3:9" x14ac:dyDescent="0.25">
      <c r="C305" s="39"/>
      <c r="E305" s="72" t="s">
        <v>1141</v>
      </c>
      <c r="F305" s="11">
        <f t="shared" si="11"/>
        <v>11</v>
      </c>
      <c r="G305" s="11">
        <f t="shared" si="12"/>
        <v>5</v>
      </c>
      <c r="H305" s="104">
        <f t="shared" si="13"/>
        <v>7</v>
      </c>
      <c r="I305" s="104">
        <f t="shared" si="14"/>
        <v>0</v>
      </c>
    </row>
    <row r="306" spans="3:9" x14ac:dyDescent="0.25">
      <c r="E306" s="106" t="s">
        <v>1143</v>
      </c>
      <c r="F306" s="266">
        <f t="shared" si="11"/>
        <v>0.52380952380952384</v>
      </c>
      <c r="G306" s="266">
        <f t="shared" si="12"/>
        <v>0.33333333333333331</v>
      </c>
      <c r="H306" s="266">
        <f t="shared" si="13"/>
        <v>0.46666666666666667</v>
      </c>
      <c r="I306" s="267">
        <f t="shared" si="14"/>
        <v>0</v>
      </c>
    </row>
    <row r="307" spans="3:9" x14ac:dyDescent="0.25">
      <c r="C307" s="39"/>
      <c r="E307" s="72" t="s">
        <v>1142</v>
      </c>
      <c r="F307" s="11">
        <f t="shared" si="11"/>
        <v>3</v>
      </c>
      <c r="G307" s="11">
        <f t="shared" si="12"/>
        <v>4</v>
      </c>
      <c r="H307" s="104">
        <f t="shared" si="13"/>
        <v>0</v>
      </c>
      <c r="I307" s="104">
        <f t="shared" si="14"/>
        <v>0</v>
      </c>
    </row>
    <row r="308" spans="3:9" x14ac:dyDescent="0.25">
      <c r="C308" s="39"/>
      <c r="E308" s="106" t="s">
        <v>1169</v>
      </c>
      <c r="F308" s="74">
        <f t="shared" si="11"/>
        <v>0.14285714285714285</v>
      </c>
      <c r="G308" s="74">
        <f t="shared" si="12"/>
        <v>0.26666666666666666</v>
      </c>
      <c r="H308" s="108">
        <f t="shared" si="13"/>
        <v>0</v>
      </c>
      <c r="I308" s="108">
        <f t="shared" si="14"/>
        <v>0</v>
      </c>
    </row>
    <row r="309" spans="3:9" x14ac:dyDescent="0.25">
      <c r="C309" s="39"/>
    </row>
    <row r="310" spans="3:9" x14ac:dyDescent="0.25">
      <c r="C310" s="39"/>
    </row>
    <row r="311" spans="3:9" x14ac:dyDescent="0.25">
      <c r="C311" s="39"/>
    </row>
    <row r="312" spans="3:9" x14ac:dyDescent="0.25">
      <c r="C312" s="39"/>
    </row>
    <row r="313" spans="3:9" x14ac:dyDescent="0.25">
      <c r="C313" s="39"/>
    </row>
    <row r="314" spans="3:9" x14ac:dyDescent="0.25">
      <c r="C314" s="39"/>
    </row>
    <row r="315" spans="3:9" x14ac:dyDescent="0.25">
      <c r="C315" s="39"/>
    </row>
    <row r="316" spans="3:9" x14ac:dyDescent="0.25">
      <c r="C316" s="39"/>
    </row>
    <row r="317" spans="3:9" x14ac:dyDescent="0.25">
      <c r="C317" s="39"/>
    </row>
    <row r="318" spans="3:9" x14ac:dyDescent="0.25">
      <c r="C318" s="39"/>
    </row>
    <row r="319" spans="3:9" x14ac:dyDescent="0.25">
      <c r="C319" s="39"/>
    </row>
    <row r="320" spans="3:9" x14ac:dyDescent="0.25">
      <c r="C320" s="39"/>
    </row>
    <row r="321" spans="2:41" x14ac:dyDescent="0.25">
      <c r="C321" s="39"/>
    </row>
    <row r="322" spans="2:41" x14ac:dyDescent="0.25">
      <c r="C322" s="39"/>
    </row>
    <row r="323" spans="2:41" x14ac:dyDescent="0.25">
      <c r="B323" s="128"/>
      <c r="C323" s="129"/>
      <c r="D323" s="128"/>
      <c r="E323" s="128"/>
      <c r="F323" s="128"/>
      <c r="G323" s="128"/>
      <c r="H323" s="128"/>
      <c r="I323" s="128"/>
      <c r="J323" s="128"/>
      <c r="K323" s="128"/>
      <c r="L323" s="128"/>
      <c r="M323" s="128"/>
      <c r="N323" s="130"/>
      <c r="O323" s="128"/>
      <c r="P323" s="128"/>
      <c r="Q323" s="128"/>
      <c r="R323" s="128"/>
    </row>
    <row r="324" spans="2:41" x14ac:dyDescent="0.25">
      <c r="C324" s="39"/>
    </row>
    <row r="325" spans="2:41" x14ac:dyDescent="0.25">
      <c r="C325" s="39"/>
    </row>
    <row r="326" spans="2:41" x14ac:dyDescent="0.25">
      <c r="C326" s="39"/>
      <c r="D326" s="15"/>
      <c r="E326" s="24"/>
      <c r="F326" s="25"/>
      <c r="G326" s="46"/>
      <c r="H326" s="27"/>
      <c r="I326" s="27"/>
      <c r="J326" s="27"/>
      <c r="K326" s="26"/>
      <c r="L326" s="11"/>
      <c r="M326" s="62"/>
      <c r="P326" s="11"/>
      <c r="V326" s="54"/>
      <c r="W326" s="54"/>
      <c r="X326" s="54"/>
    </row>
    <row r="327" spans="2:41" x14ac:dyDescent="0.25">
      <c r="C327" s="39"/>
    </row>
    <row r="328" spans="2:41" x14ac:dyDescent="0.25">
      <c r="C328" s="39"/>
    </row>
    <row r="329" spans="2:41" x14ac:dyDescent="0.25">
      <c r="C329" s="39"/>
    </row>
    <row r="330" spans="2:41" x14ac:dyDescent="0.25">
      <c r="B330" s="224"/>
      <c r="C330" s="39">
        <v>2018</v>
      </c>
      <c r="D330" s="62" t="str">
        <f>+'[1]PAT-774.174'!$F$4</f>
        <v>PAT-774.174</v>
      </c>
      <c r="E330" s="63" t="str">
        <f>+'[1]PAT-774.174'!$F$5</f>
        <v>Grove Street Headhouse Permanent Flood Protection</v>
      </c>
      <c r="F330" s="64">
        <f>+'[1]PAT-774.174'!$F$6</f>
        <v>43405</v>
      </c>
      <c r="G330" s="65" t="str">
        <f>+'[1]PAT-774.174'!$G$7</f>
        <v>Public</v>
      </c>
      <c r="H330" s="94">
        <f>+'[1]PAT-774.174'!$F$7</f>
        <v>9650000</v>
      </c>
      <c r="I330" s="94">
        <f>+'[1]PAT-774.174'!$F$8</f>
        <v>9200000</v>
      </c>
      <c r="J330" s="94" t="s">
        <v>519</v>
      </c>
      <c r="K330" s="153">
        <f>+'[1]PAT-774.174'!$G$9</f>
        <v>-4.6632124352331605E-2</v>
      </c>
      <c r="L330" s="11" t="str">
        <f>+'[1]PAT-774.174'!$F$11</f>
        <v>GOOD</v>
      </c>
      <c r="M330" s="15">
        <f>+'[1]PAT-774.174'!$H$12</f>
        <v>1</v>
      </c>
      <c r="N330" s="35" t="s">
        <v>25</v>
      </c>
      <c r="O330" s="15">
        <v>4</v>
      </c>
      <c r="P330" s="35" t="s">
        <v>459</v>
      </c>
      <c r="Q330" s="35"/>
      <c r="R330" s="15"/>
      <c r="S330" s="24" t="s">
        <v>1323</v>
      </c>
      <c r="T330" s="62" t="str">
        <f>+'[1]PAT-774.174'!$J$4</f>
        <v>Nathan Demaisip</v>
      </c>
      <c r="U330" s="62"/>
      <c r="V330" s="94">
        <f>+'[1]PAT-774.174'!$F$12</f>
        <v>9200000</v>
      </c>
      <c r="W330" s="199">
        <f t="shared" ref="W330" si="15">+I330/V330</f>
        <v>1</v>
      </c>
      <c r="X330" s="15"/>
      <c r="Y330" s="200">
        <f t="shared" ref="Y330" si="16">+I330/H330</f>
        <v>0.95336787564766834</v>
      </c>
      <c r="Z330" s="11" t="str">
        <f t="shared" ref="Z330" si="17">(IF(Y330&lt;$Y$3,"FAIL",IF(Y330&gt;$Y$4,"FAIL","GOOD")))</f>
        <v>FAIL</v>
      </c>
      <c r="AA330" s="11"/>
      <c r="AB330" s="15"/>
      <c r="AC330" s="54">
        <f t="shared" ref="AC330:AD330" si="18">+H330</f>
        <v>9650000</v>
      </c>
      <c r="AD330" s="54">
        <f t="shared" si="18"/>
        <v>9200000</v>
      </c>
      <c r="AE330" s="54">
        <f t="shared" ref="AE330" si="19">+AC330-AD330</f>
        <v>450000</v>
      </c>
      <c r="AG330" s="4"/>
      <c r="AH330" s="4"/>
      <c r="AI330" s="225"/>
      <c r="AJ330" s="226"/>
      <c r="AK330" s="227"/>
      <c r="AL330" s="227"/>
      <c r="AM330" s="225"/>
      <c r="AN330" s="226"/>
      <c r="AO330" s="228"/>
    </row>
    <row r="331" spans="2:41" x14ac:dyDescent="0.25">
      <c r="C331" s="39"/>
    </row>
    <row r="332" spans="2:41" x14ac:dyDescent="0.25">
      <c r="C332" s="39"/>
    </row>
    <row r="333" spans="2:41" x14ac:dyDescent="0.25">
      <c r="B333" s="224"/>
      <c r="C333" s="39">
        <v>2018</v>
      </c>
      <c r="D333" s="62" t="s">
        <v>1330</v>
      </c>
      <c r="E333" s="63" t="s">
        <v>1331</v>
      </c>
      <c r="F333" s="64">
        <v>43438</v>
      </c>
      <c r="G333" s="65" t="s">
        <v>34</v>
      </c>
      <c r="H333" s="94">
        <v>122920000</v>
      </c>
      <c r="I333" s="94">
        <v>119769038</v>
      </c>
      <c r="J333" s="94" t="s">
        <v>519</v>
      </c>
      <c r="K333" s="153">
        <v>-2.5634249918646275E-2</v>
      </c>
      <c r="L333" s="11" t="s">
        <v>464</v>
      </c>
      <c r="M333" s="15">
        <v>2</v>
      </c>
      <c r="N333" s="35" t="s">
        <v>25</v>
      </c>
      <c r="O333" s="15">
        <v>4</v>
      </c>
      <c r="P333" s="35" t="s">
        <v>458</v>
      </c>
      <c r="Q333" s="35"/>
      <c r="R333" s="15"/>
      <c r="S333" s="24"/>
      <c r="T333" s="62" t="s">
        <v>784</v>
      </c>
      <c r="U333" s="62"/>
      <c r="V333" s="94">
        <v>122138179</v>
      </c>
      <c r="W333" s="199">
        <v>0.98060278105177912</v>
      </c>
      <c r="X333" s="15"/>
      <c r="Y333" s="200">
        <v>0.97436575008135373</v>
      </c>
      <c r="Z333" s="11" t="s">
        <v>465</v>
      </c>
      <c r="AA333" s="11"/>
      <c r="AB333" s="15"/>
      <c r="AC333" s="54">
        <v>122920000</v>
      </c>
      <c r="AD333" s="54">
        <v>119769038</v>
      </c>
      <c r="AE333" s="54">
        <v>3150962</v>
      </c>
      <c r="AG333" s="4"/>
      <c r="AH333" s="4"/>
      <c r="AI333" s="225"/>
      <c r="AJ333" s="226"/>
      <c r="AK333" s="227"/>
      <c r="AL333" s="227"/>
      <c r="AM333" s="225"/>
      <c r="AN333" s="226"/>
      <c r="AO333" s="228"/>
    </row>
    <row r="334" spans="2:41" x14ac:dyDescent="0.25">
      <c r="B334" s="224"/>
      <c r="C334" s="39">
        <v>2018</v>
      </c>
      <c r="D334" s="62" t="s">
        <v>1338</v>
      </c>
      <c r="E334" s="63" t="s">
        <v>1339</v>
      </c>
      <c r="F334" s="64">
        <v>43397</v>
      </c>
      <c r="G334" s="65" t="s">
        <v>34</v>
      </c>
      <c r="H334" s="94">
        <v>2971000</v>
      </c>
      <c r="I334" s="94">
        <v>2384000</v>
      </c>
      <c r="J334" s="105" t="s">
        <v>519</v>
      </c>
      <c r="K334" s="153">
        <v>-0.1975765735442612</v>
      </c>
      <c r="L334" s="11" t="s">
        <v>464</v>
      </c>
      <c r="M334" s="15">
        <v>2</v>
      </c>
      <c r="N334" s="35" t="s">
        <v>25</v>
      </c>
      <c r="O334" s="15">
        <v>4</v>
      </c>
      <c r="P334" s="35" t="s">
        <v>459</v>
      </c>
      <c r="Q334" s="35"/>
      <c r="R334" s="15"/>
      <c r="S334" s="24"/>
      <c r="T334" s="62" t="s">
        <v>447</v>
      </c>
      <c r="U334" s="62"/>
      <c r="V334" s="94">
        <v>3291500</v>
      </c>
      <c r="W334" s="199">
        <v>0.72428983746012454</v>
      </c>
      <c r="X334" s="15"/>
      <c r="Y334" s="200">
        <v>0.80242342645573883</v>
      </c>
      <c r="Z334" s="11" t="s">
        <v>465</v>
      </c>
      <c r="AA334" s="11"/>
      <c r="AB334" s="15"/>
      <c r="AC334" s="54">
        <v>2971000</v>
      </c>
      <c r="AD334" s="54">
        <v>2384000</v>
      </c>
      <c r="AE334" s="54">
        <v>587000</v>
      </c>
      <c r="AG334" s="4"/>
      <c r="AH334" s="4"/>
      <c r="AI334" s="225"/>
      <c r="AJ334" s="226"/>
      <c r="AK334" s="227"/>
      <c r="AL334" s="227"/>
      <c r="AM334" s="225"/>
      <c r="AN334" s="226"/>
      <c r="AO334" s="228"/>
    </row>
    <row r="335" spans="2:41" x14ac:dyDescent="0.25">
      <c r="B335" s="224"/>
      <c r="C335" s="39">
        <v>2018</v>
      </c>
      <c r="D335" s="62" t="s">
        <v>1349</v>
      </c>
      <c r="E335" s="63" t="s">
        <v>1350</v>
      </c>
      <c r="F335" s="64">
        <v>43391</v>
      </c>
      <c r="G335" s="65" t="s">
        <v>34</v>
      </c>
      <c r="H335" s="94">
        <v>7950000</v>
      </c>
      <c r="I335" s="94">
        <v>6875775</v>
      </c>
      <c r="J335" s="94" t="s">
        <v>519</v>
      </c>
      <c r="K335" s="153">
        <v>-0.13512264150943396</v>
      </c>
      <c r="L335" s="11" t="s">
        <v>464</v>
      </c>
      <c r="M335" s="15">
        <v>2</v>
      </c>
      <c r="N335" s="35" t="s">
        <v>93</v>
      </c>
      <c r="O335" s="15">
        <v>4</v>
      </c>
      <c r="P335" s="35" t="s">
        <v>457</v>
      </c>
      <c r="Q335" s="35"/>
      <c r="R335" s="15"/>
      <c r="S335" s="24"/>
      <c r="T335" s="62" t="s">
        <v>1226</v>
      </c>
      <c r="U335" s="62"/>
      <c r="V335" s="94">
        <v>7451400</v>
      </c>
      <c r="W335" s="199">
        <v>0.92274941621708673</v>
      </c>
      <c r="X335" s="15"/>
      <c r="Y335" s="200">
        <v>0.86487735849056602</v>
      </c>
      <c r="Z335" s="11" t="s">
        <v>465</v>
      </c>
      <c r="AA335" s="11"/>
      <c r="AB335" s="15"/>
      <c r="AC335" s="54">
        <v>7950000</v>
      </c>
      <c r="AD335" s="54">
        <v>6875775</v>
      </c>
      <c r="AE335" s="54">
        <v>1074225</v>
      </c>
      <c r="AG335" s="4"/>
      <c r="AH335" s="4"/>
      <c r="AI335" s="225"/>
      <c r="AJ335" s="226"/>
      <c r="AK335" s="227"/>
      <c r="AL335" s="227"/>
      <c r="AM335" s="225"/>
      <c r="AN335" s="226"/>
      <c r="AO335" s="228"/>
    </row>
    <row r="336" spans="2:41" x14ac:dyDescent="0.25">
      <c r="C336" s="39">
        <v>2018</v>
      </c>
      <c r="D336" s="62" t="s">
        <v>1295</v>
      </c>
      <c r="E336" s="63" t="s">
        <v>1296</v>
      </c>
      <c r="F336" s="64">
        <v>43363</v>
      </c>
      <c r="G336" s="65" t="s">
        <v>1225</v>
      </c>
      <c r="H336" s="94">
        <v>1700000</v>
      </c>
      <c r="I336" s="94">
        <v>1560315</v>
      </c>
      <c r="J336" s="105" t="s">
        <v>519</v>
      </c>
      <c r="K336" s="26">
        <v>-8.2167647058823526E-2</v>
      </c>
      <c r="L336" s="11" t="s">
        <v>464</v>
      </c>
      <c r="M336" s="15">
        <v>2</v>
      </c>
      <c r="N336" s="35" t="s">
        <v>25</v>
      </c>
      <c r="O336" s="15">
        <v>3</v>
      </c>
      <c r="P336" s="35" t="s">
        <v>459</v>
      </c>
      <c r="Q336" s="35"/>
      <c r="R336" s="15"/>
      <c r="S336" s="24"/>
      <c r="T336" s="62" t="s">
        <v>447</v>
      </c>
      <c r="U336" s="62"/>
      <c r="V336" s="94">
        <v>2705657.5</v>
      </c>
      <c r="W336" s="199">
        <v>0.57668607353295831</v>
      </c>
      <c r="X336" s="15"/>
      <c r="Y336" s="200">
        <v>0.91783235294117649</v>
      </c>
      <c r="Z336" s="11" t="s">
        <v>465</v>
      </c>
      <c r="AA336" s="11"/>
      <c r="AB336" s="15"/>
      <c r="AC336" s="54">
        <v>1700000</v>
      </c>
      <c r="AD336" s="54">
        <v>1560315</v>
      </c>
      <c r="AE336" s="54">
        <v>139685</v>
      </c>
    </row>
    <row r="337" spans="2:41" x14ac:dyDescent="0.25">
      <c r="C337" s="39">
        <v>2018</v>
      </c>
      <c r="D337" s="62" t="s">
        <v>1271</v>
      </c>
      <c r="E337" s="63" t="s">
        <v>1272</v>
      </c>
      <c r="F337" s="64">
        <v>43350</v>
      </c>
      <c r="G337" s="65" t="s">
        <v>34</v>
      </c>
      <c r="H337" s="94">
        <v>17920000</v>
      </c>
      <c r="I337" s="94">
        <v>21068000</v>
      </c>
      <c r="J337" s="27"/>
      <c r="K337" s="26">
        <v>0.17566964285714284</v>
      </c>
      <c r="L337" s="11" t="s">
        <v>465</v>
      </c>
      <c r="M337" s="15">
        <v>2</v>
      </c>
      <c r="N337" s="35" t="s">
        <v>93</v>
      </c>
      <c r="O337" s="15">
        <v>3</v>
      </c>
      <c r="P337" s="35" t="s">
        <v>458</v>
      </c>
      <c r="Q337" s="35"/>
      <c r="R337" s="15"/>
      <c r="S337" s="24"/>
      <c r="T337" s="62" t="s">
        <v>536</v>
      </c>
      <c r="U337" s="62"/>
      <c r="V337" s="94">
        <v>22772500</v>
      </c>
      <c r="W337" s="199">
        <v>0.92515094961027555</v>
      </c>
      <c r="X337" s="15"/>
      <c r="Y337" s="200">
        <v>1.1756696428571429</v>
      </c>
      <c r="Z337" s="11" t="s">
        <v>465</v>
      </c>
      <c r="AA337" s="11"/>
      <c r="AB337" s="15"/>
      <c r="AC337" s="54">
        <v>17920000</v>
      </c>
      <c r="AD337" s="54">
        <v>21068000</v>
      </c>
      <c r="AE337" s="54">
        <v>-3148000</v>
      </c>
    </row>
    <row r="338" spans="2:41" x14ac:dyDescent="0.25">
      <c r="C338" s="39">
        <v>2018</v>
      </c>
      <c r="D338" s="62" t="s">
        <v>1223</v>
      </c>
      <c r="E338" s="63" t="s">
        <v>1224</v>
      </c>
      <c r="F338" s="64">
        <v>43326</v>
      </c>
      <c r="G338" s="65" t="s">
        <v>1225</v>
      </c>
      <c r="H338" s="94">
        <v>858000</v>
      </c>
      <c r="I338" s="94">
        <v>743300</v>
      </c>
      <c r="J338" s="105" t="s">
        <v>519</v>
      </c>
      <c r="K338" s="26">
        <v>-0.13368298368298367</v>
      </c>
      <c r="L338" s="11" t="s">
        <v>464</v>
      </c>
      <c r="M338" s="15">
        <v>2</v>
      </c>
      <c r="N338" s="35" t="s">
        <v>25</v>
      </c>
      <c r="O338" s="15">
        <v>3</v>
      </c>
      <c r="P338" s="35" t="s">
        <v>457</v>
      </c>
      <c r="Q338" s="35"/>
      <c r="R338" s="15"/>
      <c r="S338" s="24"/>
      <c r="T338" s="62" t="s">
        <v>1226</v>
      </c>
      <c r="U338" s="62"/>
      <c r="V338" s="94">
        <v>2139150</v>
      </c>
      <c r="W338" s="199">
        <v>0.34747446415632377</v>
      </c>
      <c r="X338" s="15"/>
      <c r="Y338" s="200">
        <v>0.8663170163170163</v>
      </c>
      <c r="Z338" s="11" t="s">
        <v>465</v>
      </c>
      <c r="AA338" s="11"/>
      <c r="AB338" s="15"/>
      <c r="AC338" s="54">
        <v>858000</v>
      </c>
      <c r="AD338" s="54">
        <v>743300</v>
      </c>
      <c r="AE338" s="54">
        <v>114700</v>
      </c>
    </row>
    <row r="339" spans="2:41" x14ac:dyDescent="0.25">
      <c r="C339" s="39">
        <v>2018</v>
      </c>
      <c r="D339" s="62" t="s">
        <v>1227</v>
      </c>
      <c r="E339" s="63" t="s">
        <v>1228</v>
      </c>
      <c r="F339" s="64">
        <v>43326</v>
      </c>
      <c r="G339" s="65" t="s">
        <v>1225</v>
      </c>
      <c r="H339" s="94">
        <v>1300000</v>
      </c>
      <c r="I339" s="94">
        <v>695800</v>
      </c>
      <c r="J339" s="105"/>
      <c r="K339" s="26">
        <v>-0.46476923076923077</v>
      </c>
      <c r="L339" s="11" t="s">
        <v>465</v>
      </c>
      <c r="M339" s="15">
        <v>2</v>
      </c>
      <c r="N339" s="35" t="s">
        <v>226</v>
      </c>
      <c r="O339" s="15">
        <v>3</v>
      </c>
      <c r="P339" s="35" t="s">
        <v>457</v>
      </c>
      <c r="Q339" s="35"/>
      <c r="R339" s="15"/>
      <c r="S339" s="24" t="s">
        <v>932</v>
      </c>
      <c r="T339" s="62" t="s">
        <v>1226</v>
      </c>
      <c r="U339" s="62"/>
      <c r="V339" s="94">
        <v>1057500</v>
      </c>
      <c r="W339" s="199">
        <v>0.65796690307328609</v>
      </c>
      <c r="X339" s="15"/>
      <c r="Y339" s="200">
        <v>0.53523076923076918</v>
      </c>
      <c r="Z339" s="11" t="s">
        <v>465</v>
      </c>
      <c r="AA339" s="11"/>
      <c r="AB339" s="15"/>
      <c r="AC339" s="54">
        <v>1300000</v>
      </c>
      <c r="AD339" s="54">
        <v>695800</v>
      </c>
      <c r="AE339" s="54">
        <v>604200</v>
      </c>
    </row>
    <row r="340" spans="2:41" x14ac:dyDescent="0.25">
      <c r="C340" s="39">
        <v>2018</v>
      </c>
      <c r="D340" s="62" t="s">
        <v>1275</v>
      </c>
      <c r="E340" s="63" t="s">
        <v>1276</v>
      </c>
      <c r="F340" s="64">
        <v>43299</v>
      </c>
      <c r="G340" s="65" t="s">
        <v>190</v>
      </c>
      <c r="H340" s="94">
        <v>34796400</v>
      </c>
      <c r="I340" s="94">
        <v>34483510</v>
      </c>
      <c r="J340" s="27" t="s">
        <v>519</v>
      </c>
      <c r="K340" s="26">
        <v>-8.9920221632122863E-3</v>
      </c>
      <c r="L340" s="11" t="s">
        <v>464</v>
      </c>
      <c r="M340" s="15">
        <v>2</v>
      </c>
      <c r="N340" s="35" t="s">
        <v>93</v>
      </c>
      <c r="O340" s="15">
        <v>3</v>
      </c>
      <c r="P340" s="35" t="s">
        <v>458</v>
      </c>
      <c r="Q340" s="35"/>
      <c r="R340" s="15"/>
      <c r="S340" s="24"/>
      <c r="T340" s="62" t="s">
        <v>784</v>
      </c>
      <c r="U340" s="62"/>
      <c r="V340" s="94">
        <v>35471255</v>
      </c>
      <c r="W340" s="199">
        <v>0.97215364948322236</v>
      </c>
      <c r="X340" s="15"/>
      <c r="Y340" s="200">
        <v>0.99100797783678773</v>
      </c>
      <c r="Z340" s="11" t="s">
        <v>465</v>
      </c>
      <c r="AA340" s="11"/>
      <c r="AB340" s="15"/>
      <c r="AC340" s="54">
        <v>34796400</v>
      </c>
      <c r="AD340" s="54">
        <v>34483510</v>
      </c>
      <c r="AE340" s="54">
        <v>312890</v>
      </c>
    </row>
    <row r="341" spans="2:41" x14ac:dyDescent="0.25">
      <c r="C341" s="39">
        <v>2018</v>
      </c>
      <c r="D341" s="62" t="s">
        <v>1299</v>
      </c>
      <c r="E341" s="63" t="s">
        <v>1300</v>
      </c>
      <c r="F341" s="64">
        <v>43264</v>
      </c>
      <c r="G341" s="65" t="s">
        <v>34</v>
      </c>
      <c r="H341" s="94">
        <v>38600000</v>
      </c>
      <c r="I341" s="94">
        <v>35950000</v>
      </c>
      <c r="J341" s="27" t="s">
        <v>519</v>
      </c>
      <c r="K341" s="26">
        <v>-6.8652849740932637E-2</v>
      </c>
      <c r="L341" s="11" t="s">
        <v>464</v>
      </c>
      <c r="M341" s="15">
        <v>2</v>
      </c>
      <c r="N341" s="35" t="s">
        <v>25</v>
      </c>
      <c r="O341" s="15">
        <v>2</v>
      </c>
      <c r="P341" s="35" t="s">
        <v>459</v>
      </c>
      <c r="Q341" s="35"/>
      <c r="R341" s="15"/>
      <c r="S341" s="24"/>
      <c r="T341" s="62" t="s">
        <v>447</v>
      </c>
      <c r="U341" s="62"/>
      <c r="V341" s="94">
        <v>39922000</v>
      </c>
      <c r="W341" s="199">
        <v>0.90050598667401438</v>
      </c>
      <c r="X341" s="15"/>
      <c r="Y341" s="200">
        <v>0.93134715025906734</v>
      </c>
      <c r="Z341" s="11" t="s">
        <v>465</v>
      </c>
      <c r="AA341" s="11"/>
      <c r="AB341" s="15"/>
      <c r="AC341" s="54">
        <v>38600000</v>
      </c>
      <c r="AD341" s="54">
        <v>35950000</v>
      </c>
      <c r="AE341" s="54">
        <v>2650000</v>
      </c>
    </row>
    <row r="342" spans="2:41" x14ac:dyDescent="0.25">
      <c r="C342" s="39">
        <v>2018</v>
      </c>
      <c r="D342" s="62" t="s">
        <v>1305</v>
      </c>
      <c r="E342" s="63" t="s">
        <v>1306</v>
      </c>
      <c r="F342" s="64">
        <v>43167</v>
      </c>
      <c r="G342" s="65" t="s">
        <v>34</v>
      </c>
      <c r="H342" s="94">
        <v>1600000</v>
      </c>
      <c r="I342" s="94">
        <v>1948000</v>
      </c>
      <c r="J342" s="105"/>
      <c r="K342" s="26">
        <v>0.2175</v>
      </c>
      <c r="L342" s="11" t="s">
        <v>465</v>
      </c>
      <c r="M342" s="15">
        <v>2</v>
      </c>
      <c r="N342" s="35" t="s">
        <v>25</v>
      </c>
      <c r="O342" s="15">
        <v>1</v>
      </c>
      <c r="P342" s="35" t="s">
        <v>459</v>
      </c>
      <c r="Q342" s="35" t="s">
        <v>1243</v>
      </c>
      <c r="R342" s="15"/>
      <c r="S342" s="24"/>
      <c r="T342" s="62" t="s">
        <v>447</v>
      </c>
      <c r="U342" s="62"/>
      <c r="V342" s="94">
        <v>2353500</v>
      </c>
      <c r="W342" s="199">
        <v>0.82770342043764611</v>
      </c>
      <c r="X342" s="15"/>
      <c r="Y342" s="200">
        <v>1.2175</v>
      </c>
      <c r="Z342" s="11" t="s">
        <v>465</v>
      </c>
      <c r="AA342" s="11"/>
      <c r="AB342" s="15"/>
      <c r="AC342" s="54">
        <v>1600000</v>
      </c>
      <c r="AD342" s="54">
        <v>1948000</v>
      </c>
      <c r="AE342" s="54">
        <v>-348000</v>
      </c>
    </row>
    <row r="343" spans="2:41" x14ac:dyDescent="0.25">
      <c r="C343" s="39">
        <v>2018</v>
      </c>
      <c r="D343" s="62" t="s">
        <v>1291</v>
      </c>
      <c r="E343" s="63" t="s">
        <v>1292</v>
      </c>
      <c r="F343" s="64">
        <v>43139</v>
      </c>
      <c r="G343" s="65" t="s">
        <v>190</v>
      </c>
      <c r="H343" s="94">
        <v>10590000</v>
      </c>
      <c r="I343" s="94">
        <v>9125000</v>
      </c>
      <c r="J343" s="27"/>
      <c r="K343" s="26">
        <v>-0.13833805476864966</v>
      </c>
      <c r="L343" s="11" t="s">
        <v>465</v>
      </c>
      <c r="M343" s="15">
        <v>2</v>
      </c>
      <c r="N343" s="35" t="s">
        <v>93</v>
      </c>
      <c r="O343" s="15">
        <v>1</v>
      </c>
      <c r="P343" s="35" t="s">
        <v>458</v>
      </c>
      <c r="Q343" s="35" t="s">
        <v>1235</v>
      </c>
      <c r="R343" s="15"/>
      <c r="S343" s="24"/>
      <c r="T343" s="62" t="s">
        <v>784</v>
      </c>
      <c r="U343" s="62"/>
      <c r="V343" s="94">
        <v>9478917</v>
      </c>
      <c r="W343" s="199">
        <v>0.96266271769232714</v>
      </c>
      <c r="X343" s="15"/>
      <c r="Y343" s="200">
        <v>0.86166194523135031</v>
      </c>
      <c r="Z343" s="11" t="s">
        <v>465</v>
      </c>
      <c r="AA343" s="11"/>
      <c r="AB343" s="15"/>
      <c r="AC343" s="54">
        <v>10590000</v>
      </c>
      <c r="AD343" s="54">
        <v>9125000</v>
      </c>
      <c r="AE343" s="54">
        <v>1465000</v>
      </c>
    </row>
    <row r="344" spans="2:41" x14ac:dyDescent="0.25">
      <c r="C344" s="39">
        <v>2018</v>
      </c>
      <c r="D344" s="62" t="s">
        <v>1307</v>
      </c>
      <c r="E344" s="63" t="s">
        <v>1308</v>
      </c>
      <c r="F344" s="64">
        <v>43118</v>
      </c>
      <c r="G344" s="65" t="s">
        <v>756</v>
      </c>
      <c r="H344" s="94">
        <v>26900000</v>
      </c>
      <c r="I344" s="94">
        <v>24990000</v>
      </c>
      <c r="J344" s="27" t="s">
        <v>519</v>
      </c>
      <c r="K344" s="26">
        <v>-7.1003717472118963E-2</v>
      </c>
      <c r="L344" s="11" t="s">
        <v>464</v>
      </c>
      <c r="M344" s="15">
        <v>2</v>
      </c>
      <c r="N344" s="35" t="s">
        <v>226</v>
      </c>
      <c r="O344" s="15">
        <v>1</v>
      </c>
      <c r="P344" s="35" t="s">
        <v>459</v>
      </c>
      <c r="Q344" s="35" t="s">
        <v>1246</v>
      </c>
      <c r="R344" s="15"/>
      <c r="S344" s="24"/>
      <c r="T344" s="62" t="s">
        <v>447</v>
      </c>
      <c r="U344" s="62"/>
      <c r="V344" s="94">
        <v>35017000</v>
      </c>
      <c r="W344" s="199">
        <v>0.71365336836393756</v>
      </c>
      <c r="X344" s="15"/>
      <c r="Y344" s="200">
        <v>0.92899628252788102</v>
      </c>
      <c r="Z344" s="11" t="s">
        <v>465</v>
      </c>
      <c r="AA344" s="11"/>
      <c r="AB344" s="15"/>
      <c r="AC344" s="54">
        <v>26900000</v>
      </c>
      <c r="AD344" s="54">
        <v>24990000</v>
      </c>
      <c r="AE344" s="54">
        <v>1910000</v>
      </c>
    </row>
    <row r="345" spans="2:41" x14ac:dyDescent="0.25">
      <c r="C345" s="39"/>
    </row>
    <row r="346" spans="2:41" x14ac:dyDescent="0.25">
      <c r="C346" s="39"/>
    </row>
    <row r="347" spans="2:41" x14ac:dyDescent="0.25">
      <c r="B347" s="224"/>
      <c r="C347" s="39">
        <v>2018</v>
      </c>
      <c r="D347" s="62" t="s">
        <v>1324</v>
      </c>
      <c r="E347" s="63" t="s">
        <v>1325</v>
      </c>
      <c r="F347" s="64">
        <v>43452</v>
      </c>
      <c r="G347" s="65" t="s">
        <v>34</v>
      </c>
      <c r="H347" s="94">
        <v>10250000</v>
      </c>
      <c r="I347" s="94">
        <v>8275000</v>
      </c>
      <c r="J347" s="94"/>
      <c r="K347" s="153">
        <v>-0.1926829268292683</v>
      </c>
      <c r="L347" s="11" t="s">
        <v>465</v>
      </c>
      <c r="M347" s="15">
        <v>3</v>
      </c>
      <c r="N347" s="35" t="s">
        <v>25</v>
      </c>
      <c r="O347" s="15">
        <v>4</v>
      </c>
      <c r="P347" s="35" t="s">
        <v>458</v>
      </c>
      <c r="Q347" s="35"/>
      <c r="R347" s="15"/>
      <c r="S347" s="24"/>
      <c r="T347" s="62" t="s">
        <v>784</v>
      </c>
      <c r="U347" s="62"/>
      <c r="V347" s="94">
        <v>9049324.666666666</v>
      </c>
      <c r="W347" s="199">
        <v>0.91443287812195495</v>
      </c>
      <c r="X347" s="15"/>
      <c r="Y347" s="200">
        <v>0.80731707317073176</v>
      </c>
      <c r="Z347" s="11" t="s">
        <v>465</v>
      </c>
      <c r="AA347" s="11"/>
      <c r="AB347" s="15"/>
      <c r="AC347" s="54">
        <v>10250000</v>
      </c>
      <c r="AD347" s="54">
        <v>8275000</v>
      </c>
      <c r="AE347" s="54">
        <v>1975000</v>
      </c>
      <c r="AG347" s="4"/>
      <c r="AH347" s="4"/>
      <c r="AI347" s="225"/>
      <c r="AJ347" s="226"/>
      <c r="AK347" s="227"/>
      <c r="AL347" s="227"/>
      <c r="AM347" s="225"/>
      <c r="AN347" s="226"/>
      <c r="AO347" s="228"/>
    </row>
    <row r="348" spans="2:41" x14ac:dyDescent="0.25">
      <c r="B348" s="224"/>
      <c r="C348" s="39">
        <v>2018</v>
      </c>
      <c r="D348" s="62" t="s">
        <v>1328</v>
      </c>
      <c r="E348" s="63" t="s">
        <v>1329</v>
      </c>
      <c r="F348" s="64">
        <v>43440</v>
      </c>
      <c r="G348" s="65" t="s">
        <v>1225</v>
      </c>
      <c r="H348" s="94">
        <v>1500000</v>
      </c>
      <c r="I348" s="94">
        <v>2546000</v>
      </c>
      <c r="J348" s="105"/>
      <c r="K348" s="153">
        <v>0.69733333333333336</v>
      </c>
      <c r="L348" s="11" t="s">
        <v>465</v>
      </c>
      <c r="M348" s="15">
        <v>3</v>
      </c>
      <c r="N348" s="35" t="s">
        <v>25</v>
      </c>
      <c r="O348" s="15">
        <v>4</v>
      </c>
      <c r="P348" s="35" t="s">
        <v>459</v>
      </c>
      <c r="Q348" s="35"/>
      <c r="R348" s="15"/>
      <c r="S348" s="24"/>
      <c r="T348" s="62" t="s">
        <v>447</v>
      </c>
      <c r="U348" s="62"/>
      <c r="V348" s="94">
        <v>4262816.666666667</v>
      </c>
      <c r="W348" s="199">
        <v>0.59725768173625415</v>
      </c>
      <c r="X348" s="15"/>
      <c r="Y348" s="200">
        <v>1.6973333333333334</v>
      </c>
      <c r="Z348" s="11" t="s">
        <v>465</v>
      </c>
      <c r="AA348" s="11"/>
      <c r="AB348" s="15"/>
      <c r="AC348" s="54">
        <v>1500000</v>
      </c>
      <c r="AD348" s="54">
        <v>2546000</v>
      </c>
      <c r="AE348" s="54">
        <v>-1046000</v>
      </c>
      <c r="AG348" s="4"/>
      <c r="AH348" s="4"/>
      <c r="AI348" s="225"/>
      <c r="AJ348" s="226"/>
      <c r="AK348" s="227"/>
      <c r="AL348" s="227"/>
      <c r="AM348" s="225"/>
      <c r="AN348" s="226"/>
      <c r="AO348" s="228"/>
    </row>
    <row r="349" spans="2:41" x14ac:dyDescent="0.25">
      <c r="B349" s="224"/>
      <c r="C349" s="39">
        <v>2018</v>
      </c>
      <c r="D349" s="62" t="s">
        <v>1344</v>
      </c>
      <c r="E349" s="63" t="s">
        <v>1345</v>
      </c>
      <c r="F349" s="64">
        <v>43413</v>
      </c>
      <c r="G349" s="65" t="s">
        <v>34</v>
      </c>
      <c r="H349" s="94">
        <v>186355200</v>
      </c>
      <c r="I349" s="94">
        <v>152100000</v>
      </c>
      <c r="J349" s="94"/>
      <c r="K349" s="153">
        <v>-0.18381671131259014</v>
      </c>
      <c r="L349" s="11" t="s">
        <v>465</v>
      </c>
      <c r="M349" s="15">
        <v>3</v>
      </c>
      <c r="N349" s="35" t="s">
        <v>93</v>
      </c>
      <c r="O349" s="15">
        <v>4</v>
      </c>
      <c r="P349" s="35" t="s">
        <v>458</v>
      </c>
      <c r="Q349" s="35"/>
      <c r="R349" s="15"/>
      <c r="S349" s="24"/>
      <c r="T349" s="62" t="s">
        <v>442</v>
      </c>
      <c r="U349" s="62"/>
      <c r="V349" s="94">
        <v>157872084</v>
      </c>
      <c r="W349" s="199">
        <v>0.96343822255491351</v>
      </c>
      <c r="X349" s="15"/>
      <c r="Y349" s="200">
        <v>0.81618328868740986</v>
      </c>
      <c r="Z349" s="11" t="s">
        <v>465</v>
      </c>
      <c r="AA349" s="11"/>
      <c r="AB349" s="15"/>
      <c r="AC349" s="54">
        <v>186355200</v>
      </c>
      <c r="AD349" s="54">
        <v>152100000</v>
      </c>
      <c r="AE349" s="54">
        <v>34255200</v>
      </c>
      <c r="AG349" s="4"/>
      <c r="AH349" s="4"/>
      <c r="AI349" s="225"/>
      <c r="AJ349" s="226"/>
      <c r="AK349" s="227"/>
      <c r="AL349" s="227"/>
      <c r="AM349" s="225"/>
      <c r="AN349" s="226"/>
      <c r="AO349" s="228"/>
    </row>
    <row r="350" spans="2:41" x14ac:dyDescent="0.25">
      <c r="B350" s="224"/>
      <c r="C350" s="39">
        <v>2018</v>
      </c>
      <c r="D350" s="62" t="s">
        <v>1346</v>
      </c>
      <c r="E350" s="63" t="s">
        <v>1347</v>
      </c>
      <c r="F350" s="64">
        <v>43412</v>
      </c>
      <c r="G350" s="65" t="s">
        <v>34</v>
      </c>
      <c r="H350" s="94">
        <v>784000</v>
      </c>
      <c r="I350" s="94">
        <v>968530</v>
      </c>
      <c r="J350" s="105"/>
      <c r="K350" s="153">
        <v>0.23536989795918367</v>
      </c>
      <c r="L350" s="11" t="s">
        <v>465</v>
      </c>
      <c r="M350" s="15">
        <v>3</v>
      </c>
      <c r="N350" s="35" t="s">
        <v>93</v>
      </c>
      <c r="O350" s="15">
        <v>4</v>
      </c>
      <c r="P350" s="35" t="s">
        <v>458</v>
      </c>
      <c r="Q350" s="35"/>
      <c r="R350" s="15"/>
      <c r="S350" s="24"/>
      <c r="T350" s="62" t="s">
        <v>784</v>
      </c>
      <c r="U350" s="62"/>
      <c r="V350" s="94">
        <v>1009710</v>
      </c>
      <c r="W350" s="199">
        <v>0.9592160125184459</v>
      </c>
      <c r="X350" s="15"/>
      <c r="Y350" s="200">
        <v>1.2353698979591836</v>
      </c>
      <c r="Z350" s="11" t="s">
        <v>465</v>
      </c>
      <c r="AA350" s="11"/>
      <c r="AB350" s="15"/>
      <c r="AC350" s="54">
        <v>784000</v>
      </c>
      <c r="AD350" s="54">
        <v>968530</v>
      </c>
      <c r="AE350" s="54">
        <v>-184530</v>
      </c>
      <c r="AG350" s="4"/>
      <c r="AH350" s="4"/>
      <c r="AI350" s="225"/>
      <c r="AJ350" s="226"/>
      <c r="AK350" s="227"/>
      <c r="AL350" s="227"/>
      <c r="AM350" s="225"/>
      <c r="AN350" s="226"/>
      <c r="AO350" s="228"/>
    </row>
    <row r="351" spans="2:41" x14ac:dyDescent="0.25">
      <c r="B351" s="52"/>
      <c r="C351" s="39">
        <v>2018</v>
      </c>
      <c r="D351" s="62" t="s">
        <v>1269</v>
      </c>
      <c r="E351" s="63" t="s">
        <v>1270</v>
      </c>
      <c r="F351" s="64">
        <v>43368</v>
      </c>
      <c r="G351" s="65" t="s">
        <v>1225</v>
      </c>
      <c r="H351" s="94">
        <v>760000</v>
      </c>
      <c r="I351" s="94">
        <v>994150</v>
      </c>
      <c r="J351" s="105"/>
      <c r="K351" s="26">
        <v>0.30809210526315789</v>
      </c>
      <c r="L351" s="11" t="s">
        <v>465</v>
      </c>
      <c r="M351" s="15">
        <v>3</v>
      </c>
      <c r="N351" s="35" t="s">
        <v>25</v>
      </c>
      <c r="O351" s="15">
        <v>3</v>
      </c>
      <c r="P351" s="35" t="s">
        <v>458</v>
      </c>
      <c r="Q351" s="35"/>
      <c r="R351" s="15"/>
      <c r="S351" s="24"/>
      <c r="T351" s="62" t="s">
        <v>784</v>
      </c>
      <c r="U351" s="62"/>
      <c r="V351" s="94">
        <v>2705657.5</v>
      </c>
      <c r="W351" s="199">
        <v>0.36743379381906244</v>
      </c>
      <c r="X351" s="15"/>
      <c r="Y351" s="200">
        <v>1.308092105263158</v>
      </c>
      <c r="Z351" s="11" t="s">
        <v>465</v>
      </c>
      <c r="AA351" s="11"/>
      <c r="AB351" s="15"/>
      <c r="AC351" s="54">
        <v>760000</v>
      </c>
      <c r="AD351" s="54">
        <v>994150</v>
      </c>
      <c r="AE351" s="54">
        <v>-234150</v>
      </c>
    </row>
    <row r="352" spans="2:41" x14ac:dyDescent="0.25">
      <c r="B352" s="52"/>
      <c r="C352" s="39">
        <v>2018</v>
      </c>
      <c r="D352" s="62" t="s">
        <v>1258</v>
      </c>
      <c r="E352" s="63" t="s">
        <v>712</v>
      </c>
      <c r="F352" s="64">
        <v>43340</v>
      </c>
      <c r="G352" s="65" t="s">
        <v>34</v>
      </c>
      <c r="H352" s="94">
        <v>2500000</v>
      </c>
      <c r="I352" s="94">
        <v>2952000</v>
      </c>
      <c r="J352" s="105"/>
      <c r="K352" s="26">
        <v>0.18079999999999999</v>
      </c>
      <c r="L352" s="11" t="s">
        <v>465</v>
      </c>
      <c r="M352" s="15">
        <v>3</v>
      </c>
      <c r="N352" s="35" t="s">
        <v>93</v>
      </c>
      <c r="O352" s="15">
        <v>3</v>
      </c>
      <c r="P352" s="35" t="s">
        <v>457</v>
      </c>
      <c r="Q352" s="35"/>
      <c r="R352" s="15"/>
      <c r="S352" s="24"/>
      <c r="T352" s="62" t="s">
        <v>1226</v>
      </c>
      <c r="U352" s="62"/>
      <c r="V352" s="94">
        <v>2139150</v>
      </c>
      <c r="W352" s="199">
        <v>1.379987378164224</v>
      </c>
      <c r="X352" s="15"/>
      <c r="Y352" s="200">
        <v>1.1808000000000001</v>
      </c>
      <c r="Z352" s="11" t="s">
        <v>465</v>
      </c>
      <c r="AA352" s="11"/>
      <c r="AB352" s="15"/>
      <c r="AC352" s="54">
        <v>2500000</v>
      </c>
      <c r="AD352" s="54">
        <v>2952000</v>
      </c>
      <c r="AE352" s="54">
        <v>-452000</v>
      </c>
    </row>
    <row r="353" spans="2:41" x14ac:dyDescent="0.25">
      <c r="B353" s="52"/>
      <c r="C353" s="39">
        <v>2018</v>
      </c>
      <c r="D353" s="62" t="s">
        <v>1273</v>
      </c>
      <c r="E353" s="63" t="s">
        <v>1274</v>
      </c>
      <c r="F353" s="64">
        <v>43311</v>
      </c>
      <c r="G353" s="65" t="s">
        <v>190</v>
      </c>
      <c r="H353" s="94">
        <v>9350000</v>
      </c>
      <c r="I353" s="94">
        <v>6855365</v>
      </c>
      <c r="J353" s="27" t="s">
        <v>519</v>
      </c>
      <c r="K353" s="26">
        <v>-0.26680588235294117</v>
      </c>
      <c r="L353" s="11" t="s">
        <v>464</v>
      </c>
      <c r="M353" s="15">
        <v>3</v>
      </c>
      <c r="N353" s="35" t="s">
        <v>25</v>
      </c>
      <c r="O353" s="15">
        <v>3</v>
      </c>
      <c r="P353" s="35" t="s">
        <v>458</v>
      </c>
      <c r="Q353" s="35"/>
      <c r="R353" s="15"/>
      <c r="S353" s="24" t="s">
        <v>932</v>
      </c>
      <c r="T353" s="62" t="s">
        <v>784</v>
      </c>
      <c r="U353" s="62"/>
      <c r="V353" s="94">
        <v>10087545</v>
      </c>
      <c r="W353" s="199">
        <v>0.67958705512590034</v>
      </c>
      <c r="X353" s="15"/>
      <c r="Y353" s="200">
        <v>0.73319411764705877</v>
      </c>
      <c r="Z353" s="11" t="s">
        <v>465</v>
      </c>
      <c r="AA353" s="11"/>
      <c r="AB353" s="15"/>
      <c r="AC353" s="54">
        <v>9350000</v>
      </c>
      <c r="AD353" s="54">
        <v>6855365</v>
      </c>
      <c r="AE353" s="54">
        <v>2494635</v>
      </c>
    </row>
    <row r="354" spans="2:41" x14ac:dyDescent="0.25">
      <c r="B354" s="224"/>
      <c r="C354" s="39">
        <v>2018</v>
      </c>
      <c r="D354" s="62" t="s">
        <v>1277</v>
      </c>
      <c r="E354" s="63" t="s">
        <v>1278</v>
      </c>
      <c r="F354" s="64">
        <v>43287</v>
      </c>
      <c r="G354" s="65" t="s">
        <v>190</v>
      </c>
      <c r="H354" s="94">
        <v>3730000</v>
      </c>
      <c r="I354" s="94">
        <v>4547000</v>
      </c>
      <c r="J354" s="105"/>
      <c r="K354" s="26">
        <v>0.2190348525469169</v>
      </c>
      <c r="L354" s="11" t="s">
        <v>465</v>
      </c>
      <c r="M354" s="15">
        <v>3</v>
      </c>
      <c r="N354" s="35" t="s">
        <v>25</v>
      </c>
      <c r="O354" s="15">
        <v>3</v>
      </c>
      <c r="P354" s="35" t="s">
        <v>458</v>
      </c>
      <c r="Q354" s="35"/>
      <c r="R354" s="15"/>
      <c r="S354" s="24"/>
      <c r="T354" s="62" t="s">
        <v>784</v>
      </c>
      <c r="U354" s="62"/>
      <c r="V354" s="94">
        <v>4717276.666666667</v>
      </c>
      <c r="W354" s="199">
        <v>0.96390360822593257</v>
      </c>
      <c r="X354" s="15"/>
      <c r="Y354" s="200">
        <v>1.2190348525469168</v>
      </c>
      <c r="Z354" s="11" t="s">
        <v>465</v>
      </c>
      <c r="AA354" s="11"/>
      <c r="AB354" s="15"/>
      <c r="AC354" s="54">
        <v>3730000</v>
      </c>
      <c r="AD354" s="54">
        <v>4547000</v>
      </c>
      <c r="AE354" s="54">
        <v>-817000</v>
      </c>
      <c r="AG354" s="4">
        <v>203524650</v>
      </c>
      <c r="AH354" s="4">
        <v>173859860</v>
      </c>
      <c r="AI354" s="209">
        <v>0.85424473153497626</v>
      </c>
      <c r="AJ354" s="1" t="s">
        <v>1240</v>
      </c>
      <c r="AK354" s="210">
        <v>757144150</v>
      </c>
      <c r="AL354" s="210">
        <v>573649474</v>
      </c>
      <c r="AM354" s="211">
        <v>0.75764895495791651</v>
      </c>
      <c r="AN354" s="212"/>
      <c r="AO354" s="213"/>
    </row>
    <row r="355" spans="2:41" x14ac:dyDescent="0.25">
      <c r="B355" s="224"/>
      <c r="C355" s="39">
        <v>2018</v>
      </c>
      <c r="D355" s="62" t="s">
        <v>1281</v>
      </c>
      <c r="E355" s="63" t="s">
        <v>1282</v>
      </c>
      <c r="F355" s="64">
        <v>43193</v>
      </c>
      <c r="G355" s="65" t="s">
        <v>34</v>
      </c>
      <c r="H355" s="94">
        <v>3441000</v>
      </c>
      <c r="I355" s="94">
        <v>2993080</v>
      </c>
      <c r="J355" s="105" t="s">
        <v>519</v>
      </c>
      <c r="K355" s="26">
        <v>-0.13017146178436501</v>
      </c>
      <c r="L355" s="11" t="s">
        <v>464</v>
      </c>
      <c r="M355" s="15">
        <v>3</v>
      </c>
      <c r="N355" s="35" t="s">
        <v>25</v>
      </c>
      <c r="O355" s="15">
        <v>2</v>
      </c>
      <c r="P355" s="35" t="s">
        <v>458</v>
      </c>
      <c r="Q355" s="35" t="s">
        <v>1235</v>
      </c>
      <c r="R355" s="15"/>
      <c r="S355" s="24"/>
      <c r="T355" s="62" t="s">
        <v>784</v>
      </c>
      <c r="U355" s="62"/>
      <c r="V355" s="94">
        <v>3534026.6666666665</v>
      </c>
      <c r="W355" s="199">
        <v>0.84693192279250873</v>
      </c>
      <c r="X355" s="15"/>
      <c r="Y355" s="200">
        <v>0.86982853821563499</v>
      </c>
      <c r="Z355" s="11" t="s">
        <v>465</v>
      </c>
      <c r="AA355" s="74">
        <v>0</v>
      </c>
      <c r="AB355" s="15"/>
      <c r="AC355" s="54">
        <v>3441000</v>
      </c>
      <c r="AD355" s="54">
        <v>2993080</v>
      </c>
      <c r="AE355" s="54">
        <v>447920</v>
      </c>
      <c r="AG355" s="4">
        <v>215665500</v>
      </c>
      <c r="AH355" s="4">
        <v>170989542</v>
      </c>
      <c r="AI355" s="209">
        <v>0.79284606021825466</v>
      </c>
      <c r="AJ355" s="1" t="s">
        <v>1240</v>
      </c>
      <c r="AK355" s="210">
        <v>553619500</v>
      </c>
      <c r="AL355" s="210">
        <v>399789614</v>
      </c>
      <c r="AM355" s="211">
        <v>0.72213788351024488</v>
      </c>
      <c r="AN355" s="212"/>
      <c r="AO355" s="213"/>
    </row>
    <row r="356" spans="2:41" x14ac:dyDescent="0.25">
      <c r="B356" s="52"/>
      <c r="C356" s="39">
        <v>2018</v>
      </c>
      <c r="D356" s="62" t="s">
        <v>1233</v>
      </c>
      <c r="E356" s="63" t="s">
        <v>1234</v>
      </c>
      <c r="F356" s="64">
        <v>43173</v>
      </c>
      <c r="G356" s="65" t="s">
        <v>693</v>
      </c>
      <c r="H356" s="94">
        <v>600000</v>
      </c>
      <c r="I356" s="94">
        <v>749000</v>
      </c>
      <c r="J356" s="105"/>
      <c r="K356" s="26">
        <v>0.24833333333333332</v>
      </c>
      <c r="L356" s="11" t="s">
        <v>465</v>
      </c>
      <c r="M356" s="15">
        <v>3</v>
      </c>
      <c r="N356" s="35" t="s">
        <v>25</v>
      </c>
      <c r="O356" s="15">
        <v>1</v>
      </c>
      <c r="P356" s="35" t="s">
        <v>457</v>
      </c>
      <c r="Q356" s="35" t="s">
        <v>1235</v>
      </c>
      <c r="R356" s="15"/>
      <c r="S356" s="24"/>
      <c r="T356" s="62" t="s">
        <v>1226</v>
      </c>
      <c r="U356" s="62"/>
      <c r="V356" s="94">
        <v>994735</v>
      </c>
      <c r="W356" s="199">
        <v>0.75296435734140243</v>
      </c>
      <c r="X356" s="15"/>
      <c r="Y356" s="200">
        <v>1.2483333333333333</v>
      </c>
      <c r="Z356" s="11" t="s">
        <v>465</v>
      </c>
      <c r="AA356" s="11"/>
      <c r="AB356" s="15"/>
      <c r="AC356" s="54">
        <v>600000</v>
      </c>
      <c r="AD356" s="54">
        <v>749000</v>
      </c>
      <c r="AE356" s="54">
        <v>-149000</v>
      </c>
    </row>
    <row r="357" spans="2:41" x14ac:dyDescent="0.25">
      <c r="C357" s="39"/>
      <c r="L357" s="11"/>
    </row>
    <row r="358" spans="2:41" x14ac:dyDescent="0.25">
      <c r="C358" s="39"/>
      <c r="L358" s="11"/>
    </row>
    <row r="359" spans="2:41" x14ac:dyDescent="0.25">
      <c r="B359" s="224"/>
      <c r="C359" s="39">
        <v>2018</v>
      </c>
      <c r="D359" s="62" t="s">
        <v>1326</v>
      </c>
      <c r="E359" s="63" t="s">
        <v>1327</v>
      </c>
      <c r="F359" s="64">
        <v>43441</v>
      </c>
      <c r="G359" s="65" t="s">
        <v>34</v>
      </c>
      <c r="H359" s="94">
        <v>5000000</v>
      </c>
      <c r="I359" s="94">
        <v>4380000</v>
      </c>
      <c r="J359" s="105" t="s">
        <v>519</v>
      </c>
      <c r="K359" s="153">
        <v>-0.124</v>
      </c>
      <c r="L359" s="11" t="s">
        <v>464</v>
      </c>
      <c r="M359" s="15">
        <v>4</v>
      </c>
      <c r="N359" s="35" t="s">
        <v>25</v>
      </c>
      <c r="O359" s="15">
        <v>4</v>
      </c>
      <c r="P359" s="35" t="s">
        <v>459</v>
      </c>
      <c r="Q359" s="35"/>
      <c r="R359" s="15"/>
      <c r="S359" s="24"/>
      <c r="T359" s="62" t="s">
        <v>447</v>
      </c>
      <c r="U359" s="62"/>
      <c r="V359" s="94">
        <v>5853509.5</v>
      </c>
      <c r="W359" s="199">
        <v>0.74826905124182341</v>
      </c>
      <c r="X359" s="15"/>
      <c r="Y359" s="200">
        <v>0.876</v>
      </c>
      <c r="Z359" s="11" t="s">
        <v>465</v>
      </c>
      <c r="AA359" s="11"/>
      <c r="AB359" s="15"/>
      <c r="AC359" s="54">
        <v>5000000</v>
      </c>
      <c r="AD359" s="54">
        <v>4380000</v>
      </c>
      <c r="AE359" s="54">
        <v>620000</v>
      </c>
      <c r="AG359" s="4"/>
      <c r="AH359" s="4"/>
      <c r="AI359" s="225"/>
      <c r="AJ359" s="226"/>
      <c r="AK359" s="227"/>
      <c r="AL359" s="227"/>
      <c r="AM359" s="225"/>
      <c r="AN359" s="226"/>
      <c r="AO359" s="228"/>
    </row>
    <row r="360" spans="2:41" x14ac:dyDescent="0.25">
      <c r="B360" s="224"/>
      <c r="C360" s="39">
        <v>2018</v>
      </c>
      <c r="D360" s="62" t="s">
        <v>1332</v>
      </c>
      <c r="E360" s="63" t="s">
        <v>1333</v>
      </c>
      <c r="F360" s="64">
        <v>43419</v>
      </c>
      <c r="G360" s="65" t="s">
        <v>34</v>
      </c>
      <c r="H360" s="94">
        <v>12570000</v>
      </c>
      <c r="I360" s="94">
        <v>9714000</v>
      </c>
      <c r="J360" s="94"/>
      <c r="K360" s="153">
        <v>-0.22720763723150358</v>
      </c>
      <c r="L360" s="11" t="s">
        <v>465</v>
      </c>
      <c r="M360" s="15">
        <v>4</v>
      </c>
      <c r="N360" s="35" t="s">
        <v>25</v>
      </c>
      <c r="O360" s="15">
        <v>4</v>
      </c>
      <c r="P360" s="35" t="s">
        <v>458</v>
      </c>
      <c r="Q360" s="35"/>
      <c r="R360" s="15"/>
      <c r="S360" s="24"/>
      <c r="T360" s="62" t="s">
        <v>784</v>
      </c>
      <c r="U360" s="62"/>
      <c r="V360" s="94">
        <v>10579250</v>
      </c>
      <c r="W360" s="199">
        <v>0.91821253869603237</v>
      </c>
      <c r="X360" s="15"/>
      <c r="Y360" s="200">
        <v>0.77279236276849639</v>
      </c>
      <c r="Z360" s="11" t="s">
        <v>465</v>
      </c>
      <c r="AA360" s="11"/>
      <c r="AB360" s="15"/>
      <c r="AC360" s="54">
        <v>12570000</v>
      </c>
      <c r="AD360" s="54">
        <v>9714000</v>
      </c>
      <c r="AE360" s="54">
        <v>2856000</v>
      </c>
      <c r="AG360" s="4"/>
      <c r="AH360" s="4"/>
      <c r="AI360" s="225"/>
      <c r="AJ360" s="226"/>
      <c r="AK360" s="227"/>
      <c r="AL360" s="227"/>
      <c r="AM360" s="225"/>
      <c r="AN360" s="226"/>
      <c r="AO360" s="228"/>
    </row>
    <row r="361" spans="2:41" x14ac:dyDescent="0.25">
      <c r="B361" s="224"/>
      <c r="C361" s="39">
        <v>2018</v>
      </c>
      <c r="D361" s="62" t="s">
        <v>1354</v>
      </c>
      <c r="E361" s="63" t="s">
        <v>1355</v>
      </c>
      <c r="F361" s="64">
        <v>43412</v>
      </c>
      <c r="G361" s="65" t="s">
        <v>34</v>
      </c>
      <c r="H361" s="94">
        <v>9720000</v>
      </c>
      <c r="I361" s="94">
        <v>7666000</v>
      </c>
      <c r="J361" s="94"/>
      <c r="K361" s="153">
        <v>-0.21131687242798353</v>
      </c>
      <c r="L361" s="11" t="s">
        <v>465</v>
      </c>
      <c r="M361" s="15">
        <v>4</v>
      </c>
      <c r="N361" s="35" t="s">
        <v>226</v>
      </c>
      <c r="O361" s="15">
        <v>4</v>
      </c>
      <c r="P361" s="35" t="s">
        <v>459</v>
      </c>
      <c r="Q361" s="35"/>
      <c r="R361" s="15"/>
      <c r="S361" s="24"/>
      <c r="T361" s="62" t="s">
        <v>447</v>
      </c>
      <c r="U361" s="62"/>
      <c r="V361" s="94">
        <v>8557038.75</v>
      </c>
      <c r="W361" s="199">
        <v>0.89587066553835581</v>
      </c>
      <c r="X361" s="15"/>
      <c r="Y361" s="200">
        <v>0.78868312757201642</v>
      </c>
      <c r="Z361" s="11" t="s">
        <v>465</v>
      </c>
      <c r="AA361" s="11"/>
      <c r="AB361" s="15"/>
      <c r="AC361" s="54">
        <v>9720000</v>
      </c>
      <c r="AD361" s="54">
        <v>7666000</v>
      </c>
      <c r="AE361" s="54">
        <v>2054000</v>
      </c>
      <c r="AG361" s="4"/>
      <c r="AH361" s="4"/>
      <c r="AI361" s="225"/>
      <c r="AJ361" s="226"/>
      <c r="AK361" s="227"/>
      <c r="AL361" s="227"/>
      <c r="AM361" s="225"/>
      <c r="AN361" s="226"/>
      <c r="AO361" s="228"/>
    </row>
    <row r="362" spans="2:41" x14ac:dyDescent="0.25">
      <c r="B362" s="224"/>
      <c r="C362" s="39">
        <v>2018</v>
      </c>
      <c r="D362" s="62" t="s">
        <v>1318</v>
      </c>
      <c r="E362" s="63" t="s">
        <v>1319</v>
      </c>
      <c r="F362" s="64">
        <v>43410</v>
      </c>
      <c r="G362" s="65" t="s">
        <v>1225</v>
      </c>
      <c r="H362" s="94">
        <v>2215000</v>
      </c>
      <c r="I362" s="94">
        <v>1984098</v>
      </c>
      <c r="J362" s="105" t="s">
        <v>519</v>
      </c>
      <c r="K362" s="153">
        <v>-0.10424469525959368</v>
      </c>
      <c r="L362" s="11" t="s">
        <v>464</v>
      </c>
      <c r="M362" s="15">
        <v>4</v>
      </c>
      <c r="N362" s="35" t="s">
        <v>93</v>
      </c>
      <c r="O362" s="15">
        <v>4</v>
      </c>
      <c r="P362" s="35" t="s">
        <v>457</v>
      </c>
      <c r="Q362" s="35"/>
      <c r="R362" s="15"/>
      <c r="S362" s="24"/>
      <c r="T362" s="62" t="s">
        <v>1348</v>
      </c>
      <c r="U362" s="62"/>
      <c r="V362" s="94">
        <v>2858292.5</v>
      </c>
      <c r="W362" s="199">
        <v>0.69415498938614573</v>
      </c>
      <c r="X362" s="15"/>
      <c r="Y362" s="200">
        <v>0.89575530474040632</v>
      </c>
      <c r="Z362" s="11" t="s">
        <v>465</v>
      </c>
      <c r="AA362" s="11"/>
      <c r="AB362" s="15"/>
      <c r="AC362" s="54">
        <v>2215000</v>
      </c>
      <c r="AD362" s="54">
        <v>1984098</v>
      </c>
      <c r="AE362" s="54">
        <v>230902</v>
      </c>
      <c r="AG362" s="4"/>
      <c r="AH362" s="4"/>
      <c r="AI362" s="225"/>
      <c r="AJ362" s="226"/>
      <c r="AK362" s="227"/>
      <c r="AL362" s="227"/>
      <c r="AM362" s="225"/>
      <c r="AN362" s="226"/>
      <c r="AO362" s="228"/>
    </row>
    <row r="363" spans="2:41" x14ac:dyDescent="0.25">
      <c r="B363" s="224"/>
      <c r="C363" s="39">
        <v>2018</v>
      </c>
      <c r="D363" s="62" t="s">
        <v>1340</v>
      </c>
      <c r="E363" s="63" t="s">
        <v>1341</v>
      </c>
      <c r="F363" s="64">
        <v>43382</v>
      </c>
      <c r="G363" s="65" t="s">
        <v>34</v>
      </c>
      <c r="H363" s="94">
        <v>1130000</v>
      </c>
      <c r="I363" s="94">
        <v>1383700</v>
      </c>
      <c r="J363" s="105"/>
      <c r="K363" s="153">
        <v>0.22451327433628318</v>
      </c>
      <c r="L363" s="11" t="s">
        <v>465</v>
      </c>
      <c r="M363" s="15">
        <v>4</v>
      </c>
      <c r="N363" s="35" t="s">
        <v>25</v>
      </c>
      <c r="O363" s="15">
        <v>4</v>
      </c>
      <c r="P363" s="35" t="s">
        <v>457</v>
      </c>
      <c r="Q363" s="35"/>
      <c r="R363" s="15"/>
      <c r="S363" s="24"/>
      <c r="T363" s="62" t="s">
        <v>784</v>
      </c>
      <c r="U363" s="62"/>
      <c r="V363" s="94">
        <v>1772637.5</v>
      </c>
      <c r="W363" s="199">
        <v>0.78058824773818669</v>
      </c>
      <c r="X363" s="15"/>
      <c r="Y363" s="200">
        <v>1.2245132743362832</v>
      </c>
      <c r="Z363" s="11" t="s">
        <v>465</v>
      </c>
      <c r="AA363" s="11"/>
      <c r="AB363" s="15"/>
      <c r="AC363" s="54">
        <v>1130000</v>
      </c>
      <c r="AD363" s="54">
        <v>1383700</v>
      </c>
      <c r="AE363" s="54">
        <v>-253700</v>
      </c>
      <c r="AG363" s="4"/>
      <c r="AH363" s="4"/>
      <c r="AI363" s="225"/>
      <c r="AJ363" s="226"/>
      <c r="AK363" s="227"/>
      <c r="AL363" s="227"/>
      <c r="AM363" s="225"/>
      <c r="AN363" s="226"/>
      <c r="AO363" s="228"/>
    </row>
    <row r="364" spans="2:41" x14ac:dyDescent="0.25">
      <c r="C364" s="39">
        <v>2018</v>
      </c>
      <c r="D364" s="62" t="s">
        <v>1297</v>
      </c>
      <c r="E364" s="63" t="s">
        <v>1298</v>
      </c>
      <c r="F364" s="64">
        <v>43356</v>
      </c>
      <c r="G364" s="65" t="s">
        <v>34</v>
      </c>
      <c r="H364" s="94">
        <v>5960000</v>
      </c>
      <c r="I364" s="94">
        <v>6956000</v>
      </c>
      <c r="J364" s="27"/>
      <c r="K364" s="26">
        <v>0.16711409395973154</v>
      </c>
      <c r="L364" s="11" t="s">
        <v>465</v>
      </c>
      <c r="M364" s="15">
        <v>4</v>
      </c>
      <c r="N364" s="35" t="s">
        <v>25</v>
      </c>
      <c r="O364" s="15">
        <v>3</v>
      </c>
      <c r="P364" s="35" t="s">
        <v>459</v>
      </c>
      <c r="Q364" s="35"/>
      <c r="R364" s="15"/>
      <c r="S364" s="24"/>
      <c r="T364" s="62" t="s">
        <v>447</v>
      </c>
      <c r="U364" s="62"/>
      <c r="V364" s="94">
        <v>8933697.75</v>
      </c>
      <c r="W364" s="199">
        <v>0.77862495403988785</v>
      </c>
      <c r="X364" s="15"/>
      <c r="Y364" s="200">
        <v>1.1671140939597315</v>
      </c>
      <c r="Z364" s="11" t="s">
        <v>465</v>
      </c>
      <c r="AA364" s="11"/>
      <c r="AB364" s="15"/>
      <c r="AC364" s="54">
        <v>5960000</v>
      </c>
      <c r="AD364" s="54">
        <v>6956000</v>
      </c>
      <c r="AE364" s="54">
        <v>-996000</v>
      </c>
    </row>
    <row r="365" spans="2:41" x14ac:dyDescent="0.25">
      <c r="C365" s="39">
        <v>2018</v>
      </c>
      <c r="D365" s="62" t="s">
        <v>1259</v>
      </c>
      <c r="E365" s="63" t="s">
        <v>1260</v>
      </c>
      <c r="F365" s="64">
        <v>43319</v>
      </c>
      <c r="G365" s="65" t="s">
        <v>34</v>
      </c>
      <c r="H365" s="94">
        <v>54744000</v>
      </c>
      <c r="I365" s="94">
        <v>34776250</v>
      </c>
      <c r="J365" s="27" t="s">
        <v>519</v>
      </c>
      <c r="K365" s="26">
        <v>-0.36474773491158846</v>
      </c>
      <c r="L365" s="11" t="s">
        <v>464</v>
      </c>
      <c r="M365" s="15">
        <v>4</v>
      </c>
      <c r="N365" s="35" t="s">
        <v>93</v>
      </c>
      <c r="O365" s="15">
        <v>3</v>
      </c>
      <c r="P365" s="35" t="s">
        <v>457</v>
      </c>
      <c r="Q365" s="35"/>
      <c r="R365" s="15"/>
      <c r="S365" s="24" t="s">
        <v>932</v>
      </c>
      <c r="T365" s="62" t="s">
        <v>1226</v>
      </c>
      <c r="U365" s="62"/>
      <c r="V365" s="94">
        <v>49859526.25</v>
      </c>
      <c r="W365" s="199">
        <v>0.69748456544951631</v>
      </c>
      <c r="X365" s="15"/>
      <c r="Y365" s="200">
        <v>0.63525226508841148</v>
      </c>
      <c r="Z365" s="11" t="s">
        <v>465</v>
      </c>
      <c r="AA365" s="11"/>
      <c r="AB365" s="15"/>
      <c r="AC365" s="54">
        <v>54744000</v>
      </c>
      <c r="AD365" s="54">
        <v>34776250</v>
      </c>
      <c r="AE365" s="54">
        <v>19967750</v>
      </c>
    </row>
    <row r="366" spans="2:41" x14ac:dyDescent="0.25">
      <c r="C366" s="39">
        <v>2018</v>
      </c>
      <c r="D366" s="62" t="s">
        <v>1250</v>
      </c>
      <c r="E366" s="63" t="s">
        <v>1251</v>
      </c>
      <c r="F366" s="64">
        <v>43230</v>
      </c>
      <c r="G366" s="65" t="s">
        <v>34</v>
      </c>
      <c r="H366" s="94">
        <v>4390000</v>
      </c>
      <c r="I366" s="94">
        <v>4220000</v>
      </c>
      <c r="J366" s="105" t="s">
        <v>519</v>
      </c>
      <c r="K366" s="26">
        <v>-3.8724373576309798E-2</v>
      </c>
      <c r="L366" s="11" t="s">
        <v>464</v>
      </c>
      <c r="M366" s="15">
        <v>4</v>
      </c>
      <c r="N366" s="35" t="s">
        <v>93</v>
      </c>
      <c r="O366" s="15">
        <v>2</v>
      </c>
      <c r="P366" s="35" t="s">
        <v>492</v>
      </c>
      <c r="Q366" s="35"/>
      <c r="R366" s="15"/>
      <c r="S366" s="24"/>
      <c r="T366" s="62" t="s">
        <v>816</v>
      </c>
      <c r="U366" s="62"/>
      <c r="V366" s="94">
        <v>6081225</v>
      </c>
      <c r="W366" s="199">
        <v>0.69393913232942372</v>
      </c>
      <c r="X366" s="15"/>
      <c r="Y366" s="200">
        <v>0.96127562642369024</v>
      </c>
      <c r="Z366" s="11" t="s">
        <v>465</v>
      </c>
      <c r="AA366" s="11"/>
      <c r="AB366" s="15"/>
      <c r="AC366" s="54">
        <v>4390000</v>
      </c>
      <c r="AD366" s="54">
        <v>4220000</v>
      </c>
      <c r="AE366" s="54">
        <v>170000</v>
      </c>
    </row>
    <row r="367" spans="2:41" x14ac:dyDescent="0.25">
      <c r="C367" s="39">
        <v>2018</v>
      </c>
      <c r="D367" s="62" t="s">
        <v>1303</v>
      </c>
      <c r="E367" s="63" t="s">
        <v>1304</v>
      </c>
      <c r="F367" s="64">
        <v>43195</v>
      </c>
      <c r="G367" s="65" t="s">
        <v>34</v>
      </c>
      <c r="H367" s="94">
        <v>1520000</v>
      </c>
      <c r="I367" s="94">
        <v>856934</v>
      </c>
      <c r="J367" s="105" t="s">
        <v>519</v>
      </c>
      <c r="K367" s="26">
        <v>-0.43622763157894739</v>
      </c>
      <c r="L367" s="11" t="s">
        <v>464</v>
      </c>
      <c r="M367" s="15">
        <v>4</v>
      </c>
      <c r="N367" s="35" t="s">
        <v>25</v>
      </c>
      <c r="O367" s="15">
        <v>2</v>
      </c>
      <c r="P367" s="35" t="s">
        <v>459</v>
      </c>
      <c r="Q367" s="35" t="s">
        <v>1242</v>
      </c>
      <c r="R367" s="15"/>
      <c r="S367" s="24" t="s">
        <v>932</v>
      </c>
      <c r="T367" s="62" t="s">
        <v>447</v>
      </c>
      <c r="U367" s="62"/>
      <c r="V367" s="94">
        <v>1906983.5</v>
      </c>
      <c r="W367" s="199">
        <v>0.4493662373061959</v>
      </c>
      <c r="X367" s="15"/>
      <c r="Y367" s="200">
        <v>0.56377236842105261</v>
      </c>
      <c r="Z367" s="11" t="s">
        <v>465</v>
      </c>
      <c r="AA367" s="11"/>
      <c r="AB367" s="15"/>
      <c r="AC367" s="54">
        <v>1520000</v>
      </c>
      <c r="AD367" s="54">
        <v>856934</v>
      </c>
      <c r="AE367" s="54">
        <v>663066</v>
      </c>
    </row>
    <row r="368" spans="2:41" s="52" customFormat="1" x14ac:dyDescent="0.25">
      <c r="C368" s="101"/>
      <c r="L368" s="104"/>
      <c r="N368" s="104"/>
    </row>
    <row r="369" spans="2:43" s="52" customFormat="1" x14ac:dyDescent="0.25">
      <c r="C369" s="101"/>
      <c r="L369" s="104"/>
      <c r="N369" s="104"/>
    </row>
    <row r="370" spans="2:43" x14ac:dyDescent="0.25">
      <c r="B370" s="224"/>
      <c r="C370" s="39">
        <v>2018</v>
      </c>
      <c r="D370" s="62" t="s">
        <v>1314</v>
      </c>
      <c r="E370" s="63" t="s">
        <v>1315</v>
      </c>
      <c r="F370" s="64">
        <v>43433</v>
      </c>
      <c r="G370" s="65" t="s">
        <v>1225</v>
      </c>
      <c r="H370" s="94">
        <v>287000</v>
      </c>
      <c r="I370" s="94">
        <v>369034</v>
      </c>
      <c r="J370" s="105"/>
      <c r="K370" s="153">
        <v>0.28583275261324043</v>
      </c>
      <c r="L370" s="11" t="s">
        <v>465</v>
      </c>
      <c r="M370" s="15">
        <v>5</v>
      </c>
      <c r="N370" s="35" t="s">
        <v>93</v>
      </c>
      <c r="O370" s="15">
        <v>4</v>
      </c>
      <c r="P370" s="35" t="s">
        <v>458</v>
      </c>
      <c r="Q370" s="35"/>
      <c r="R370" s="15"/>
      <c r="S370" s="24"/>
      <c r="T370" s="62" t="s">
        <v>784</v>
      </c>
      <c r="U370" s="62"/>
      <c r="V370" s="94">
        <v>503308</v>
      </c>
      <c r="W370" s="199">
        <v>0.73321703608923361</v>
      </c>
      <c r="X370" s="15"/>
      <c r="Y370" s="200">
        <v>1.2858327526132405</v>
      </c>
      <c r="Z370" s="11" t="s">
        <v>465</v>
      </c>
      <c r="AA370" s="11"/>
      <c r="AB370" s="15"/>
      <c r="AC370" s="54">
        <v>287000</v>
      </c>
      <c r="AD370" s="54">
        <v>369034</v>
      </c>
      <c r="AE370" s="54">
        <v>-82034</v>
      </c>
      <c r="AG370" s="4"/>
      <c r="AH370" s="4"/>
      <c r="AI370" s="225"/>
      <c r="AJ370" s="226"/>
      <c r="AK370" s="227"/>
      <c r="AL370" s="227"/>
      <c r="AM370" s="225"/>
      <c r="AN370" s="226"/>
      <c r="AO370" s="228"/>
    </row>
    <row r="371" spans="2:43" x14ac:dyDescent="0.25">
      <c r="B371" s="224"/>
      <c r="C371" s="39">
        <v>2018</v>
      </c>
      <c r="D371" s="62" t="s">
        <v>1342</v>
      </c>
      <c r="E371" s="63" t="s">
        <v>1343</v>
      </c>
      <c r="F371" s="64">
        <v>43376</v>
      </c>
      <c r="G371" s="65" t="s">
        <v>34</v>
      </c>
      <c r="H371" s="94">
        <v>21700000</v>
      </c>
      <c r="I371" s="94">
        <v>15765000</v>
      </c>
      <c r="J371" s="94" t="s">
        <v>519</v>
      </c>
      <c r="K371" s="153">
        <v>-0.27350230414746546</v>
      </c>
      <c r="L371" s="11" t="s">
        <v>464</v>
      </c>
      <c r="M371" s="15">
        <v>5</v>
      </c>
      <c r="N371" s="35" t="s">
        <v>25</v>
      </c>
      <c r="O371" s="15">
        <v>4</v>
      </c>
      <c r="P371" s="35" t="s">
        <v>459</v>
      </c>
      <c r="Q371" s="35"/>
      <c r="R371" s="15"/>
      <c r="S371" s="24"/>
      <c r="T371" s="62" t="s">
        <v>447</v>
      </c>
      <c r="U371" s="62"/>
      <c r="V371" s="94">
        <v>26085716</v>
      </c>
      <c r="W371" s="199">
        <v>0.60435373903480361</v>
      </c>
      <c r="X371" s="15"/>
      <c r="Y371" s="200">
        <v>0.72649769585253454</v>
      </c>
      <c r="Z371" s="11" t="s">
        <v>465</v>
      </c>
      <c r="AA371" s="11"/>
      <c r="AB371" s="15"/>
      <c r="AC371" s="54">
        <v>21700000</v>
      </c>
      <c r="AD371" s="54">
        <v>15765000</v>
      </c>
      <c r="AE371" s="54">
        <v>5935000</v>
      </c>
      <c r="AG371" s="4">
        <v>405750200</v>
      </c>
      <c r="AH371" s="4">
        <v>351743588</v>
      </c>
      <c r="AI371" s="204">
        <v>0.86689689370455025</v>
      </c>
      <c r="AJ371" s="1" t="s">
        <v>1240</v>
      </c>
      <c r="AK371" s="205">
        <v>1162894350</v>
      </c>
      <c r="AL371" s="205">
        <v>925393062</v>
      </c>
      <c r="AM371" s="206">
        <v>0.795767097845131</v>
      </c>
      <c r="AN371" s="207" t="s">
        <v>1241</v>
      </c>
      <c r="AO371" s="208"/>
      <c r="AQ371" s="203">
        <v>0.5892857142857143</v>
      </c>
    </row>
    <row r="372" spans="2:43" x14ac:dyDescent="0.25">
      <c r="B372" s="52"/>
      <c r="C372" s="39">
        <v>2018</v>
      </c>
      <c r="D372" s="62" t="s">
        <v>1301</v>
      </c>
      <c r="E372" s="63" t="s">
        <v>1302</v>
      </c>
      <c r="F372" s="64">
        <v>43251</v>
      </c>
      <c r="G372" s="65" t="s">
        <v>34</v>
      </c>
      <c r="H372" s="94">
        <v>1567000</v>
      </c>
      <c r="I372" s="94">
        <v>918315</v>
      </c>
      <c r="J372" s="105" t="s">
        <v>519</v>
      </c>
      <c r="K372" s="26">
        <v>-0.41396617740906189</v>
      </c>
      <c r="L372" s="11" t="s">
        <v>464</v>
      </c>
      <c r="M372" s="15">
        <v>5</v>
      </c>
      <c r="N372" s="35" t="s">
        <v>25</v>
      </c>
      <c r="O372" s="15">
        <v>2</v>
      </c>
      <c r="P372" s="35" t="s">
        <v>459</v>
      </c>
      <c r="Q372" s="35"/>
      <c r="R372" s="15"/>
      <c r="S372" s="24" t="s">
        <v>932</v>
      </c>
      <c r="T372" s="62" t="s">
        <v>447</v>
      </c>
      <c r="U372" s="62"/>
      <c r="V372" s="94">
        <v>2609788.4</v>
      </c>
      <c r="W372" s="199">
        <v>0.351873354943259</v>
      </c>
      <c r="X372" s="15"/>
      <c r="Y372" s="200">
        <v>0.58603382259093806</v>
      </c>
      <c r="Z372" s="11" t="s">
        <v>465</v>
      </c>
      <c r="AA372" s="11"/>
      <c r="AB372" s="15"/>
      <c r="AC372" s="54">
        <v>1567000</v>
      </c>
      <c r="AD372" s="54">
        <v>918315</v>
      </c>
      <c r="AE372" s="54">
        <v>648685</v>
      </c>
    </row>
    <row r="373" spans="2:43" x14ac:dyDescent="0.25">
      <c r="B373" s="52"/>
      <c r="C373" s="39">
        <v>2018</v>
      </c>
      <c r="D373" s="62" t="s">
        <v>1231</v>
      </c>
      <c r="E373" s="63" t="s">
        <v>1232</v>
      </c>
      <c r="F373" s="64">
        <v>43221</v>
      </c>
      <c r="G373" s="65" t="s">
        <v>1225</v>
      </c>
      <c r="H373" s="94">
        <v>960000</v>
      </c>
      <c r="I373" s="94">
        <v>413834</v>
      </c>
      <c r="J373" s="105"/>
      <c r="K373" s="26">
        <v>-0.56892291666666661</v>
      </c>
      <c r="L373" s="11" t="s">
        <v>465</v>
      </c>
      <c r="M373" s="15">
        <v>5</v>
      </c>
      <c r="N373" s="35" t="s">
        <v>93</v>
      </c>
      <c r="O373" s="15">
        <v>2</v>
      </c>
      <c r="P373" s="35" t="s">
        <v>457</v>
      </c>
      <c r="Q373" s="35"/>
      <c r="R373" s="15"/>
      <c r="S373" s="24"/>
      <c r="T373" s="62" t="s">
        <v>816</v>
      </c>
      <c r="U373" s="62"/>
      <c r="V373" s="94">
        <v>710613.8</v>
      </c>
      <c r="W373" s="199">
        <v>0.58236133325865602</v>
      </c>
      <c r="X373" s="15"/>
      <c r="Y373" s="200">
        <v>0.43107708333333333</v>
      </c>
      <c r="Z373" s="11" t="s">
        <v>465</v>
      </c>
      <c r="AA373" s="11"/>
      <c r="AB373" s="15"/>
      <c r="AC373" s="54">
        <v>960000</v>
      </c>
      <c r="AD373" s="54">
        <v>413834</v>
      </c>
      <c r="AE373" s="54">
        <v>546166</v>
      </c>
    </row>
    <row r="374" spans="2:43" x14ac:dyDescent="0.25">
      <c r="B374" s="52"/>
      <c r="C374" s="39">
        <v>2018</v>
      </c>
      <c r="D374" s="62" t="s">
        <v>1252</v>
      </c>
      <c r="E374" s="63" t="s">
        <v>1253</v>
      </c>
      <c r="F374" s="64">
        <v>43193</v>
      </c>
      <c r="G374" s="65" t="s">
        <v>34</v>
      </c>
      <c r="H374" s="94">
        <v>9140000</v>
      </c>
      <c r="I374" s="94">
        <v>4659626</v>
      </c>
      <c r="J374" s="27" t="s">
        <v>519</v>
      </c>
      <c r="K374" s="26">
        <v>-0.49019409190371993</v>
      </c>
      <c r="L374" s="11" t="s">
        <v>464</v>
      </c>
      <c r="M374" s="15">
        <v>5</v>
      </c>
      <c r="N374" s="35" t="s">
        <v>93</v>
      </c>
      <c r="O374" s="15">
        <v>2</v>
      </c>
      <c r="P374" s="35" t="s">
        <v>492</v>
      </c>
      <c r="Q374" s="35" t="s">
        <v>1238</v>
      </c>
      <c r="R374" s="15"/>
      <c r="S374" s="24" t="s">
        <v>932</v>
      </c>
      <c r="T374" s="62" t="s">
        <v>816</v>
      </c>
      <c r="U374" s="62"/>
      <c r="V374" s="94">
        <v>10095414</v>
      </c>
      <c r="W374" s="199">
        <v>0.46155868397274247</v>
      </c>
      <c r="X374" s="15"/>
      <c r="Y374" s="200">
        <v>0.50980590809628012</v>
      </c>
      <c r="Z374" s="11" t="s">
        <v>465</v>
      </c>
      <c r="AA374" s="11"/>
      <c r="AB374" s="15"/>
      <c r="AC374" s="54">
        <v>9140000</v>
      </c>
      <c r="AD374" s="54">
        <v>4659626</v>
      </c>
      <c r="AE374" s="54">
        <v>4480374</v>
      </c>
    </row>
    <row r="375" spans="2:43" x14ac:dyDescent="0.25">
      <c r="B375" s="52"/>
      <c r="C375" s="39">
        <v>2018</v>
      </c>
      <c r="D375" s="62" t="s">
        <v>1309</v>
      </c>
      <c r="E375" s="63" t="s">
        <v>1310</v>
      </c>
      <c r="F375" s="64">
        <v>43110</v>
      </c>
      <c r="G375" s="65" t="s">
        <v>190</v>
      </c>
      <c r="H375" s="94">
        <v>200000000</v>
      </c>
      <c r="I375" s="94">
        <v>108511400</v>
      </c>
      <c r="J375" s="27"/>
      <c r="K375" s="26">
        <v>-0.45744299999999999</v>
      </c>
      <c r="L375" s="11" t="s">
        <v>465</v>
      </c>
      <c r="M375" s="15">
        <v>5</v>
      </c>
      <c r="N375" s="35" t="s">
        <v>226</v>
      </c>
      <c r="O375" s="15">
        <v>1</v>
      </c>
      <c r="P375" s="35" t="s">
        <v>459</v>
      </c>
      <c r="Q375" s="35" t="s">
        <v>1246</v>
      </c>
      <c r="R375" s="15"/>
      <c r="S375" s="24" t="s">
        <v>932</v>
      </c>
      <c r="T375" s="62" t="s">
        <v>447</v>
      </c>
      <c r="U375" s="62"/>
      <c r="V375" s="94">
        <v>136419680</v>
      </c>
      <c r="W375" s="199">
        <v>0.79542335827206168</v>
      </c>
      <c r="X375" s="15"/>
      <c r="Y375" s="200">
        <v>0.54255699999999996</v>
      </c>
      <c r="Z375" s="11" t="s">
        <v>465</v>
      </c>
      <c r="AA375" s="11"/>
      <c r="AB375" s="15"/>
      <c r="AC375" s="54">
        <v>200000000</v>
      </c>
      <c r="AD375" s="54">
        <v>108511400</v>
      </c>
      <c r="AE375" s="54">
        <v>91488600</v>
      </c>
    </row>
    <row r="376" spans="2:43" x14ac:dyDescent="0.25">
      <c r="B376" s="224"/>
      <c r="C376" s="39">
        <v>2018</v>
      </c>
      <c r="D376" s="62" t="s">
        <v>1267</v>
      </c>
      <c r="E376" s="63" t="s">
        <v>1268</v>
      </c>
      <c r="F376" s="64">
        <v>43108</v>
      </c>
      <c r="G376" s="65" t="s">
        <v>190</v>
      </c>
      <c r="H376" s="94">
        <v>8520000</v>
      </c>
      <c r="I376" s="94">
        <v>6850075</v>
      </c>
      <c r="J376" s="27" t="s">
        <v>519</v>
      </c>
      <c r="K376" s="26">
        <v>-0.19600058685446009</v>
      </c>
      <c r="L376" s="11" t="s">
        <v>464</v>
      </c>
      <c r="M376" s="15">
        <v>5</v>
      </c>
      <c r="N376" s="35" t="s">
        <v>93</v>
      </c>
      <c r="O376" s="15">
        <v>1</v>
      </c>
      <c r="P376" s="35" t="s">
        <v>457</v>
      </c>
      <c r="Q376" s="35" t="s">
        <v>1235</v>
      </c>
      <c r="R376" s="15"/>
      <c r="S376" s="24"/>
      <c r="T376" s="62" t="s">
        <v>784</v>
      </c>
      <c r="U376" s="62"/>
      <c r="V376" s="94">
        <v>10472836.199999999</v>
      </c>
      <c r="W376" s="199">
        <v>0.65408021945382866</v>
      </c>
      <c r="X376" s="15"/>
      <c r="Y376" s="200">
        <v>0.80399941314553991</v>
      </c>
      <c r="Z376" s="11" t="s">
        <v>465</v>
      </c>
      <c r="AA376" s="74">
        <v>0</v>
      </c>
      <c r="AB376" s="15"/>
      <c r="AC376" s="54">
        <v>8520000</v>
      </c>
      <c r="AD376" s="54">
        <v>6850075</v>
      </c>
      <c r="AE376" s="54">
        <v>1669925</v>
      </c>
      <c r="AG376" s="4">
        <v>337954000</v>
      </c>
      <c r="AH376" s="4">
        <v>228800072</v>
      </c>
      <c r="AI376" s="7">
        <v>0.67701542813519</v>
      </c>
    </row>
    <row r="377" spans="2:43" s="52" customFormat="1" x14ac:dyDescent="0.25">
      <c r="C377" s="101"/>
      <c r="L377" s="104"/>
      <c r="N377" s="104"/>
    </row>
    <row r="378" spans="2:43" s="52" customFormat="1" x14ac:dyDescent="0.25">
      <c r="C378" s="101"/>
      <c r="L378" s="104"/>
      <c r="N378" s="104"/>
    </row>
    <row r="379" spans="2:43" x14ac:dyDescent="0.25">
      <c r="B379" s="224"/>
      <c r="C379" s="39">
        <v>2018</v>
      </c>
      <c r="D379" s="62" t="s">
        <v>1312</v>
      </c>
      <c r="E379" s="63" t="s">
        <v>1313</v>
      </c>
      <c r="F379" s="64">
        <v>43438</v>
      </c>
      <c r="G379" s="65" t="s">
        <v>1225</v>
      </c>
      <c r="H379" s="94">
        <v>448000</v>
      </c>
      <c r="I379" s="94">
        <v>432222</v>
      </c>
      <c r="J379" s="105" t="s">
        <v>519</v>
      </c>
      <c r="K379" s="153">
        <v>-3.521875E-2</v>
      </c>
      <c r="L379" s="11" t="s">
        <v>464</v>
      </c>
      <c r="M379" s="15">
        <v>6</v>
      </c>
      <c r="N379" s="35" t="s">
        <v>93</v>
      </c>
      <c r="O379" s="15">
        <v>4</v>
      </c>
      <c r="P379" s="35" t="s">
        <v>458</v>
      </c>
      <c r="Q379" s="35"/>
      <c r="R379" s="15"/>
      <c r="S379" s="24"/>
      <c r="T379" s="62" t="s">
        <v>784</v>
      </c>
      <c r="U379" s="62"/>
      <c r="V379" s="94">
        <v>792267</v>
      </c>
      <c r="W379" s="199">
        <v>0.54555093169348212</v>
      </c>
      <c r="X379" s="15"/>
      <c r="Y379" s="200">
        <v>0.96478125000000003</v>
      </c>
      <c r="Z379" s="11" t="s">
        <v>465</v>
      </c>
      <c r="AA379" s="11"/>
      <c r="AB379" s="15"/>
      <c r="AC379" s="54">
        <v>448000</v>
      </c>
      <c r="AD379" s="54">
        <v>432222</v>
      </c>
      <c r="AE379" s="54">
        <v>15778</v>
      </c>
      <c r="AG379" s="4"/>
      <c r="AH379" s="4"/>
      <c r="AI379" s="225"/>
      <c r="AJ379" s="226"/>
      <c r="AK379" s="227"/>
      <c r="AL379" s="227"/>
      <c r="AM379" s="225"/>
      <c r="AN379" s="226"/>
      <c r="AO379" s="228"/>
    </row>
    <row r="380" spans="2:43" x14ac:dyDescent="0.25">
      <c r="B380" s="52"/>
      <c r="C380" s="39">
        <v>2018</v>
      </c>
      <c r="D380" s="62" t="s">
        <v>1229</v>
      </c>
      <c r="E380" s="63" t="s">
        <v>1230</v>
      </c>
      <c r="F380" s="64">
        <v>43314</v>
      </c>
      <c r="G380" s="65" t="s">
        <v>1225</v>
      </c>
      <c r="H380" s="94">
        <v>1980000</v>
      </c>
      <c r="I380" s="94">
        <v>2882170</v>
      </c>
      <c r="J380" s="105"/>
      <c r="K380" s="26">
        <v>0.45564141414141413</v>
      </c>
      <c r="L380" s="11" t="s">
        <v>465</v>
      </c>
      <c r="M380" s="15">
        <v>6</v>
      </c>
      <c r="N380" s="35" t="s">
        <v>25</v>
      </c>
      <c r="O380" s="15">
        <v>3</v>
      </c>
      <c r="P380" s="35" t="s">
        <v>492</v>
      </c>
      <c r="Q380" s="35"/>
      <c r="R380" s="15"/>
      <c r="S380" s="24"/>
      <c r="T380" s="62" t="s">
        <v>816</v>
      </c>
      <c r="U380" s="62"/>
      <c r="V380" s="94">
        <v>4467184.666666667</v>
      </c>
      <c r="W380" s="199">
        <v>0.64518711785215355</v>
      </c>
      <c r="X380" s="15"/>
      <c r="Y380" s="200">
        <v>1.4556414141414142</v>
      </c>
      <c r="Z380" s="11" t="s">
        <v>465</v>
      </c>
      <c r="AA380" s="11"/>
      <c r="AB380" s="15"/>
      <c r="AC380" s="54">
        <v>1980000</v>
      </c>
      <c r="AD380" s="54">
        <v>2882170</v>
      </c>
      <c r="AE380" s="54">
        <v>-902170</v>
      </c>
    </row>
    <row r="381" spans="2:43" x14ac:dyDescent="0.25">
      <c r="B381" s="52"/>
      <c r="C381" s="39">
        <v>2018</v>
      </c>
      <c r="D381" s="62" t="s">
        <v>1261</v>
      </c>
      <c r="E381" s="63" t="s">
        <v>1262</v>
      </c>
      <c r="F381" s="64">
        <v>43299</v>
      </c>
      <c r="G381" s="65" t="s">
        <v>34</v>
      </c>
      <c r="H381" s="94">
        <v>3570000</v>
      </c>
      <c r="I381" s="94">
        <v>3861000</v>
      </c>
      <c r="J381" s="105" t="s">
        <v>519</v>
      </c>
      <c r="K381" s="26">
        <v>8.1512605042016809E-2</v>
      </c>
      <c r="L381" s="11" t="s">
        <v>464</v>
      </c>
      <c r="M381" s="15">
        <v>6</v>
      </c>
      <c r="N381" s="35" t="s">
        <v>226</v>
      </c>
      <c r="O381" s="15">
        <v>3</v>
      </c>
      <c r="P381" s="35" t="s">
        <v>457</v>
      </c>
      <c r="Q381" s="35"/>
      <c r="R381" s="15"/>
      <c r="S381" s="24"/>
      <c r="T381" s="62" t="s">
        <v>1226</v>
      </c>
      <c r="U381" s="62"/>
      <c r="V381" s="94">
        <v>5535683.333333333</v>
      </c>
      <c r="W381" s="199">
        <v>0.69747486760141031</v>
      </c>
      <c r="X381" s="15"/>
      <c r="Y381" s="200">
        <v>1.0815126050420167</v>
      </c>
      <c r="Z381" s="11" t="s">
        <v>465</v>
      </c>
      <c r="AA381" s="11"/>
      <c r="AB381" s="15"/>
      <c r="AC381" s="54">
        <v>3570000</v>
      </c>
      <c r="AD381" s="54">
        <v>3861000</v>
      </c>
      <c r="AE381" s="54">
        <v>-291000</v>
      </c>
    </row>
    <row r="382" spans="2:43" x14ac:dyDescent="0.25">
      <c r="B382" s="52"/>
      <c r="C382" s="39">
        <v>2018</v>
      </c>
      <c r="D382" s="62" t="s">
        <v>1248</v>
      </c>
      <c r="E382" s="63" t="s">
        <v>1249</v>
      </c>
      <c r="F382" s="64">
        <v>43259</v>
      </c>
      <c r="G382" s="65" t="s">
        <v>756</v>
      </c>
      <c r="H382" s="94">
        <v>2770000</v>
      </c>
      <c r="I382" s="94">
        <v>2542996</v>
      </c>
      <c r="J382" s="105" t="s">
        <v>519</v>
      </c>
      <c r="K382" s="26">
        <v>-8.1950902527075806E-2</v>
      </c>
      <c r="L382" s="11" t="s">
        <v>464</v>
      </c>
      <c r="M382" s="15">
        <v>6</v>
      </c>
      <c r="N382" s="35" t="s">
        <v>226</v>
      </c>
      <c r="O382" s="15">
        <v>2</v>
      </c>
      <c r="P382" s="35" t="s">
        <v>492</v>
      </c>
      <c r="Q382" s="35"/>
      <c r="R382" s="15"/>
      <c r="S382" s="24"/>
      <c r="T382" s="62" t="s">
        <v>447</v>
      </c>
      <c r="U382" s="62"/>
      <c r="V382" s="94">
        <v>4162248.5</v>
      </c>
      <c r="W382" s="199">
        <v>0.61096688484601536</v>
      </c>
      <c r="X382" s="15"/>
      <c r="Y382" s="200">
        <v>0.91804909747292418</v>
      </c>
      <c r="Z382" s="11" t="s">
        <v>465</v>
      </c>
      <c r="AA382" s="11"/>
      <c r="AB382" s="15"/>
      <c r="AC382" s="54">
        <v>2770000</v>
      </c>
      <c r="AD382" s="54">
        <v>2542996</v>
      </c>
      <c r="AE382" s="54">
        <v>227004</v>
      </c>
    </row>
    <row r="383" spans="2:43" x14ac:dyDescent="0.25">
      <c r="C383" s="39">
        <v>2018</v>
      </c>
      <c r="D383" s="62" t="s">
        <v>1265</v>
      </c>
      <c r="E383" s="63" t="s">
        <v>1266</v>
      </c>
      <c r="F383" s="64">
        <v>43174</v>
      </c>
      <c r="G383" s="65" t="s">
        <v>34</v>
      </c>
      <c r="H383" s="94">
        <v>1150000</v>
      </c>
      <c r="I383" s="94">
        <v>1253317</v>
      </c>
      <c r="J383" s="105" t="s">
        <v>519</v>
      </c>
      <c r="K383" s="26">
        <v>8.9840869565217391E-2</v>
      </c>
      <c r="L383" s="11" t="s">
        <v>464</v>
      </c>
      <c r="M383" s="15">
        <v>6</v>
      </c>
      <c r="N383" s="35" t="s">
        <v>93</v>
      </c>
      <c r="O383" s="15">
        <v>1</v>
      </c>
      <c r="P383" s="35" t="s">
        <v>457</v>
      </c>
      <c r="Q383" s="35" t="s">
        <v>1243</v>
      </c>
      <c r="R383" s="15"/>
      <c r="S383" s="24"/>
      <c r="T383" s="62" t="s">
        <v>784</v>
      </c>
      <c r="U383" s="62"/>
      <c r="V383" s="94">
        <v>1900429</v>
      </c>
      <c r="W383" s="199">
        <v>0.65949162004999928</v>
      </c>
      <c r="X383" s="15"/>
      <c r="Y383" s="200">
        <v>1.0898408695652173</v>
      </c>
      <c r="Z383" s="11" t="s">
        <v>465</v>
      </c>
      <c r="AA383" s="11"/>
      <c r="AB383" s="15"/>
      <c r="AC383" s="54">
        <v>1150000</v>
      </c>
      <c r="AD383" s="54">
        <v>1253317</v>
      </c>
      <c r="AE383" s="54">
        <v>-103317</v>
      </c>
    </row>
    <row r="384" spans="2:43" x14ac:dyDescent="0.25">
      <c r="C384" s="39">
        <v>2018</v>
      </c>
      <c r="D384" s="62" t="s">
        <v>1287</v>
      </c>
      <c r="E384" s="63" t="s">
        <v>1288</v>
      </c>
      <c r="F384" s="64">
        <v>43160</v>
      </c>
      <c r="G384" s="65" t="s">
        <v>34</v>
      </c>
      <c r="H384" s="94">
        <v>1273000</v>
      </c>
      <c r="I384" s="94">
        <v>1050950</v>
      </c>
      <c r="J384" s="105" t="s">
        <v>519</v>
      </c>
      <c r="K384" s="26">
        <v>-0.1744304791830322</v>
      </c>
      <c r="L384" s="11" t="s">
        <v>464</v>
      </c>
      <c r="M384" s="15">
        <v>6</v>
      </c>
      <c r="N384" s="35" t="s">
        <v>25</v>
      </c>
      <c r="O384" s="15">
        <v>1</v>
      </c>
      <c r="P384" s="35" t="s">
        <v>458</v>
      </c>
      <c r="Q384" s="35" t="s">
        <v>1238</v>
      </c>
      <c r="R384" s="15"/>
      <c r="S384" s="24" t="s">
        <v>1244</v>
      </c>
      <c r="T384" s="62" t="s">
        <v>784</v>
      </c>
      <c r="U384" s="62"/>
      <c r="V384" s="94">
        <v>2050444.6666666667</v>
      </c>
      <c r="W384" s="199">
        <v>0.51254735964589138</v>
      </c>
      <c r="X384" s="15"/>
      <c r="Y384" s="200">
        <v>0.82556952081696777</v>
      </c>
      <c r="Z384" s="11" t="s">
        <v>465</v>
      </c>
      <c r="AA384" s="11"/>
      <c r="AB384" s="15"/>
      <c r="AC384" s="54">
        <v>1273000</v>
      </c>
      <c r="AD384" s="54">
        <v>1050950</v>
      </c>
      <c r="AE384" s="54">
        <v>222050</v>
      </c>
    </row>
    <row r="385" spans="2:41" x14ac:dyDescent="0.25">
      <c r="C385" s="39">
        <v>2018</v>
      </c>
      <c r="D385" s="62" t="s">
        <v>1289</v>
      </c>
      <c r="E385" s="63" t="s">
        <v>1290</v>
      </c>
      <c r="F385" s="64">
        <v>43147</v>
      </c>
      <c r="G385" s="65" t="s">
        <v>34</v>
      </c>
      <c r="H385" s="94">
        <v>23100000</v>
      </c>
      <c r="I385" s="94">
        <v>16848000</v>
      </c>
      <c r="J385" s="27" t="s">
        <v>519</v>
      </c>
      <c r="K385" s="26">
        <v>-0.27064935064935064</v>
      </c>
      <c r="L385" s="11" t="s">
        <v>464</v>
      </c>
      <c r="M385" s="15">
        <v>6</v>
      </c>
      <c r="N385" s="35" t="s">
        <v>93</v>
      </c>
      <c r="O385" s="15">
        <v>1</v>
      </c>
      <c r="P385" s="35" t="s">
        <v>458</v>
      </c>
      <c r="Q385" s="35" t="s">
        <v>1243</v>
      </c>
      <c r="R385" s="15"/>
      <c r="S385" s="24"/>
      <c r="T385" s="62" t="s">
        <v>442</v>
      </c>
      <c r="U385" s="62"/>
      <c r="V385" s="94">
        <v>24152208.666666668</v>
      </c>
      <c r="W385" s="199">
        <v>0.69757595392310978</v>
      </c>
      <c r="X385" s="15"/>
      <c r="Y385" s="200">
        <v>0.7293506493506493</v>
      </c>
      <c r="Z385" s="11" t="s">
        <v>465</v>
      </c>
      <c r="AA385" s="11"/>
      <c r="AB385" s="15"/>
      <c r="AC385" s="54">
        <v>23100000</v>
      </c>
      <c r="AD385" s="54">
        <v>16848000</v>
      </c>
      <c r="AE385" s="54">
        <v>6252000</v>
      </c>
    </row>
    <row r="386" spans="2:41" x14ac:dyDescent="0.25">
      <c r="C386" s="39">
        <v>2018</v>
      </c>
      <c r="D386" s="62" t="s">
        <v>1236</v>
      </c>
      <c r="E386" s="63" t="s">
        <v>1237</v>
      </c>
      <c r="F386" s="64">
        <v>43138</v>
      </c>
      <c r="G386" s="65" t="s">
        <v>693</v>
      </c>
      <c r="H386" s="94">
        <v>1056000</v>
      </c>
      <c r="I386" s="94">
        <v>619790</v>
      </c>
      <c r="J386" s="105" t="s">
        <v>519</v>
      </c>
      <c r="K386" s="26">
        <v>-0.41307765151515152</v>
      </c>
      <c r="L386" s="11" t="s">
        <v>464</v>
      </c>
      <c r="M386" s="15">
        <v>6</v>
      </c>
      <c r="N386" s="35" t="s">
        <v>25</v>
      </c>
      <c r="O386" s="15">
        <v>1</v>
      </c>
      <c r="P386" s="35" t="s">
        <v>457</v>
      </c>
      <c r="Q386" s="35" t="s">
        <v>1238</v>
      </c>
      <c r="R386" s="15"/>
      <c r="S386" s="24"/>
      <c r="T386" s="62" t="s">
        <v>784</v>
      </c>
      <c r="U386" s="62"/>
      <c r="V386" s="94">
        <v>2319072.3333333335</v>
      </c>
      <c r="W386" s="199">
        <v>0.26725772676057108</v>
      </c>
      <c r="X386" s="15"/>
      <c r="Y386" s="200">
        <v>0.58692234848484848</v>
      </c>
      <c r="Z386" s="11" t="s">
        <v>465</v>
      </c>
      <c r="AA386" s="11"/>
      <c r="AB386" s="15"/>
      <c r="AC386" s="54">
        <v>1056000</v>
      </c>
      <c r="AD386" s="54">
        <v>619790</v>
      </c>
      <c r="AE386" s="54">
        <v>436210</v>
      </c>
    </row>
    <row r="387" spans="2:41" s="52" customFormat="1" x14ac:dyDescent="0.25">
      <c r="C387" s="101"/>
      <c r="L387" s="104"/>
      <c r="N387" s="104"/>
    </row>
    <row r="388" spans="2:41" s="52" customFormat="1" x14ac:dyDescent="0.25">
      <c r="C388" s="101"/>
      <c r="L388" s="104"/>
      <c r="N388" s="104"/>
    </row>
    <row r="389" spans="2:41" x14ac:dyDescent="0.25">
      <c r="C389" s="39">
        <v>2018</v>
      </c>
      <c r="D389" s="62" t="str">
        <f>+'[1]LGA-124.261'!$F$4</f>
        <v>LGA-124.261</v>
      </c>
      <c r="E389" s="63" t="str">
        <f>+'[1]LGA-124.261'!$F$5</f>
        <v>Rehab of Pump House 1 Retaining Wall</v>
      </c>
      <c r="F389" s="64">
        <f>+'[1]LGA-124.261'!$F$6</f>
        <v>43179</v>
      </c>
      <c r="G389" s="65" t="str">
        <f>+'[1]LGA-124.261'!$G$7</f>
        <v>Public</v>
      </c>
      <c r="H389" s="94">
        <f>+'[1]LGA-124.261'!$F$7</f>
        <v>1440000</v>
      </c>
      <c r="I389" s="94">
        <f>+'[1]LGA-124.261'!$F$8</f>
        <v>1928000</v>
      </c>
      <c r="J389" s="105"/>
      <c r="K389" s="26">
        <f>+'[1]LGA-124.261'!$G$9</f>
        <v>0.33888888888888891</v>
      </c>
      <c r="L389" s="11" t="str">
        <f>+'[1]LGA-124.261'!$F$11</f>
        <v>FAIL</v>
      </c>
      <c r="M389" s="15">
        <f>+'[1]LGA-124.261'!$H$12</f>
        <v>7</v>
      </c>
      <c r="N389" s="35" t="s">
        <v>93</v>
      </c>
      <c r="O389" s="15">
        <v>1</v>
      </c>
      <c r="P389" s="35" t="s">
        <v>458</v>
      </c>
      <c r="Q389" s="35" t="s">
        <v>1238</v>
      </c>
      <c r="R389" s="15"/>
      <c r="S389" s="24"/>
      <c r="T389" s="62" t="str">
        <f>+'[1]LGA-124.261'!$J$4</f>
        <v>Joe Lucin</v>
      </c>
      <c r="U389" s="62"/>
      <c r="V389" s="94">
        <f>+'[1]LGA-124.261'!$F$12</f>
        <v>2393861.8571428573</v>
      </c>
      <c r="W389" s="199">
        <f t="shared" ref="W389" si="20">+I389/V389</f>
        <v>0.8053931743167182</v>
      </c>
      <c r="X389" s="15"/>
      <c r="Y389" s="200">
        <f t="shared" ref="Y389" si="21">+I389/H389</f>
        <v>1.3388888888888888</v>
      </c>
      <c r="Z389" s="11" t="str">
        <f t="shared" ref="Z389" si="22">(IF(Y389&lt;$Y$3,"FAIL",IF(Y389&gt;$Y$4,"FAIL","GOOD")))</f>
        <v>FAIL</v>
      </c>
      <c r="AA389" s="11"/>
      <c r="AB389" s="15"/>
      <c r="AC389" s="54">
        <f t="shared" ref="AC389:AD389" si="23">+H389</f>
        <v>1440000</v>
      </c>
      <c r="AD389" s="54">
        <f t="shared" si="23"/>
        <v>1928000</v>
      </c>
      <c r="AE389" s="54">
        <f t="shared" ref="AE389" si="24">+AC389-AD389</f>
        <v>-488000</v>
      </c>
    </row>
    <row r="390" spans="2:41" s="52" customFormat="1" x14ac:dyDescent="0.25">
      <c r="C390" s="101"/>
      <c r="L390" s="104"/>
      <c r="N390" s="104"/>
    </row>
    <row r="391" spans="2:41" s="52" customFormat="1" x14ac:dyDescent="0.25">
      <c r="C391" s="101"/>
      <c r="L391" s="104"/>
      <c r="N391" s="104"/>
    </row>
    <row r="392" spans="2:41" x14ac:dyDescent="0.25">
      <c r="B392" s="224"/>
      <c r="C392" s="39">
        <v>2018</v>
      </c>
      <c r="D392" s="62" t="s">
        <v>1336</v>
      </c>
      <c r="E392" s="63" t="s">
        <v>1337</v>
      </c>
      <c r="F392" s="64">
        <v>43404</v>
      </c>
      <c r="G392" s="65" t="s">
        <v>34</v>
      </c>
      <c r="H392" s="94">
        <v>6500000</v>
      </c>
      <c r="I392" s="94">
        <v>4149491</v>
      </c>
      <c r="J392" s="105"/>
      <c r="K392" s="153">
        <v>-0.36161676923076924</v>
      </c>
      <c r="L392" s="11" t="s">
        <v>465</v>
      </c>
      <c r="M392" s="15">
        <v>8</v>
      </c>
      <c r="N392" s="35" t="s">
        <v>25</v>
      </c>
      <c r="O392" s="15">
        <v>4</v>
      </c>
      <c r="P392" s="35" t="s">
        <v>459</v>
      </c>
      <c r="Q392" s="35"/>
      <c r="R392" s="15"/>
      <c r="S392" s="24" t="s">
        <v>932</v>
      </c>
      <c r="T392" s="62" t="s">
        <v>447</v>
      </c>
      <c r="U392" s="62"/>
      <c r="V392" s="94">
        <v>5708325.25</v>
      </c>
      <c r="W392" s="199">
        <v>0.72691916074684082</v>
      </c>
      <c r="X392" s="15"/>
      <c r="Y392" s="200">
        <v>0.63838323076923076</v>
      </c>
      <c r="Z392" s="11" t="s">
        <v>465</v>
      </c>
      <c r="AA392" s="11"/>
      <c r="AB392" s="15"/>
      <c r="AC392" s="54">
        <v>6500000</v>
      </c>
      <c r="AD392" s="54">
        <v>4149491</v>
      </c>
      <c r="AE392" s="54">
        <v>2350509</v>
      </c>
      <c r="AG392" s="4"/>
      <c r="AH392" s="4"/>
      <c r="AI392" s="225"/>
      <c r="AJ392" s="226"/>
      <c r="AK392" s="227"/>
      <c r="AL392" s="227"/>
      <c r="AM392" s="225"/>
      <c r="AN392" s="226"/>
      <c r="AO392" s="228"/>
    </row>
    <row r="393" spans="2:41" x14ac:dyDescent="0.25">
      <c r="B393" s="224"/>
      <c r="C393" s="39">
        <v>2018</v>
      </c>
      <c r="D393" s="62" t="s">
        <v>1351</v>
      </c>
      <c r="E393" s="63" t="s">
        <v>1352</v>
      </c>
      <c r="F393" s="64">
        <v>43389</v>
      </c>
      <c r="G393" s="65" t="s">
        <v>34</v>
      </c>
      <c r="H393" s="94">
        <v>3800000</v>
      </c>
      <c r="I393" s="94">
        <v>3781700</v>
      </c>
      <c r="J393" s="105" t="s">
        <v>519</v>
      </c>
      <c r="K393" s="153">
        <v>-4.8157894736842108E-3</v>
      </c>
      <c r="L393" s="11" t="s">
        <v>464</v>
      </c>
      <c r="M393" s="15">
        <v>8</v>
      </c>
      <c r="N393" s="35" t="s">
        <v>93</v>
      </c>
      <c r="O393" s="15">
        <v>4</v>
      </c>
      <c r="P393" s="35" t="s">
        <v>458</v>
      </c>
      <c r="Q393" s="35"/>
      <c r="R393" s="15"/>
      <c r="S393" s="24"/>
      <c r="T393" s="62" t="s">
        <v>1353</v>
      </c>
      <c r="U393" s="62"/>
      <c r="V393" s="94">
        <v>4748686.375</v>
      </c>
      <c r="W393" s="199">
        <v>0.79636760597819012</v>
      </c>
      <c r="X393" s="15"/>
      <c r="Y393" s="200">
        <v>0.99518421052631578</v>
      </c>
      <c r="Z393" s="11" t="s">
        <v>465</v>
      </c>
      <c r="AA393" s="11"/>
      <c r="AB393" s="15"/>
      <c r="AC393" s="54">
        <v>3800000</v>
      </c>
      <c r="AD393" s="54">
        <v>3781700</v>
      </c>
      <c r="AE393" s="54">
        <v>18300</v>
      </c>
      <c r="AG393" s="4"/>
      <c r="AH393" s="4"/>
      <c r="AI393" s="225"/>
      <c r="AJ393" s="226"/>
      <c r="AK393" s="227"/>
      <c r="AL393" s="227"/>
      <c r="AM393" s="225"/>
      <c r="AN393" s="226"/>
      <c r="AO393" s="228"/>
    </row>
    <row r="394" spans="2:41" x14ac:dyDescent="0.25">
      <c r="C394" s="39">
        <v>2018</v>
      </c>
      <c r="D394" s="62" t="s">
        <v>1256</v>
      </c>
      <c r="E394" s="63" t="s">
        <v>1257</v>
      </c>
      <c r="F394" s="64">
        <v>43368</v>
      </c>
      <c r="G394" s="65" t="s">
        <v>34</v>
      </c>
      <c r="H394" s="94">
        <v>64356250</v>
      </c>
      <c r="I394" s="94">
        <v>51485000</v>
      </c>
      <c r="J394" s="27" t="s">
        <v>519</v>
      </c>
      <c r="K394" s="26">
        <v>-0.2</v>
      </c>
      <c r="L394" s="11" t="s">
        <v>464</v>
      </c>
      <c r="M394" s="15">
        <v>8</v>
      </c>
      <c r="N394" s="35" t="s">
        <v>25</v>
      </c>
      <c r="O394" s="15">
        <v>3</v>
      </c>
      <c r="P394" s="35" t="s">
        <v>457</v>
      </c>
      <c r="Q394" s="35"/>
      <c r="R394" s="15"/>
      <c r="S394" s="24"/>
      <c r="T394" s="62" t="s">
        <v>1226</v>
      </c>
      <c r="U394" s="62"/>
      <c r="V394" s="94">
        <v>75310398.875</v>
      </c>
      <c r="W394" s="199">
        <v>0.68363732989191395</v>
      </c>
      <c r="X394" s="15"/>
      <c r="Y394" s="200">
        <v>0.8</v>
      </c>
      <c r="Z394" s="11" t="s">
        <v>465</v>
      </c>
      <c r="AA394" s="11"/>
      <c r="AB394" s="15"/>
      <c r="AC394" s="54">
        <v>64356250</v>
      </c>
      <c r="AD394" s="54">
        <v>51485000</v>
      </c>
      <c r="AE394" s="54">
        <v>12871250</v>
      </c>
    </row>
    <row r="395" spans="2:41" s="52" customFormat="1" x14ac:dyDescent="0.25">
      <c r="C395" s="101"/>
      <c r="L395" s="104"/>
      <c r="N395" s="104"/>
    </row>
    <row r="396" spans="2:41" s="52" customFormat="1" x14ac:dyDescent="0.25">
      <c r="C396" s="101"/>
      <c r="L396" s="104"/>
      <c r="N396" s="104"/>
    </row>
    <row r="397" spans="2:41" x14ac:dyDescent="0.25">
      <c r="C397" s="39">
        <v>2018</v>
      </c>
      <c r="D397" s="62" t="str">
        <f>+'[1]LGA-774.264'!$F$4</f>
        <v>LGA-774.264</v>
      </c>
      <c r="E397" s="63" t="str">
        <f>+'[1]LGA-774.264'!$F$5</f>
        <v>Flood Protection at the West End Substation</v>
      </c>
      <c r="F397" s="64">
        <f>+'[1]LGA-774.264'!$F$6</f>
        <v>43125</v>
      </c>
      <c r="G397" s="65" t="str">
        <f>+'[1]LGA-774.264'!$G$7</f>
        <v>Public</v>
      </c>
      <c r="H397" s="94">
        <f>+'[1]LGA-774.264'!$F$7</f>
        <v>1700000</v>
      </c>
      <c r="I397" s="94">
        <f>+'[1]LGA-774.264'!$F$8</f>
        <v>1555555</v>
      </c>
      <c r="J397" s="105" t="s">
        <v>519</v>
      </c>
      <c r="K397" s="26">
        <f>+'[1]LGA-774.264'!$G$9</f>
        <v>-8.4967647058823523E-2</v>
      </c>
      <c r="L397" s="11" t="str">
        <f>+'[1]LGA-774.264'!$F$11</f>
        <v>GOOD</v>
      </c>
      <c r="M397" s="15">
        <f>+'[1]LGA-774.264'!$H$12</f>
        <v>9</v>
      </c>
      <c r="N397" s="35" t="s">
        <v>93</v>
      </c>
      <c r="O397" s="15">
        <v>1</v>
      </c>
      <c r="P397" s="35" t="s">
        <v>458</v>
      </c>
      <c r="Q397" s="35" t="s">
        <v>1245</v>
      </c>
      <c r="R397" s="15"/>
      <c r="S397" s="24"/>
      <c r="T397" s="62" t="str">
        <f>+'[1]LGA-774.264'!$J$4</f>
        <v>Joe Lucin</v>
      </c>
      <c r="U397" s="62"/>
      <c r="V397" s="94">
        <f>+'[1]LGA-774.264'!$F$12</f>
        <v>2601779.6666666665</v>
      </c>
      <c r="W397" s="199">
        <f t="shared" ref="W397" si="25">+I397/V397</f>
        <v>0.59788114263839154</v>
      </c>
      <c r="X397" s="15"/>
      <c r="Y397" s="200">
        <f t="shared" ref="Y397" si="26">+I397/H397</f>
        <v>0.91503235294117646</v>
      </c>
      <c r="Z397" s="11" t="str">
        <f t="shared" ref="Z397" si="27">(IF(Y397&lt;$Y$3,"FAIL",IF(Y397&gt;$Y$4,"FAIL","GOOD")))</f>
        <v>FAIL</v>
      </c>
      <c r="AA397" s="11"/>
      <c r="AB397" s="15"/>
      <c r="AC397" s="54">
        <f t="shared" ref="AC397:AD397" si="28">+H397</f>
        <v>1700000</v>
      </c>
      <c r="AD397" s="54">
        <f t="shared" si="28"/>
        <v>1555555</v>
      </c>
      <c r="AE397" s="54">
        <f t="shared" ref="AE397" si="29">+AC397-AD397</f>
        <v>144445</v>
      </c>
    </row>
    <row r="398" spans="2:41" s="52" customFormat="1" x14ac:dyDescent="0.25">
      <c r="C398" s="101"/>
      <c r="L398" s="104"/>
      <c r="N398" s="104"/>
    </row>
    <row r="399" spans="2:41" s="52" customFormat="1" x14ac:dyDescent="0.25">
      <c r="C399" s="101"/>
      <c r="L399" s="104"/>
      <c r="N399" s="104"/>
    </row>
    <row r="400" spans="2:41" x14ac:dyDescent="0.25">
      <c r="C400" s="39">
        <v>2018</v>
      </c>
      <c r="D400" s="62" t="s">
        <v>1279</v>
      </c>
      <c r="E400" s="63" t="s">
        <v>1280</v>
      </c>
      <c r="F400" s="64">
        <v>43250</v>
      </c>
      <c r="G400" s="65" t="s">
        <v>34</v>
      </c>
      <c r="H400" s="94">
        <v>153277500</v>
      </c>
      <c r="I400" s="94">
        <v>118434757</v>
      </c>
      <c r="J400" s="27"/>
      <c r="K400" s="26">
        <v>-0.22731805385656734</v>
      </c>
      <c r="L400" s="11" t="s">
        <v>465</v>
      </c>
      <c r="M400" s="15">
        <v>13</v>
      </c>
      <c r="N400" s="35" t="s">
        <v>25</v>
      </c>
      <c r="O400" s="15">
        <v>2</v>
      </c>
      <c r="P400" s="35" t="s">
        <v>458</v>
      </c>
      <c r="Q400" s="35"/>
      <c r="R400" s="15"/>
      <c r="S400" s="24"/>
      <c r="T400" s="62" t="s">
        <v>784</v>
      </c>
      <c r="U400" s="62"/>
      <c r="V400" s="94">
        <v>138481360</v>
      </c>
      <c r="W400" s="199">
        <v>0.85523970157427687</v>
      </c>
      <c r="X400" s="15"/>
      <c r="Y400" s="200">
        <v>0.77268194614343266</v>
      </c>
      <c r="Z400" s="11" t="s">
        <v>465</v>
      </c>
      <c r="AA400" s="11"/>
      <c r="AB400" s="15"/>
      <c r="AC400" s="54">
        <v>153277500</v>
      </c>
      <c r="AD400" s="54">
        <v>118434757</v>
      </c>
      <c r="AE400" s="54">
        <v>34842743</v>
      </c>
    </row>
    <row r="401" spans="3:31" x14ac:dyDescent="0.25">
      <c r="C401" s="39">
        <v>2018</v>
      </c>
      <c r="D401" s="62" t="s">
        <v>1263</v>
      </c>
      <c r="E401" s="63" t="s">
        <v>1264</v>
      </c>
      <c r="F401" s="64">
        <v>43179</v>
      </c>
      <c r="G401" s="65" t="s">
        <v>34</v>
      </c>
      <c r="H401" s="94">
        <v>27125000</v>
      </c>
      <c r="I401" s="94">
        <v>22964560</v>
      </c>
      <c r="J401" s="27" t="s">
        <v>519</v>
      </c>
      <c r="K401" s="26">
        <v>-0.15338027649769584</v>
      </c>
      <c r="L401" s="11" t="s">
        <v>464</v>
      </c>
      <c r="M401" s="15">
        <v>10</v>
      </c>
      <c r="N401" s="35" t="s">
        <v>226</v>
      </c>
      <c r="O401" s="15">
        <v>1</v>
      </c>
      <c r="P401" s="35" t="s">
        <v>457</v>
      </c>
      <c r="Q401" s="35" t="s">
        <v>1238</v>
      </c>
      <c r="R401" s="15"/>
      <c r="S401" s="24"/>
      <c r="T401" s="62" t="s">
        <v>816</v>
      </c>
      <c r="U401" s="62"/>
      <c r="V401" s="94">
        <v>31632465.399999999</v>
      </c>
      <c r="W401" s="199">
        <v>0.72598071979555534</v>
      </c>
      <c r="X401" s="15"/>
      <c r="Y401" s="200">
        <v>0.84661972350230419</v>
      </c>
      <c r="Z401" s="11" t="s">
        <v>465</v>
      </c>
      <c r="AA401" s="11"/>
      <c r="AB401" s="15"/>
      <c r="AC401" s="54">
        <v>27125000</v>
      </c>
      <c r="AD401" s="54">
        <v>22964560</v>
      </c>
      <c r="AE401" s="54">
        <v>4160440</v>
      </c>
    </row>
    <row r="402" spans="3:31" x14ac:dyDescent="0.25">
      <c r="C402" s="39">
        <v>2018</v>
      </c>
      <c r="D402" s="62" t="s">
        <v>1285</v>
      </c>
      <c r="E402" s="63" t="s">
        <v>1286</v>
      </c>
      <c r="F402" s="64">
        <v>43168</v>
      </c>
      <c r="G402" s="65" t="s">
        <v>34</v>
      </c>
      <c r="H402" s="94">
        <v>10900000</v>
      </c>
      <c r="I402" s="94">
        <v>10417536</v>
      </c>
      <c r="J402" s="27" t="s">
        <v>519</v>
      </c>
      <c r="K402" s="26">
        <v>-4.4262752293577984E-2</v>
      </c>
      <c r="L402" s="11" t="s">
        <v>464</v>
      </c>
      <c r="M402" s="15">
        <v>11</v>
      </c>
      <c r="N402" s="35" t="s">
        <v>25</v>
      </c>
      <c r="O402" s="15">
        <v>1</v>
      </c>
      <c r="P402" s="35" t="s">
        <v>458</v>
      </c>
      <c r="Q402" s="35" t="s">
        <v>1235</v>
      </c>
      <c r="R402" s="15"/>
      <c r="S402" s="24"/>
      <c r="T402" s="62" t="s">
        <v>784</v>
      </c>
      <c r="U402" s="62"/>
      <c r="V402" s="94">
        <v>12059792.454545455</v>
      </c>
      <c r="W402" s="199">
        <v>0.86382382112003331</v>
      </c>
      <c r="X402" s="15"/>
      <c r="Y402" s="200">
        <v>0.95573724770642199</v>
      </c>
      <c r="Z402" s="11" t="s">
        <v>465</v>
      </c>
      <c r="AA402" s="11"/>
      <c r="AB402" s="15"/>
      <c r="AC402" s="54">
        <v>10900000</v>
      </c>
      <c r="AD402" s="54">
        <v>10417536</v>
      </c>
      <c r="AE402" s="54">
        <v>482464</v>
      </c>
    </row>
    <row r="403" spans="3:31" x14ac:dyDescent="0.25">
      <c r="C403" s="39">
        <v>2018</v>
      </c>
      <c r="D403" s="62" t="s">
        <v>1254</v>
      </c>
      <c r="E403" s="63" t="s">
        <v>1255</v>
      </c>
      <c r="F403" s="64">
        <v>43124</v>
      </c>
      <c r="G403" s="65" t="s">
        <v>34</v>
      </c>
      <c r="H403" s="94">
        <v>22000000</v>
      </c>
      <c r="I403" s="94">
        <v>19988889</v>
      </c>
      <c r="J403" s="27" t="s">
        <v>519</v>
      </c>
      <c r="K403" s="26">
        <v>-9.1414136363636364E-2</v>
      </c>
      <c r="L403" s="11" t="s">
        <v>464</v>
      </c>
      <c r="M403" s="15">
        <v>13</v>
      </c>
      <c r="N403" s="35" t="s">
        <v>93</v>
      </c>
      <c r="O403" s="15">
        <v>1</v>
      </c>
      <c r="P403" s="35" t="s">
        <v>492</v>
      </c>
      <c r="Q403" s="35" t="s">
        <v>1245</v>
      </c>
      <c r="R403" s="15"/>
      <c r="S403" s="24"/>
      <c r="T403" s="62" t="s">
        <v>816</v>
      </c>
      <c r="U403" s="62"/>
      <c r="V403" s="94">
        <v>27586889.692307692</v>
      </c>
      <c r="W403" s="199">
        <v>0.72457929193712933</v>
      </c>
      <c r="X403" s="15"/>
      <c r="Y403" s="200">
        <v>0.90858586363636362</v>
      </c>
      <c r="Z403" s="11" t="s">
        <v>465</v>
      </c>
      <c r="AA403" s="11"/>
      <c r="AB403" s="15"/>
      <c r="AC403" s="54">
        <v>22000000</v>
      </c>
      <c r="AD403" s="54">
        <v>19988889</v>
      </c>
      <c r="AE403" s="54">
        <v>2011111</v>
      </c>
    </row>
    <row r="404" spans="3:31" s="52" customFormat="1" x14ac:dyDescent="0.25">
      <c r="C404" s="101"/>
      <c r="N404" s="104"/>
    </row>
    <row r="405" spans="3:31" x14ac:dyDescent="0.25">
      <c r="C405" s="39"/>
    </row>
    <row r="406" spans="3:31" x14ac:dyDescent="0.25">
      <c r="C406" s="39"/>
      <c r="K406" s="11"/>
    </row>
    <row r="407" spans="3:31" x14ac:dyDescent="0.25">
      <c r="C407" s="39"/>
      <c r="E407" s="241" t="s">
        <v>1363</v>
      </c>
      <c r="F407" s="393" t="s">
        <v>1361</v>
      </c>
      <c r="G407" s="396"/>
      <c r="H407" s="396"/>
      <c r="I407" s="394" t="s">
        <v>1362</v>
      </c>
      <c r="J407" s="397"/>
      <c r="K407" s="397"/>
      <c r="L407" s="242"/>
    </row>
    <row r="408" spans="3:31" x14ac:dyDescent="0.25">
      <c r="C408" s="39"/>
      <c r="E408" s="239" t="s">
        <v>1364</v>
      </c>
      <c r="F408" s="159" t="s">
        <v>1194</v>
      </c>
      <c r="G408" s="159" t="s">
        <v>39</v>
      </c>
      <c r="H408" s="160" t="s">
        <v>1365</v>
      </c>
      <c r="I408" s="235" t="s">
        <v>1194</v>
      </c>
      <c r="J408" s="235" t="s">
        <v>39</v>
      </c>
      <c r="K408" s="236" t="s">
        <v>842</v>
      </c>
      <c r="L408" s="239"/>
    </row>
    <row r="409" spans="3:31" x14ac:dyDescent="0.25">
      <c r="C409" s="39"/>
      <c r="E409" s="240" t="s">
        <v>1184</v>
      </c>
      <c r="F409" s="162">
        <v>0</v>
      </c>
      <c r="G409" s="156">
        <v>1</v>
      </c>
      <c r="H409" s="157">
        <v>0</v>
      </c>
      <c r="I409" s="237">
        <f>K409/J409</f>
        <v>1</v>
      </c>
      <c r="J409" s="234">
        <v>1</v>
      </c>
      <c r="K409" s="238">
        <v>1</v>
      </c>
      <c r="L409" s="243">
        <f>+(H409+K409)/(G409+J409)</f>
        <v>0.5</v>
      </c>
    </row>
    <row r="410" spans="3:31" x14ac:dyDescent="0.25">
      <c r="C410" s="39"/>
      <c r="E410" s="240" t="s">
        <v>1185</v>
      </c>
      <c r="F410" s="162">
        <v>0.5</v>
      </c>
      <c r="G410" s="156">
        <v>8</v>
      </c>
      <c r="H410" s="157">
        <v>4</v>
      </c>
      <c r="I410" s="237">
        <f t="shared" ref="I410:I418" si="30">K410/J410</f>
        <v>0.66666666666666663</v>
      </c>
      <c r="J410" s="234">
        <v>12</v>
      </c>
      <c r="K410" s="238">
        <v>8</v>
      </c>
      <c r="L410" s="243">
        <f t="shared" ref="L410:L418" si="31">+(H410+K410)/(G410+J410)</f>
        <v>0.6</v>
      </c>
    </row>
    <row r="411" spans="3:31" x14ac:dyDescent="0.25">
      <c r="C411" s="39"/>
      <c r="E411" s="240" t="s">
        <v>1186</v>
      </c>
      <c r="F411" s="162">
        <v>0.6428571428571429</v>
      </c>
      <c r="G411" s="156">
        <v>14</v>
      </c>
      <c r="H411" s="157">
        <v>9</v>
      </c>
      <c r="I411" s="237">
        <f t="shared" si="30"/>
        <v>0.2</v>
      </c>
      <c r="J411" s="234">
        <v>10</v>
      </c>
      <c r="K411" s="238">
        <v>2</v>
      </c>
      <c r="L411" s="243">
        <f t="shared" si="31"/>
        <v>0.45833333333333331</v>
      </c>
    </row>
    <row r="412" spans="3:31" x14ac:dyDescent="0.25">
      <c r="C412" s="39"/>
      <c r="E412" s="240" t="s">
        <v>1187</v>
      </c>
      <c r="F412" s="162">
        <v>0.66666666666666663</v>
      </c>
      <c r="G412" s="156">
        <v>9</v>
      </c>
      <c r="H412" s="157">
        <v>6</v>
      </c>
      <c r="I412" s="237">
        <f t="shared" si="30"/>
        <v>0.55555555555555558</v>
      </c>
      <c r="J412" s="234">
        <f>COUNTA(O359:O367)</f>
        <v>9</v>
      </c>
      <c r="K412" s="238">
        <v>5</v>
      </c>
      <c r="L412" s="243">
        <f t="shared" si="31"/>
        <v>0.61111111111111116</v>
      </c>
    </row>
    <row r="413" spans="3:31" x14ac:dyDescent="0.25">
      <c r="C413" s="39"/>
      <c r="E413" s="240" t="s">
        <v>1188</v>
      </c>
      <c r="F413" s="162">
        <v>0.5</v>
      </c>
      <c r="G413" s="156">
        <v>8</v>
      </c>
      <c r="H413" s="157">
        <v>4</v>
      </c>
      <c r="I413" s="237">
        <f t="shared" si="30"/>
        <v>0.5714285714285714</v>
      </c>
      <c r="J413" s="234">
        <f>COUNTA(O370:O376)</f>
        <v>7</v>
      </c>
      <c r="K413" s="238">
        <v>4</v>
      </c>
      <c r="L413" s="243">
        <f t="shared" si="31"/>
        <v>0.53333333333333333</v>
      </c>
    </row>
    <row r="414" spans="3:31" x14ac:dyDescent="0.25">
      <c r="C414" s="39"/>
      <c r="E414" s="240" t="s">
        <v>1189</v>
      </c>
      <c r="F414" s="162">
        <v>0.625</v>
      </c>
      <c r="G414" s="156">
        <v>8</v>
      </c>
      <c r="H414" s="157">
        <v>5</v>
      </c>
      <c r="I414" s="237">
        <f t="shared" si="30"/>
        <v>0.875</v>
      </c>
      <c r="J414" s="234">
        <f>COUNTA(O379:O386)</f>
        <v>8</v>
      </c>
      <c r="K414" s="238">
        <v>7</v>
      </c>
      <c r="L414" s="243">
        <f t="shared" si="31"/>
        <v>0.75</v>
      </c>
    </row>
    <row r="415" spans="3:31" x14ac:dyDescent="0.25">
      <c r="C415" s="39"/>
      <c r="E415" s="240" t="s">
        <v>1190</v>
      </c>
      <c r="F415" s="162">
        <v>1</v>
      </c>
      <c r="G415" s="156">
        <v>4</v>
      </c>
      <c r="H415" s="157">
        <v>4</v>
      </c>
      <c r="I415" s="237">
        <f t="shared" si="30"/>
        <v>0</v>
      </c>
      <c r="J415" s="234">
        <f>COUNTA(O389:O389)</f>
        <v>1</v>
      </c>
      <c r="K415" s="238">
        <v>0</v>
      </c>
      <c r="L415" s="243">
        <f t="shared" si="31"/>
        <v>0.8</v>
      </c>
    </row>
    <row r="416" spans="3:31" x14ac:dyDescent="0.25">
      <c r="C416" s="39"/>
      <c r="E416" s="240" t="s">
        <v>1191</v>
      </c>
      <c r="F416" s="162">
        <v>1</v>
      </c>
      <c r="G416" s="156">
        <v>3</v>
      </c>
      <c r="H416" s="157">
        <v>3</v>
      </c>
      <c r="I416" s="237">
        <f t="shared" si="30"/>
        <v>0.66666666666666663</v>
      </c>
      <c r="J416" s="234">
        <f>COUNTA(O392:O394)</f>
        <v>3</v>
      </c>
      <c r="K416" s="238">
        <v>2</v>
      </c>
      <c r="L416" s="243">
        <f t="shared" si="31"/>
        <v>0.83333333333333337</v>
      </c>
    </row>
    <row r="417" spans="2:41" x14ac:dyDescent="0.25">
      <c r="C417" s="39"/>
      <c r="E417" s="240" t="s">
        <v>1192</v>
      </c>
      <c r="F417" s="162">
        <v>1</v>
      </c>
      <c r="G417" s="156">
        <v>5</v>
      </c>
      <c r="H417" s="157">
        <v>5</v>
      </c>
      <c r="I417" s="237">
        <f t="shared" si="30"/>
        <v>1</v>
      </c>
      <c r="J417" s="234">
        <f>COUNTA(O397:O397)</f>
        <v>1</v>
      </c>
      <c r="K417" s="238">
        <v>1</v>
      </c>
      <c r="L417" s="243">
        <f t="shared" si="31"/>
        <v>1</v>
      </c>
    </row>
    <row r="418" spans="2:41" x14ac:dyDescent="0.25">
      <c r="C418" s="39"/>
      <c r="E418" s="240" t="s">
        <v>1193</v>
      </c>
      <c r="F418" s="162">
        <v>0.6</v>
      </c>
      <c r="G418" s="156">
        <v>5</v>
      </c>
      <c r="H418" s="157">
        <v>3</v>
      </c>
      <c r="I418" s="237">
        <f t="shared" si="30"/>
        <v>0.75</v>
      </c>
      <c r="J418" s="234">
        <f>COUNTA(O400:O403)</f>
        <v>4</v>
      </c>
      <c r="K418" s="238">
        <v>3</v>
      </c>
      <c r="L418" s="243">
        <f t="shared" si="31"/>
        <v>0.66666666666666663</v>
      </c>
    </row>
    <row r="419" spans="2:41" x14ac:dyDescent="0.25">
      <c r="C419" s="39"/>
      <c r="K419" s="52"/>
    </row>
    <row r="420" spans="2:41" x14ac:dyDescent="0.25">
      <c r="C420" s="39"/>
      <c r="K420" s="52"/>
    </row>
    <row r="421" spans="2:41" x14ac:dyDescent="0.25">
      <c r="C421" s="39"/>
    </row>
    <row r="422" spans="2:41" x14ac:dyDescent="0.25">
      <c r="C422" s="39"/>
    </row>
    <row r="423" spans="2:41" x14ac:dyDescent="0.25">
      <c r="B423" s="139"/>
      <c r="C423" s="140"/>
      <c r="D423" s="139"/>
      <c r="E423" s="139"/>
      <c r="F423" s="139"/>
      <c r="G423" s="139"/>
      <c r="H423" s="139"/>
      <c r="I423" s="139"/>
      <c r="J423" s="139"/>
      <c r="K423" s="139"/>
      <c r="L423" s="139"/>
      <c r="M423" s="139"/>
      <c r="N423" s="141"/>
      <c r="O423" s="139"/>
      <c r="P423" s="139"/>
      <c r="Q423" s="139"/>
      <c r="R423" s="139"/>
      <c r="S423" s="139"/>
    </row>
    <row r="424" spans="2:41" x14ac:dyDescent="0.25">
      <c r="C424" s="39"/>
    </row>
    <row r="425" spans="2:41" x14ac:dyDescent="0.25">
      <c r="B425" s="52"/>
      <c r="C425" s="39"/>
    </row>
    <row r="426" spans="2:41" x14ac:dyDescent="0.25">
      <c r="B426" s="52"/>
      <c r="C426" s="39"/>
    </row>
    <row r="427" spans="2:41" x14ac:dyDescent="0.25">
      <c r="B427" s="224"/>
      <c r="C427" s="39">
        <v>2018</v>
      </c>
      <c r="D427" s="62" t="s">
        <v>1328</v>
      </c>
      <c r="E427" s="63" t="s">
        <v>1329</v>
      </c>
      <c r="F427" s="64">
        <v>43440</v>
      </c>
      <c r="G427" s="65" t="s">
        <v>1225</v>
      </c>
      <c r="H427" s="94">
        <v>1500000</v>
      </c>
      <c r="I427" s="94">
        <v>2546000</v>
      </c>
      <c r="J427" s="105"/>
      <c r="K427" s="153">
        <v>0.69733333333333336</v>
      </c>
      <c r="L427" s="11" t="s">
        <v>465</v>
      </c>
      <c r="M427" s="15">
        <v>3</v>
      </c>
      <c r="N427" s="35" t="s">
        <v>25</v>
      </c>
      <c r="O427" s="15">
        <v>4</v>
      </c>
      <c r="P427" s="35" t="s">
        <v>459</v>
      </c>
      <c r="Q427" s="35"/>
      <c r="R427" s="15"/>
      <c r="S427" s="24"/>
      <c r="T427" s="62" t="s">
        <v>447</v>
      </c>
      <c r="U427" s="62"/>
      <c r="V427" s="94">
        <v>4262816.666666667</v>
      </c>
      <c r="W427" s="199">
        <v>0.59725768173625415</v>
      </c>
      <c r="X427" s="15"/>
      <c r="Y427" s="200">
        <v>1.6973333333333334</v>
      </c>
      <c r="Z427" s="11" t="s">
        <v>465</v>
      </c>
      <c r="AA427" s="11"/>
      <c r="AB427" s="15"/>
      <c r="AC427" s="54">
        <v>1500000</v>
      </c>
      <c r="AD427" s="54">
        <v>2546000</v>
      </c>
      <c r="AE427" s="54">
        <v>-1046000</v>
      </c>
      <c r="AG427" s="4"/>
      <c r="AH427" s="4"/>
      <c r="AI427" s="225"/>
      <c r="AJ427" s="226"/>
      <c r="AK427" s="227"/>
      <c r="AL427" s="227"/>
      <c r="AM427" s="225"/>
      <c r="AN427" s="226"/>
      <c r="AO427" s="228"/>
    </row>
    <row r="428" spans="2:41" x14ac:dyDescent="0.25">
      <c r="B428" s="224"/>
      <c r="C428" s="39">
        <v>2018</v>
      </c>
      <c r="D428" s="62" t="s">
        <v>1312</v>
      </c>
      <c r="E428" s="63" t="s">
        <v>1313</v>
      </c>
      <c r="F428" s="64">
        <v>43438</v>
      </c>
      <c r="G428" s="65" t="s">
        <v>1225</v>
      </c>
      <c r="H428" s="94">
        <v>448000</v>
      </c>
      <c r="I428" s="94">
        <v>432222</v>
      </c>
      <c r="J428" s="105" t="s">
        <v>519</v>
      </c>
      <c r="K428" s="153">
        <v>-3.521875E-2</v>
      </c>
      <c r="L428" s="11" t="s">
        <v>464</v>
      </c>
      <c r="M428" s="15">
        <v>6</v>
      </c>
      <c r="N428" s="35" t="s">
        <v>93</v>
      </c>
      <c r="O428" s="15">
        <v>4</v>
      </c>
      <c r="P428" s="35" t="s">
        <v>458</v>
      </c>
      <c r="Q428" s="35"/>
      <c r="R428" s="15"/>
      <c r="S428" s="24"/>
      <c r="T428" s="62" t="s">
        <v>784</v>
      </c>
      <c r="U428" s="62"/>
      <c r="V428" s="94">
        <v>792267</v>
      </c>
      <c r="W428" s="199">
        <v>0.54555093169348212</v>
      </c>
      <c r="X428" s="15"/>
      <c r="Y428" s="200">
        <v>0.96478125000000003</v>
      </c>
      <c r="Z428" s="11" t="s">
        <v>465</v>
      </c>
      <c r="AA428" s="11"/>
      <c r="AB428" s="15"/>
      <c r="AC428" s="54">
        <v>448000</v>
      </c>
      <c r="AD428" s="54">
        <v>432222</v>
      </c>
      <c r="AE428" s="54">
        <v>15778</v>
      </c>
      <c r="AG428" s="4"/>
      <c r="AH428" s="4"/>
      <c r="AI428" s="225"/>
      <c r="AJ428" s="226"/>
      <c r="AK428" s="227"/>
      <c r="AL428" s="227"/>
      <c r="AM428" s="225"/>
      <c r="AN428" s="226"/>
      <c r="AO428" s="228"/>
    </row>
    <row r="429" spans="2:41" x14ac:dyDescent="0.25">
      <c r="B429" s="224"/>
      <c r="C429" s="39">
        <v>2018</v>
      </c>
      <c r="D429" s="62" t="s">
        <v>1314</v>
      </c>
      <c r="E429" s="63" t="s">
        <v>1315</v>
      </c>
      <c r="F429" s="64">
        <v>43433</v>
      </c>
      <c r="G429" s="65" t="s">
        <v>1225</v>
      </c>
      <c r="H429" s="94">
        <v>287000</v>
      </c>
      <c r="I429" s="94">
        <v>369034</v>
      </c>
      <c r="J429" s="105"/>
      <c r="K429" s="153">
        <v>0.28583275261324043</v>
      </c>
      <c r="L429" s="11" t="s">
        <v>465</v>
      </c>
      <c r="M429" s="15">
        <v>5</v>
      </c>
      <c r="N429" s="35" t="s">
        <v>93</v>
      </c>
      <c r="O429" s="15">
        <v>4</v>
      </c>
      <c r="P429" s="35" t="s">
        <v>458</v>
      </c>
      <c r="Q429" s="35"/>
      <c r="R429" s="15"/>
      <c r="S429" s="24"/>
      <c r="T429" s="62" t="s">
        <v>784</v>
      </c>
      <c r="U429" s="62"/>
      <c r="V429" s="94">
        <v>503308</v>
      </c>
      <c r="W429" s="199">
        <v>0.73321703608923361</v>
      </c>
      <c r="X429" s="15"/>
      <c r="Y429" s="200">
        <v>1.2858327526132405</v>
      </c>
      <c r="Z429" s="11" t="s">
        <v>465</v>
      </c>
      <c r="AA429" s="11"/>
      <c r="AB429" s="15"/>
      <c r="AC429" s="54">
        <v>287000</v>
      </c>
      <c r="AD429" s="54">
        <v>369034</v>
      </c>
      <c r="AE429" s="54">
        <v>-82034</v>
      </c>
      <c r="AG429" s="4"/>
      <c r="AH429" s="4"/>
      <c r="AI429" s="225"/>
      <c r="AJ429" s="226"/>
      <c r="AK429" s="227"/>
      <c r="AL429" s="227"/>
      <c r="AM429" s="225"/>
      <c r="AN429" s="226"/>
      <c r="AO429" s="228"/>
    </row>
    <row r="430" spans="2:41" x14ac:dyDescent="0.25">
      <c r="B430" s="224"/>
      <c r="C430" s="39">
        <v>2018</v>
      </c>
      <c r="D430" s="62" t="s">
        <v>1318</v>
      </c>
      <c r="E430" s="63" t="s">
        <v>1319</v>
      </c>
      <c r="F430" s="64">
        <v>43410</v>
      </c>
      <c r="G430" s="65" t="s">
        <v>1225</v>
      </c>
      <c r="H430" s="94">
        <v>2215000</v>
      </c>
      <c r="I430" s="94">
        <v>1984098</v>
      </c>
      <c r="J430" s="105" t="s">
        <v>519</v>
      </c>
      <c r="K430" s="153">
        <v>-0.10424469525959368</v>
      </c>
      <c r="L430" s="11" t="s">
        <v>464</v>
      </c>
      <c r="M430" s="15">
        <v>4</v>
      </c>
      <c r="N430" s="35" t="s">
        <v>93</v>
      </c>
      <c r="O430" s="15">
        <v>4</v>
      </c>
      <c r="P430" s="35" t="s">
        <v>457</v>
      </c>
      <c r="Q430" s="35"/>
      <c r="R430" s="15"/>
      <c r="S430" s="24"/>
      <c r="T430" s="62" t="s">
        <v>1348</v>
      </c>
      <c r="U430" s="62"/>
      <c r="V430" s="94">
        <v>2858292.5</v>
      </c>
      <c r="W430" s="199">
        <v>0.69415498938614573</v>
      </c>
      <c r="X430" s="15"/>
      <c r="Y430" s="200">
        <v>0.89575530474040632</v>
      </c>
      <c r="Z430" s="11" t="s">
        <v>465</v>
      </c>
      <c r="AA430" s="11"/>
      <c r="AB430" s="15"/>
      <c r="AC430" s="54">
        <v>2215000</v>
      </c>
      <c r="AD430" s="54">
        <v>1984098</v>
      </c>
      <c r="AE430" s="54">
        <v>230902</v>
      </c>
      <c r="AG430" s="4"/>
      <c r="AH430" s="4"/>
      <c r="AI430" s="225"/>
      <c r="AJ430" s="226"/>
      <c r="AK430" s="227"/>
      <c r="AL430" s="227"/>
      <c r="AM430" s="225"/>
      <c r="AN430" s="226"/>
      <c r="AO430" s="228"/>
    </row>
    <row r="431" spans="2:41" x14ac:dyDescent="0.25">
      <c r="B431" s="52"/>
      <c r="C431" s="39">
        <v>2018</v>
      </c>
      <c r="D431" s="62" t="s">
        <v>1269</v>
      </c>
      <c r="E431" s="63" t="s">
        <v>1270</v>
      </c>
      <c r="F431" s="64">
        <v>43368</v>
      </c>
      <c r="G431" s="65" t="s">
        <v>1225</v>
      </c>
      <c r="H431" s="94">
        <v>760000</v>
      </c>
      <c r="I431" s="94">
        <v>994150</v>
      </c>
      <c r="J431" s="105"/>
      <c r="K431" s="26">
        <v>0.30809210526315789</v>
      </c>
      <c r="L431" s="11" t="s">
        <v>465</v>
      </c>
      <c r="M431" s="15">
        <v>3</v>
      </c>
      <c r="N431" s="35" t="s">
        <v>25</v>
      </c>
      <c r="O431" s="15">
        <v>3</v>
      </c>
      <c r="P431" s="35" t="s">
        <v>458</v>
      </c>
      <c r="Q431" s="35"/>
      <c r="R431" s="15"/>
      <c r="S431" s="24"/>
      <c r="T431" s="62" t="s">
        <v>784</v>
      </c>
      <c r="U431" s="62"/>
      <c r="V431" s="94">
        <v>2705657.5</v>
      </c>
      <c r="W431" s="199">
        <v>0.36743379381906244</v>
      </c>
      <c r="X431" s="15"/>
      <c r="Y431" s="200">
        <v>1.308092105263158</v>
      </c>
      <c r="Z431" s="11" t="s">
        <v>465</v>
      </c>
      <c r="AA431" s="11"/>
      <c r="AB431" s="15"/>
      <c r="AC431" s="54">
        <v>760000</v>
      </c>
      <c r="AD431" s="54">
        <v>994150</v>
      </c>
      <c r="AE431" s="54">
        <v>-234150</v>
      </c>
    </row>
    <row r="432" spans="2:41" x14ac:dyDescent="0.25">
      <c r="B432" s="52"/>
      <c r="C432" s="39">
        <v>2018</v>
      </c>
      <c r="D432" s="62" t="s">
        <v>1295</v>
      </c>
      <c r="E432" s="63" t="s">
        <v>1296</v>
      </c>
      <c r="F432" s="64">
        <v>43363</v>
      </c>
      <c r="G432" s="65" t="s">
        <v>1225</v>
      </c>
      <c r="H432" s="94">
        <v>1700000</v>
      </c>
      <c r="I432" s="94">
        <v>1560315</v>
      </c>
      <c r="J432" s="105" t="s">
        <v>519</v>
      </c>
      <c r="K432" s="26">
        <v>-8.2167647058823526E-2</v>
      </c>
      <c r="L432" s="11" t="s">
        <v>464</v>
      </c>
      <c r="M432" s="15">
        <v>2</v>
      </c>
      <c r="N432" s="35" t="s">
        <v>25</v>
      </c>
      <c r="O432" s="15">
        <v>3</v>
      </c>
      <c r="P432" s="35" t="s">
        <v>459</v>
      </c>
      <c r="Q432" s="35"/>
      <c r="R432" s="15"/>
      <c r="S432" s="24"/>
      <c r="T432" s="62" t="s">
        <v>447</v>
      </c>
      <c r="U432" s="62"/>
      <c r="V432" s="94">
        <v>2705657.5</v>
      </c>
      <c r="W432" s="199">
        <v>0.57668607353295831</v>
      </c>
      <c r="X432" s="15"/>
      <c r="Y432" s="200">
        <v>0.91783235294117649</v>
      </c>
      <c r="Z432" s="11" t="s">
        <v>465</v>
      </c>
      <c r="AA432" s="11"/>
      <c r="AB432" s="15"/>
      <c r="AC432" s="54">
        <v>1700000</v>
      </c>
      <c r="AD432" s="54">
        <v>1560315</v>
      </c>
      <c r="AE432" s="54">
        <v>139685</v>
      </c>
    </row>
    <row r="433" spans="2:41" x14ac:dyDescent="0.25">
      <c r="B433" s="52"/>
      <c r="C433" s="39">
        <v>2018</v>
      </c>
      <c r="D433" s="62" t="s">
        <v>1223</v>
      </c>
      <c r="E433" s="63" t="s">
        <v>1224</v>
      </c>
      <c r="F433" s="64">
        <v>43326</v>
      </c>
      <c r="G433" s="65" t="s">
        <v>1225</v>
      </c>
      <c r="H433" s="94">
        <v>858000</v>
      </c>
      <c r="I433" s="94">
        <v>743300</v>
      </c>
      <c r="J433" s="105" t="s">
        <v>519</v>
      </c>
      <c r="K433" s="26">
        <v>-0.13368298368298367</v>
      </c>
      <c r="L433" s="11" t="s">
        <v>464</v>
      </c>
      <c r="M433" s="15">
        <v>2</v>
      </c>
      <c r="N433" s="35" t="s">
        <v>25</v>
      </c>
      <c r="O433" s="15">
        <v>3</v>
      </c>
      <c r="P433" s="35" t="s">
        <v>457</v>
      </c>
      <c r="Q433" s="35"/>
      <c r="R433" s="15"/>
      <c r="S433" s="24"/>
      <c r="T433" s="62" t="s">
        <v>1226</v>
      </c>
      <c r="U433" s="62"/>
      <c r="V433" s="94">
        <v>2139150</v>
      </c>
      <c r="W433" s="199">
        <v>0.34747446415632377</v>
      </c>
      <c r="X433" s="15"/>
      <c r="Y433" s="200">
        <v>0.8663170163170163</v>
      </c>
      <c r="Z433" s="11" t="s">
        <v>465</v>
      </c>
      <c r="AA433" s="11"/>
      <c r="AB433" s="15"/>
      <c r="AC433" s="54">
        <v>858000</v>
      </c>
      <c r="AD433" s="54">
        <v>743300</v>
      </c>
      <c r="AE433" s="54">
        <v>114700</v>
      </c>
    </row>
    <row r="434" spans="2:41" x14ac:dyDescent="0.25">
      <c r="B434" s="52"/>
      <c r="C434" s="39">
        <v>2018</v>
      </c>
      <c r="D434" s="62" t="s">
        <v>1227</v>
      </c>
      <c r="E434" s="63" t="s">
        <v>1228</v>
      </c>
      <c r="F434" s="64">
        <v>43326</v>
      </c>
      <c r="G434" s="65" t="s">
        <v>1225</v>
      </c>
      <c r="H434" s="94">
        <v>1300000</v>
      </c>
      <c r="I434" s="94">
        <v>695800</v>
      </c>
      <c r="J434" s="105"/>
      <c r="K434" s="26">
        <v>-0.46476923076923077</v>
      </c>
      <c r="L434" s="11" t="s">
        <v>465</v>
      </c>
      <c r="M434" s="15">
        <v>2</v>
      </c>
      <c r="N434" s="35" t="s">
        <v>226</v>
      </c>
      <c r="O434" s="15">
        <v>3</v>
      </c>
      <c r="P434" s="35" t="s">
        <v>457</v>
      </c>
      <c r="Q434" s="35"/>
      <c r="R434" s="15"/>
      <c r="S434" s="24" t="s">
        <v>932</v>
      </c>
      <c r="T434" s="62" t="s">
        <v>1226</v>
      </c>
      <c r="U434" s="62"/>
      <c r="V434" s="94">
        <v>1057500</v>
      </c>
      <c r="W434" s="199">
        <v>0.65796690307328609</v>
      </c>
      <c r="X434" s="15"/>
      <c r="Y434" s="200">
        <v>0.53523076923076918</v>
      </c>
      <c r="Z434" s="11" t="s">
        <v>465</v>
      </c>
      <c r="AA434" s="11"/>
      <c r="AB434" s="15"/>
      <c r="AC434" s="54">
        <v>1300000</v>
      </c>
      <c r="AD434" s="54">
        <v>695800</v>
      </c>
      <c r="AE434" s="54">
        <v>604200</v>
      </c>
    </row>
    <row r="435" spans="2:41" x14ac:dyDescent="0.25">
      <c r="B435" s="52"/>
      <c r="C435" s="39">
        <v>2018</v>
      </c>
      <c r="D435" s="62" t="s">
        <v>1229</v>
      </c>
      <c r="E435" s="63" t="s">
        <v>1230</v>
      </c>
      <c r="F435" s="64">
        <v>43314</v>
      </c>
      <c r="G435" s="65" t="s">
        <v>1225</v>
      </c>
      <c r="H435" s="94">
        <v>1980000</v>
      </c>
      <c r="I435" s="94">
        <v>2882170</v>
      </c>
      <c r="J435" s="105"/>
      <c r="K435" s="26">
        <v>0.45564141414141413</v>
      </c>
      <c r="L435" s="11" t="s">
        <v>465</v>
      </c>
      <c r="M435" s="15">
        <v>6</v>
      </c>
      <c r="N435" s="35" t="s">
        <v>25</v>
      </c>
      <c r="O435" s="15">
        <v>3</v>
      </c>
      <c r="P435" s="35" t="s">
        <v>492</v>
      </c>
      <c r="Q435" s="35"/>
      <c r="R435" s="15"/>
      <c r="S435" s="24"/>
      <c r="T435" s="62" t="s">
        <v>816</v>
      </c>
      <c r="U435" s="62"/>
      <c r="V435" s="94">
        <v>4467184.666666667</v>
      </c>
      <c r="W435" s="199">
        <v>0.64518711785215355</v>
      </c>
      <c r="X435" s="15"/>
      <c r="Y435" s="200">
        <v>1.4556414141414142</v>
      </c>
      <c r="Z435" s="11" t="s">
        <v>465</v>
      </c>
      <c r="AA435" s="11"/>
      <c r="AB435" s="15"/>
      <c r="AC435" s="54">
        <v>1980000</v>
      </c>
      <c r="AD435" s="54">
        <v>2882170</v>
      </c>
      <c r="AE435" s="54">
        <v>-902170</v>
      </c>
    </row>
    <row r="436" spans="2:41" x14ac:dyDescent="0.25">
      <c r="B436" s="52"/>
      <c r="C436" s="39">
        <v>2018</v>
      </c>
      <c r="D436" s="62" t="s">
        <v>1231</v>
      </c>
      <c r="E436" s="63" t="s">
        <v>1232</v>
      </c>
      <c r="F436" s="64">
        <v>43221</v>
      </c>
      <c r="G436" s="65" t="s">
        <v>1225</v>
      </c>
      <c r="H436" s="94">
        <v>960000</v>
      </c>
      <c r="I436" s="94">
        <v>413834</v>
      </c>
      <c r="J436" s="105"/>
      <c r="K436" s="26">
        <v>-0.56892291666666661</v>
      </c>
      <c r="L436" s="11" t="s">
        <v>465</v>
      </c>
      <c r="M436" s="15">
        <v>5</v>
      </c>
      <c r="N436" s="35" t="s">
        <v>93</v>
      </c>
      <c r="O436" s="15">
        <v>2</v>
      </c>
      <c r="P436" s="35" t="s">
        <v>457</v>
      </c>
      <c r="Q436" s="35"/>
      <c r="R436" s="15"/>
      <c r="S436" s="24"/>
      <c r="T436" s="62" t="s">
        <v>816</v>
      </c>
      <c r="U436" s="62"/>
      <c r="V436" s="94">
        <v>710613.8</v>
      </c>
      <c r="W436" s="199">
        <v>0.58236133325865602</v>
      </c>
      <c r="X436" s="15"/>
      <c r="Y436" s="200">
        <v>0.43107708333333333</v>
      </c>
      <c r="Z436" s="11" t="s">
        <v>465</v>
      </c>
      <c r="AA436" s="11"/>
      <c r="AB436" s="15"/>
      <c r="AC436" s="54">
        <v>960000</v>
      </c>
      <c r="AD436" s="54">
        <v>413834</v>
      </c>
      <c r="AE436" s="54">
        <v>546166</v>
      </c>
    </row>
    <row r="437" spans="2:41" x14ac:dyDescent="0.25">
      <c r="B437" s="52"/>
      <c r="C437" s="39">
        <v>2018</v>
      </c>
      <c r="D437" s="62" t="s">
        <v>1233</v>
      </c>
      <c r="E437" s="63" t="s">
        <v>1234</v>
      </c>
      <c r="F437" s="64">
        <v>43173</v>
      </c>
      <c r="G437" s="65" t="s">
        <v>693</v>
      </c>
      <c r="H437" s="94">
        <v>600000</v>
      </c>
      <c r="I437" s="94">
        <v>749000</v>
      </c>
      <c r="J437" s="105"/>
      <c r="K437" s="26">
        <v>0.24833333333333332</v>
      </c>
      <c r="L437" s="11" t="s">
        <v>465</v>
      </c>
      <c r="M437" s="15">
        <v>3</v>
      </c>
      <c r="N437" s="35" t="s">
        <v>25</v>
      </c>
      <c r="O437" s="15">
        <v>1</v>
      </c>
      <c r="P437" s="35" t="s">
        <v>457</v>
      </c>
      <c r="Q437" s="35" t="s">
        <v>1235</v>
      </c>
      <c r="R437" s="15"/>
      <c r="S437" s="24"/>
      <c r="T437" s="62" t="s">
        <v>1226</v>
      </c>
      <c r="U437" s="62"/>
      <c r="V437" s="94">
        <v>994735</v>
      </c>
      <c r="W437" s="199">
        <v>0.75296435734140243</v>
      </c>
      <c r="X437" s="15"/>
      <c r="Y437" s="200">
        <v>1.2483333333333333</v>
      </c>
      <c r="Z437" s="11" t="s">
        <v>465</v>
      </c>
      <c r="AA437" s="11"/>
      <c r="AB437" s="15"/>
      <c r="AC437" s="54">
        <v>600000</v>
      </c>
      <c r="AD437" s="54">
        <v>749000</v>
      </c>
      <c r="AE437" s="54">
        <v>-149000</v>
      </c>
    </row>
    <row r="438" spans="2:41" x14ac:dyDescent="0.25">
      <c r="B438" s="52"/>
      <c r="C438" s="39">
        <v>2018</v>
      </c>
      <c r="D438" s="62" t="s">
        <v>1236</v>
      </c>
      <c r="E438" s="63" t="s">
        <v>1237</v>
      </c>
      <c r="F438" s="64">
        <v>43138</v>
      </c>
      <c r="G438" s="65" t="s">
        <v>693</v>
      </c>
      <c r="H438" s="94">
        <v>1056000</v>
      </c>
      <c r="I438" s="94">
        <v>619790</v>
      </c>
      <c r="J438" s="105" t="s">
        <v>519</v>
      </c>
      <c r="K438" s="26">
        <v>-0.41307765151515152</v>
      </c>
      <c r="L438" s="11" t="s">
        <v>464</v>
      </c>
      <c r="M438" s="15">
        <v>6</v>
      </c>
      <c r="N438" s="35" t="s">
        <v>25</v>
      </c>
      <c r="O438" s="15">
        <v>1</v>
      </c>
      <c r="P438" s="35" t="s">
        <v>457</v>
      </c>
      <c r="Q438" s="35" t="s">
        <v>1238</v>
      </c>
      <c r="R438" s="15"/>
      <c r="S438" s="24"/>
      <c r="T438" s="62" t="s">
        <v>784</v>
      </c>
      <c r="U438" s="62"/>
      <c r="V438" s="94">
        <v>2319072.3333333335</v>
      </c>
      <c r="W438" s="199">
        <v>0.26725772676057108</v>
      </c>
      <c r="X438" s="15"/>
      <c r="Y438" s="200">
        <v>0.58692234848484848</v>
      </c>
      <c r="Z438" s="11" t="s">
        <v>465</v>
      </c>
      <c r="AA438" s="11"/>
      <c r="AB438" s="15"/>
      <c r="AC438" s="54">
        <v>1056000</v>
      </c>
      <c r="AD438" s="54">
        <v>619790</v>
      </c>
      <c r="AE438" s="54">
        <v>436210</v>
      </c>
    </row>
    <row r="439" spans="2:41" x14ac:dyDescent="0.25">
      <c r="B439" s="52"/>
      <c r="C439" s="39"/>
    </row>
    <row r="440" spans="2:41" x14ac:dyDescent="0.25">
      <c r="B440" s="52"/>
      <c r="C440" s="39"/>
    </row>
    <row r="441" spans="2:41" x14ac:dyDescent="0.25">
      <c r="B441" s="52"/>
      <c r="C441" s="39">
        <v>2018</v>
      </c>
      <c r="D441" s="62" t="s">
        <v>1273</v>
      </c>
      <c r="E441" s="63" t="s">
        <v>1274</v>
      </c>
      <c r="F441" s="64">
        <v>43311</v>
      </c>
      <c r="G441" s="65" t="s">
        <v>190</v>
      </c>
      <c r="H441" s="94">
        <v>9350000</v>
      </c>
      <c r="I441" s="94">
        <v>6855365</v>
      </c>
      <c r="J441" s="27" t="s">
        <v>519</v>
      </c>
      <c r="K441" s="26">
        <v>-0.26680588235294117</v>
      </c>
      <c r="L441" s="11" t="s">
        <v>464</v>
      </c>
      <c r="M441" s="15">
        <v>3</v>
      </c>
      <c r="N441" s="35" t="s">
        <v>25</v>
      </c>
      <c r="O441" s="15">
        <v>3</v>
      </c>
      <c r="P441" s="35" t="s">
        <v>458</v>
      </c>
      <c r="Q441" s="35"/>
      <c r="R441" s="15"/>
      <c r="S441" s="24" t="s">
        <v>932</v>
      </c>
      <c r="T441" s="62" t="s">
        <v>784</v>
      </c>
      <c r="U441" s="62"/>
      <c r="V441" s="94">
        <v>10087545</v>
      </c>
      <c r="W441" s="199">
        <v>0.67958705512590034</v>
      </c>
      <c r="X441" s="15"/>
      <c r="Y441" s="200">
        <v>0.73319411764705877</v>
      </c>
      <c r="Z441" s="11" t="s">
        <v>465</v>
      </c>
      <c r="AA441" s="11"/>
      <c r="AB441" s="15"/>
      <c r="AC441" s="54">
        <v>9350000</v>
      </c>
      <c r="AD441" s="54">
        <v>6855365</v>
      </c>
      <c r="AE441" s="54">
        <v>2494635</v>
      </c>
    </row>
    <row r="442" spans="2:41" x14ac:dyDescent="0.25">
      <c r="B442" s="52"/>
      <c r="C442" s="39">
        <v>2018</v>
      </c>
      <c r="D442" s="62" t="s">
        <v>1275</v>
      </c>
      <c r="E442" s="63" t="s">
        <v>1276</v>
      </c>
      <c r="F442" s="64">
        <v>43299</v>
      </c>
      <c r="G442" s="65" t="s">
        <v>190</v>
      </c>
      <c r="H442" s="94">
        <v>34796400</v>
      </c>
      <c r="I442" s="94">
        <v>34483510</v>
      </c>
      <c r="J442" s="27" t="s">
        <v>519</v>
      </c>
      <c r="K442" s="26">
        <v>-8.9920221632122863E-3</v>
      </c>
      <c r="L442" s="11" t="s">
        <v>464</v>
      </c>
      <c r="M442" s="15">
        <v>2</v>
      </c>
      <c r="N442" s="35" t="s">
        <v>93</v>
      </c>
      <c r="O442" s="15">
        <v>3</v>
      </c>
      <c r="P442" s="35" t="s">
        <v>458</v>
      </c>
      <c r="Q442" s="35"/>
      <c r="R442" s="15"/>
      <c r="S442" s="24"/>
      <c r="T442" s="62" t="s">
        <v>784</v>
      </c>
      <c r="U442" s="62"/>
      <c r="V442" s="94">
        <v>35471255</v>
      </c>
      <c r="W442" s="199">
        <v>0.97215364948322236</v>
      </c>
      <c r="X442" s="15"/>
      <c r="Y442" s="200">
        <v>0.99100797783678773</v>
      </c>
      <c r="Z442" s="11" t="s">
        <v>465</v>
      </c>
      <c r="AA442" s="11"/>
      <c r="AB442" s="15"/>
      <c r="AC442" s="54">
        <v>34796400</v>
      </c>
      <c r="AD442" s="54">
        <v>34483510</v>
      </c>
      <c r="AE442" s="54">
        <v>312890</v>
      </c>
    </row>
    <row r="443" spans="2:41" x14ac:dyDescent="0.25">
      <c r="B443" s="224"/>
      <c r="C443" s="39">
        <v>2018</v>
      </c>
      <c r="D443" s="62" t="s">
        <v>1277</v>
      </c>
      <c r="E443" s="63" t="s">
        <v>1278</v>
      </c>
      <c r="F443" s="64">
        <v>43287</v>
      </c>
      <c r="G443" s="65" t="s">
        <v>190</v>
      </c>
      <c r="H443" s="94">
        <v>3730000</v>
      </c>
      <c r="I443" s="94">
        <v>4547000</v>
      </c>
      <c r="J443" s="105"/>
      <c r="K443" s="26">
        <v>0.2190348525469169</v>
      </c>
      <c r="L443" s="11" t="s">
        <v>465</v>
      </c>
      <c r="M443" s="15">
        <v>3</v>
      </c>
      <c r="N443" s="35" t="s">
        <v>25</v>
      </c>
      <c r="O443" s="15">
        <v>3</v>
      </c>
      <c r="P443" s="35" t="s">
        <v>458</v>
      </c>
      <c r="Q443" s="35"/>
      <c r="R443" s="15"/>
      <c r="S443" s="24"/>
      <c r="T443" s="62" t="s">
        <v>784</v>
      </c>
      <c r="U443" s="62"/>
      <c r="V443" s="94">
        <v>4717276.666666667</v>
      </c>
      <c r="W443" s="199">
        <v>0.96390360822593257</v>
      </c>
      <c r="X443" s="15"/>
      <c r="Y443" s="200">
        <v>1.2190348525469168</v>
      </c>
      <c r="Z443" s="11" t="s">
        <v>465</v>
      </c>
      <c r="AA443" s="11"/>
      <c r="AB443" s="15"/>
      <c r="AC443" s="54">
        <v>3730000</v>
      </c>
      <c r="AD443" s="54">
        <v>4547000</v>
      </c>
      <c r="AE443" s="54">
        <v>-817000</v>
      </c>
      <c r="AG443" s="4">
        <v>203524650</v>
      </c>
      <c r="AH443" s="4">
        <v>173859860</v>
      </c>
      <c r="AI443" s="209">
        <v>0.85424473153497626</v>
      </c>
      <c r="AJ443" s="1" t="s">
        <v>1240</v>
      </c>
      <c r="AK443" s="210">
        <v>757144150</v>
      </c>
      <c r="AL443" s="210">
        <v>573649474</v>
      </c>
      <c r="AM443" s="211">
        <v>0.75764895495791651</v>
      </c>
      <c r="AN443" s="212"/>
      <c r="AO443" s="213"/>
    </row>
    <row r="444" spans="2:41" x14ac:dyDescent="0.25">
      <c r="B444" s="52"/>
      <c r="C444" s="39">
        <v>2018</v>
      </c>
      <c r="D444" s="62" t="s">
        <v>1291</v>
      </c>
      <c r="E444" s="63" t="s">
        <v>1292</v>
      </c>
      <c r="F444" s="64">
        <v>43139</v>
      </c>
      <c r="G444" s="65" t="s">
        <v>190</v>
      </c>
      <c r="H444" s="94">
        <v>10590000</v>
      </c>
      <c r="I444" s="94">
        <v>9125000</v>
      </c>
      <c r="J444" s="27"/>
      <c r="K444" s="26">
        <v>-0.13833805476864966</v>
      </c>
      <c r="L444" s="11" t="s">
        <v>465</v>
      </c>
      <c r="M444" s="15">
        <v>2</v>
      </c>
      <c r="N444" s="35" t="s">
        <v>93</v>
      </c>
      <c r="O444" s="15">
        <v>1</v>
      </c>
      <c r="P444" s="35" t="s">
        <v>458</v>
      </c>
      <c r="Q444" s="35" t="s">
        <v>1235</v>
      </c>
      <c r="R444" s="15"/>
      <c r="S444" s="24"/>
      <c r="T444" s="62" t="s">
        <v>784</v>
      </c>
      <c r="U444" s="62"/>
      <c r="V444" s="94">
        <v>9478917</v>
      </c>
      <c r="W444" s="199">
        <v>0.96266271769232714</v>
      </c>
      <c r="X444" s="15"/>
      <c r="Y444" s="200">
        <v>0.86166194523135031</v>
      </c>
      <c r="Z444" s="11" t="s">
        <v>465</v>
      </c>
      <c r="AA444" s="11"/>
      <c r="AB444" s="15"/>
      <c r="AC444" s="54">
        <v>10590000</v>
      </c>
      <c r="AD444" s="54">
        <v>9125000</v>
      </c>
      <c r="AE444" s="54">
        <v>1465000</v>
      </c>
    </row>
    <row r="445" spans="2:41" x14ac:dyDescent="0.25">
      <c r="B445" s="52"/>
      <c r="C445" s="39">
        <v>2018</v>
      </c>
      <c r="D445" s="62" t="s">
        <v>1309</v>
      </c>
      <c r="E445" s="63" t="s">
        <v>1310</v>
      </c>
      <c r="F445" s="64">
        <v>43110</v>
      </c>
      <c r="G445" s="65" t="s">
        <v>190</v>
      </c>
      <c r="H445" s="94">
        <v>200000000</v>
      </c>
      <c r="I445" s="94">
        <v>108511400</v>
      </c>
      <c r="J445" s="27"/>
      <c r="K445" s="26">
        <v>-0.45744299999999999</v>
      </c>
      <c r="L445" s="11" t="s">
        <v>465</v>
      </c>
      <c r="M445" s="15">
        <v>5</v>
      </c>
      <c r="N445" s="35" t="s">
        <v>226</v>
      </c>
      <c r="O445" s="15">
        <v>1</v>
      </c>
      <c r="P445" s="35" t="s">
        <v>459</v>
      </c>
      <c r="Q445" s="35" t="s">
        <v>1246</v>
      </c>
      <c r="R445" s="15"/>
      <c r="S445" s="24" t="s">
        <v>932</v>
      </c>
      <c r="T445" s="62" t="s">
        <v>447</v>
      </c>
      <c r="U445" s="62"/>
      <c r="V445" s="94">
        <v>136419680</v>
      </c>
      <c r="W445" s="199">
        <v>0.79542335827206168</v>
      </c>
      <c r="X445" s="15"/>
      <c r="Y445" s="200">
        <v>0.54255699999999996</v>
      </c>
      <c r="Z445" s="11" t="s">
        <v>465</v>
      </c>
      <c r="AA445" s="11"/>
      <c r="AB445" s="15"/>
      <c r="AC445" s="54">
        <v>200000000</v>
      </c>
      <c r="AD445" s="54">
        <v>108511400</v>
      </c>
      <c r="AE445" s="54">
        <v>91488600</v>
      </c>
    </row>
    <row r="446" spans="2:41" x14ac:dyDescent="0.25">
      <c r="B446" s="224"/>
      <c r="C446" s="39">
        <v>2018</v>
      </c>
      <c r="D446" s="62" t="s">
        <v>1267</v>
      </c>
      <c r="E446" s="63" t="s">
        <v>1268</v>
      </c>
      <c r="F446" s="64">
        <v>43108</v>
      </c>
      <c r="G446" s="65" t="s">
        <v>190</v>
      </c>
      <c r="H446" s="94">
        <v>8520000</v>
      </c>
      <c r="I446" s="94">
        <v>6850075</v>
      </c>
      <c r="J446" s="27" t="s">
        <v>519</v>
      </c>
      <c r="K446" s="26">
        <v>-0.19600058685446009</v>
      </c>
      <c r="L446" s="11" t="s">
        <v>464</v>
      </c>
      <c r="M446" s="15">
        <v>5</v>
      </c>
      <c r="N446" s="35" t="s">
        <v>93</v>
      </c>
      <c r="O446" s="15">
        <v>1</v>
      </c>
      <c r="P446" s="35" t="s">
        <v>457</v>
      </c>
      <c r="Q446" s="35" t="s">
        <v>1235</v>
      </c>
      <c r="R446" s="15"/>
      <c r="S446" s="24"/>
      <c r="T446" s="62" t="s">
        <v>784</v>
      </c>
      <c r="U446" s="62"/>
      <c r="V446" s="94">
        <v>10472836.199999999</v>
      </c>
      <c r="W446" s="199">
        <v>0.65408021945382866</v>
      </c>
      <c r="X446" s="15"/>
      <c r="Y446" s="200">
        <v>0.80399941314553991</v>
      </c>
      <c r="Z446" s="11" t="s">
        <v>465</v>
      </c>
      <c r="AA446" s="74">
        <v>0</v>
      </c>
      <c r="AB446" s="15"/>
      <c r="AC446" s="54">
        <v>8520000</v>
      </c>
      <c r="AD446" s="54">
        <v>6850075</v>
      </c>
      <c r="AE446" s="54">
        <v>1669925</v>
      </c>
      <c r="AG446" s="4">
        <v>337954000</v>
      </c>
      <c r="AH446" s="4">
        <v>228800072</v>
      </c>
      <c r="AI446" s="7">
        <v>0.67701542813519</v>
      </c>
    </row>
    <row r="447" spans="2:41" x14ac:dyDescent="0.25">
      <c r="B447" s="52"/>
      <c r="C447" s="39"/>
    </row>
    <row r="448" spans="2:41" x14ac:dyDescent="0.25">
      <c r="B448" s="52"/>
      <c r="C448" s="39"/>
    </row>
    <row r="449" spans="2:41" x14ac:dyDescent="0.25">
      <c r="B449" s="52"/>
      <c r="C449" s="39">
        <v>2018</v>
      </c>
      <c r="D449" s="62" t="s">
        <v>1248</v>
      </c>
      <c r="E449" s="63" t="s">
        <v>1249</v>
      </c>
      <c r="F449" s="64">
        <v>43259</v>
      </c>
      <c r="G449" s="65" t="s">
        <v>756</v>
      </c>
      <c r="H449" s="94">
        <v>2770000</v>
      </c>
      <c r="I449" s="94">
        <v>2542996</v>
      </c>
      <c r="J449" s="105" t="s">
        <v>519</v>
      </c>
      <c r="K449" s="26">
        <v>-8.1950902527075806E-2</v>
      </c>
      <c r="L449" s="11" t="s">
        <v>464</v>
      </c>
      <c r="M449" s="15">
        <v>6</v>
      </c>
      <c r="N449" s="35" t="s">
        <v>226</v>
      </c>
      <c r="O449" s="15">
        <v>2</v>
      </c>
      <c r="P449" s="35" t="s">
        <v>492</v>
      </c>
      <c r="Q449" s="35"/>
      <c r="R449" s="15"/>
      <c r="S449" s="24"/>
      <c r="T449" s="62" t="s">
        <v>447</v>
      </c>
      <c r="U449" s="62"/>
      <c r="V449" s="94">
        <v>4162248.5</v>
      </c>
      <c r="W449" s="199">
        <v>0.61096688484601536</v>
      </c>
      <c r="X449" s="15"/>
      <c r="Y449" s="200">
        <v>0.91804909747292418</v>
      </c>
      <c r="Z449" s="11" t="s">
        <v>465</v>
      </c>
      <c r="AA449" s="11"/>
      <c r="AB449" s="15"/>
      <c r="AC449" s="54">
        <v>2770000</v>
      </c>
      <c r="AD449" s="54">
        <v>2542996</v>
      </c>
      <c r="AE449" s="54">
        <v>227004</v>
      </c>
    </row>
    <row r="450" spans="2:41" x14ac:dyDescent="0.25">
      <c r="B450" s="52"/>
      <c r="C450" s="39">
        <v>2018</v>
      </c>
      <c r="D450" s="62" t="s">
        <v>1307</v>
      </c>
      <c r="E450" s="63" t="s">
        <v>1308</v>
      </c>
      <c r="F450" s="64">
        <v>43118</v>
      </c>
      <c r="G450" s="65" t="s">
        <v>756</v>
      </c>
      <c r="H450" s="94">
        <v>26900000</v>
      </c>
      <c r="I450" s="94">
        <v>24990000</v>
      </c>
      <c r="J450" s="27" t="s">
        <v>519</v>
      </c>
      <c r="K450" s="26">
        <v>-7.1003717472118963E-2</v>
      </c>
      <c r="L450" s="11" t="s">
        <v>464</v>
      </c>
      <c r="M450" s="15">
        <v>2</v>
      </c>
      <c r="N450" s="35" t="s">
        <v>226</v>
      </c>
      <c r="O450" s="15">
        <v>1</v>
      </c>
      <c r="P450" s="35" t="s">
        <v>459</v>
      </c>
      <c r="Q450" s="35" t="s">
        <v>1246</v>
      </c>
      <c r="R450" s="15"/>
      <c r="S450" s="24"/>
      <c r="T450" s="62" t="s">
        <v>447</v>
      </c>
      <c r="U450" s="62"/>
      <c r="V450" s="94">
        <v>35017000</v>
      </c>
      <c r="W450" s="199">
        <v>0.71365336836393756</v>
      </c>
      <c r="X450" s="15"/>
      <c r="Y450" s="200">
        <v>0.92899628252788102</v>
      </c>
      <c r="Z450" s="11" t="s">
        <v>465</v>
      </c>
      <c r="AA450" s="11"/>
      <c r="AB450" s="15"/>
      <c r="AC450" s="54">
        <v>26900000</v>
      </c>
      <c r="AD450" s="54">
        <v>24990000</v>
      </c>
      <c r="AE450" s="54">
        <v>1910000</v>
      </c>
    </row>
    <row r="451" spans="2:41" x14ac:dyDescent="0.25">
      <c r="B451" s="52"/>
      <c r="C451" s="39"/>
    </row>
    <row r="452" spans="2:41" x14ac:dyDescent="0.25">
      <c r="B452" s="52"/>
      <c r="C452" s="39"/>
    </row>
    <row r="453" spans="2:41" x14ac:dyDescent="0.25">
      <c r="B453" s="52"/>
      <c r="C453" s="39"/>
    </row>
    <row r="454" spans="2:41" x14ac:dyDescent="0.25">
      <c r="B454" s="224"/>
      <c r="C454" s="39">
        <v>2018</v>
      </c>
      <c r="D454" s="62" t="s">
        <v>1324</v>
      </c>
      <c r="E454" s="63" t="s">
        <v>1325</v>
      </c>
      <c r="F454" s="64">
        <v>43452</v>
      </c>
      <c r="G454" s="65" t="s">
        <v>34</v>
      </c>
      <c r="H454" s="94">
        <v>10250000</v>
      </c>
      <c r="I454" s="94">
        <v>8275000</v>
      </c>
      <c r="J454" s="94"/>
      <c r="K454" s="153">
        <v>-0.1926829268292683</v>
      </c>
      <c r="L454" s="11" t="s">
        <v>465</v>
      </c>
      <c r="M454" s="15">
        <v>3</v>
      </c>
      <c r="N454" s="35" t="s">
        <v>25</v>
      </c>
      <c r="O454" s="15">
        <v>4</v>
      </c>
      <c r="P454" s="35" t="s">
        <v>458</v>
      </c>
      <c r="Q454" s="35"/>
      <c r="R454" s="15"/>
      <c r="S454" s="24"/>
      <c r="T454" s="62" t="s">
        <v>784</v>
      </c>
      <c r="U454" s="62"/>
      <c r="V454" s="94">
        <v>9049324.666666666</v>
      </c>
      <c r="W454" s="199">
        <v>0.91443287812195495</v>
      </c>
      <c r="X454" s="15"/>
      <c r="Y454" s="200">
        <v>0.80731707317073176</v>
      </c>
      <c r="Z454" s="11" t="s">
        <v>465</v>
      </c>
      <c r="AA454" s="11"/>
      <c r="AB454" s="15"/>
      <c r="AC454" s="54">
        <v>10250000</v>
      </c>
      <c r="AD454" s="54">
        <v>8275000</v>
      </c>
      <c r="AE454" s="54">
        <v>1975000</v>
      </c>
      <c r="AG454" s="4"/>
      <c r="AH454" s="4"/>
      <c r="AI454" s="225"/>
      <c r="AJ454" s="226"/>
      <c r="AK454" s="227"/>
      <c r="AL454" s="227"/>
      <c r="AM454" s="225"/>
      <c r="AN454" s="226"/>
      <c r="AO454" s="228"/>
    </row>
    <row r="455" spans="2:41" x14ac:dyDescent="0.25">
      <c r="B455" s="224"/>
      <c r="C455" s="39">
        <v>2018</v>
      </c>
      <c r="D455" s="62" t="s">
        <v>1326</v>
      </c>
      <c r="E455" s="63" t="s">
        <v>1327</v>
      </c>
      <c r="F455" s="64">
        <v>43441</v>
      </c>
      <c r="G455" s="65" t="s">
        <v>34</v>
      </c>
      <c r="H455" s="94">
        <v>5000000</v>
      </c>
      <c r="I455" s="94">
        <v>4380000</v>
      </c>
      <c r="J455" s="105" t="s">
        <v>519</v>
      </c>
      <c r="K455" s="153">
        <v>-0.124</v>
      </c>
      <c r="L455" s="11" t="s">
        <v>464</v>
      </c>
      <c r="M455" s="15">
        <v>4</v>
      </c>
      <c r="N455" s="35" t="s">
        <v>25</v>
      </c>
      <c r="O455" s="15">
        <v>4</v>
      </c>
      <c r="P455" s="35" t="s">
        <v>459</v>
      </c>
      <c r="Q455" s="35"/>
      <c r="R455" s="15"/>
      <c r="S455" s="24"/>
      <c r="T455" s="62" t="s">
        <v>447</v>
      </c>
      <c r="U455" s="62"/>
      <c r="V455" s="94">
        <v>5853509.5</v>
      </c>
      <c r="W455" s="199">
        <v>0.74826905124182341</v>
      </c>
      <c r="X455" s="15"/>
      <c r="Y455" s="200">
        <v>0.876</v>
      </c>
      <c r="Z455" s="11" t="s">
        <v>465</v>
      </c>
      <c r="AA455" s="11"/>
      <c r="AB455" s="15"/>
      <c r="AC455" s="54">
        <v>5000000</v>
      </c>
      <c r="AD455" s="54">
        <v>4380000</v>
      </c>
      <c r="AE455" s="54">
        <v>620000</v>
      </c>
      <c r="AG455" s="4"/>
      <c r="AH455" s="4"/>
      <c r="AI455" s="225"/>
      <c r="AJ455" s="226"/>
      <c r="AK455" s="227"/>
      <c r="AL455" s="227"/>
      <c r="AM455" s="225"/>
      <c r="AN455" s="226"/>
      <c r="AO455" s="228"/>
    </row>
    <row r="456" spans="2:41" x14ac:dyDescent="0.25">
      <c r="B456" s="224"/>
      <c r="C456" s="39">
        <v>2018</v>
      </c>
      <c r="D456" s="62" t="s">
        <v>1330</v>
      </c>
      <c r="E456" s="63" t="s">
        <v>1331</v>
      </c>
      <c r="F456" s="64">
        <v>43438</v>
      </c>
      <c r="G456" s="65" t="s">
        <v>34</v>
      </c>
      <c r="H456" s="94">
        <v>122920000</v>
      </c>
      <c r="I456" s="94">
        <v>119769038</v>
      </c>
      <c r="J456" s="94" t="s">
        <v>519</v>
      </c>
      <c r="K456" s="153">
        <v>-2.5634249918646275E-2</v>
      </c>
      <c r="L456" s="11" t="s">
        <v>464</v>
      </c>
      <c r="M456" s="15">
        <v>2</v>
      </c>
      <c r="N456" s="35" t="s">
        <v>25</v>
      </c>
      <c r="O456" s="15">
        <v>4</v>
      </c>
      <c r="P456" s="35" t="s">
        <v>458</v>
      </c>
      <c r="Q456" s="35"/>
      <c r="R456" s="15"/>
      <c r="S456" s="24"/>
      <c r="T456" s="62" t="s">
        <v>784</v>
      </c>
      <c r="U456" s="62"/>
      <c r="V456" s="94">
        <v>122138179</v>
      </c>
      <c r="W456" s="199">
        <v>0.98060278105177912</v>
      </c>
      <c r="X456" s="15"/>
      <c r="Y456" s="200">
        <v>0.97436575008135373</v>
      </c>
      <c r="Z456" s="11" t="s">
        <v>465</v>
      </c>
      <c r="AA456" s="11"/>
      <c r="AB456" s="15"/>
      <c r="AC456" s="54">
        <v>122920000</v>
      </c>
      <c r="AD456" s="54">
        <v>119769038</v>
      </c>
      <c r="AE456" s="54">
        <v>3150962</v>
      </c>
      <c r="AG456" s="4"/>
      <c r="AH456" s="4"/>
      <c r="AI456" s="225"/>
      <c r="AJ456" s="226"/>
      <c r="AK456" s="227"/>
      <c r="AL456" s="227"/>
      <c r="AM456" s="225"/>
      <c r="AN456" s="226"/>
      <c r="AO456" s="228"/>
    </row>
    <row r="457" spans="2:41" x14ac:dyDescent="0.25">
      <c r="B457" s="224"/>
      <c r="C457" s="39">
        <v>2018</v>
      </c>
      <c r="D457" s="62" t="s">
        <v>1332</v>
      </c>
      <c r="E457" s="63" t="s">
        <v>1333</v>
      </c>
      <c r="F457" s="64">
        <v>43419</v>
      </c>
      <c r="G457" s="65" t="s">
        <v>34</v>
      </c>
      <c r="H457" s="94">
        <v>12570000</v>
      </c>
      <c r="I457" s="94">
        <v>9714000</v>
      </c>
      <c r="J457" s="94"/>
      <c r="K457" s="153">
        <v>-0.22720763723150358</v>
      </c>
      <c r="L457" s="11" t="s">
        <v>465</v>
      </c>
      <c r="M457" s="15">
        <v>4</v>
      </c>
      <c r="N457" s="35" t="s">
        <v>25</v>
      </c>
      <c r="O457" s="15">
        <v>4</v>
      </c>
      <c r="P457" s="35" t="s">
        <v>458</v>
      </c>
      <c r="Q457" s="35"/>
      <c r="R457" s="15"/>
      <c r="S457" s="24"/>
      <c r="T457" s="62" t="s">
        <v>784</v>
      </c>
      <c r="U457" s="62"/>
      <c r="V457" s="94">
        <v>10579250</v>
      </c>
      <c r="W457" s="199">
        <v>0.91821253869603237</v>
      </c>
      <c r="X457" s="15"/>
      <c r="Y457" s="200">
        <v>0.77279236276849639</v>
      </c>
      <c r="Z457" s="11" t="s">
        <v>465</v>
      </c>
      <c r="AA457" s="11"/>
      <c r="AB457" s="15"/>
      <c r="AC457" s="54">
        <v>12570000</v>
      </c>
      <c r="AD457" s="54">
        <v>9714000</v>
      </c>
      <c r="AE457" s="54">
        <v>2856000</v>
      </c>
      <c r="AG457" s="4"/>
      <c r="AH457" s="4"/>
      <c r="AI457" s="225"/>
      <c r="AJ457" s="226"/>
      <c r="AK457" s="227"/>
      <c r="AL457" s="227"/>
      <c r="AM457" s="225"/>
      <c r="AN457" s="226"/>
      <c r="AO457" s="228"/>
    </row>
    <row r="458" spans="2:41" x14ac:dyDescent="0.25">
      <c r="B458" s="224"/>
      <c r="C458" s="39">
        <v>2018</v>
      </c>
      <c r="D458" s="62" t="s">
        <v>1344</v>
      </c>
      <c r="E458" s="63" t="s">
        <v>1345</v>
      </c>
      <c r="F458" s="64">
        <v>43413</v>
      </c>
      <c r="G458" s="65" t="s">
        <v>34</v>
      </c>
      <c r="H458" s="94">
        <v>186355200</v>
      </c>
      <c r="I458" s="94">
        <v>152100000</v>
      </c>
      <c r="J458" s="94"/>
      <c r="K458" s="153">
        <v>-0.18381671131259014</v>
      </c>
      <c r="L458" s="11" t="s">
        <v>465</v>
      </c>
      <c r="M458" s="15">
        <v>3</v>
      </c>
      <c r="N458" s="35" t="s">
        <v>93</v>
      </c>
      <c r="O458" s="15">
        <v>4</v>
      </c>
      <c r="P458" s="35" t="s">
        <v>458</v>
      </c>
      <c r="Q458" s="35"/>
      <c r="R458" s="15"/>
      <c r="S458" s="24"/>
      <c r="T458" s="62" t="s">
        <v>442</v>
      </c>
      <c r="U458" s="62"/>
      <c r="V458" s="94">
        <v>157872084</v>
      </c>
      <c r="W458" s="199">
        <v>0.96343822255491351</v>
      </c>
      <c r="X458" s="15"/>
      <c r="Y458" s="200">
        <v>0.81618328868740986</v>
      </c>
      <c r="Z458" s="11" t="s">
        <v>465</v>
      </c>
      <c r="AA458" s="11"/>
      <c r="AB458" s="15"/>
      <c r="AC458" s="54">
        <v>186355200</v>
      </c>
      <c r="AD458" s="54">
        <v>152100000</v>
      </c>
      <c r="AE458" s="54">
        <v>34255200</v>
      </c>
      <c r="AG458" s="4"/>
      <c r="AH458" s="4"/>
      <c r="AI458" s="225"/>
      <c r="AJ458" s="226"/>
      <c r="AK458" s="227"/>
      <c r="AL458" s="227"/>
      <c r="AM458" s="225"/>
      <c r="AN458" s="226"/>
      <c r="AO458" s="228"/>
    </row>
    <row r="459" spans="2:41" x14ac:dyDescent="0.25">
      <c r="B459" s="224"/>
      <c r="C459" s="39">
        <v>2018</v>
      </c>
      <c r="D459" s="62" t="s">
        <v>1346</v>
      </c>
      <c r="E459" s="63" t="s">
        <v>1347</v>
      </c>
      <c r="F459" s="64">
        <v>43412</v>
      </c>
      <c r="G459" s="65" t="s">
        <v>34</v>
      </c>
      <c r="H459" s="94">
        <v>784000</v>
      </c>
      <c r="I459" s="94">
        <v>968530</v>
      </c>
      <c r="J459" s="105"/>
      <c r="K459" s="153">
        <v>0.23536989795918367</v>
      </c>
      <c r="L459" s="11" t="s">
        <v>465</v>
      </c>
      <c r="M459" s="15">
        <v>3</v>
      </c>
      <c r="N459" s="35" t="s">
        <v>93</v>
      </c>
      <c r="O459" s="15">
        <v>4</v>
      </c>
      <c r="P459" s="35" t="s">
        <v>458</v>
      </c>
      <c r="Q459" s="35"/>
      <c r="R459" s="15"/>
      <c r="S459" s="24"/>
      <c r="T459" s="62" t="s">
        <v>784</v>
      </c>
      <c r="U459" s="62"/>
      <c r="V459" s="94">
        <v>1009710</v>
      </c>
      <c r="W459" s="199">
        <v>0.9592160125184459</v>
      </c>
      <c r="X459" s="15"/>
      <c r="Y459" s="200">
        <v>1.2353698979591836</v>
      </c>
      <c r="Z459" s="11" t="s">
        <v>465</v>
      </c>
      <c r="AA459" s="11"/>
      <c r="AB459" s="15"/>
      <c r="AC459" s="54">
        <v>784000</v>
      </c>
      <c r="AD459" s="54">
        <v>968530</v>
      </c>
      <c r="AE459" s="54">
        <v>-184530</v>
      </c>
      <c r="AG459" s="4"/>
      <c r="AH459" s="4"/>
      <c r="AI459" s="225"/>
      <c r="AJ459" s="226"/>
      <c r="AK459" s="227"/>
      <c r="AL459" s="227"/>
      <c r="AM459" s="225"/>
      <c r="AN459" s="226"/>
      <c r="AO459" s="228"/>
    </row>
    <row r="460" spans="2:41" x14ac:dyDescent="0.25">
      <c r="B460" s="224"/>
      <c r="C460" s="39">
        <v>2018</v>
      </c>
      <c r="D460" s="62" t="s">
        <v>1354</v>
      </c>
      <c r="E460" s="63" t="s">
        <v>1355</v>
      </c>
      <c r="F460" s="64">
        <v>43412</v>
      </c>
      <c r="G460" s="65" t="s">
        <v>34</v>
      </c>
      <c r="H460" s="94">
        <v>9720000</v>
      </c>
      <c r="I460" s="94">
        <v>7666000</v>
      </c>
      <c r="J460" s="94"/>
      <c r="K460" s="153">
        <v>-0.21131687242798353</v>
      </c>
      <c r="L460" s="11" t="s">
        <v>465</v>
      </c>
      <c r="M460" s="15">
        <v>4</v>
      </c>
      <c r="N460" s="35" t="s">
        <v>226</v>
      </c>
      <c r="O460" s="15">
        <v>4</v>
      </c>
      <c r="P460" s="35" t="s">
        <v>459</v>
      </c>
      <c r="Q460" s="35"/>
      <c r="R460" s="15"/>
      <c r="S460" s="24"/>
      <c r="T460" s="62" t="s">
        <v>447</v>
      </c>
      <c r="U460" s="62"/>
      <c r="V460" s="94">
        <v>8557038.75</v>
      </c>
      <c r="W460" s="199">
        <v>0.89587066553835581</v>
      </c>
      <c r="X460" s="15"/>
      <c r="Y460" s="200">
        <v>0.78868312757201642</v>
      </c>
      <c r="Z460" s="11" t="s">
        <v>465</v>
      </c>
      <c r="AA460" s="11"/>
      <c r="AB460" s="15"/>
      <c r="AC460" s="54">
        <v>9720000</v>
      </c>
      <c r="AD460" s="54">
        <v>7666000</v>
      </c>
      <c r="AE460" s="54">
        <v>2054000</v>
      </c>
      <c r="AG460" s="4"/>
      <c r="AH460" s="4"/>
      <c r="AI460" s="225"/>
      <c r="AJ460" s="226"/>
      <c r="AK460" s="227"/>
      <c r="AL460" s="227"/>
      <c r="AM460" s="225"/>
      <c r="AN460" s="226"/>
      <c r="AO460" s="228"/>
    </row>
    <row r="461" spans="2:41" x14ac:dyDescent="0.25">
      <c r="B461" s="224"/>
      <c r="C461" s="39">
        <v>2018</v>
      </c>
      <c r="D461" s="62" t="s">
        <v>1334</v>
      </c>
      <c r="E461" s="63" t="s">
        <v>1335</v>
      </c>
      <c r="F461" s="64">
        <v>43405</v>
      </c>
      <c r="G461" s="65" t="s">
        <v>34</v>
      </c>
      <c r="H461" s="94">
        <v>9650000</v>
      </c>
      <c r="I461" s="94">
        <v>9200000</v>
      </c>
      <c r="J461" s="94" t="s">
        <v>519</v>
      </c>
      <c r="K461" s="153">
        <v>-4.6632124352331605E-2</v>
      </c>
      <c r="L461" s="11" t="s">
        <v>464</v>
      </c>
      <c r="M461" s="15">
        <v>1</v>
      </c>
      <c r="N461" s="35" t="s">
        <v>25</v>
      </c>
      <c r="O461" s="15">
        <v>4</v>
      </c>
      <c r="P461" s="35" t="s">
        <v>459</v>
      </c>
      <c r="Q461" s="35"/>
      <c r="R461" s="15"/>
      <c r="S461" s="24" t="s">
        <v>1323</v>
      </c>
      <c r="T461" s="62" t="s">
        <v>447</v>
      </c>
      <c r="U461" s="62"/>
      <c r="V461" s="94">
        <v>9200000</v>
      </c>
      <c r="W461" s="199">
        <v>1</v>
      </c>
      <c r="X461" s="15"/>
      <c r="Y461" s="200">
        <v>0.95336787564766834</v>
      </c>
      <c r="Z461" s="11" t="s">
        <v>465</v>
      </c>
      <c r="AA461" s="11"/>
      <c r="AB461" s="15"/>
      <c r="AC461" s="54">
        <v>9650000</v>
      </c>
      <c r="AD461" s="54">
        <v>9200000</v>
      </c>
      <c r="AE461" s="54">
        <v>450000</v>
      </c>
      <c r="AG461" s="4"/>
      <c r="AH461" s="4"/>
      <c r="AI461" s="225"/>
      <c r="AJ461" s="226"/>
      <c r="AK461" s="227"/>
      <c r="AL461" s="227"/>
      <c r="AM461" s="225"/>
      <c r="AN461" s="226"/>
      <c r="AO461" s="228"/>
    </row>
    <row r="462" spans="2:41" x14ac:dyDescent="0.25">
      <c r="B462" s="224"/>
      <c r="C462" s="39">
        <v>2018</v>
      </c>
      <c r="D462" s="62" t="s">
        <v>1336</v>
      </c>
      <c r="E462" s="63" t="s">
        <v>1337</v>
      </c>
      <c r="F462" s="64">
        <v>43404</v>
      </c>
      <c r="G462" s="65" t="s">
        <v>34</v>
      </c>
      <c r="H462" s="94">
        <v>6500000</v>
      </c>
      <c r="I462" s="94">
        <v>4149491</v>
      </c>
      <c r="J462" s="105"/>
      <c r="K462" s="153">
        <v>-0.36161676923076924</v>
      </c>
      <c r="L462" s="11" t="s">
        <v>465</v>
      </c>
      <c r="M462" s="15">
        <v>8</v>
      </c>
      <c r="N462" s="35" t="s">
        <v>25</v>
      </c>
      <c r="O462" s="15">
        <v>4</v>
      </c>
      <c r="P462" s="35" t="s">
        <v>459</v>
      </c>
      <c r="Q462" s="35"/>
      <c r="R462" s="15"/>
      <c r="S462" s="24" t="s">
        <v>932</v>
      </c>
      <c r="T462" s="62" t="s">
        <v>447</v>
      </c>
      <c r="U462" s="62"/>
      <c r="V462" s="94">
        <v>5708325.25</v>
      </c>
      <c r="W462" s="199">
        <v>0.72691916074684082</v>
      </c>
      <c r="X462" s="15"/>
      <c r="Y462" s="200">
        <v>0.63838323076923076</v>
      </c>
      <c r="Z462" s="11" t="s">
        <v>465</v>
      </c>
      <c r="AA462" s="11"/>
      <c r="AB462" s="15"/>
      <c r="AC462" s="54">
        <v>6500000</v>
      </c>
      <c r="AD462" s="54">
        <v>4149491</v>
      </c>
      <c r="AE462" s="54">
        <v>2350509</v>
      </c>
      <c r="AG462" s="4"/>
      <c r="AH462" s="4"/>
      <c r="AI462" s="225"/>
      <c r="AJ462" s="226"/>
      <c r="AK462" s="227"/>
      <c r="AL462" s="227"/>
      <c r="AM462" s="225"/>
      <c r="AN462" s="226"/>
      <c r="AO462" s="228"/>
    </row>
    <row r="463" spans="2:41" x14ac:dyDescent="0.25">
      <c r="B463" s="224"/>
      <c r="C463" s="39">
        <v>2018</v>
      </c>
      <c r="D463" s="62" t="s">
        <v>1338</v>
      </c>
      <c r="E463" s="63" t="s">
        <v>1339</v>
      </c>
      <c r="F463" s="64">
        <v>43397</v>
      </c>
      <c r="G463" s="65" t="s">
        <v>34</v>
      </c>
      <c r="H463" s="94">
        <v>2971000</v>
      </c>
      <c r="I463" s="94">
        <v>2384000</v>
      </c>
      <c r="J463" s="105" t="s">
        <v>519</v>
      </c>
      <c r="K463" s="153">
        <v>-0.1975765735442612</v>
      </c>
      <c r="L463" s="11" t="s">
        <v>464</v>
      </c>
      <c r="M463" s="15">
        <v>2</v>
      </c>
      <c r="N463" s="35" t="s">
        <v>25</v>
      </c>
      <c r="O463" s="15">
        <v>4</v>
      </c>
      <c r="P463" s="35" t="s">
        <v>459</v>
      </c>
      <c r="Q463" s="35"/>
      <c r="R463" s="15"/>
      <c r="S463" s="24"/>
      <c r="T463" s="62" t="s">
        <v>447</v>
      </c>
      <c r="U463" s="62"/>
      <c r="V463" s="94">
        <v>3291500</v>
      </c>
      <c r="W463" s="199">
        <v>0.72428983746012454</v>
      </c>
      <c r="X463" s="15"/>
      <c r="Y463" s="200">
        <v>0.80242342645573883</v>
      </c>
      <c r="Z463" s="11" t="s">
        <v>465</v>
      </c>
      <c r="AA463" s="11"/>
      <c r="AB463" s="15"/>
      <c r="AC463" s="54">
        <v>2971000</v>
      </c>
      <c r="AD463" s="54">
        <v>2384000</v>
      </c>
      <c r="AE463" s="54">
        <v>587000</v>
      </c>
      <c r="AG463" s="4"/>
      <c r="AH463" s="4"/>
      <c r="AI463" s="225"/>
      <c r="AJ463" s="226"/>
      <c r="AK463" s="227"/>
      <c r="AL463" s="227"/>
      <c r="AM463" s="225"/>
      <c r="AN463" s="226"/>
      <c r="AO463" s="228"/>
    </row>
    <row r="464" spans="2:41" x14ac:dyDescent="0.25">
      <c r="B464" s="224"/>
      <c r="C464" s="39">
        <v>2018</v>
      </c>
      <c r="D464" s="62" t="s">
        <v>1349</v>
      </c>
      <c r="E464" s="63" t="s">
        <v>1350</v>
      </c>
      <c r="F464" s="64">
        <v>43391</v>
      </c>
      <c r="G464" s="65" t="s">
        <v>34</v>
      </c>
      <c r="H464" s="94">
        <v>7950000</v>
      </c>
      <c r="I464" s="94">
        <v>6875775</v>
      </c>
      <c r="J464" s="94" t="s">
        <v>519</v>
      </c>
      <c r="K464" s="153">
        <v>-0.13512264150943396</v>
      </c>
      <c r="L464" s="11" t="s">
        <v>464</v>
      </c>
      <c r="M464" s="15">
        <v>2</v>
      </c>
      <c r="N464" s="35" t="s">
        <v>93</v>
      </c>
      <c r="O464" s="15">
        <v>4</v>
      </c>
      <c r="P464" s="35" t="s">
        <v>457</v>
      </c>
      <c r="Q464" s="35"/>
      <c r="R464" s="15"/>
      <c r="S464" s="24"/>
      <c r="T464" s="62" t="s">
        <v>1226</v>
      </c>
      <c r="U464" s="62"/>
      <c r="V464" s="94">
        <v>7451400</v>
      </c>
      <c r="W464" s="199">
        <v>0.92274941621708673</v>
      </c>
      <c r="X464" s="15"/>
      <c r="Y464" s="200">
        <v>0.86487735849056602</v>
      </c>
      <c r="Z464" s="11" t="s">
        <v>465</v>
      </c>
      <c r="AA464" s="11"/>
      <c r="AB464" s="15"/>
      <c r="AC464" s="54">
        <v>7950000</v>
      </c>
      <c r="AD464" s="54">
        <v>6875775</v>
      </c>
      <c r="AE464" s="54">
        <v>1074225</v>
      </c>
      <c r="AG464" s="4"/>
      <c r="AH464" s="4"/>
      <c r="AI464" s="225"/>
      <c r="AJ464" s="226"/>
      <c r="AK464" s="227"/>
      <c r="AL464" s="227"/>
      <c r="AM464" s="225"/>
      <c r="AN464" s="226"/>
      <c r="AO464" s="228"/>
    </row>
    <row r="465" spans="2:43" x14ac:dyDescent="0.25">
      <c r="B465" s="224"/>
      <c r="C465" s="39">
        <v>2018</v>
      </c>
      <c r="D465" s="62" t="s">
        <v>1351</v>
      </c>
      <c r="E465" s="63" t="s">
        <v>1352</v>
      </c>
      <c r="F465" s="64">
        <v>43389</v>
      </c>
      <c r="G465" s="65" t="s">
        <v>34</v>
      </c>
      <c r="H465" s="94">
        <v>3800000</v>
      </c>
      <c r="I465" s="94">
        <v>3781700</v>
      </c>
      <c r="J465" s="105" t="s">
        <v>519</v>
      </c>
      <c r="K465" s="153">
        <v>-4.8157894736842108E-3</v>
      </c>
      <c r="L465" s="11" t="s">
        <v>464</v>
      </c>
      <c r="M465" s="15">
        <v>8</v>
      </c>
      <c r="N465" s="35" t="s">
        <v>93</v>
      </c>
      <c r="O465" s="15">
        <v>4</v>
      </c>
      <c r="P465" s="35" t="s">
        <v>458</v>
      </c>
      <c r="Q465" s="35"/>
      <c r="R465" s="15"/>
      <c r="S465" s="24"/>
      <c r="T465" s="62" t="s">
        <v>1353</v>
      </c>
      <c r="U465" s="62"/>
      <c r="V465" s="94">
        <v>4748686.375</v>
      </c>
      <c r="W465" s="199">
        <v>0.79636760597819012</v>
      </c>
      <c r="X465" s="15"/>
      <c r="Y465" s="200">
        <v>0.99518421052631578</v>
      </c>
      <c r="Z465" s="11" t="s">
        <v>465</v>
      </c>
      <c r="AA465" s="11"/>
      <c r="AB465" s="15"/>
      <c r="AC465" s="54">
        <v>3800000</v>
      </c>
      <c r="AD465" s="54">
        <v>3781700</v>
      </c>
      <c r="AE465" s="54">
        <v>18300</v>
      </c>
      <c r="AG465" s="4"/>
      <c r="AH465" s="4"/>
      <c r="AI465" s="225"/>
      <c r="AJ465" s="226"/>
      <c r="AK465" s="227"/>
      <c r="AL465" s="227"/>
      <c r="AM465" s="225"/>
      <c r="AN465" s="226"/>
      <c r="AO465" s="228"/>
    </row>
    <row r="466" spans="2:43" x14ac:dyDescent="0.25">
      <c r="B466" s="224"/>
      <c r="C466" s="39">
        <v>2018</v>
      </c>
      <c r="D466" s="62" t="s">
        <v>1340</v>
      </c>
      <c r="E466" s="63" t="s">
        <v>1341</v>
      </c>
      <c r="F466" s="64">
        <v>43382</v>
      </c>
      <c r="G466" s="65" t="s">
        <v>34</v>
      </c>
      <c r="H466" s="94">
        <v>1130000</v>
      </c>
      <c r="I466" s="94">
        <v>1383700</v>
      </c>
      <c r="J466" s="105"/>
      <c r="K466" s="153">
        <v>0.22451327433628318</v>
      </c>
      <c r="L466" s="11" t="s">
        <v>465</v>
      </c>
      <c r="M466" s="15">
        <v>4</v>
      </c>
      <c r="N466" s="35" t="s">
        <v>25</v>
      </c>
      <c r="O466" s="15">
        <v>4</v>
      </c>
      <c r="P466" s="35" t="s">
        <v>457</v>
      </c>
      <c r="Q466" s="35"/>
      <c r="R466" s="15"/>
      <c r="S466" s="24"/>
      <c r="T466" s="62" t="s">
        <v>784</v>
      </c>
      <c r="U466" s="62"/>
      <c r="V466" s="94">
        <v>1772637.5</v>
      </c>
      <c r="W466" s="199">
        <v>0.78058824773818669</v>
      </c>
      <c r="X466" s="15"/>
      <c r="Y466" s="200">
        <v>1.2245132743362832</v>
      </c>
      <c r="Z466" s="11" t="s">
        <v>465</v>
      </c>
      <c r="AA466" s="11"/>
      <c r="AB466" s="15"/>
      <c r="AC466" s="54">
        <v>1130000</v>
      </c>
      <c r="AD466" s="54">
        <v>1383700</v>
      </c>
      <c r="AE466" s="54">
        <v>-253700</v>
      </c>
      <c r="AG466" s="4"/>
      <c r="AH466" s="4"/>
      <c r="AI466" s="225"/>
      <c r="AJ466" s="226"/>
      <c r="AK466" s="227"/>
      <c r="AL466" s="227"/>
      <c r="AM466" s="225"/>
      <c r="AN466" s="226"/>
      <c r="AO466" s="228"/>
    </row>
    <row r="467" spans="2:43" x14ac:dyDescent="0.25">
      <c r="B467" s="224"/>
      <c r="C467" s="39">
        <v>2018</v>
      </c>
      <c r="D467" s="62" t="s">
        <v>1342</v>
      </c>
      <c r="E467" s="63" t="s">
        <v>1343</v>
      </c>
      <c r="F467" s="64">
        <v>43376</v>
      </c>
      <c r="G467" s="65" t="s">
        <v>34</v>
      </c>
      <c r="H467" s="94">
        <v>21700000</v>
      </c>
      <c r="I467" s="94">
        <v>15765000</v>
      </c>
      <c r="J467" s="94" t="s">
        <v>519</v>
      </c>
      <c r="K467" s="153">
        <v>-0.27350230414746546</v>
      </c>
      <c r="L467" s="11" t="s">
        <v>464</v>
      </c>
      <c r="M467" s="15">
        <v>5</v>
      </c>
      <c r="N467" s="35" t="s">
        <v>25</v>
      </c>
      <c r="O467" s="15">
        <v>4</v>
      </c>
      <c r="P467" s="35" t="s">
        <v>459</v>
      </c>
      <c r="Q467" s="35"/>
      <c r="R467" s="15"/>
      <c r="S467" s="24"/>
      <c r="T467" s="62" t="s">
        <v>447</v>
      </c>
      <c r="U467" s="62"/>
      <c r="V467" s="94">
        <v>26085716</v>
      </c>
      <c r="W467" s="199">
        <v>0.60435373903480361</v>
      </c>
      <c r="X467" s="15"/>
      <c r="Y467" s="200">
        <v>0.72649769585253454</v>
      </c>
      <c r="Z467" s="11" t="s">
        <v>465</v>
      </c>
      <c r="AA467" s="11"/>
      <c r="AB467" s="15"/>
      <c r="AC467" s="54">
        <v>21700000</v>
      </c>
      <c r="AD467" s="54">
        <v>15765000</v>
      </c>
      <c r="AE467" s="54">
        <v>5935000</v>
      </c>
      <c r="AG467" s="4">
        <v>405750200</v>
      </c>
      <c r="AH467" s="4">
        <v>351743588</v>
      </c>
      <c r="AI467" s="204">
        <v>0.86689689370455025</v>
      </c>
      <c r="AJ467" s="1" t="s">
        <v>1240</v>
      </c>
      <c r="AK467" s="205">
        <v>1162894350</v>
      </c>
      <c r="AL467" s="205">
        <v>925393062</v>
      </c>
      <c r="AM467" s="206">
        <v>0.795767097845131</v>
      </c>
      <c r="AN467" s="207" t="s">
        <v>1241</v>
      </c>
      <c r="AO467" s="208"/>
      <c r="AQ467" s="203">
        <v>0.5892857142857143</v>
      </c>
    </row>
    <row r="468" spans="2:43" x14ac:dyDescent="0.25">
      <c r="B468" s="52"/>
      <c r="C468" s="39">
        <v>2018</v>
      </c>
      <c r="D468" s="62" t="s">
        <v>1256</v>
      </c>
      <c r="E468" s="63" t="s">
        <v>1257</v>
      </c>
      <c r="F468" s="64">
        <v>43368</v>
      </c>
      <c r="G468" s="65" t="s">
        <v>34</v>
      </c>
      <c r="H468" s="94">
        <v>64356250</v>
      </c>
      <c r="I468" s="94">
        <v>51485000</v>
      </c>
      <c r="J468" s="27" t="s">
        <v>519</v>
      </c>
      <c r="K468" s="26">
        <v>-0.2</v>
      </c>
      <c r="L468" s="11" t="s">
        <v>464</v>
      </c>
      <c r="M468" s="15">
        <v>8</v>
      </c>
      <c r="N468" s="35" t="s">
        <v>25</v>
      </c>
      <c r="O468" s="15">
        <v>3</v>
      </c>
      <c r="P468" s="35" t="s">
        <v>457</v>
      </c>
      <c r="Q468" s="35"/>
      <c r="R468" s="15"/>
      <c r="S468" s="24"/>
      <c r="T468" s="62" t="s">
        <v>1226</v>
      </c>
      <c r="U468" s="62"/>
      <c r="V468" s="94">
        <v>75310398.875</v>
      </c>
      <c r="W468" s="199">
        <v>0.68363732989191395</v>
      </c>
      <c r="X468" s="15"/>
      <c r="Y468" s="200">
        <v>0.8</v>
      </c>
      <c r="Z468" s="11" t="s">
        <v>465</v>
      </c>
      <c r="AA468" s="11"/>
      <c r="AB468" s="15"/>
      <c r="AC468" s="54">
        <v>64356250</v>
      </c>
      <c r="AD468" s="54">
        <v>51485000</v>
      </c>
      <c r="AE468" s="54">
        <v>12871250</v>
      </c>
    </row>
    <row r="469" spans="2:43" x14ac:dyDescent="0.25">
      <c r="B469" s="52"/>
      <c r="C469" s="39">
        <v>2018</v>
      </c>
      <c r="D469" s="62" t="s">
        <v>1297</v>
      </c>
      <c r="E469" s="63" t="s">
        <v>1298</v>
      </c>
      <c r="F469" s="64">
        <v>43356</v>
      </c>
      <c r="G469" s="65" t="s">
        <v>34</v>
      </c>
      <c r="H469" s="94">
        <v>5960000</v>
      </c>
      <c r="I469" s="94">
        <v>6956000</v>
      </c>
      <c r="J469" s="27"/>
      <c r="K469" s="26">
        <v>0.16711409395973154</v>
      </c>
      <c r="L469" s="11" t="s">
        <v>465</v>
      </c>
      <c r="M469" s="15">
        <v>4</v>
      </c>
      <c r="N469" s="35" t="s">
        <v>25</v>
      </c>
      <c r="O469" s="15">
        <v>3</v>
      </c>
      <c r="P469" s="35" t="s">
        <v>459</v>
      </c>
      <c r="Q469" s="35"/>
      <c r="R469" s="15"/>
      <c r="S469" s="24"/>
      <c r="T469" s="62" t="s">
        <v>447</v>
      </c>
      <c r="U469" s="62"/>
      <c r="V469" s="94">
        <v>8933697.75</v>
      </c>
      <c r="W469" s="199">
        <v>0.77862495403988785</v>
      </c>
      <c r="X469" s="15"/>
      <c r="Y469" s="200">
        <v>1.1671140939597315</v>
      </c>
      <c r="Z469" s="11" t="s">
        <v>465</v>
      </c>
      <c r="AA469" s="11"/>
      <c r="AB469" s="15"/>
      <c r="AC469" s="54">
        <v>5960000</v>
      </c>
      <c r="AD469" s="54">
        <v>6956000</v>
      </c>
      <c r="AE469" s="54">
        <v>-996000</v>
      </c>
    </row>
    <row r="470" spans="2:43" x14ac:dyDescent="0.25">
      <c r="B470" s="52"/>
      <c r="C470" s="39">
        <v>2018</v>
      </c>
      <c r="D470" s="62" t="s">
        <v>1271</v>
      </c>
      <c r="E470" s="63" t="s">
        <v>1272</v>
      </c>
      <c r="F470" s="64">
        <v>43350</v>
      </c>
      <c r="G470" s="65" t="s">
        <v>34</v>
      </c>
      <c r="H470" s="94">
        <v>17920000</v>
      </c>
      <c r="I470" s="94">
        <v>21068000</v>
      </c>
      <c r="J470" s="27"/>
      <c r="K470" s="26">
        <v>0.17566964285714284</v>
      </c>
      <c r="L470" s="11" t="s">
        <v>465</v>
      </c>
      <c r="M470" s="15">
        <v>2</v>
      </c>
      <c r="N470" s="35" t="s">
        <v>93</v>
      </c>
      <c r="O470" s="15">
        <v>3</v>
      </c>
      <c r="P470" s="35" t="s">
        <v>458</v>
      </c>
      <c r="Q470" s="35"/>
      <c r="R470" s="15"/>
      <c r="S470" s="24"/>
      <c r="T470" s="62" t="s">
        <v>536</v>
      </c>
      <c r="U470" s="62"/>
      <c r="V470" s="94">
        <v>22772500</v>
      </c>
      <c r="W470" s="199">
        <v>0.92515094961027555</v>
      </c>
      <c r="X470" s="15"/>
      <c r="Y470" s="200">
        <v>1.1756696428571429</v>
      </c>
      <c r="Z470" s="11" t="s">
        <v>465</v>
      </c>
      <c r="AA470" s="11"/>
      <c r="AB470" s="15"/>
      <c r="AC470" s="54">
        <v>17920000</v>
      </c>
      <c r="AD470" s="54">
        <v>21068000</v>
      </c>
      <c r="AE470" s="54">
        <v>-3148000</v>
      </c>
    </row>
    <row r="471" spans="2:43" x14ac:dyDescent="0.25">
      <c r="B471" s="52"/>
      <c r="C471" s="39">
        <v>2018</v>
      </c>
      <c r="D471" s="62" t="s">
        <v>1258</v>
      </c>
      <c r="E471" s="63" t="s">
        <v>712</v>
      </c>
      <c r="F471" s="64">
        <v>43340</v>
      </c>
      <c r="G471" s="65" t="s">
        <v>34</v>
      </c>
      <c r="H471" s="94">
        <v>2500000</v>
      </c>
      <c r="I471" s="94">
        <v>2952000</v>
      </c>
      <c r="J471" s="105"/>
      <c r="K471" s="26">
        <v>0.18079999999999999</v>
      </c>
      <c r="L471" s="11" t="s">
        <v>465</v>
      </c>
      <c r="M471" s="15">
        <v>3</v>
      </c>
      <c r="N471" s="35" t="s">
        <v>93</v>
      </c>
      <c r="O471" s="15">
        <v>3</v>
      </c>
      <c r="P471" s="35" t="s">
        <v>457</v>
      </c>
      <c r="Q471" s="35"/>
      <c r="R471" s="15"/>
      <c r="S471" s="24"/>
      <c r="T471" s="62" t="s">
        <v>1226</v>
      </c>
      <c r="U471" s="62"/>
      <c r="V471" s="94">
        <v>2139150</v>
      </c>
      <c r="W471" s="199">
        <v>1.379987378164224</v>
      </c>
      <c r="X471" s="15"/>
      <c r="Y471" s="200">
        <v>1.1808000000000001</v>
      </c>
      <c r="Z471" s="11" t="s">
        <v>465</v>
      </c>
      <c r="AA471" s="11"/>
      <c r="AB471" s="15"/>
      <c r="AC471" s="54">
        <v>2500000</v>
      </c>
      <c r="AD471" s="54">
        <v>2952000</v>
      </c>
      <c r="AE471" s="54">
        <v>-452000</v>
      </c>
    </row>
    <row r="472" spans="2:43" x14ac:dyDescent="0.25">
      <c r="B472" s="52"/>
      <c r="C472" s="39">
        <v>2018</v>
      </c>
      <c r="D472" s="62" t="s">
        <v>1259</v>
      </c>
      <c r="E472" s="63" t="s">
        <v>1260</v>
      </c>
      <c r="F472" s="64">
        <v>43319</v>
      </c>
      <c r="G472" s="65" t="s">
        <v>34</v>
      </c>
      <c r="H472" s="94">
        <v>54744000</v>
      </c>
      <c r="I472" s="94">
        <v>34776250</v>
      </c>
      <c r="J472" s="27" t="s">
        <v>519</v>
      </c>
      <c r="K472" s="26">
        <v>-0.36474773491158846</v>
      </c>
      <c r="L472" s="11" t="s">
        <v>464</v>
      </c>
      <c r="M472" s="15">
        <v>4</v>
      </c>
      <c r="N472" s="35" t="s">
        <v>93</v>
      </c>
      <c r="O472" s="15">
        <v>3</v>
      </c>
      <c r="P472" s="35" t="s">
        <v>457</v>
      </c>
      <c r="Q472" s="35"/>
      <c r="R472" s="15"/>
      <c r="S472" s="24" t="s">
        <v>932</v>
      </c>
      <c r="T472" s="62" t="s">
        <v>1226</v>
      </c>
      <c r="U472" s="62"/>
      <c r="V472" s="94">
        <v>49859526.25</v>
      </c>
      <c r="W472" s="199">
        <v>0.69748456544951631</v>
      </c>
      <c r="X472" s="15"/>
      <c r="Y472" s="200">
        <v>0.63525226508841148</v>
      </c>
      <c r="Z472" s="11" t="s">
        <v>465</v>
      </c>
      <c r="AA472" s="11"/>
      <c r="AB472" s="15"/>
      <c r="AC472" s="54">
        <v>54744000</v>
      </c>
      <c r="AD472" s="54">
        <v>34776250</v>
      </c>
      <c r="AE472" s="54">
        <v>19967750</v>
      </c>
    </row>
    <row r="473" spans="2:43" x14ac:dyDescent="0.25">
      <c r="B473" s="52"/>
      <c r="C473" s="39">
        <v>2018</v>
      </c>
      <c r="D473" s="62" t="s">
        <v>1261</v>
      </c>
      <c r="E473" s="63" t="s">
        <v>1262</v>
      </c>
      <c r="F473" s="64">
        <v>43299</v>
      </c>
      <c r="G473" s="65" t="s">
        <v>34</v>
      </c>
      <c r="H473" s="94">
        <v>3570000</v>
      </c>
      <c r="I473" s="94">
        <v>3861000</v>
      </c>
      <c r="J473" s="105" t="s">
        <v>519</v>
      </c>
      <c r="K473" s="26">
        <v>8.1512605042016809E-2</v>
      </c>
      <c r="L473" s="11" t="s">
        <v>464</v>
      </c>
      <c r="M473" s="15">
        <v>6</v>
      </c>
      <c r="N473" s="35" t="s">
        <v>226</v>
      </c>
      <c r="O473" s="15">
        <v>3</v>
      </c>
      <c r="P473" s="35" t="s">
        <v>457</v>
      </c>
      <c r="Q473" s="35"/>
      <c r="R473" s="15"/>
      <c r="S473" s="24"/>
      <c r="T473" s="62" t="s">
        <v>1226</v>
      </c>
      <c r="U473" s="62"/>
      <c r="V473" s="94">
        <v>5535683.333333333</v>
      </c>
      <c r="W473" s="199">
        <v>0.69747486760141031</v>
      </c>
      <c r="X473" s="15"/>
      <c r="Y473" s="200">
        <v>1.0815126050420167</v>
      </c>
      <c r="Z473" s="11" t="s">
        <v>465</v>
      </c>
      <c r="AA473" s="11"/>
      <c r="AB473" s="15"/>
      <c r="AC473" s="54">
        <v>3570000</v>
      </c>
      <c r="AD473" s="54">
        <v>3861000</v>
      </c>
      <c r="AE473" s="54">
        <v>-291000</v>
      </c>
    </row>
    <row r="474" spans="2:43" x14ac:dyDescent="0.25">
      <c r="B474" s="52"/>
      <c r="C474" s="39">
        <v>2018</v>
      </c>
      <c r="D474" s="62" t="s">
        <v>1299</v>
      </c>
      <c r="E474" s="63" t="s">
        <v>1300</v>
      </c>
      <c r="F474" s="64">
        <v>43264</v>
      </c>
      <c r="G474" s="65" t="s">
        <v>34</v>
      </c>
      <c r="H474" s="94">
        <v>38600000</v>
      </c>
      <c r="I474" s="94">
        <v>35950000</v>
      </c>
      <c r="J474" s="27" t="s">
        <v>519</v>
      </c>
      <c r="K474" s="26">
        <v>-6.8652849740932637E-2</v>
      </c>
      <c r="L474" s="11" t="s">
        <v>464</v>
      </c>
      <c r="M474" s="15">
        <v>2</v>
      </c>
      <c r="N474" s="35" t="s">
        <v>25</v>
      </c>
      <c r="O474" s="15">
        <v>2</v>
      </c>
      <c r="P474" s="35" t="s">
        <v>459</v>
      </c>
      <c r="Q474" s="35"/>
      <c r="R474" s="15"/>
      <c r="S474" s="24"/>
      <c r="T474" s="62" t="s">
        <v>447</v>
      </c>
      <c r="U474" s="62"/>
      <c r="V474" s="94">
        <v>39922000</v>
      </c>
      <c r="W474" s="199">
        <v>0.90050598667401438</v>
      </c>
      <c r="X474" s="15"/>
      <c r="Y474" s="200">
        <v>0.93134715025906734</v>
      </c>
      <c r="Z474" s="11" t="s">
        <v>465</v>
      </c>
      <c r="AA474" s="11"/>
      <c r="AB474" s="15"/>
      <c r="AC474" s="54">
        <v>38600000</v>
      </c>
      <c r="AD474" s="54">
        <v>35950000</v>
      </c>
      <c r="AE474" s="54">
        <v>2650000</v>
      </c>
    </row>
    <row r="475" spans="2:43" x14ac:dyDescent="0.25">
      <c r="B475" s="52"/>
      <c r="C475" s="39">
        <v>2018</v>
      </c>
      <c r="D475" s="62" t="s">
        <v>1301</v>
      </c>
      <c r="E475" s="63" t="s">
        <v>1302</v>
      </c>
      <c r="F475" s="64">
        <v>43251</v>
      </c>
      <c r="G475" s="65" t="s">
        <v>34</v>
      </c>
      <c r="H475" s="94">
        <v>1567000</v>
      </c>
      <c r="I475" s="94">
        <v>918315</v>
      </c>
      <c r="J475" s="105" t="s">
        <v>519</v>
      </c>
      <c r="K475" s="26">
        <v>-0.41396617740906189</v>
      </c>
      <c r="L475" s="11" t="s">
        <v>464</v>
      </c>
      <c r="M475" s="15">
        <v>5</v>
      </c>
      <c r="N475" s="35" t="s">
        <v>25</v>
      </c>
      <c r="O475" s="15">
        <v>2</v>
      </c>
      <c r="P475" s="35" t="s">
        <v>459</v>
      </c>
      <c r="Q475" s="35"/>
      <c r="R475" s="15"/>
      <c r="S475" s="24" t="s">
        <v>932</v>
      </c>
      <c r="T475" s="62" t="s">
        <v>447</v>
      </c>
      <c r="U475" s="62"/>
      <c r="V475" s="94">
        <v>2609788.4</v>
      </c>
      <c r="W475" s="199">
        <v>0.351873354943259</v>
      </c>
      <c r="X475" s="15"/>
      <c r="Y475" s="200">
        <v>0.58603382259093806</v>
      </c>
      <c r="Z475" s="11" t="s">
        <v>465</v>
      </c>
      <c r="AA475" s="11"/>
      <c r="AB475" s="15"/>
      <c r="AC475" s="54">
        <v>1567000</v>
      </c>
      <c r="AD475" s="54">
        <v>918315</v>
      </c>
      <c r="AE475" s="54">
        <v>648685</v>
      </c>
    </row>
    <row r="476" spans="2:43" x14ac:dyDescent="0.25">
      <c r="B476" s="52"/>
      <c r="C476" s="39">
        <v>2018</v>
      </c>
      <c r="D476" s="62" t="s">
        <v>1279</v>
      </c>
      <c r="E476" s="63" t="s">
        <v>1280</v>
      </c>
      <c r="F476" s="64">
        <v>43250</v>
      </c>
      <c r="G476" s="65" t="s">
        <v>34</v>
      </c>
      <c r="H476" s="94">
        <v>153277500</v>
      </c>
      <c r="I476" s="94">
        <v>118434757</v>
      </c>
      <c r="J476" s="27"/>
      <c r="K476" s="26">
        <v>-0.22731805385656734</v>
      </c>
      <c r="L476" s="11" t="s">
        <v>465</v>
      </c>
      <c r="M476" s="15">
        <v>13</v>
      </c>
      <c r="N476" s="35" t="s">
        <v>25</v>
      </c>
      <c r="O476" s="15">
        <v>2</v>
      </c>
      <c r="P476" s="35" t="s">
        <v>458</v>
      </c>
      <c r="Q476" s="35"/>
      <c r="R476" s="15"/>
      <c r="S476" s="24"/>
      <c r="T476" s="62" t="s">
        <v>784</v>
      </c>
      <c r="U476" s="62"/>
      <c r="V476" s="94">
        <v>138481360</v>
      </c>
      <c r="W476" s="199">
        <v>0.85523970157427687</v>
      </c>
      <c r="X476" s="15"/>
      <c r="Y476" s="200">
        <v>0.77268194614343266</v>
      </c>
      <c r="Z476" s="11" t="s">
        <v>465</v>
      </c>
      <c r="AA476" s="11"/>
      <c r="AB476" s="15"/>
      <c r="AC476" s="54">
        <v>153277500</v>
      </c>
      <c r="AD476" s="54">
        <v>118434757</v>
      </c>
      <c r="AE476" s="54">
        <v>34842743</v>
      </c>
    </row>
    <row r="477" spans="2:43" x14ac:dyDescent="0.25">
      <c r="B477" s="52"/>
      <c r="C477" s="39">
        <v>2018</v>
      </c>
      <c r="D477" s="62" t="s">
        <v>1250</v>
      </c>
      <c r="E477" s="63" t="s">
        <v>1251</v>
      </c>
      <c r="F477" s="64">
        <v>43230</v>
      </c>
      <c r="G477" s="65" t="s">
        <v>34</v>
      </c>
      <c r="H477" s="94">
        <v>4390000</v>
      </c>
      <c r="I477" s="94">
        <v>4220000</v>
      </c>
      <c r="J477" s="105" t="s">
        <v>519</v>
      </c>
      <c r="K477" s="26">
        <v>-3.8724373576309798E-2</v>
      </c>
      <c r="L477" s="11" t="s">
        <v>464</v>
      </c>
      <c r="M477" s="15">
        <v>4</v>
      </c>
      <c r="N477" s="35" t="s">
        <v>93</v>
      </c>
      <c r="O477" s="15">
        <v>2</v>
      </c>
      <c r="P477" s="35" t="s">
        <v>492</v>
      </c>
      <c r="Q477" s="35"/>
      <c r="R477" s="15"/>
      <c r="S477" s="24"/>
      <c r="T477" s="62" t="s">
        <v>816</v>
      </c>
      <c r="U477" s="62"/>
      <c r="V477" s="94">
        <v>6081225</v>
      </c>
      <c r="W477" s="199">
        <v>0.69393913232942372</v>
      </c>
      <c r="X477" s="15"/>
      <c r="Y477" s="200">
        <v>0.96127562642369024</v>
      </c>
      <c r="Z477" s="11" t="s">
        <v>465</v>
      </c>
      <c r="AA477" s="11"/>
      <c r="AB477" s="15"/>
      <c r="AC477" s="54">
        <v>4390000</v>
      </c>
      <c r="AD477" s="54">
        <v>4220000</v>
      </c>
      <c r="AE477" s="54">
        <v>170000</v>
      </c>
    </row>
    <row r="478" spans="2:43" x14ac:dyDescent="0.25">
      <c r="B478" s="52"/>
      <c r="C478" s="39">
        <v>2018</v>
      </c>
      <c r="D478" s="62" t="s">
        <v>1303</v>
      </c>
      <c r="E478" s="63" t="s">
        <v>1304</v>
      </c>
      <c r="F478" s="64">
        <v>43195</v>
      </c>
      <c r="G478" s="65" t="s">
        <v>34</v>
      </c>
      <c r="H478" s="94">
        <v>1520000</v>
      </c>
      <c r="I478" s="94">
        <v>856934</v>
      </c>
      <c r="J478" s="105" t="s">
        <v>519</v>
      </c>
      <c r="K478" s="26">
        <v>-0.43622763157894739</v>
      </c>
      <c r="L478" s="11" t="s">
        <v>464</v>
      </c>
      <c r="M478" s="15">
        <v>4</v>
      </c>
      <c r="N478" s="35" t="s">
        <v>25</v>
      </c>
      <c r="O478" s="15">
        <v>2</v>
      </c>
      <c r="P478" s="35" t="s">
        <v>459</v>
      </c>
      <c r="Q478" s="35" t="s">
        <v>1242</v>
      </c>
      <c r="R478" s="15"/>
      <c r="S478" s="24" t="s">
        <v>932</v>
      </c>
      <c r="T478" s="62" t="s">
        <v>447</v>
      </c>
      <c r="U478" s="62"/>
      <c r="V478" s="94">
        <v>1906983.5</v>
      </c>
      <c r="W478" s="199">
        <v>0.4493662373061959</v>
      </c>
      <c r="X478" s="15"/>
      <c r="Y478" s="200">
        <v>0.56377236842105261</v>
      </c>
      <c r="Z478" s="11" t="s">
        <v>465</v>
      </c>
      <c r="AA478" s="11"/>
      <c r="AB478" s="15"/>
      <c r="AC478" s="54">
        <v>1520000</v>
      </c>
      <c r="AD478" s="54">
        <v>856934</v>
      </c>
      <c r="AE478" s="54">
        <v>663066</v>
      </c>
    </row>
    <row r="479" spans="2:43" x14ac:dyDescent="0.25">
      <c r="B479" s="52"/>
      <c r="C479" s="39">
        <v>2018</v>
      </c>
      <c r="D479" s="62" t="s">
        <v>1252</v>
      </c>
      <c r="E479" s="63" t="s">
        <v>1253</v>
      </c>
      <c r="F479" s="64">
        <v>43193</v>
      </c>
      <c r="G479" s="65" t="s">
        <v>34</v>
      </c>
      <c r="H479" s="94">
        <v>9140000</v>
      </c>
      <c r="I479" s="94">
        <v>4659626</v>
      </c>
      <c r="J479" s="27" t="s">
        <v>519</v>
      </c>
      <c r="K479" s="26">
        <v>-0.49019409190371993</v>
      </c>
      <c r="L479" s="11" t="s">
        <v>464</v>
      </c>
      <c r="M479" s="15">
        <v>5</v>
      </c>
      <c r="N479" s="35" t="s">
        <v>93</v>
      </c>
      <c r="O479" s="15">
        <v>2</v>
      </c>
      <c r="P479" s="35" t="s">
        <v>492</v>
      </c>
      <c r="Q479" s="35" t="s">
        <v>1238</v>
      </c>
      <c r="R479" s="15"/>
      <c r="S479" s="24" t="s">
        <v>932</v>
      </c>
      <c r="T479" s="62" t="s">
        <v>816</v>
      </c>
      <c r="U479" s="62"/>
      <c r="V479" s="94">
        <v>10095414</v>
      </c>
      <c r="W479" s="199">
        <v>0.46155868397274247</v>
      </c>
      <c r="X479" s="15"/>
      <c r="Y479" s="200">
        <v>0.50980590809628012</v>
      </c>
      <c r="Z479" s="11" t="s">
        <v>465</v>
      </c>
      <c r="AA479" s="11"/>
      <c r="AB479" s="15"/>
      <c r="AC479" s="54">
        <v>9140000</v>
      </c>
      <c r="AD479" s="54">
        <v>4659626</v>
      </c>
      <c r="AE479" s="54">
        <v>4480374</v>
      </c>
    </row>
    <row r="480" spans="2:43" x14ac:dyDescent="0.25">
      <c r="B480" s="224"/>
      <c r="C480" s="39">
        <v>2018</v>
      </c>
      <c r="D480" s="62" t="s">
        <v>1281</v>
      </c>
      <c r="E480" s="63" t="s">
        <v>1282</v>
      </c>
      <c r="F480" s="64">
        <v>43193</v>
      </c>
      <c r="G480" s="65" t="s">
        <v>34</v>
      </c>
      <c r="H480" s="94">
        <v>3441000</v>
      </c>
      <c r="I480" s="94">
        <v>2993080</v>
      </c>
      <c r="J480" s="105" t="s">
        <v>519</v>
      </c>
      <c r="K480" s="26">
        <v>-0.13017146178436501</v>
      </c>
      <c r="L480" s="11" t="s">
        <v>464</v>
      </c>
      <c r="M480" s="15">
        <v>3</v>
      </c>
      <c r="N480" s="35" t="s">
        <v>25</v>
      </c>
      <c r="O480" s="15">
        <v>2</v>
      </c>
      <c r="P480" s="35" t="s">
        <v>458</v>
      </c>
      <c r="Q480" s="35" t="s">
        <v>1235</v>
      </c>
      <c r="R480" s="15"/>
      <c r="S480" s="24"/>
      <c r="T480" s="62" t="s">
        <v>784</v>
      </c>
      <c r="U480" s="62"/>
      <c r="V480" s="94">
        <v>3534026.6666666665</v>
      </c>
      <c r="W480" s="199">
        <v>0.84693192279250873</v>
      </c>
      <c r="X480" s="15"/>
      <c r="Y480" s="200">
        <v>0.86982853821563499</v>
      </c>
      <c r="Z480" s="11" t="s">
        <v>465</v>
      </c>
      <c r="AA480" s="74">
        <v>0</v>
      </c>
      <c r="AB480" s="15"/>
      <c r="AC480" s="54">
        <v>3441000</v>
      </c>
      <c r="AD480" s="54">
        <v>2993080</v>
      </c>
      <c r="AE480" s="54">
        <v>447920</v>
      </c>
      <c r="AG480" s="4">
        <v>215665500</v>
      </c>
      <c r="AH480" s="4">
        <v>170989542</v>
      </c>
      <c r="AI480" s="209">
        <v>0.79284606021825466</v>
      </c>
      <c r="AJ480" s="1" t="s">
        <v>1240</v>
      </c>
      <c r="AK480" s="210">
        <v>553619500</v>
      </c>
      <c r="AL480" s="210">
        <v>399789614</v>
      </c>
      <c r="AM480" s="211">
        <v>0.72213788351024488</v>
      </c>
      <c r="AN480" s="212"/>
      <c r="AO480" s="213"/>
    </row>
    <row r="481" spans="2:31" x14ac:dyDescent="0.25">
      <c r="B481" s="52"/>
      <c r="C481" s="39">
        <v>2018</v>
      </c>
      <c r="D481" s="62" t="s">
        <v>1283</v>
      </c>
      <c r="E481" s="63" t="s">
        <v>1284</v>
      </c>
      <c r="F481" s="64">
        <v>43179</v>
      </c>
      <c r="G481" s="65" t="s">
        <v>34</v>
      </c>
      <c r="H481" s="94">
        <v>1440000</v>
      </c>
      <c r="I481" s="94">
        <v>1928000</v>
      </c>
      <c r="J481" s="105"/>
      <c r="K481" s="26">
        <v>0.33888888888888891</v>
      </c>
      <c r="L481" s="11" t="s">
        <v>465</v>
      </c>
      <c r="M481" s="15">
        <v>7</v>
      </c>
      <c r="N481" s="35" t="s">
        <v>93</v>
      </c>
      <c r="O481" s="15">
        <v>1</v>
      </c>
      <c r="P481" s="35" t="s">
        <v>458</v>
      </c>
      <c r="Q481" s="35" t="s">
        <v>1238</v>
      </c>
      <c r="R481" s="15"/>
      <c r="S481" s="24"/>
      <c r="T481" s="62" t="s">
        <v>784</v>
      </c>
      <c r="U481" s="62"/>
      <c r="V481" s="94">
        <v>2393861.8571428573</v>
      </c>
      <c r="W481" s="199">
        <v>0.8053931743167182</v>
      </c>
      <c r="X481" s="15"/>
      <c r="Y481" s="200">
        <v>1.3388888888888888</v>
      </c>
      <c r="Z481" s="11" t="s">
        <v>465</v>
      </c>
      <c r="AA481" s="11"/>
      <c r="AB481" s="15"/>
      <c r="AC481" s="54">
        <v>1440000</v>
      </c>
      <c r="AD481" s="54">
        <v>1928000</v>
      </c>
      <c r="AE481" s="54">
        <v>-488000</v>
      </c>
    </row>
    <row r="482" spans="2:31" x14ac:dyDescent="0.25">
      <c r="B482" s="52"/>
      <c r="C482" s="39">
        <v>2018</v>
      </c>
      <c r="D482" s="62" t="s">
        <v>1263</v>
      </c>
      <c r="E482" s="63" t="s">
        <v>1264</v>
      </c>
      <c r="F482" s="64">
        <v>43179</v>
      </c>
      <c r="G482" s="65" t="s">
        <v>34</v>
      </c>
      <c r="H482" s="94">
        <v>27125000</v>
      </c>
      <c r="I482" s="94">
        <v>22964560</v>
      </c>
      <c r="J482" s="27" t="s">
        <v>519</v>
      </c>
      <c r="K482" s="26">
        <v>-0.15338027649769584</v>
      </c>
      <c r="L482" s="11" t="s">
        <v>464</v>
      </c>
      <c r="M482" s="15">
        <v>10</v>
      </c>
      <c r="N482" s="35" t="s">
        <v>226</v>
      </c>
      <c r="O482" s="15">
        <v>1</v>
      </c>
      <c r="P482" s="35" t="s">
        <v>457</v>
      </c>
      <c r="Q482" s="35" t="s">
        <v>1238</v>
      </c>
      <c r="R482" s="15"/>
      <c r="S482" s="24"/>
      <c r="T482" s="62" t="s">
        <v>816</v>
      </c>
      <c r="U482" s="62"/>
      <c r="V482" s="94">
        <v>31632465.399999999</v>
      </c>
      <c r="W482" s="199">
        <v>0.72598071979555534</v>
      </c>
      <c r="X482" s="15"/>
      <c r="Y482" s="200">
        <v>0.84661972350230419</v>
      </c>
      <c r="Z482" s="11" t="s">
        <v>465</v>
      </c>
      <c r="AA482" s="11"/>
      <c r="AB482" s="15"/>
      <c r="AC482" s="54">
        <v>27125000</v>
      </c>
      <c r="AD482" s="54">
        <v>22964560</v>
      </c>
      <c r="AE482" s="54">
        <v>4160440</v>
      </c>
    </row>
    <row r="483" spans="2:31" x14ac:dyDescent="0.25">
      <c r="B483" s="52"/>
      <c r="C483" s="39">
        <v>2018</v>
      </c>
      <c r="D483" s="62" t="s">
        <v>1265</v>
      </c>
      <c r="E483" s="63" t="s">
        <v>1266</v>
      </c>
      <c r="F483" s="64">
        <v>43174</v>
      </c>
      <c r="G483" s="65" t="s">
        <v>34</v>
      </c>
      <c r="H483" s="94">
        <v>1150000</v>
      </c>
      <c r="I483" s="94">
        <v>1253317</v>
      </c>
      <c r="J483" s="105" t="s">
        <v>519</v>
      </c>
      <c r="K483" s="26">
        <v>8.9840869565217391E-2</v>
      </c>
      <c r="L483" s="11" t="s">
        <v>464</v>
      </c>
      <c r="M483" s="15">
        <v>6</v>
      </c>
      <c r="N483" s="35" t="s">
        <v>93</v>
      </c>
      <c r="O483" s="15">
        <v>1</v>
      </c>
      <c r="P483" s="35" t="s">
        <v>457</v>
      </c>
      <c r="Q483" s="35" t="s">
        <v>1243</v>
      </c>
      <c r="R483" s="15"/>
      <c r="S483" s="24"/>
      <c r="T483" s="62" t="s">
        <v>784</v>
      </c>
      <c r="U483" s="62"/>
      <c r="V483" s="94">
        <v>1900429</v>
      </c>
      <c r="W483" s="199">
        <v>0.65949162004999928</v>
      </c>
      <c r="X483" s="15"/>
      <c r="Y483" s="200">
        <v>1.0898408695652173</v>
      </c>
      <c r="Z483" s="11" t="s">
        <v>465</v>
      </c>
      <c r="AA483" s="11"/>
      <c r="AB483" s="15"/>
      <c r="AC483" s="54">
        <v>1150000</v>
      </c>
      <c r="AD483" s="54">
        <v>1253317</v>
      </c>
      <c r="AE483" s="54">
        <v>-103317</v>
      </c>
    </row>
    <row r="484" spans="2:31" x14ac:dyDescent="0.25">
      <c r="B484" s="52"/>
      <c r="C484" s="39">
        <v>2018</v>
      </c>
      <c r="D484" s="62" t="s">
        <v>1285</v>
      </c>
      <c r="E484" s="63" t="s">
        <v>1286</v>
      </c>
      <c r="F484" s="64">
        <v>43168</v>
      </c>
      <c r="G484" s="65" t="s">
        <v>34</v>
      </c>
      <c r="H484" s="94">
        <v>10900000</v>
      </c>
      <c r="I484" s="94">
        <v>10417536</v>
      </c>
      <c r="J484" s="27" t="s">
        <v>519</v>
      </c>
      <c r="K484" s="26">
        <v>-4.4262752293577984E-2</v>
      </c>
      <c r="L484" s="11" t="s">
        <v>464</v>
      </c>
      <c r="M484" s="15">
        <v>11</v>
      </c>
      <c r="N484" s="35" t="s">
        <v>25</v>
      </c>
      <c r="O484" s="15">
        <v>1</v>
      </c>
      <c r="P484" s="35" t="s">
        <v>458</v>
      </c>
      <c r="Q484" s="35" t="s">
        <v>1235</v>
      </c>
      <c r="R484" s="15"/>
      <c r="S484" s="24"/>
      <c r="T484" s="62" t="s">
        <v>784</v>
      </c>
      <c r="U484" s="62"/>
      <c r="V484" s="94">
        <v>12059792.454545455</v>
      </c>
      <c r="W484" s="199">
        <v>0.86382382112003331</v>
      </c>
      <c r="X484" s="15"/>
      <c r="Y484" s="200">
        <v>0.95573724770642199</v>
      </c>
      <c r="Z484" s="11" t="s">
        <v>465</v>
      </c>
      <c r="AA484" s="11"/>
      <c r="AB484" s="15"/>
      <c r="AC484" s="54">
        <v>10900000</v>
      </c>
      <c r="AD484" s="54">
        <v>10417536</v>
      </c>
      <c r="AE484" s="54">
        <v>482464</v>
      </c>
    </row>
    <row r="485" spans="2:31" x14ac:dyDescent="0.25">
      <c r="B485" s="52"/>
      <c r="C485" s="39">
        <v>2018</v>
      </c>
      <c r="D485" s="62" t="s">
        <v>1305</v>
      </c>
      <c r="E485" s="63" t="s">
        <v>1306</v>
      </c>
      <c r="F485" s="64">
        <v>43167</v>
      </c>
      <c r="G485" s="65" t="s">
        <v>34</v>
      </c>
      <c r="H485" s="94">
        <v>1600000</v>
      </c>
      <c r="I485" s="94">
        <v>1948000</v>
      </c>
      <c r="J485" s="105"/>
      <c r="K485" s="26">
        <v>0.2175</v>
      </c>
      <c r="L485" s="11" t="s">
        <v>465</v>
      </c>
      <c r="M485" s="15">
        <v>2</v>
      </c>
      <c r="N485" s="35" t="s">
        <v>25</v>
      </c>
      <c r="O485" s="15">
        <v>1</v>
      </c>
      <c r="P485" s="35" t="s">
        <v>459</v>
      </c>
      <c r="Q485" s="35" t="s">
        <v>1243</v>
      </c>
      <c r="R485" s="15"/>
      <c r="S485" s="24"/>
      <c r="T485" s="62" t="s">
        <v>447</v>
      </c>
      <c r="U485" s="62"/>
      <c r="V485" s="94">
        <v>2353500</v>
      </c>
      <c r="W485" s="199">
        <v>0.82770342043764611</v>
      </c>
      <c r="X485" s="15"/>
      <c r="Y485" s="200">
        <v>1.2175</v>
      </c>
      <c r="Z485" s="11" t="s">
        <v>465</v>
      </c>
      <c r="AA485" s="11"/>
      <c r="AB485" s="15"/>
      <c r="AC485" s="54">
        <v>1600000</v>
      </c>
      <c r="AD485" s="54">
        <v>1948000</v>
      </c>
      <c r="AE485" s="54">
        <v>-348000</v>
      </c>
    </row>
    <row r="486" spans="2:31" x14ac:dyDescent="0.25">
      <c r="C486" s="39">
        <v>2018</v>
      </c>
      <c r="D486" s="62" t="s">
        <v>1287</v>
      </c>
      <c r="E486" s="63" t="s">
        <v>1288</v>
      </c>
      <c r="F486" s="64">
        <v>43160</v>
      </c>
      <c r="G486" s="65" t="s">
        <v>34</v>
      </c>
      <c r="H486" s="94">
        <v>1273000</v>
      </c>
      <c r="I486" s="94">
        <v>1050950</v>
      </c>
      <c r="J486" s="105" t="s">
        <v>519</v>
      </c>
      <c r="K486" s="26">
        <v>-0.1744304791830322</v>
      </c>
      <c r="L486" s="11" t="s">
        <v>464</v>
      </c>
      <c r="M486" s="15">
        <v>6</v>
      </c>
      <c r="N486" s="35" t="s">
        <v>25</v>
      </c>
      <c r="O486" s="15">
        <v>1</v>
      </c>
      <c r="P486" s="35" t="s">
        <v>458</v>
      </c>
      <c r="Q486" s="35" t="s">
        <v>1238</v>
      </c>
      <c r="R486" s="15"/>
      <c r="S486" s="24" t="s">
        <v>1244</v>
      </c>
      <c r="T486" s="62" t="s">
        <v>784</v>
      </c>
      <c r="U486" s="62"/>
      <c r="V486" s="94">
        <v>2050444.6666666667</v>
      </c>
      <c r="W486" s="199">
        <v>0.51254735964589138</v>
      </c>
      <c r="X486" s="15"/>
      <c r="Y486" s="200">
        <v>0.82556952081696777</v>
      </c>
      <c r="Z486" s="11" t="s">
        <v>465</v>
      </c>
      <c r="AA486" s="11"/>
      <c r="AB486" s="15"/>
      <c r="AC486" s="54">
        <v>1273000</v>
      </c>
      <c r="AD486" s="54">
        <v>1050950</v>
      </c>
      <c r="AE486" s="54">
        <v>222050</v>
      </c>
    </row>
    <row r="487" spans="2:31" x14ac:dyDescent="0.25">
      <c r="C487" s="39">
        <v>2018</v>
      </c>
      <c r="D487" s="62" t="s">
        <v>1289</v>
      </c>
      <c r="E487" s="63" t="s">
        <v>1290</v>
      </c>
      <c r="F487" s="64">
        <v>43147</v>
      </c>
      <c r="G487" s="65" t="s">
        <v>34</v>
      </c>
      <c r="H487" s="94">
        <v>23100000</v>
      </c>
      <c r="I487" s="94">
        <v>16848000</v>
      </c>
      <c r="J487" s="27" t="s">
        <v>519</v>
      </c>
      <c r="K487" s="26">
        <v>-0.27064935064935064</v>
      </c>
      <c r="L487" s="11" t="s">
        <v>464</v>
      </c>
      <c r="M487" s="15">
        <v>6</v>
      </c>
      <c r="N487" s="35" t="s">
        <v>93</v>
      </c>
      <c r="O487" s="15">
        <v>1</v>
      </c>
      <c r="P487" s="35" t="s">
        <v>458</v>
      </c>
      <c r="Q487" s="35" t="s">
        <v>1243</v>
      </c>
      <c r="R487" s="15"/>
      <c r="S487" s="24"/>
      <c r="T487" s="62" t="s">
        <v>442</v>
      </c>
      <c r="U487" s="62"/>
      <c r="V487" s="94">
        <v>24152208.666666668</v>
      </c>
      <c r="W487" s="199">
        <v>0.69757595392310978</v>
      </c>
      <c r="X487" s="15"/>
      <c r="Y487" s="200">
        <v>0.7293506493506493</v>
      </c>
      <c r="Z487" s="11" t="s">
        <v>465</v>
      </c>
      <c r="AA487" s="11"/>
      <c r="AB487" s="15"/>
      <c r="AC487" s="54">
        <v>23100000</v>
      </c>
      <c r="AD487" s="54">
        <v>16848000</v>
      </c>
      <c r="AE487" s="54">
        <v>6252000</v>
      </c>
    </row>
    <row r="488" spans="2:31" x14ac:dyDescent="0.25">
      <c r="C488" s="39">
        <v>2018</v>
      </c>
      <c r="D488" s="62" t="s">
        <v>1293</v>
      </c>
      <c r="E488" s="63" t="s">
        <v>1294</v>
      </c>
      <c r="F488" s="64">
        <v>43125</v>
      </c>
      <c r="G488" s="65" t="s">
        <v>34</v>
      </c>
      <c r="H488" s="94">
        <v>1700000</v>
      </c>
      <c r="I488" s="94">
        <v>1555555</v>
      </c>
      <c r="J488" s="105" t="s">
        <v>519</v>
      </c>
      <c r="K488" s="26">
        <v>-8.4967647058823523E-2</v>
      </c>
      <c r="L488" s="11" t="s">
        <v>464</v>
      </c>
      <c r="M488" s="15">
        <v>9</v>
      </c>
      <c r="N488" s="35" t="s">
        <v>93</v>
      </c>
      <c r="O488" s="15">
        <v>1</v>
      </c>
      <c r="P488" s="35" t="s">
        <v>458</v>
      </c>
      <c r="Q488" s="35" t="s">
        <v>1245</v>
      </c>
      <c r="R488" s="15"/>
      <c r="S488" s="24"/>
      <c r="T488" s="62" t="s">
        <v>784</v>
      </c>
      <c r="U488" s="62"/>
      <c r="V488" s="94">
        <v>2601779.6666666665</v>
      </c>
      <c r="W488" s="199">
        <v>0.59788114263839154</v>
      </c>
      <c r="X488" s="15"/>
      <c r="Y488" s="200">
        <v>0.91503235294117646</v>
      </c>
      <c r="Z488" s="11" t="s">
        <v>465</v>
      </c>
      <c r="AA488" s="11"/>
      <c r="AB488" s="15"/>
      <c r="AC488" s="54">
        <v>1700000</v>
      </c>
      <c r="AD488" s="54">
        <v>1555555</v>
      </c>
      <c r="AE488" s="54">
        <v>144445</v>
      </c>
    </row>
    <row r="489" spans="2:31" x14ac:dyDescent="0.25">
      <c r="C489" s="39">
        <v>2018</v>
      </c>
      <c r="D489" s="62" t="s">
        <v>1254</v>
      </c>
      <c r="E489" s="63" t="s">
        <v>1255</v>
      </c>
      <c r="F489" s="64">
        <v>43124</v>
      </c>
      <c r="G489" s="65" t="s">
        <v>34</v>
      </c>
      <c r="H489" s="94">
        <v>22000000</v>
      </c>
      <c r="I489" s="94">
        <v>19988889</v>
      </c>
      <c r="J489" s="27" t="s">
        <v>519</v>
      </c>
      <c r="K489" s="26">
        <v>-9.1414136363636364E-2</v>
      </c>
      <c r="L489" s="11" t="s">
        <v>464</v>
      </c>
      <c r="M489" s="15">
        <v>13</v>
      </c>
      <c r="N489" s="35" t="s">
        <v>93</v>
      </c>
      <c r="O489" s="15">
        <v>1</v>
      </c>
      <c r="P489" s="35" t="s">
        <v>492</v>
      </c>
      <c r="Q489" s="35" t="s">
        <v>1245</v>
      </c>
      <c r="R489" s="15"/>
      <c r="S489" s="24"/>
      <c r="T489" s="62" t="s">
        <v>816</v>
      </c>
      <c r="U489" s="62"/>
      <c r="V489" s="94">
        <v>27586889.692307692</v>
      </c>
      <c r="W489" s="199">
        <v>0.72457929193712933</v>
      </c>
      <c r="X489" s="15"/>
      <c r="Y489" s="200">
        <v>0.90858586363636362</v>
      </c>
      <c r="Z489" s="11" t="s">
        <v>465</v>
      </c>
      <c r="AA489" s="11"/>
      <c r="AB489" s="15"/>
      <c r="AC489" s="54">
        <v>22000000</v>
      </c>
      <c r="AD489" s="54">
        <v>19988889</v>
      </c>
      <c r="AE489" s="54">
        <v>2011111</v>
      </c>
    </row>
    <row r="490" spans="2:31" x14ac:dyDescent="0.25">
      <c r="C490" s="39"/>
    </row>
    <row r="491" spans="2:31" x14ac:dyDescent="0.25">
      <c r="C491" s="39"/>
      <c r="K491" s="398" t="s">
        <v>1183</v>
      </c>
      <c r="L491" s="398"/>
      <c r="M491" s="247" t="s">
        <v>1366</v>
      </c>
      <c r="N491" s="245" t="s">
        <v>790</v>
      </c>
      <c r="O491" s="244"/>
      <c r="P491" s="248" t="s">
        <v>1368</v>
      </c>
    </row>
    <row r="492" spans="2:31" x14ac:dyDescent="0.25">
      <c r="C492" s="39"/>
      <c r="K492" s="142" t="s">
        <v>190</v>
      </c>
      <c r="L492" s="143">
        <f>+N492/M492</f>
        <v>0.5</v>
      </c>
      <c r="M492" s="246">
        <f>COUNTA(L441:L446)</f>
        <v>6</v>
      </c>
      <c r="N492" s="245">
        <v>3</v>
      </c>
      <c r="O492" s="244"/>
      <c r="P492" s="258">
        <f>AVERAGE(M441:M446)</f>
        <v>3.3333333333333335</v>
      </c>
    </row>
    <row r="493" spans="2:31" x14ac:dyDescent="0.25">
      <c r="C493" s="39"/>
      <c r="K493" s="142" t="s">
        <v>1206</v>
      </c>
      <c r="L493" s="143">
        <f t="shared" ref="L493:L495" si="32">+N493/M493</f>
        <v>0.63888888888888884</v>
      </c>
      <c r="M493" s="246">
        <f>COUNTA(L454:L489)</f>
        <v>36</v>
      </c>
      <c r="N493" s="245">
        <v>23</v>
      </c>
      <c r="O493" s="244"/>
      <c r="P493" s="259">
        <f>AVERAGE(M454:M489)</f>
        <v>5.166666666666667</v>
      </c>
    </row>
    <row r="494" spans="2:31" x14ac:dyDescent="0.25">
      <c r="C494" s="39"/>
      <c r="K494" s="142" t="s">
        <v>1367</v>
      </c>
      <c r="L494" s="143">
        <f t="shared" si="32"/>
        <v>0.41666666666666669</v>
      </c>
      <c r="M494" s="246">
        <f>COUNTA(L427:L438)</f>
        <v>12</v>
      </c>
      <c r="N494" s="245">
        <v>5</v>
      </c>
      <c r="O494" s="244"/>
      <c r="P494" s="258">
        <f>AVERAGE(M427:M438)</f>
        <v>3.9166666666666665</v>
      </c>
    </row>
    <row r="495" spans="2:31" x14ac:dyDescent="0.25">
      <c r="C495" s="39"/>
      <c r="K495" s="142" t="s">
        <v>756</v>
      </c>
      <c r="L495" s="143">
        <f t="shared" si="32"/>
        <v>1</v>
      </c>
      <c r="M495" s="246">
        <f>COUNTA(L449:L450)</f>
        <v>2</v>
      </c>
      <c r="N495" s="245">
        <v>2</v>
      </c>
      <c r="O495" s="244"/>
      <c r="P495" s="258">
        <f>AVERAGE(M449:M450)</f>
        <v>4</v>
      </c>
    </row>
    <row r="496" spans="2:31" x14ac:dyDescent="0.25">
      <c r="C496" s="39"/>
    </row>
    <row r="497" spans="2:19" x14ac:dyDescent="0.25">
      <c r="C497" s="39"/>
    </row>
    <row r="498" spans="2:19" x14ac:dyDescent="0.25">
      <c r="C498" s="39"/>
    </row>
    <row r="499" spans="2:19" x14ac:dyDescent="0.25">
      <c r="C499" s="39"/>
    </row>
    <row r="500" spans="2:19" x14ac:dyDescent="0.25">
      <c r="C500" s="39"/>
    </row>
    <row r="501" spans="2:19" x14ac:dyDescent="0.25">
      <c r="B501" s="144"/>
      <c r="C501" s="145"/>
      <c r="D501" s="144"/>
      <c r="E501" s="144"/>
      <c r="F501" s="144"/>
      <c r="G501" s="144"/>
      <c r="H501" s="144"/>
      <c r="I501" s="144"/>
      <c r="J501" s="144"/>
      <c r="K501" s="144"/>
      <c r="L501" s="144"/>
      <c r="M501" s="144"/>
      <c r="N501" s="146"/>
      <c r="O501" s="144"/>
      <c r="P501" s="144"/>
      <c r="Q501" s="144"/>
      <c r="R501" s="144"/>
      <c r="S501" s="144"/>
    </row>
    <row r="502" spans="2:19" x14ac:dyDescent="0.25">
      <c r="C502" s="39"/>
    </row>
    <row r="503" spans="2:19" x14ac:dyDescent="0.25">
      <c r="C503" s="39"/>
    </row>
    <row r="504" spans="2:19" x14ac:dyDescent="0.25">
      <c r="C504" s="39"/>
      <c r="D504" t="s">
        <v>1174</v>
      </c>
    </row>
    <row r="505" spans="2:19" x14ac:dyDescent="0.25">
      <c r="C505" s="39"/>
      <c r="D505" t="s">
        <v>1177</v>
      </c>
      <c r="F505" t="s">
        <v>1175</v>
      </c>
      <c r="G505" t="s">
        <v>1176</v>
      </c>
    </row>
    <row r="506" spans="2:19" x14ac:dyDescent="0.25">
      <c r="C506" s="39"/>
      <c r="D506">
        <v>17</v>
      </c>
      <c r="E506" t="s">
        <v>1366</v>
      </c>
      <c r="F506">
        <v>10</v>
      </c>
      <c r="G506">
        <v>7</v>
      </c>
      <c r="H506" s="252">
        <f>+F506/(G506+F506)</f>
        <v>0.58823529411764708</v>
      </c>
    </row>
    <row r="507" spans="2:19" x14ac:dyDescent="0.25">
      <c r="C507" s="39"/>
    </row>
    <row r="508" spans="2:19" x14ac:dyDescent="0.25">
      <c r="C508" s="39"/>
    </row>
    <row r="509" spans="2:19" x14ac:dyDescent="0.25">
      <c r="B509" s="147"/>
      <c r="C509" s="148"/>
      <c r="D509" s="147"/>
      <c r="E509" s="147"/>
      <c r="F509" s="147"/>
      <c r="G509" s="147"/>
      <c r="H509" s="147"/>
      <c r="I509" s="147"/>
      <c r="J509" s="147"/>
      <c r="K509" s="147"/>
      <c r="L509" s="147"/>
      <c r="M509" s="147"/>
      <c r="N509" s="149"/>
      <c r="O509" s="147"/>
      <c r="P509" s="147"/>
      <c r="Q509" s="147"/>
      <c r="R509" s="147"/>
      <c r="S509" s="147"/>
    </row>
    <row r="510" spans="2:19" x14ac:dyDescent="0.25">
      <c r="C510" s="39"/>
    </row>
    <row r="511" spans="2:19" x14ac:dyDescent="0.25">
      <c r="C511" s="39"/>
      <c r="R511">
        <f>+H532+H560+H587+H610</f>
        <v>34</v>
      </c>
    </row>
    <row r="512" spans="2:19" x14ac:dyDescent="0.25">
      <c r="C512" s="39"/>
    </row>
    <row r="513" spans="2:24" x14ac:dyDescent="0.25">
      <c r="B513" s="253"/>
      <c r="C513" s="39"/>
    </row>
    <row r="514" spans="2:24" x14ac:dyDescent="0.25">
      <c r="C514" s="39">
        <v>2017</v>
      </c>
      <c r="D514" s="102" t="s">
        <v>1136</v>
      </c>
      <c r="E514" s="63" t="s">
        <v>1137</v>
      </c>
      <c r="F514" s="64">
        <v>43074</v>
      </c>
      <c r="G514" s="65" t="s">
        <v>34</v>
      </c>
      <c r="H514" s="94">
        <v>1530000</v>
      </c>
      <c r="I514" s="27">
        <v>1189000</v>
      </c>
      <c r="J514" s="27"/>
      <c r="K514" s="26">
        <v>-0.22287581699346407</v>
      </c>
      <c r="L514" s="11" t="s">
        <v>464</v>
      </c>
      <c r="M514" s="15">
        <v>3</v>
      </c>
      <c r="N514" s="35" t="s">
        <v>25</v>
      </c>
      <c r="O514" s="15">
        <v>4</v>
      </c>
      <c r="P514" s="35" t="s">
        <v>458</v>
      </c>
      <c r="Q514" s="15"/>
      <c r="R514" s="24"/>
      <c r="S514" s="62" t="s">
        <v>616</v>
      </c>
      <c r="T514" s="15"/>
      <c r="U514" s="15"/>
      <c r="V514" s="54">
        <v>1530000</v>
      </c>
      <c r="W514" s="54">
        <v>1189000</v>
      </c>
      <c r="X514" s="54">
        <v>341000</v>
      </c>
    </row>
    <row r="515" spans="2:24" x14ac:dyDescent="0.25">
      <c r="C515" s="39">
        <v>2017</v>
      </c>
      <c r="D515" s="102" t="s">
        <v>1129</v>
      </c>
      <c r="E515" s="63" t="s">
        <v>1130</v>
      </c>
      <c r="F515" s="64">
        <v>43068</v>
      </c>
      <c r="G515" s="65" t="s">
        <v>34</v>
      </c>
      <c r="H515" s="94">
        <v>6600000</v>
      </c>
      <c r="I515" s="27">
        <v>5189333</v>
      </c>
      <c r="J515" s="27" t="s">
        <v>519</v>
      </c>
      <c r="K515" s="26">
        <v>-0.21373742424242423</v>
      </c>
      <c r="L515" s="11" t="s">
        <v>464</v>
      </c>
      <c r="M515" s="15">
        <v>7</v>
      </c>
      <c r="N515" s="35" t="s">
        <v>25</v>
      </c>
      <c r="O515" s="15">
        <v>4</v>
      </c>
      <c r="P515" s="35" t="s">
        <v>458</v>
      </c>
      <c r="Q515" s="15"/>
      <c r="R515" s="24"/>
      <c r="S515" s="62" t="s">
        <v>616</v>
      </c>
      <c r="T515" s="15"/>
      <c r="U515" s="15"/>
      <c r="V515" s="54">
        <v>6600000</v>
      </c>
      <c r="W515" s="54">
        <v>5189333</v>
      </c>
      <c r="X515" s="54">
        <v>1410667</v>
      </c>
    </row>
    <row r="516" spans="2:24" x14ac:dyDescent="0.25">
      <c r="C516" s="39">
        <v>2017</v>
      </c>
      <c r="D516" s="62" t="s">
        <v>1124</v>
      </c>
      <c r="E516" s="63" t="s">
        <v>1125</v>
      </c>
      <c r="F516" s="64">
        <v>43053</v>
      </c>
      <c r="G516" s="65" t="s">
        <v>693</v>
      </c>
      <c r="H516" s="94">
        <v>820000</v>
      </c>
      <c r="I516" s="27">
        <v>861500</v>
      </c>
      <c r="J516" s="27"/>
      <c r="K516" s="26">
        <v>5.0609756097560979E-2</v>
      </c>
      <c r="L516" s="11" t="s">
        <v>464</v>
      </c>
      <c r="M516" s="15">
        <v>4</v>
      </c>
      <c r="N516" s="35" t="s">
        <v>25</v>
      </c>
      <c r="O516" s="15">
        <v>4</v>
      </c>
      <c r="P516" s="35" t="s">
        <v>458</v>
      </c>
      <c r="Q516" s="15"/>
      <c r="R516" s="24"/>
      <c r="S516" s="62" t="s">
        <v>616</v>
      </c>
      <c r="T516" s="15"/>
      <c r="U516" s="15"/>
      <c r="V516" s="54">
        <v>820000</v>
      </c>
      <c r="W516" s="54">
        <v>861500</v>
      </c>
      <c r="X516" s="54">
        <v>-41500</v>
      </c>
    </row>
    <row r="517" spans="2:24" x14ac:dyDescent="0.25">
      <c r="C517" s="39">
        <v>2017</v>
      </c>
      <c r="D517" s="62" t="s">
        <v>1116</v>
      </c>
      <c r="E517" s="63" t="s">
        <v>1117</v>
      </c>
      <c r="F517" s="64">
        <v>43047</v>
      </c>
      <c r="G517" s="65" t="s">
        <v>190</v>
      </c>
      <c r="H517" s="94">
        <v>26900000</v>
      </c>
      <c r="I517" s="27">
        <v>26600000</v>
      </c>
      <c r="J517" s="27" t="s">
        <v>519</v>
      </c>
      <c r="K517" s="26">
        <v>-1.1152416356877323E-2</v>
      </c>
      <c r="L517" s="11" t="s">
        <v>464</v>
      </c>
      <c r="M517" s="15">
        <v>3</v>
      </c>
      <c r="N517" s="35" t="s">
        <v>25</v>
      </c>
      <c r="O517" s="15">
        <v>4</v>
      </c>
      <c r="P517" s="35" t="s">
        <v>458</v>
      </c>
      <c r="Q517" s="15"/>
      <c r="R517" s="24"/>
      <c r="S517" s="62" t="s">
        <v>616</v>
      </c>
      <c r="T517" s="15"/>
      <c r="U517" s="15"/>
      <c r="V517" s="54">
        <v>26900000</v>
      </c>
      <c r="W517" s="54">
        <v>26600000</v>
      </c>
      <c r="X517" s="54">
        <v>300000</v>
      </c>
    </row>
    <row r="518" spans="2:24" x14ac:dyDescent="0.25">
      <c r="C518" s="39">
        <v>2017</v>
      </c>
      <c r="D518" s="62" t="s">
        <v>1099</v>
      </c>
      <c r="E518" s="63" t="s">
        <v>1100</v>
      </c>
      <c r="F518" s="64">
        <v>43025</v>
      </c>
      <c r="G518" s="65" t="s">
        <v>34</v>
      </c>
      <c r="H518" s="94">
        <v>3000000</v>
      </c>
      <c r="I518" s="27">
        <v>2812500</v>
      </c>
      <c r="J518" s="27"/>
      <c r="K518" s="26">
        <v>-6.25E-2</v>
      </c>
      <c r="L518" s="11" t="s">
        <v>464</v>
      </c>
      <c r="M518" s="15">
        <v>2</v>
      </c>
      <c r="N518" s="35" t="s">
        <v>25</v>
      </c>
      <c r="O518" s="15">
        <v>4</v>
      </c>
      <c r="P518" s="35" t="s">
        <v>458</v>
      </c>
      <c r="Q518" s="15"/>
      <c r="R518" s="24"/>
      <c r="S518" s="62" t="s">
        <v>616</v>
      </c>
      <c r="T518" s="15"/>
      <c r="U518" s="15"/>
      <c r="V518" s="54">
        <v>3000000</v>
      </c>
      <c r="W518" s="54">
        <v>2812500</v>
      </c>
      <c r="X518" s="54">
        <v>187500</v>
      </c>
    </row>
    <row r="519" spans="2:24" x14ac:dyDescent="0.25">
      <c r="C519" s="39">
        <v>2017</v>
      </c>
      <c r="D519" s="62" t="s">
        <v>1093</v>
      </c>
      <c r="E519" s="63" t="s">
        <v>1094</v>
      </c>
      <c r="F519" s="64">
        <v>43013</v>
      </c>
      <c r="G519" s="65" t="s">
        <v>34</v>
      </c>
      <c r="H519" s="94">
        <v>970000</v>
      </c>
      <c r="I519" s="27">
        <v>1285000</v>
      </c>
      <c r="J519" s="27"/>
      <c r="K519" s="26">
        <v>0.32474226804123713</v>
      </c>
      <c r="L519" s="11" t="s">
        <v>465</v>
      </c>
      <c r="M519" s="15">
        <v>6</v>
      </c>
      <c r="N519" s="35" t="s">
        <v>25</v>
      </c>
      <c r="O519" s="15">
        <v>4</v>
      </c>
      <c r="P519" s="35" t="s">
        <v>458</v>
      </c>
      <c r="Q519" s="15"/>
      <c r="R519" s="24"/>
      <c r="S519" s="62" t="s">
        <v>616</v>
      </c>
      <c r="T519" s="15"/>
      <c r="U519" s="15"/>
      <c r="V519" s="54">
        <v>970000</v>
      </c>
      <c r="W519" s="54">
        <v>1285000</v>
      </c>
      <c r="X519" s="54">
        <v>-315000</v>
      </c>
    </row>
    <row r="520" spans="2:24" x14ac:dyDescent="0.25">
      <c r="C520" s="39">
        <v>2017</v>
      </c>
      <c r="D520" s="62" t="s">
        <v>1068</v>
      </c>
      <c r="E520" s="63" t="s">
        <v>1069</v>
      </c>
      <c r="F520" s="64">
        <v>42964</v>
      </c>
      <c r="G520" s="65" t="s">
        <v>190</v>
      </c>
      <c r="H520" s="94">
        <v>8500000</v>
      </c>
      <c r="I520" s="27">
        <v>5682000</v>
      </c>
      <c r="J520" s="105" t="s">
        <v>519</v>
      </c>
      <c r="K520" s="26">
        <v>-0.33152941176470591</v>
      </c>
      <c r="L520" s="11" t="s">
        <v>465</v>
      </c>
      <c r="M520" s="15">
        <v>3</v>
      </c>
      <c r="N520" s="35" t="s">
        <v>25</v>
      </c>
      <c r="O520" s="15">
        <v>3</v>
      </c>
      <c r="P520" s="35" t="s">
        <v>458</v>
      </c>
      <c r="Q520" s="15"/>
      <c r="R520" s="24"/>
      <c r="S520" s="62" t="s">
        <v>616</v>
      </c>
      <c r="T520" s="15"/>
      <c r="U520" s="15"/>
      <c r="V520" s="54">
        <v>8500000</v>
      </c>
      <c r="W520" s="54">
        <v>5682000</v>
      </c>
      <c r="X520" s="54">
        <v>2818000</v>
      </c>
    </row>
    <row r="521" spans="2:24" x14ac:dyDescent="0.25">
      <c r="C521" s="101">
        <v>2017</v>
      </c>
      <c r="D521" s="62" t="s">
        <v>1038</v>
      </c>
      <c r="E521" s="63" t="s">
        <v>1039</v>
      </c>
      <c r="F521" s="64">
        <v>42901</v>
      </c>
      <c r="G521" s="65" t="s">
        <v>693</v>
      </c>
      <c r="H521" s="94">
        <v>850000</v>
      </c>
      <c r="I521" s="27">
        <v>887000</v>
      </c>
      <c r="J521" s="27"/>
      <c r="K521" s="26">
        <v>4.3529411764705879E-2</v>
      </c>
      <c r="L521" s="11" t="s">
        <v>464</v>
      </c>
      <c r="M521" s="15">
        <v>3</v>
      </c>
      <c r="N521" s="35" t="s">
        <v>25</v>
      </c>
      <c r="O521" s="15">
        <v>2</v>
      </c>
      <c r="P521" s="35" t="s">
        <v>458</v>
      </c>
      <c r="Q521" s="15"/>
      <c r="R521" s="24"/>
      <c r="S521" s="62" t="s">
        <v>616</v>
      </c>
      <c r="T521" s="15"/>
      <c r="U521" s="15"/>
      <c r="V521" s="54">
        <v>850000</v>
      </c>
      <c r="W521" s="54">
        <v>887000</v>
      </c>
      <c r="X521" s="54">
        <v>-37000</v>
      </c>
    </row>
    <row r="522" spans="2:24" x14ac:dyDescent="0.25">
      <c r="C522" s="39">
        <v>2017</v>
      </c>
      <c r="D522" s="62" t="s">
        <v>1035</v>
      </c>
      <c r="E522" s="63" t="s">
        <v>1036</v>
      </c>
      <c r="F522" s="64">
        <v>42900</v>
      </c>
      <c r="G522" s="65" t="s">
        <v>756</v>
      </c>
      <c r="H522" s="94">
        <v>2900000</v>
      </c>
      <c r="I522" s="27">
        <v>1157000</v>
      </c>
      <c r="J522" s="27"/>
      <c r="K522" s="26">
        <v>-0.6010344827586207</v>
      </c>
      <c r="L522" s="11" t="s">
        <v>465</v>
      </c>
      <c r="M522" s="15">
        <v>5</v>
      </c>
      <c r="N522" s="35" t="s">
        <v>25</v>
      </c>
      <c r="O522" s="15">
        <v>2</v>
      </c>
      <c r="P522" s="35" t="s">
        <v>458</v>
      </c>
      <c r="Q522" s="15"/>
      <c r="R522" s="24"/>
      <c r="S522" s="62" t="s">
        <v>447</v>
      </c>
      <c r="T522" s="15"/>
      <c r="U522" s="15"/>
      <c r="V522" s="54">
        <v>2900000</v>
      </c>
      <c r="W522" s="54">
        <v>1157000</v>
      </c>
      <c r="X522" s="54">
        <v>1743000</v>
      </c>
    </row>
    <row r="523" spans="2:24" x14ac:dyDescent="0.25">
      <c r="C523" s="39">
        <v>2017</v>
      </c>
      <c r="D523" s="62" t="s">
        <v>1025</v>
      </c>
      <c r="E523" s="63" t="s">
        <v>1026</v>
      </c>
      <c r="F523" s="64">
        <v>42893</v>
      </c>
      <c r="G523" s="65" t="s">
        <v>693</v>
      </c>
      <c r="H523" s="94">
        <v>650000</v>
      </c>
      <c r="I523" s="27">
        <v>865508</v>
      </c>
      <c r="J523" s="27"/>
      <c r="K523" s="26">
        <v>0.3315507692307692</v>
      </c>
      <c r="L523" s="11" t="s">
        <v>465</v>
      </c>
      <c r="M523" s="15">
        <v>3</v>
      </c>
      <c r="N523" s="35" t="s">
        <v>25</v>
      </c>
      <c r="O523" s="15">
        <v>2</v>
      </c>
      <c r="P523" s="35" t="s">
        <v>458</v>
      </c>
      <c r="Q523" s="15"/>
      <c r="R523" s="24"/>
      <c r="S523" s="62" t="s">
        <v>616</v>
      </c>
      <c r="T523" s="15"/>
      <c r="U523" s="15"/>
      <c r="V523" s="54">
        <v>650000</v>
      </c>
      <c r="W523" s="54">
        <v>865508</v>
      </c>
      <c r="X523" s="54">
        <v>-215508</v>
      </c>
    </row>
    <row r="524" spans="2:24" x14ac:dyDescent="0.25">
      <c r="C524" s="39">
        <v>2017</v>
      </c>
      <c r="D524" s="62" t="s">
        <v>1023</v>
      </c>
      <c r="E524" s="63" t="s">
        <v>1024</v>
      </c>
      <c r="F524" s="64">
        <v>42893</v>
      </c>
      <c r="G524" s="65" t="s">
        <v>693</v>
      </c>
      <c r="H524" s="94">
        <v>1070000</v>
      </c>
      <c r="I524" s="27">
        <v>758000</v>
      </c>
      <c r="J524" s="27"/>
      <c r="K524" s="26">
        <v>-0.29158878504672897</v>
      </c>
      <c r="L524" s="11" t="s">
        <v>465</v>
      </c>
      <c r="M524" s="15">
        <v>5</v>
      </c>
      <c r="N524" s="35" t="s">
        <v>25</v>
      </c>
      <c r="O524" s="15">
        <v>2</v>
      </c>
      <c r="P524" s="35" t="s">
        <v>458</v>
      </c>
      <c r="Q524" s="15"/>
      <c r="R524" s="24"/>
      <c r="S524" s="62" t="s">
        <v>616</v>
      </c>
      <c r="T524" s="15"/>
      <c r="U524" s="15"/>
      <c r="V524" s="54">
        <v>1070000</v>
      </c>
      <c r="W524" s="54">
        <v>758000</v>
      </c>
      <c r="X524" s="54">
        <v>312000</v>
      </c>
    </row>
    <row r="525" spans="2:24" x14ac:dyDescent="0.25">
      <c r="C525" s="39">
        <v>2017</v>
      </c>
      <c r="D525" s="62" t="s">
        <v>1014</v>
      </c>
      <c r="E525" s="63" t="s">
        <v>1015</v>
      </c>
      <c r="F525" s="64">
        <v>42886</v>
      </c>
      <c r="G525" s="65" t="s">
        <v>34</v>
      </c>
      <c r="H525" s="94">
        <v>1140000</v>
      </c>
      <c r="I525" s="27">
        <v>904780</v>
      </c>
      <c r="J525" s="27"/>
      <c r="K525" s="26">
        <v>-0.20633333333333334</v>
      </c>
      <c r="L525" s="11" t="s">
        <v>464</v>
      </c>
      <c r="M525" s="15">
        <v>9</v>
      </c>
      <c r="N525" s="35" t="s">
        <v>25</v>
      </c>
      <c r="O525" s="15">
        <v>2</v>
      </c>
      <c r="P525" s="35" t="s">
        <v>458</v>
      </c>
      <c r="Q525" s="15"/>
      <c r="R525" s="24"/>
      <c r="S525" s="62" t="s">
        <v>616</v>
      </c>
      <c r="T525" s="15"/>
      <c r="U525" s="15"/>
      <c r="V525" s="54">
        <v>1140000</v>
      </c>
      <c r="W525" s="54">
        <v>904780</v>
      </c>
      <c r="X525" s="54">
        <v>235220</v>
      </c>
    </row>
    <row r="526" spans="2:24" x14ac:dyDescent="0.25">
      <c r="C526" s="39">
        <v>2017</v>
      </c>
      <c r="D526" s="62" t="s">
        <v>981</v>
      </c>
      <c r="E526" s="63" t="s">
        <v>982</v>
      </c>
      <c r="F526" s="64">
        <v>42844</v>
      </c>
      <c r="G526" s="65" t="s">
        <v>190</v>
      </c>
      <c r="H526" s="94">
        <v>18870000</v>
      </c>
      <c r="I526" s="27">
        <v>19910000</v>
      </c>
      <c r="J526" s="27" t="s">
        <v>519</v>
      </c>
      <c r="K526" s="26">
        <v>5.5113937466878642E-2</v>
      </c>
      <c r="L526" s="11" t="s">
        <v>464</v>
      </c>
      <c r="M526" s="15">
        <v>3</v>
      </c>
      <c r="N526" s="35" t="s">
        <v>25</v>
      </c>
      <c r="O526" s="15">
        <v>2</v>
      </c>
      <c r="P526" s="35" t="s">
        <v>458</v>
      </c>
      <c r="Q526" s="15"/>
      <c r="R526" s="24"/>
      <c r="S526" s="62" t="s">
        <v>616</v>
      </c>
      <c r="T526" s="15"/>
      <c r="U526" s="15"/>
      <c r="V526" s="54">
        <v>18870000</v>
      </c>
      <c r="W526" s="54">
        <v>19910000</v>
      </c>
      <c r="X526" s="54">
        <v>-1040000</v>
      </c>
    </row>
    <row r="527" spans="2:24" x14ac:dyDescent="0.25">
      <c r="C527" s="39">
        <v>2017</v>
      </c>
      <c r="D527" s="62" t="s">
        <v>901</v>
      </c>
      <c r="E527" s="63" t="s">
        <v>902</v>
      </c>
      <c r="F527" s="64">
        <v>42774</v>
      </c>
      <c r="G527" s="65" t="s">
        <v>34</v>
      </c>
      <c r="H527" s="94">
        <v>970000</v>
      </c>
      <c r="I527" s="27">
        <v>756482</v>
      </c>
      <c r="J527" s="27"/>
      <c r="K527" s="26">
        <v>-0.22012164948453608</v>
      </c>
      <c r="L527" s="11" t="s">
        <v>464</v>
      </c>
      <c r="M527" s="15">
        <v>9</v>
      </c>
      <c r="N527" s="35" t="s">
        <v>25</v>
      </c>
      <c r="O527" s="15">
        <v>1</v>
      </c>
      <c r="P527" s="35" t="s">
        <v>458</v>
      </c>
      <c r="Q527" s="15"/>
      <c r="R527" s="24"/>
      <c r="S527" s="62" t="s">
        <v>616</v>
      </c>
      <c r="T527" s="15"/>
      <c r="U527" s="15"/>
      <c r="V527" s="54">
        <v>970000</v>
      </c>
      <c r="W527" s="54">
        <v>756482</v>
      </c>
      <c r="X527" s="54">
        <v>213518</v>
      </c>
    </row>
    <row r="528" spans="2:24" x14ac:dyDescent="0.25">
      <c r="C528" s="39">
        <v>2017</v>
      </c>
      <c r="D528" s="62" t="s">
        <v>862</v>
      </c>
      <c r="E528" s="63" t="s">
        <v>863</v>
      </c>
      <c r="F528" s="64">
        <v>42759</v>
      </c>
      <c r="G528" s="65" t="s">
        <v>190</v>
      </c>
      <c r="H528" s="94">
        <v>69800000</v>
      </c>
      <c r="I528" s="27">
        <v>67107000</v>
      </c>
      <c r="J528" s="27" t="s">
        <v>519</v>
      </c>
      <c r="K528" s="26">
        <v>-3.8581661891117482E-2</v>
      </c>
      <c r="L528" s="11" t="s">
        <v>464</v>
      </c>
      <c r="M528" s="15">
        <v>9</v>
      </c>
      <c r="N528" s="35" t="s">
        <v>25</v>
      </c>
      <c r="O528" s="15">
        <v>1</v>
      </c>
      <c r="P528" s="35" t="s">
        <v>458</v>
      </c>
      <c r="Q528" s="15"/>
      <c r="R528" s="24"/>
      <c r="S528" s="62" t="s">
        <v>616</v>
      </c>
      <c r="T528" s="15"/>
      <c r="U528" s="15"/>
      <c r="V528" s="54">
        <v>69800000</v>
      </c>
      <c r="W528" s="54">
        <v>67107000</v>
      </c>
      <c r="X528" s="54">
        <v>2693000</v>
      </c>
    </row>
    <row r="529" spans="3:32" x14ac:dyDescent="0.25">
      <c r="C529" s="39"/>
      <c r="E529" s="85"/>
      <c r="F529" s="85"/>
      <c r="G529" s="85"/>
      <c r="H529" s="86">
        <f>SUM(H514:H528)</f>
        <v>144570000</v>
      </c>
      <c r="I529" s="86">
        <f>SUM(I514:I528)</f>
        <v>135965103</v>
      </c>
      <c r="J529" s="85"/>
      <c r="K529" s="87">
        <f>+I529/H529</f>
        <v>0.94047937331396558</v>
      </c>
      <c r="L529" s="85">
        <f>COUNTA(L514:L528)</f>
        <v>15</v>
      </c>
      <c r="M529" s="88">
        <f>SUM(M514:M528)/L529</f>
        <v>4.9333333333333336</v>
      </c>
      <c r="N529" s="89"/>
      <c r="O529" s="85"/>
      <c r="P529" s="119"/>
      <c r="Q529" s="85"/>
    </row>
    <row r="530" spans="3:32" x14ac:dyDescent="0.25">
      <c r="C530" s="39"/>
    </row>
    <row r="531" spans="3:32" x14ac:dyDescent="0.25">
      <c r="C531" s="39"/>
      <c r="E531" s="150" t="s">
        <v>1179</v>
      </c>
      <c r="F531" s="70"/>
      <c r="G531" s="70"/>
      <c r="H531" s="121" t="str">
        <f>"'17 final"</f>
        <v>'17 final</v>
      </c>
      <c r="P531" s="11"/>
      <c r="W531" s="168"/>
      <c r="X531" s="168"/>
      <c r="Y531" s="168"/>
      <c r="Z531" s="168"/>
      <c r="AA531" s="169" t="s">
        <v>1200</v>
      </c>
      <c r="AB531" s="170" t="str">
        <f>"'17 all"</f>
        <v>'17 all</v>
      </c>
      <c r="AC531" s="70" t="s">
        <v>1201</v>
      </c>
      <c r="AD531" s="70" t="s">
        <v>1202</v>
      </c>
      <c r="AE531" s="70" t="s">
        <v>1203</v>
      </c>
      <c r="AF531" s="70" t="s">
        <v>1204</v>
      </c>
    </row>
    <row r="532" spans="3:32" x14ac:dyDescent="0.25">
      <c r="C532" s="39"/>
      <c r="E532" s="71" t="s">
        <v>800</v>
      </c>
      <c r="F532" s="11"/>
      <c r="G532" s="11"/>
      <c r="H532" s="104">
        <f>+L529</f>
        <v>15</v>
      </c>
      <c r="P532" s="11"/>
      <c r="AA532" s="71" t="s">
        <v>800</v>
      </c>
      <c r="AB532" s="171">
        <v>34</v>
      </c>
      <c r="AC532" s="104">
        <v>15</v>
      </c>
      <c r="AD532" s="104">
        <v>9</v>
      </c>
      <c r="AE532" s="104">
        <v>7</v>
      </c>
      <c r="AF532" s="104">
        <v>3</v>
      </c>
    </row>
    <row r="533" spans="3:32" x14ac:dyDescent="0.25">
      <c r="C533" s="39"/>
      <c r="E533" s="72" t="s">
        <v>801</v>
      </c>
      <c r="F533" s="11"/>
      <c r="G533" s="11"/>
      <c r="H533" s="104">
        <f>+H532-H534</f>
        <v>10</v>
      </c>
      <c r="P533" s="11"/>
      <c r="AA533" s="72" t="s">
        <v>801</v>
      </c>
      <c r="AB533" s="171">
        <v>19</v>
      </c>
      <c r="AC533" s="104">
        <v>10</v>
      </c>
      <c r="AD533" s="104">
        <v>5</v>
      </c>
      <c r="AE533" s="104">
        <v>2</v>
      </c>
      <c r="AF533" s="104">
        <v>2</v>
      </c>
    </row>
    <row r="534" spans="3:32" x14ac:dyDescent="0.25">
      <c r="C534" s="39"/>
      <c r="E534" s="72" t="s">
        <v>802</v>
      </c>
      <c r="F534" s="11"/>
      <c r="G534" s="11"/>
      <c r="H534" s="104">
        <v>5</v>
      </c>
      <c r="P534" s="11"/>
      <c r="AA534" s="72" t="s">
        <v>802</v>
      </c>
      <c r="AB534" s="171">
        <v>15</v>
      </c>
      <c r="AC534" s="104">
        <v>5</v>
      </c>
      <c r="AD534" s="104">
        <v>4</v>
      </c>
      <c r="AE534" s="104">
        <v>5</v>
      </c>
      <c r="AF534" s="104">
        <v>1</v>
      </c>
    </row>
    <row r="535" spans="3:32" x14ac:dyDescent="0.25">
      <c r="C535" s="39"/>
      <c r="E535" s="72"/>
      <c r="F535" s="11"/>
      <c r="G535" s="11"/>
      <c r="H535" s="104"/>
      <c r="P535" s="11"/>
      <c r="AA535" s="72"/>
      <c r="AB535" s="171"/>
      <c r="AC535" s="104"/>
      <c r="AD535" s="104"/>
      <c r="AE535" s="104"/>
      <c r="AF535" s="104"/>
    </row>
    <row r="536" spans="3:32" x14ac:dyDescent="0.25">
      <c r="C536" s="39"/>
      <c r="E536" s="72" t="s">
        <v>1144</v>
      </c>
      <c r="F536" s="78"/>
      <c r="G536" s="78"/>
      <c r="H536" s="122">
        <f>+I529/1000000</f>
        <v>135.965103</v>
      </c>
      <c r="I536" s="52"/>
      <c r="P536" s="11"/>
      <c r="AA536" s="72" t="s">
        <v>1144</v>
      </c>
      <c r="AB536" s="172">
        <v>260.86096099999997</v>
      </c>
      <c r="AC536" s="122">
        <v>135.965103</v>
      </c>
      <c r="AD536" s="122">
        <v>78.535071000000002</v>
      </c>
      <c r="AE536" s="122">
        <v>32.957763999999997</v>
      </c>
      <c r="AF536" s="122">
        <v>13.403022999999999</v>
      </c>
    </row>
    <row r="537" spans="3:32" x14ac:dyDescent="0.25">
      <c r="C537" s="39"/>
      <c r="E537" s="72" t="s">
        <v>806</v>
      </c>
      <c r="F537" s="75"/>
      <c r="G537" s="75"/>
      <c r="H537" s="123">
        <f>+M529</f>
        <v>4.9333333333333336</v>
      </c>
      <c r="K537" s="166" t="s">
        <v>1199</v>
      </c>
      <c r="L537" s="166"/>
      <c r="M537" s="166"/>
      <c r="N537" s="167"/>
      <c r="O537" s="166"/>
      <c r="P537" s="167"/>
      <c r="Q537" s="166"/>
      <c r="R537" s="166"/>
      <c r="AA537" s="72" t="s">
        <v>806</v>
      </c>
      <c r="AB537" s="173">
        <v>5.7058823529411766</v>
      </c>
      <c r="AC537" s="123">
        <v>4.9333333333333336</v>
      </c>
      <c r="AD537" s="123">
        <v>6.5555555555555554</v>
      </c>
      <c r="AE537" s="123">
        <v>5.8571428571428568</v>
      </c>
      <c r="AF537" s="123">
        <v>6.666666666666667</v>
      </c>
    </row>
    <row r="538" spans="3:32" x14ac:dyDescent="0.25">
      <c r="C538" s="39"/>
      <c r="E538" s="72" t="s">
        <v>807</v>
      </c>
      <c r="F538" s="74"/>
      <c r="G538" s="74"/>
      <c r="H538" s="124">
        <f>+I529/H529</f>
        <v>0.94047937331396558</v>
      </c>
      <c r="P538" s="11"/>
      <c r="AA538" s="72" t="s">
        <v>807</v>
      </c>
      <c r="AB538" s="174">
        <v>0.86020325961622568</v>
      </c>
      <c r="AC538" s="124">
        <v>0.94047937331396558</v>
      </c>
      <c r="AD538" s="124">
        <v>0.7957267883888941</v>
      </c>
      <c r="AE538" s="124">
        <v>0.7524603652968036</v>
      </c>
      <c r="AF538" s="124">
        <v>0.82790925937364879</v>
      </c>
    </row>
    <row r="539" spans="3:32" x14ac:dyDescent="0.25">
      <c r="C539" s="39"/>
      <c r="E539" s="72"/>
      <c r="F539" s="11"/>
      <c r="G539" s="11"/>
      <c r="H539" s="104"/>
      <c r="P539" s="11"/>
      <c r="AA539" s="72"/>
      <c r="AB539" s="171"/>
      <c r="AC539" s="104"/>
      <c r="AD539" s="104"/>
      <c r="AE539" s="104"/>
      <c r="AF539" s="104"/>
    </row>
    <row r="540" spans="3:32" x14ac:dyDescent="0.25">
      <c r="C540" s="39"/>
      <c r="E540" s="72" t="s">
        <v>803</v>
      </c>
      <c r="F540" s="74"/>
      <c r="G540" s="74"/>
      <c r="H540" s="108">
        <f>10/15</f>
        <v>0.66666666666666663</v>
      </c>
      <c r="P540" s="11"/>
      <c r="AA540" s="72" t="s">
        <v>803</v>
      </c>
      <c r="AB540" s="152">
        <v>0.61764705882352944</v>
      </c>
      <c r="AC540" s="108">
        <v>0.66666666666666663</v>
      </c>
      <c r="AD540" s="108">
        <v>0.66666666666666663</v>
      </c>
      <c r="AE540" s="108">
        <v>0.42857142857142855</v>
      </c>
      <c r="AF540" s="108">
        <v>0.66666666666666663</v>
      </c>
    </row>
    <row r="541" spans="3:32" x14ac:dyDescent="0.25">
      <c r="C541" s="107"/>
      <c r="D541" s="52"/>
      <c r="E541" s="72" t="s">
        <v>804</v>
      </c>
      <c r="F541" s="74"/>
      <c r="G541" s="74"/>
      <c r="H541" s="108">
        <f>6/H533</f>
        <v>0.6</v>
      </c>
      <c r="P541" s="11"/>
      <c r="AA541" s="72" t="s">
        <v>804</v>
      </c>
      <c r="AB541" s="152">
        <v>0.63157894736842102</v>
      </c>
      <c r="AC541" s="108">
        <v>0.6</v>
      </c>
      <c r="AD541" s="108">
        <v>0.8</v>
      </c>
      <c r="AE541" s="108">
        <v>0.5</v>
      </c>
      <c r="AF541" s="108">
        <v>0.5</v>
      </c>
    </row>
    <row r="542" spans="3:32" x14ac:dyDescent="0.25">
      <c r="C542" s="107"/>
      <c r="D542" s="52"/>
      <c r="E542" s="72" t="s">
        <v>805</v>
      </c>
      <c r="F542" s="74"/>
      <c r="G542" s="74"/>
      <c r="H542" s="108">
        <f>4/H534</f>
        <v>0.8</v>
      </c>
      <c r="P542" s="11"/>
      <c r="AA542" s="72" t="s">
        <v>805</v>
      </c>
      <c r="AB542" s="152">
        <v>0.6</v>
      </c>
      <c r="AC542" s="108">
        <v>0.8</v>
      </c>
      <c r="AD542" s="108">
        <v>0.5</v>
      </c>
      <c r="AE542" s="108">
        <v>0.4</v>
      </c>
      <c r="AF542" s="108">
        <v>1</v>
      </c>
    </row>
    <row r="543" spans="3:32" x14ac:dyDescent="0.25">
      <c r="C543" s="39"/>
      <c r="E543" s="72"/>
      <c r="F543" s="11"/>
      <c r="G543" s="11"/>
      <c r="H543" s="104"/>
      <c r="P543" s="11"/>
      <c r="AA543" s="72"/>
      <c r="AB543" s="171"/>
      <c r="AC543" s="104"/>
      <c r="AD543" s="104"/>
      <c r="AE543" s="104"/>
      <c r="AF543" s="104"/>
    </row>
    <row r="544" spans="3:32" x14ac:dyDescent="0.25">
      <c r="C544" s="39"/>
      <c r="E544" s="72" t="s">
        <v>1141</v>
      </c>
      <c r="F544" s="11"/>
      <c r="G544" s="11"/>
      <c r="H544" s="104">
        <v>7</v>
      </c>
      <c r="AA544" s="72" t="s">
        <v>1141</v>
      </c>
      <c r="AB544" s="171">
        <v>13</v>
      </c>
      <c r="AC544" s="104">
        <v>7</v>
      </c>
      <c r="AD544" s="104">
        <v>2</v>
      </c>
      <c r="AE544" s="104">
        <v>2</v>
      </c>
      <c r="AF544" s="104">
        <v>2</v>
      </c>
    </row>
    <row r="545" spans="3:32" x14ac:dyDescent="0.25">
      <c r="E545" s="106" t="s">
        <v>1143</v>
      </c>
      <c r="F545" s="108"/>
      <c r="G545" s="108"/>
      <c r="H545" s="108">
        <f>+H544/H532</f>
        <v>0.46666666666666667</v>
      </c>
      <c r="AA545" s="106" t="s">
        <v>1143</v>
      </c>
      <c r="AB545" s="152">
        <v>0.41176470588235292</v>
      </c>
      <c r="AC545" s="108">
        <v>0.46666666666666667</v>
      </c>
      <c r="AD545" s="108">
        <v>0.22222222222222221</v>
      </c>
      <c r="AE545" s="108">
        <v>0.2857142857142857</v>
      </c>
      <c r="AF545" s="108">
        <v>0.66666666666666663</v>
      </c>
    </row>
    <row r="546" spans="3:32" x14ac:dyDescent="0.25">
      <c r="C546" s="39"/>
      <c r="AA546" s="72"/>
      <c r="AB546" s="104"/>
    </row>
    <row r="547" spans="3:32" x14ac:dyDescent="0.25">
      <c r="C547" s="39"/>
      <c r="AA547" s="106"/>
      <c r="AB547" s="175" t="s">
        <v>1205</v>
      </c>
    </row>
    <row r="548" spans="3:32" x14ac:dyDescent="0.25">
      <c r="C548" s="39">
        <v>2017</v>
      </c>
      <c r="D548" s="102" t="s">
        <v>1135</v>
      </c>
      <c r="E548" s="63" t="s">
        <v>982</v>
      </c>
      <c r="F548" s="64">
        <v>43074</v>
      </c>
      <c r="G548" s="65" t="s">
        <v>34</v>
      </c>
      <c r="H548" s="94">
        <v>38000000</v>
      </c>
      <c r="I548" s="27">
        <f>$I$12</f>
        <v>1443785</v>
      </c>
      <c r="J548" s="27"/>
      <c r="K548" s="26">
        <f>+$K$12</f>
        <v>-0.19341620111731844</v>
      </c>
      <c r="L548" s="78" t="str">
        <f>+$L$12</f>
        <v>GOOD</v>
      </c>
      <c r="M548" s="15">
        <f>+$M$12</f>
        <v>7</v>
      </c>
      <c r="N548" s="35" t="s">
        <v>93</v>
      </c>
      <c r="O548" s="15">
        <v>4</v>
      </c>
      <c r="P548" s="35" t="s">
        <v>458</v>
      </c>
      <c r="Q548" s="15"/>
      <c r="R548" s="24">
        <f>+$R$12</f>
        <v>0</v>
      </c>
      <c r="S548" s="62" t="s">
        <v>616</v>
      </c>
      <c r="T548" s="15"/>
      <c r="U548" s="15"/>
      <c r="V548" s="54"/>
      <c r="W548" s="54"/>
      <c r="X548" s="54"/>
    </row>
    <row r="549" spans="3:32" x14ac:dyDescent="0.25">
      <c r="C549" s="39">
        <v>2017</v>
      </c>
      <c r="D549" s="62" t="s">
        <v>1101</v>
      </c>
      <c r="E549" s="63" t="s">
        <v>1102</v>
      </c>
      <c r="F549" s="64">
        <v>43025</v>
      </c>
      <c r="G549" s="65" t="s">
        <v>34</v>
      </c>
      <c r="H549" s="94">
        <v>2800000</v>
      </c>
      <c r="I549" s="27">
        <v>2847000</v>
      </c>
      <c r="J549" s="27"/>
      <c r="K549" s="26">
        <v>1.6785714285714286E-2</v>
      </c>
      <c r="L549" s="11" t="s">
        <v>464</v>
      </c>
      <c r="M549" s="15">
        <v>9</v>
      </c>
      <c r="N549" s="35" t="s">
        <v>93</v>
      </c>
      <c r="O549" s="15">
        <v>4</v>
      </c>
      <c r="P549" s="35" t="s">
        <v>458</v>
      </c>
      <c r="Q549" s="15"/>
      <c r="R549" s="24"/>
      <c r="S549" s="62" t="s">
        <v>616</v>
      </c>
      <c r="T549" s="15"/>
      <c r="U549" s="15"/>
      <c r="V549" s="54"/>
      <c r="W549" s="54"/>
      <c r="X549" s="54"/>
    </row>
    <row r="550" spans="3:32" x14ac:dyDescent="0.25">
      <c r="C550" s="39">
        <v>2017</v>
      </c>
      <c r="D550" s="62" t="s">
        <v>1057</v>
      </c>
      <c r="E550" s="63" t="s">
        <v>1058</v>
      </c>
      <c r="F550" s="64">
        <v>42949</v>
      </c>
      <c r="G550" s="65" t="s">
        <v>34</v>
      </c>
      <c r="H550" s="94">
        <v>1650000</v>
      </c>
      <c r="I550" s="27">
        <v>1320718</v>
      </c>
      <c r="J550" s="27"/>
      <c r="K550" s="26">
        <v>-0.19956484848484848</v>
      </c>
      <c r="L550" s="11" t="s">
        <v>464</v>
      </c>
      <c r="M550" s="15">
        <v>4</v>
      </c>
      <c r="N550" s="35" t="s">
        <v>93</v>
      </c>
      <c r="O550" s="15">
        <v>3</v>
      </c>
      <c r="P550" s="35" t="s">
        <v>458</v>
      </c>
      <c r="Q550" s="15"/>
      <c r="R550" s="24"/>
      <c r="S550" s="62" t="s">
        <v>616</v>
      </c>
      <c r="T550" s="15"/>
      <c r="U550" s="15"/>
      <c r="V550" s="54"/>
      <c r="W550" s="54"/>
      <c r="X550" s="54"/>
    </row>
    <row r="551" spans="3:32" x14ac:dyDescent="0.25">
      <c r="C551" s="39">
        <v>2017</v>
      </c>
      <c r="D551" s="62" t="s">
        <v>1052</v>
      </c>
      <c r="E551" s="63" t="s">
        <v>1053</v>
      </c>
      <c r="F551" s="64">
        <v>42948</v>
      </c>
      <c r="G551" s="65" t="s">
        <v>34</v>
      </c>
      <c r="H551" s="94">
        <v>1330000</v>
      </c>
      <c r="I551" s="27">
        <v>936000</v>
      </c>
      <c r="J551" s="27"/>
      <c r="K551" s="26">
        <v>-0.29624060150375942</v>
      </c>
      <c r="L551" s="11" t="s">
        <v>464</v>
      </c>
      <c r="M551" s="15">
        <v>6</v>
      </c>
      <c r="N551" s="35" t="s">
        <v>93</v>
      </c>
      <c r="O551" s="15">
        <v>3</v>
      </c>
      <c r="P551" s="35" t="s">
        <v>458</v>
      </c>
      <c r="Q551" s="15"/>
      <c r="R551" s="24"/>
      <c r="S551" s="62" t="s">
        <v>616</v>
      </c>
      <c r="T551" s="15"/>
      <c r="U551" s="15"/>
      <c r="V551" s="54"/>
      <c r="W551" s="54"/>
      <c r="X551" s="54"/>
    </row>
    <row r="552" spans="3:32" x14ac:dyDescent="0.25">
      <c r="C552" s="39">
        <v>2017</v>
      </c>
      <c r="D552" s="62" t="s">
        <v>1009</v>
      </c>
      <c r="E552" s="63" t="s">
        <v>1010</v>
      </c>
      <c r="F552" s="64">
        <v>42880</v>
      </c>
      <c r="G552" s="65" t="s">
        <v>34</v>
      </c>
      <c r="H552" s="94">
        <v>2850000</v>
      </c>
      <c r="I552" s="27">
        <v>1808548</v>
      </c>
      <c r="J552" s="27"/>
      <c r="K552" s="26">
        <v>-0.36542175438596491</v>
      </c>
      <c r="L552" s="11" t="s">
        <v>465</v>
      </c>
      <c r="M552" s="15">
        <v>11</v>
      </c>
      <c r="N552" s="35" t="s">
        <v>93</v>
      </c>
      <c r="O552" s="15">
        <v>2</v>
      </c>
      <c r="P552" s="35" t="s">
        <v>458</v>
      </c>
      <c r="Q552" s="15"/>
      <c r="R552" s="24"/>
      <c r="S552" s="62" t="s">
        <v>442</v>
      </c>
      <c r="T552" s="15"/>
      <c r="U552" s="15"/>
      <c r="V552" s="54"/>
      <c r="W552" s="54"/>
      <c r="X552" s="54"/>
    </row>
    <row r="553" spans="3:32" x14ac:dyDescent="0.25">
      <c r="C553" s="39">
        <v>2017</v>
      </c>
      <c r="D553" s="62" t="s">
        <v>880</v>
      </c>
      <c r="E553" s="63" t="s">
        <v>881</v>
      </c>
      <c r="F553" s="64">
        <v>42768</v>
      </c>
      <c r="G553" s="65" t="s">
        <v>34</v>
      </c>
      <c r="H553" s="94">
        <v>4800000</v>
      </c>
      <c r="I553" s="27">
        <v>3901193</v>
      </c>
      <c r="J553" s="27"/>
      <c r="K553" s="26">
        <v>-0.18725145833333334</v>
      </c>
      <c r="L553" s="11" t="s">
        <v>464</v>
      </c>
      <c r="M553" s="15">
        <v>14</v>
      </c>
      <c r="N553" s="35" t="s">
        <v>93</v>
      </c>
      <c r="O553" s="15">
        <v>1</v>
      </c>
      <c r="P553" s="35" t="s">
        <v>458</v>
      </c>
      <c r="Q553" s="15"/>
      <c r="R553" s="24"/>
      <c r="S553" s="62" t="s">
        <v>616</v>
      </c>
      <c r="T553" s="15"/>
      <c r="U553" s="15"/>
      <c r="V553" s="54"/>
      <c r="W553" s="54"/>
      <c r="X553" s="54"/>
    </row>
    <row r="554" spans="3:32" x14ac:dyDescent="0.25">
      <c r="C554" s="39">
        <v>2017</v>
      </c>
      <c r="D554" s="62" t="s">
        <v>876</v>
      </c>
      <c r="E554" s="63" t="s">
        <v>877</v>
      </c>
      <c r="F554" s="64">
        <v>42765</v>
      </c>
      <c r="G554" s="65" t="s">
        <v>756</v>
      </c>
      <c r="H554" s="94">
        <v>6500000</v>
      </c>
      <c r="I554" s="27">
        <v>5987000</v>
      </c>
      <c r="J554" s="27" t="s">
        <v>519</v>
      </c>
      <c r="K554" s="26">
        <v>-7.8923076923076929E-2</v>
      </c>
      <c r="L554" s="11" t="s">
        <v>464</v>
      </c>
      <c r="M554" s="15">
        <v>5</v>
      </c>
      <c r="N554" s="35" t="s">
        <v>93</v>
      </c>
      <c r="O554" s="15">
        <v>1</v>
      </c>
      <c r="P554" s="35" t="s">
        <v>458</v>
      </c>
      <c r="Q554" s="15"/>
      <c r="R554" s="24"/>
      <c r="S554" s="62" t="s">
        <v>447</v>
      </c>
      <c r="T554" s="15"/>
      <c r="U554" s="15"/>
      <c r="V554" s="54"/>
      <c r="W554" s="54"/>
      <c r="X554" s="54"/>
    </row>
    <row r="555" spans="3:32" x14ac:dyDescent="0.25">
      <c r="C555" s="39">
        <v>2017</v>
      </c>
      <c r="D555" s="62" t="s">
        <v>830</v>
      </c>
      <c r="E555" s="63" t="s">
        <v>831</v>
      </c>
      <c r="F555" s="64">
        <v>42746</v>
      </c>
      <c r="G555" s="65" t="s">
        <v>190</v>
      </c>
      <c r="H555" s="94">
        <v>12071025</v>
      </c>
      <c r="I555" s="27">
        <v>9977777</v>
      </c>
      <c r="J555" s="105" t="s">
        <v>519</v>
      </c>
      <c r="K555" s="26">
        <v>-0.17341095723022693</v>
      </c>
      <c r="L555" s="11" t="s">
        <v>465</v>
      </c>
      <c r="M555" s="15">
        <v>3</v>
      </c>
      <c r="N555" s="35" t="s">
        <v>93</v>
      </c>
      <c r="O555" s="15">
        <v>1</v>
      </c>
      <c r="P555" s="35" t="s">
        <v>458</v>
      </c>
      <c r="Q555" s="15"/>
      <c r="R555" s="24"/>
      <c r="S555" s="62" t="s">
        <v>616</v>
      </c>
      <c r="T555" s="15"/>
      <c r="U555" s="15"/>
      <c r="V555" s="54"/>
      <c r="W555" s="54"/>
      <c r="X555" s="54"/>
    </row>
    <row r="556" spans="3:32" x14ac:dyDescent="0.25">
      <c r="C556" s="39">
        <v>2017</v>
      </c>
      <c r="D556" s="62" t="s">
        <v>828</v>
      </c>
      <c r="E556" s="63" t="s">
        <v>829</v>
      </c>
      <c r="F556" s="64">
        <v>42739</v>
      </c>
      <c r="G556" s="65" t="s">
        <v>190</v>
      </c>
      <c r="H556" s="94">
        <v>28695000</v>
      </c>
      <c r="I556" s="27">
        <v>31768035</v>
      </c>
      <c r="J556" s="27" t="s">
        <v>519</v>
      </c>
      <c r="K556" s="26">
        <v>0.10709304756926294</v>
      </c>
      <c r="L556" s="11" t="s">
        <v>464</v>
      </c>
      <c r="M556" s="15">
        <v>2</v>
      </c>
      <c r="N556" s="35" t="s">
        <v>93</v>
      </c>
      <c r="O556" s="15">
        <v>1</v>
      </c>
      <c r="P556" s="35" t="s">
        <v>458</v>
      </c>
      <c r="Q556" s="15"/>
      <c r="R556" s="24"/>
      <c r="S556" s="62" t="s">
        <v>616</v>
      </c>
      <c r="T556" s="15"/>
      <c r="U556" s="15"/>
      <c r="V556" s="54"/>
      <c r="W556" s="54"/>
      <c r="X556" s="54"/>
    </row>
    <row r="557" spans="3:32" x14ac:dyDescent="0.25">
      <c r="C557" s="39"/>
      <c r="E557" s="85"/>
      <c r="F557" s="85"/>
      <c r="G557" s="85"/>
      <c r="H557" s="86">
        <f>SUM(H548:H556)</f>
        <v>98696025</v>
      </c>
      <c r="I557" s="86">
        <f>SUM(I548:I556)</f>
        <v>59990056</v>
      </c>
      <c r="J557" s="85"/>
      <c r="K557" s="87">
        <f>+I557/H557</f>
        <v>0.60782646514892569</v>
      </c>
      <c r="L557" s="85">
        <f>COUNTA(L548:L556)</f>
        <v>9</v>
      </c>
      <c r="M557" s="88">
        <f>SUM(M548:M556)/L557</f>
        <v>6.7777777777777777</v>
      </c>
      <c r="N557" s="89"/>
      <c r="O557" s="85"/>
      <c r="P557" s="119">
        <f>22/L557</f>
        <v>2.4444444444444446</v>
      </c>
      <c r="Q557" s="85"/>
    </row>
    <row r="558" spans="3:32" x14ac:dyDescent="0.25">
      <c r="C558" s="39"/>
    </row>
    <row r="559" spans="3:32" x14ac:dyDescent="0.25">
      <c r="C559" s="39"/>
      <c r="E559" s="150" t="s">
        <v>1180</v>
      </c>
      <c r="F559" s="70"/>
      <c r="G559" s="70"/>
      <c r="H559" s="121" t="str">
        <f>"'17 final"</f>
        <v>'17 final</v>
      </c>
      <c r="P559" s="11"/>
    </row>
    <row r="560" spans="3:32" x14ac:dyDescent="0.25">
      <c r="C560" s="39"/>
      <c r="E560" s="71" t="s">
        <v>800</v>
      </c>
      <c r="F560" s="11"/>
      <c r="G560" s="11"/>
      <c r="H560" s="104">
        <f>+L557</f>
        <v>9</v>
      </c>
      <c r="P560" s="11"/>
    </row>
    <row r="561" spans="3:16" x14ac:dyDescent="0.25">
      <c r="C561" s="39"/>
      <c r="E561" s="72" t="s">
        <v>801</v>
      </c>
      <c r="F561" s="11"/>
      <c r="G561" s="11"/>
      <c r="H561" s="104">
        <f>+H560-H562</f>
        <v>5</v>
      </c>
      <c r="P561" s="11"/>
    </row>
    <row r="562" spans="3:16" x14ac:dyDescent="0.25">
      <c r="C562" s="39"/>
      <c r="E562" s="72" t="s">
        <v>802</v>
      </c>
      <c r="F562" s="11"/>
      <c r="G562" s="11"/>
      <c r="H562" s="104">
        <v>4</v>
      </c>
      <c r="P562" s="11"/>
    </row>
    <row r="563" spans="3:16" x14ac:dyDescent="0.25">
      <c r="C563" s="39"/>
      <c r="E563" s="72"/>
      <c r="F563" s="11"/>
      <c r="G563" s="11"/>
      <c r="H563" s="104"/>
      <c r="P563" s="11"/>
    </row>
    <row r="564" spans="3:16" x14ac:dyDescent="0.25">
      <c r="C564" s="39"/>
      <c r="E564" s="72" t="s">
        <v>1144</v>
      </c>
      <c r="F564" s="78"/>
      <c r="G564" s="78"/>
      <c r="H564" s="122">
        <f>+I557/1000000</f>
        <v>59.990056000000003</v>
      </c>
      <c r="I564" s="52"/>
      <c r="P564" s="11"/>
    </row>
    <row r="565" spans="3:16" x14ac:dyDescent="0.25">
      <c r="C565" s="39"/>
      <c r="E565" s="72" t="s">
        <v>806</v>
      </c>
      <c r="F565" s="75"/>
      <c r="G565" s="75"/>
      <c r="H565" s="123">
        <f>+M557</f>
        <v>6.7777777777777777</v>
      </c>
      <c r="P565" s="11"/>
    </row>
    <row r="566" spans="3:16" x14ac:dyDescent="0.25">
      <c r="C566" s="39"/>
      <c r="E566" s="72" t="s">
        <v>807</v>
      </c>
      <c r="F566" s="74"/>
      <c r="G566" s="74"/>
      <c r="H566" s="124">
        <f>+I557/H557</f>
        <v>0.60782646514892569</v>
      </c>
      <c r="P566" s="11"/>
    </row>
    <row r="567" spans="3:16" x14ac:dyDescent="0.25">
      <c r="C567" s="39"/>
      <c r="E567" s="72"/>
      <c r="F567" s="11"/>
      <c r="G567" s="11"/>
      <c r="H567" s="104"/>
      <c r="P567" s="11"/>
    </row>
    <row r="568" spans="3:16" x14ac:dyDescent="0.25">
      <c r="C568" s="39"/>
      <c r="E568" s="72" t="s">
        <v>803</v>
      </c>
      <c r="F568" s="74"/>
      <c r="G568" s="74"/>
      <c r="H568" s="108">
        <f>6/H560</f>
        <v>0.66666666666666663</v>
      </c>
      <c r="P568" s="11"/>
    </row>
    <row r="569" spans="3:16" x14ac:dyDescent="0.25">
      <c r="C569" s="107"/>
      <c r="D569" s="52"/>
      <c r="E569" s="72" t="s">
        <v>804</v>
      </c>
      <c r="F569" s="74"/>
      <c r="G569" s="74"/>
      <c r="H569" s="108">
        <f>4/H561</f>
        <v>0.8</v>
      </c>
      <c r="P569" s="11"/>
    </row>
    <row r="570" spans="3:16" x14ac:dyDescent="0.25">
      <c r="C570" s="107"/>
      <c r="D570" s="52"/>
      <c r="E570" s="72" t="s">
        <v>805</v>
      </c>
      <c r="F570" s="74"/>
      <c r="G570" s="74"/>
      <c r="H570" s="108">
        <f>2/H562</f>
        <v>0.5</v>
      </c>
      <c r="P570" s="11"/>
    </row>
    <row r="571" spans="3:16" x14ac:dyDescent="0.25">
      <c r="C571" s="39"/>
      <c r="E571" s="72"/>
      <c r="F571" s="11"/>
      <c r="G571" s="11"/>
      <c r="H571" s="104"/>
      <c r="P571" s="11"/>
    </row>
    <row r="572" spans="3:16" x14ac:dyDescent="0.25">
      <c r="C572" s="39"/>
      <c r="E572" s="72" t="s">
        <v>1141</v>
      </c>
      <c r="F572" s="11"/>
      <c r="G572" s="11"/>
      <c r="H572" s="104">
        <v>2</v>
      </c>
    </row>
    <row r="573" spans="3:16" x14ac:dyDescent="0.25">
      <c r="E573" s="106" t="s">
        <v>1143</v>
      </c>
      <c r="F573" s="108"/>
      <c r="G573" s="108"/>
      <c r="H573" s="108">
        <f>+H572/H560</f>
        <v>0.22222222222222221</v>
      </c>
    </row>
    <row r="574" spans="3:16" x14ac:dyDescent="0.25">
      <c r="C574" s="39"/>
    </row>
    <row r="575" spans="3:16" x14ac:dyDescent="0.25">
      <c r="C575" s="38"/>
    </row>
    <row r="576" spans="3:16" x14ac:dyDescent="0.25">
      <c r="C576" s="39"/>
    </row>
    <row r="577" spans="3:24" x14ac:dyDescent="0.25">
      <c r="C577" s="39">
        <v>2017</v>
      </c>
      <c r="D577" s="102" t="s">
        <v>1145</v>
      </c>
      <c r="E577" s="63" t="s">
        <v>1146</v>
      </c>
      <c r="F577" s="64">
        <v>43083</v>
      </c>
      <c r="G577" s="65" t="s">
        <v>190</v>
      </c>
      <c r="H577" s="94">
        <v>4872000</v>
      </c>
      <c r="I577" s="27">
        <v>3997350</v>
      </c>
      <c r="J577" s="27"/>
      <c r="K577" s="26">
        <v>-0.17952586206896551</v>
      </c>
      <c r="L577" s="11" t="s">
        <v>464</v>
      </c>
      <c r="M577" s="15">
        <v>5</v>
      </c>
      <c r="N577" s="35" t="s">
        <v>93</v>
      </c>
      <c r="O577" s="15">
        <v>4</v>
      </c>
      <c r="P577" s="35" t="s">
        <v>458</v>
      </c>
      <c r="Q577" s="15"/>
      <c r="R577" s="24"/>
      <c r="S577" s="62" t="s">
        <v>784</v>
      </c>
      <c r="T577" s="15"/>
      <c r="U577" s="15"/>
      <c r="V577" s="54">
        <v>4872000</v>
      </c>
      <c r="W577" s="54">
        <v>3997350</v>
      </c>
      <c r="X577" s="54">
        <v>874650</v>
      </c>
    </row>
    <row r="578" spans="3:24" x14ac:dyDescent="0.25">
      <c r="C578" s="39">
        <v>2017</v>
      </c>
      <c r="D578" s="62" t="s">
        <v>1063</v>
      </c>
      <c r="E578" s="63" t="s">
        <v>1064</v>
      </c>
      <c r="F578" s="64">
        <v>42951</v>
      </c>
      <c r="G578" s="65" t="s">
        <v>34</v>
      </c>
      <c r="H578" s="94">
        <v>6040000</v>
      </c>
      <c r="I578" s="27">
        <v>4845475</v>
      </c>
      <c r="J578" s="27" t="s">
        <v>519</v>
      </c>
      <c r="K578" s="26">
        <v>-0.19776903973509935</v>
      </c>
      <c r="L578" s="11" t="s">
        <v>464</v>
      </c>
      <c r="M578" s="15">
        <v>8</v>
      </c>
      <c r="N578" s="35" t="s">
        <v>93</v>
      </c>
      <c r="O578" s="15">
        <v>3</v>
      </c>
      <c r="P578" s="35" t="s">
        <v>458</v>
      </c>
      <c r="Q578" s="15"/>
      <c r="R578" s="24"/>
      <c r="S578" s="62" t="s">
        <v>784</v>
      </c>
      <c r="T578" s="15"/>
      <c r="U578" s="15"/>
      <c r="V578" s="54">
        <v>6040000</v>
      </c>
      <c r="W578" s="54">
        <v>4845475</v>
      </c>
      <c r="X578" s="54">
        <v>1194525</v>
      </c>
    </row>
    <row r="579" spans="3:24" x14ac:dyDescent="0.25">
      <c r="C579" s="39">
        <v>2017</v>
      </c>
      <c r="D579" s="62" t="s">
        <v>1047</v>
      </c>
      <c r="E579" s="63" t="s">
        <v>982</v>
      </c>
      <c r="F579" s="64">
        <v>42941</v>
      </c>
      <c r="G579" s="65" t="s">
        <v>34</v>
      </c>
      <c r="H579" s="94">
        <v>7200000</v>
      </c>
      <c r="I579" s="27">
        <v>1936000</v>
      </c>
      <c r="J579" s="105" t="s">
        <v>519</v>
      </c>
      <c r="K579" s="26">
        <v>-0.73111111111111116</v>
      </c>
      <c r="L579" s="11" t="s">
        <v>465</v>
      </c>
      <c r="M579" s="15">
        <v>4</v>
      </c>
      <c r="N579" s="35" t="s">
        <v>93</v>
      </c>
      <c r="O579" s="15">
        <v>3</v>
      </c>
      <c r="P579" s="35" t="s">
        <v>458</v>
      </c>
      <c r="Q579" s="15"/>
      <c r="R579" s="24"/>
      <c r="S579" s="62" t="s">
        <v>616</v>
      </c>
      <c r="T579" s="15"/>
      <c r="U579" s="15"/>
      <c r="V579" s="54">
        <v>7200000</v>
      </c>
      <c r="W579" s="54">
        <v>1936000</v>
      </c>
      <c r="X579" s="54">
        <v>5264000</v>
      </c>
    </row>
    <row r="580" spans="3:24" x14ac:dyDescent="0.25">
      <c r="C580" s="39">
        <v>2017</v>
      </c>
      <c r="D580" s="62" t="s">
        <v>1028</v>
      </c>
      <c r="E580" s="63" t="s">
        <v>1029</v>
      </c>
      <c r="F580" s="64">
        <v>42894</v>
      </c>
      <c r="G580" s="65" t="s">
        <v>756</v>
      </c>
      <c r="H580" s="94">
        <v>6445000</v>
      </c>
      <c r="I580" s="27">
        <v>7166666</v>
      </c>
      <c r="J580" s="105" t="s">
        <v>519</v>
      </c>
      <c r="K580" s="26">
        <v>0.11197300232738557</v>
      </c>
      <c r="L580" s="11" t="s">
        <v>465</v>
      </c>
      <c r="M580" s="15">
        <v>11</v>
      </c>
      <c r="N580" s="35" t="s">
        <v>93</v>
      </c>
      <c r="O580" s="15">
        <v>2</v>
      </c>
      <c r="P580" s="35" t="s">
        <v>458</v>
      </c>
      <c r="Q580" s="15"/>
      <c r="R580" s="24"/>
      <c r="S580" s="62" t="s">
        <v>784</v>
      </c>
      <c r="T580" s="15"/>
      <c r="U580" s="15"/>
      <c r="V580" s="54">
        <v>6445000</v>
      </c>
      <c r="W580" s="54">
        <v>7166666</v>
      </c>
      <c r="X580" s="54">
        <v>-721666</v>
      </c>
    </row>
    <row r="581" spans="3:24" x14ac:dyDescent="0.25">
      <c r="C581" s="39">
        <v>2017</v>
      </c>
      <c r="D581" s="62" t="s">
        <v>964</v>
      </c>
      <c r="E581" s="63" t="s">
        <v>965</v>
      </c>
      <c r="F581" s="64">
        <v>42815</v>
      </c>
      <c r="G581" s="65" t="s">
        <v>190</v>
      </c>
      <c r="H581" s="27">
        <v>3750000</v>
      </c>
      <c r="I581" s="27">
        <v>2468147</v>
      </c>
      <c r="J581" s="27"/>
      <c r="K581" s="26">
        <v>-0.34182746666666669</v>
      </c>
      <c r="L581" s="11" t="s">
        <v>465</v>
      </c>
      <c r="M581" s="15">
        <v>3</v>
      </c>
      <c r="N581" s="35" t="s">
        <v>93</v>
      </c>
      <c r="O581" s="15">
        <v>1</v>
      </c>
      <c r="P581" s="35" t="s">
        <v>458</v>
      </c>
      <c r="Q581" s="15"/>
      <c r="R581" s="24"/>
      <c r="S581" s="62" t="s">
        <v>784</v>
      </c>
      <c r="T581" s="15"/>
      <c r="U581" s="15"/>
      <c r="V581" s="54">
        <v>3750000</v>
      </c>
      <c r="W581" s="54">
        <v>2468147</v>
      </c>
      <c r="X581" s="54">
        <v>1281853</v>
      </c>
    </row>
    <row r="582" spans="3:24" x14ac:dyDescent="0.25">
      <c r="C582" s="39">
        <v>2017</v>
      </c>
      <c r="D582" s="62" t="s">
        <v>914</v>
      </c>
      <c r="E582" s="63" t="s">
        <v>933</v>
      </c>
      <c r="F582" s="64">
        <v>42787</v>
      </c>
      <c r="G582" s="65" t="s">
        <v>190</v>
      </c>
      <c r="H582" s="94">
        <v>10393000</v>
      </c>
      <c r="I582" s="27">
        <v>7903950</v>
      </c>
      <c r="J582" s="105" t="s">
        <v>519</v>
      </c>
      <c r="K582" s="26">
        <v>-0.2394929279322621</v>
      </c>
      <c r="L582" s="11" t="s">
        <v>465</v>
      </c>
      <c r="M582" s="15">
        <v>3</v>
      </c>
      <c r="N582" s="35" t="s">
        <v>93</v>
      </c>
      <c r="O582" s="15">
        <v>1</v>
      </c>
      <c r="P582" s="35" t="s">
        <v>458</v>
      </c>
      <c r="Q582" s="15"/>
      <c r="R582" s="24" t="s">
        <v>932</v>
      </c>
      <c r="S582" s="62" t="s">
        <v>784</v>
      </c>
      <c r="T582" s="15"/>
      <c r="U582" s="15"/>
      <c r="V582" s="54">
        <v>10393000</v>
      </c>
      <c r="W582" s="54">
        <v>7903950</v>
      </c>
      <c r="X582" s="54">
        <v>2489050</v>
      </c>
    </row>
    <row r="583" spans="3:24" x14ac:dyDescent="0.25">
      <c r="C583" s="39">
        <v>2017</v>
      </c>
      <c r="D583" s="62" t="s">
        <v>868</v>
      </c>
      <c r="E583" s="63" t="s">
        <v>869</v>
      </c>
      <c r="F583" s="64">
        <v>42761</v>
      </c>
      <c r="G583" s="65" t="s">
        <v>34</v>
      </c>
      <c r="H583" s="94">
        <v>5100000</v>
      </c>
      <c r="I583" s="27">
        <v>4640176</v>
      </c>
      <c r="J583" s="27" t="s">
        <v>519</v>
      </c>
      <c r="K583" s="26">
        <v>-9.0161568627450978E-2</v>
      </c>
      <c r="L583" s="11" t="s">
        <v>464</v>
      </c>
      <c r="M583" s="15">
        <v>7</v>
      </c>
      <c r="N583" s="35" t="s">
        <v>93</v>
      </c>
      <c r="O583" s="15">
        <v>1</v>
      </c>
      <c r="P583" s="35" t="s">
        <v>458</v>
      </c>
      <c r="Q583" s="15"/>
      <c r="R583" s="24"/>
      <c r="S583" s="62" t="s">
        <v>784</v>
      </c>
      <c r="T583" s="15"/>
      <c r="U583" s="15"/>
      <c r="V583" s="54">
        <v>5100000</v>
      </c>
      <c r="W583" s="54">
        <v>4640176</v>
      </c>
      <c r="X583" s="54">
        <v>459824</v>
      </c>
    </row>
    <row r="584" spans="3:24" x14ac:dyDescent="0.25">
      <c r="C584" s="39"/>
      <c r="E584" s="85"/>
      <c r="F584" s="85"/>
      <c r="G584" s="85"/>
      <c r="H584" s="86">
        <f>SUM(H577:H583)</f>
        <v>43800000</v>
      </c>
      <c r="I584" s="86">
        <f>SUM(I577:I583)</f>
        <v>32957764</v>
      </c>
      <c r="J584" s="85"/>
      <c r="K584" s="87">
        <f>+I584/H584</f>
        <v>0.7524603652968036</v>
      </c>
      <c r="L584" s="85">
        <f>COUNTA(L577:L583)</f>
        <v>7</v>
      </c>
      <c r="M584" s="88">
        <f>SUM(M577:M583)/L584</f>
        <v>5.8571428571428568</v>
      </c>
      <c r="N584" s="89"/>
      <c r="O584" s="85"/>
      <c r="P584" s="119">
        <f>22/L584</f>
        <v>3.1428571428571428</v>
      </c>
      <c r="Q584" s="85"/>
    </row>
    <row r="585" spans="3:24" x14ac:dyDescent="0.25">
      <c r="C585" s="39"/>
    </row>
    <row r="586" spans="3:24" x14ac:dyDescent="0.25">
      <c r="C586" s="39"/>
      <c r="E586" s="150" t="s">
        <v>1181</v>
      </c>
      <c r="F586" s="70"/>
      <c r="G586" s="70"/>
      <c r="H586" s="121" t="str">
        <f>"'17 final"</f>
        <v>'17 final</v>
      </c>
      <c r="P586" s="11"/>
    </row>
    <row r="587" spans="3:24" x14ac:dyDescent="0.25">
      <c r="C587" s="39"/>
      <c r="E587" s="71" t="s">
        <v>800</v>
      </c>
      <c r="F587" s="11"/>
      <c r="G587" s="11"/>
      <c r="H587" s="104">
        <f>+L584</f>
        <v>7</v>
      </c>
      <c r="P587" s="11"/>
    </row>
    <row r="588" spans="3:24" x14ac:dyDescent="0.25">
      <c r="C588" s="39"/>
      <c r="E588" s="72" t="s">
        <v>801</v>
      </c>
      <c r="F588" s="11"/>
      <c r="G588" s="11"/>
      <c r="H588" s="104">
        <f>+H587-H589</f>
        <v>2</v>
      </c>
      <c r="P588" s="11"/>
    </row>
    <row r="589" spans="3:24" x14ac:dyDescent="0.25">
      <c r="C589" s="39"/>
      <c r="E589" s="72" t="s">
        <v>802</v>
      </c>
      <c r="F589" s="11"/>
      <c r="G589" s="11"/>
      <c r="H589" s="104">
        <v>5</v>
      </c>
      <c r="P589" s="11"/>
    </row>
    <row r="590" spans="3:24" x14ac:dyDescent="0.25">
      <c r="C590" s="39"/>
      <c r="E590" s="72"/>
      <c r="F590" s="11"/>
      <c r="G590" s="11"/>
      <c r="H590" s="104"/>
      <c r="P590" s="11"/>
    </row>
    <row r="591" spans="3:24" x14ac:dyDescent="0.25">
      <c r="C591" s="39"/>
      <c r="E591" s="72" t="s">
        <v>1144</v>
      </c>
      <c r="F591" s="78"/>
      <c r="G591" s="78"/>
      <c r="H591" s="122">
        <f>+I584/1000000</f>
        <v>32.957763999999997</v>
      </c>
      <c r="I591" s="52"/>
      <c r="P591" s="11"/>
    </row>
    <row r="592" spans="3:24" x14ac:dyDescent="0.25">
      <c r="C592" s="39"/>
      <c r="E592" s="72" t="s">
        <v>806</v>
      </c>
      <c r="F592" s="75"/>
      <c r="G592" s="75"/>
      <c r="H592" s="123">
        <f>+M584</f>
        <v>5.8571428571428568</v>
      </c>
      <c r="P592" s="11"/>
    </row>
    <row r="593" spans="3:24" x14ac:dyDescent="0.25">
      <c r="C593" s="39"/>
      <c r="E593" s="72" t="s">
        <v>807</v>
      </c>
      <c r="F593" s="74"/>
      <c r="G593" s="74"/>
      <c r="H593" s="124">
        <f>+I584/H584</f>
        <v>0.7524603652968036</v>
      </c>
      <c r="P593" s="11"/>
    </row>
    <row r="594" spans="3:24" x14ac:dyDescent="0.25">
      <c r="C594" s="39"/>
      <c r="E594" s="72"/>
      <c r="F594" s="11"/>
      <c r="G594" s="11"/>
      <c r="H594" s="104"/>
      <c r="P594" s="11"/>
    </row>
    <row r="595" spans="3:24" x14ac:dyDescent="0.25">
      <c r="C595" s="39"/>
      <c r="E595" s="72" t="s">
        <v>803</v>
      </c>
      <c r="F595" s="74"/>
      <c r="G595" s="74"/>
      <c r="H595" s="108">
        <f>3/H587</f>
        <v>0.42857142857142855</v>
      </c>
      <c r="P595" s="11"/>
    </row>
    <row r="596" spans="3:24" x14ac:dyDescent="0.25">
      <c r="C596" s="107"/>
      <c r="D596" s="52"/>
      <c r="E596" s="72" t="s">
        <v>804</v>
      </c>
      <c r="F596" s="74"/>
      <c r="G596" s="74"/>
      <c r="H596" s="108">
        <f>1/H588</f>
        <v>0.5</v>
      </c>
      <c r="P596" s="11"/>
    </row>
    <row r="597" spans="3:24" x14ac:dyDescent="0.25">
      <c r="C597" s="107"/>
      <c r="D597" s="52"/>
      <c r="E597" s="72" t="s">
        <v>805</v>
      </c>
      <c r="F597" s="74"/>
      <c r="G597" s="74"/>
      <c r="H597" s="108">
        <f>2/H589</f>
        <v>0.4</v>
      </c>
      <c r="P597" s="11"/>
    </row>
    <row r="598" spans="3:24" x14ac:dyDescent="0.25">
      <c r="C598" s="39"/>
      <c r="E598" s="72"/>
      <c r="F598" s="11"/>
      <c r="G598" s="11"/>
      <c r="H598" s="104"/>
      <c r="P598" s="11"/>
    </row>
    <row r="599" spans="3:24" x14ac:dyDescent="0.25">
      <c r="C599" s="39"/>
      <c r="E599" s="72" t="s">
        <v>1141</v>
      </c>
      <c r="F599" s="11"/>
      <c r="G599" s="11"/>
      <c r="H599" s="104">
        <v>2</v>
      </c>
    </row>
    <row r="600" spans="3:24" x14ac:dyDescent="0.25">
      <c r="E600" s="106" t="s">
        <v>1143</v>
      </c>
      <c r="F600" s="108"/>
      <c r="G600" s="108"/>
      <c r="H600" s="108">
        <f>+H599/H587</f>
        <v>0.2857142857142857</v>
      </c>
    </row>
    <row r="601" spans="3:24" x14ac:dyDescent="0.25">
      <c r="C601" s="39"/>
    </row>
    <row r="602" spans="3:24" x14ac:dyDescent="0.25">
      <c r="C602" s="38"/>
    </row>
    <row r="603" spans="3:24" x14ac:dyDescent="0.25">
      <c r="C603" s="39"/>
    </row>
    <row r="604" spans="3:24" x14ac:dyDescent="0.25">
      <c r="C604" s="39">
        <v>2017</v>
      </c>
      <c r="D604" s="102" t="s">
        <v>1150</v>
      </c>
      <c r="E604" s="63" t="s">
        <v>1151</v>
      </c>
      <c r="F604" s="64">
        <v>43083</v>
      </c>
      <c r="G604" s="65" t="s">
        <v>693</v>
      </c>
      <c r="H604" s="94">
        <v>979000</v>
      </c>
      <c r="I604" s="27">
        <v>1168000</v>
      </c>
      <c r="J604" s="27"/>
      <c r="K604" s="26">
        <v>0.1930541368743616</v>
      </c>
      <c r="L604" s="11" t="s">
        <v>465</v>
      </c>
      <c r="M604" s="15">
        <v>2</v>
      </c>
      <c r="N604" s="35" t="s">
        <v>25</v>
      </c>
      <c r="O604" s="15">
        <v>4</v>
      </c>
      <c r="P604" s="35" t="s">
        <v>458</v>
      </c>
      <c r="Q604" s="15"/>
      <c r="R604" s="24"/>
      <c r="S604" s="62" t="s">
        <v>784</v>
      </c>
      <c r="T604" s="15"/>
      <c r="U604" s="15"/>
      <c r="V604" s="54">
        <v>979000</v>
      </c>
      <c r="W604" s="54">
        <v>1168000</v>
      </c>
      <c r="X604" s="54">
        <v>-189000</v>
      </c>
    </row>
    <row r="605" spans="3:24" x14ac:dyDescent="0.25">
      <c r="C605" s="39">
        <v>2017</v>
      </c>
      <c r="D605" s="62" t="s">
        <v>986</v>
      </c>
      <c r="E605" s="63" t="s">
        <v>982</v>
      </c>
      <c r="F605" s="64">
        <v>42845</v>
      </c>
      <c r="G605" s="65" t="s">
        <v>190</v>
      </c>
      <c r="H605" s="94">
        <v>12630000</v>
      </c>
      <c r="I605" s="27">
        <v>10849023</v>
      </c>
      <c r="J605" s="27" t="s">
        <v>519</v>
      </c>
      <c r="K605" s="26">
        <v>-0.14101163895486934</v>
      </c>
      <c r="L605" s="11" t="s">
        <v>464</v>
      </c>
      <c r="M605" s="15">
        <v>2</v>
      </c>
      <c r="N605" s="35" t="s">
        <v>25</v>
      </c>
      <c r="O605" s="15">
        <v>2</v>
      </c>
      <c r="P605" s="35" t="s">
        <v>458</v>
      </c>
      <c r="Q605" s="15"/>
      <c r="R605" s="24"/>
      <c r="S605" s="62" t="s">
        <v>616</v>
      </c>
      <c r="T605" s="15"/>
      <c r="U605" s="15"/>
      <c r="V605" s="54">
        <v>12630000</v>
      </c>
      <c r="W605" s="54">
        <v>10849023</v>
      </c>
      <c r="X605" s="54">
        <v>1780977</v>
      </c>
    </row>
    <row r="606" spans="3:24" x14ac:dyDescent="0.25">
      <c r="C606" s="39">
        <v>2017</v>
      </c>
      <c r="D606" s="62" t="s">
        <v>916</v>
      </c>
      <c r="E606" s="63" t="s">
        <v>917</v>
      </c>
      <c r="F606" s="64">
        <v>42780</v>
      </c>
      <c r="G606" s="65" t="s">
        <v>34</v>
      </c>
      <c r="H606" s="94">
        <v>2580000</v>
      </c>
      <c r="I606" s="27">
        <v>1386000</v>
      </c>
      <c r="J606" s="27"/>
      <c r="K606" s="26">
        <v>-0.46279069767441861</v>
      </c>
      <c r="L606" s="11" t="s">
        <v>464</v>
      </c>
      <c r="M606" s="15">
        <v>16</v>
      </c>
      <c r="N606" s="35" t="s">
        <v>25</v>
      </c>
      <c r="O606" s="15">
        <v>1</v>
      </c>
      <c r="P606" s="35" t="s">
        <v>458</v>
      </c>
      <c r="Q606" s="15"/>
      <c r="R606" s="24" t="s">
        <v>1020</v>
      </c>
      <c r="S606" s="62" t="s">
        <v>616</v>
      </c>
      <c r="T606" s="15"/>
      <c r="U606" s="15"/>
      <c r="V606" s="54">
        <v>2580000</v>
      </c>
      <c r="W606" s="54">
        <v>1386000</v>
      </c>
      <c r="X606" s="54">
        <v>1194000</v>
      </c>
    </row>
    <row r="607" spans="3:24" x14ac:dyDescent="0.25">
      <c r="C607" s="39"/>
      <c r="E607" s="85"/>
      <c r="F607" s="85"/>
      <c r="G607" s="85"/>
      <c r="H607" s="86">
        <f>SUM(H604:H606)</f>
        <v>16189000</v>
      </c>
      <c r="I607" s="86">
        <f>SUM(I604:I606)</f>
        <v>13403023</v>
      </c>
      <c r="J607" s="85"/>
      <c r="K607" s="87">
        <f>+I607/H607</f>
        <v>0.82790925937364879</v>
      </c>
      <c r="L607" s="85">
        <f>COUNTA(L604:L606)</f>
        <v>3</v>
      </c>
      <c r="M607" s="88">
        <f>SUM(M604:M606)/L607</f>
        <v>6.666666666666667</v>
      </c>
      <c r="N607" s="89"/>
      <c r="O607" s="85"/>
      <c r="P607" s="119">
        <f>22/L607</f>
        <v>7.333333333333333</v>
      </c>
      <c r="Q607" s="85"/>
    </row>
    <row r="608" spans="3:24" x14ac:dyDescent="0.25">
      <c r="C608" s="39"/>
    </row>
    <row r="609" spans="3:16" x14ac:dyDescent="0.25">
      <c r="C609" s="39"/>
      <c r="E609" s="150" t="s">
        <v>1182</v>
      </c>
      <c r="F609" s="70"/>
      <c r="G609" s="70"/>
      <c r="H609" s="121" t="str">
        <f>"'17 final"</f>
        <v>'17 final</v>
      </c>
      <c r="P609" s="11"/>
    </row>
    <row r="610" spans="3:16" x14ac:dyDescent="0.25">
      <c r="C610" s="39"/>
      <c r="E610" s="71" t="s">
        <v>800</v>
      </c>
      <c r="F610" s="11"/>
      <c r="G610" s="11"/>
      <c r="H610" s="104">
        <f>+L607</f>
        <v>3</v>
      </c>
      <c r="P610" s="11"/>
    </row>
    <row r="611" spans="3:16" x14ac:dyDescent="0.25">
      <c r="C611" s="39"/>
      <c r="E611" s="72" t="s">
        <v>801</v>
      </c>
      <c r="F611" s="11"/>
      <c r="G611" s="11"/>
      <c r="H611" s="104">
        <f>+H610-H612</f>
        <v>2</v>
      </c>
      <c r="P611" s="11"/>
    </row>
    <row r="612" spans="3:16" x14ac:dyDescent="0.25">
      <c r="C612" s="39"/>
      <c r="E612" s="72" t="s">
        <v>802</v>
      </c>
      <c r="F612" s="11"/>
      <c r="G612" s="11"/>
      <c r="H612" s="104">
        <v>1</v>
      </c>
      <c r="P612" s="11"/>
    </row>
    <row r="613" spans="3:16" x14ac:dyDescent="0.25">
      <c r="C613" s="39"/>
      <c r="E613" s="72"/>
      <c r="F613" s="11"/>
      <c r="G613" s="11"/>
      <c r="H613" s="104"/>
      <c r="P613" s="11"/>
    </row>
    <row r="614" spans="3:16" x14ac:dyDescent="0.25">
      <c r="C614" s="39"/>
      <c r="E614" s="72" t="s">
        <v>1144</v>
      </c>
      <c r="F614" s="78"/>
      <c r="G614" s="78"/>
      <c r="H614" s="122">
        <f>+I607/1000000</f>
        <v>13.403022999999999</v>
      </c>
      <c r="I614" s="52"/>
      <c r="P614" s="11"/>
    </row>
    <row r="615" spans="3:16" x14ac:dyDescent="0.25">
      <c r="C615" s="39"/>
      <c r="E615" s="72" t="s">
        <v>806</v>
      </c>
      <c r="F615" s="75"/>
      <c r="G615" s="75"/>
      <c r="H615" s="123">
        <f>+M607</f>
        <v>6.666666666666667</v>
      </c>
      <c r="P615" s="11"/>
    </row>
    <row r="616" spans="3:16" x14ac:dyDescent="0.25">
      <c r="C616" s="39"/>
      <c r="E616" s="72" t="s">
        <v>807</v>
      </c>
      <c r="F616" s="74"/>
      <c r="G616" s="74"/>
      <c r="H616" s="124">
        <f>+I607/H607</f>
        <v>0.82790925937364879</v>
      </c>
      <c r="P616" s="11"/>
    </row>
    <row r="617" spans="3:16" x14ac:dyDescent="0.25">
      <c r="C617" s="39"/>
      <c r="E617" s="72"/>
      <c r="F617" s="11"/>
      <c r="G617" s="11"/>
      <c r="H617" s="104"/>
      <c r="P617" s="11"/>
    </row>
    <row r="618" spans="3:16" x14ac:dyDescent="0.25">
      <c r="C618" s="39"/>
      <c r="E618" s="72" t="s">
        <v>803</v>
      </c>
      <c r="F618" s="74"/>
      <c r="G618" s="74"/>
      <c r="H618" s="108">
        <f>2/3</f>
        <v>0.66666666666666663</v>
      </c>
      <c r="P618" s="11"/>
    </row>
    <row r="619" spans="3:16" x14ac:dyDescent="0.25">
      <c r="C619" s="107"/>
      <c r="D619" s="52"/>
      <c r="E619" s="72" t="s">
        <v>804</v>
      </c>
      <c r="F619" s="74"/>
      <c r="G619" s="74"/>
      <c r="H619" s="108">
        <f>1/2</f>
        <v>0.5</v>
      </c>
      <c r="P619" s="11"/>
    </row>
    <row r="620" spans="3:16" x14ac:dyDescent="0.25">
      <c r="C620" s="107"/>
      <c r="D620" s="52"/>
      <c r="E620" s="72" t="s">
        <v>805</v>
      </c>
      <c r="F620" s="74"/>
      <c r="G620" s="74"/>
      <c r="H620" s="108">
        <f>1/1</f>
        <v>1</v>
      </c>
      <c r="P620" s="11"/>
    </row>
    <row r="621" spans="3:16" x14ac:dyDescent="0.25">
      <c r="C621" s="39"/>
      <c r="E621" s="72"/>
      <c r="F621" s="11"/>
      <c r="G621" s="11"/>
      <c r="H621" s="104"/>
      <c r="P621" s="11"/>
    </row>
    <row r="622" spans="3:16" x14ac:dyDescent="0.25">
      <c r="C622" s="39"/>
      <c r="E622" s="72" t="s">
        <v>1141</v>
      </c>
      <c r="F622" s="11"/>
      <c r="G622" s="11"/>
      <c r="H622" s="104">
        <v>2</v>
      </c>
    </row>
    <row r="623" spans="3:16" x14ac:dyDescent="0.25">
      <c r="E623" s="106" t="s">
        <v>1143</v>
      </c>
      <c r="F623" s="108"/>
      <c r="G623" s="108"/>
      <c r="H623" s="108">
        <f>+H622/H610</f>
        <v>0.66666666666666663</v>
      </c>
    </row>
    <row r="624" spans="3:16" x14ac:dyDescent="0.25">
      <c r="C624" s="39"/>
    </row>
    <row r="625" spans="2:22" x14ac:dyDescent="0.25">
      <c r="C625" s="38"/>
    </row>
    <row r="626" spans="2:22" x14ac:dyDescent="0.25">
      <c r="C626" s="38"/>
    </row>
    <row r="627" spans="2:22" x14ac:dyDescent="0.25">
      <c r="C627" s="38"/>
    </row>
    <row r="628" spans="2:22" x14ac:dyDescent="0.25">
      <c r="B628" s="163"/>
      <c r="C628" s="164"/>
      <c r="D628" s="163"/>
      <c r="E628" s="163"/>
      <c r="F628" s="163"/>
      <c r="G628" s="163"/>
      <c r="H628" s="163"/>
      <c r="I628" s="163"/>
      <c r="J628" s="163"/>
      <c r="K628" s="163"/>
      <c r="L628" s="163"/>
      <c r="M628" s="163"/>
      <c r="N628" s="165"/>
      <c r="O628" s="163"/>
      <c r="P628" s="163"/>
      <c r="Q628" s="163"/>
      <c r="R628" s="163"/>
      <c r="S628" s="163"/>
      <c r="T628" s="163"/>
      <c r="U628" s="163"/>
      <c r="V628" s="163"/>
    </row>
    <row r="629" spans="2:22" x14ac:dyDescent="0.25">
      <c r="C629" s="38"/>
    </row>
    <row r="630" spans="2:22" x14ac:dyDescent="0.25">
      <c r="C630" s="38"/>
    </row>
    <row r="631" spans="2:22" x14ac:dyDescent="0.25">
      <c r="C631" s="38"/>
    </row>
    <row r="632" spans="2:22" x14ac:dyDescent="0.25">
      <c r="C632" s="38"/>
    </row>
    <row r="633" spans="2:22" x14ac:dyDescent="0.25">
      <c r="C633" s="38"/>
      <c r="E633" s="14" t="s">
        <v>1197</v>
      </c>
      <c r="F633">
        <v>1996</v>
      </c>
      <c r="G633">
        <v>70</v>
      </c>
      <c r="I633" s="7">
        <f>AVERAGE(G633:G654)/100</f>
        <v>0.71</v>
      </c>
      <c r="J633" s="1" t="s">
        <v>1222</v>
      </c>
    </row>
    <row r="634" spans="2:22" x14ac:dyDescent="0.25">
      <c r="C634" s="38"/>
      <c r="F634">
        <f>+F633+1</f>
        <v>1997</v>
      </c>
      <c r="G634">
        <v>68</v>
      </c>
    </row>
    <row r="635" spans="2:22" x14ac:dyDescent="0.25">
      <c r="C635" s="38"/>
      <c r="F635">
        <f t="shared" ref="F635:F654" si="33">+F634+1</f>
        <v>1998</v>
      </c>
      <c r="G635">
        <v>67</v>
      </c>
    </row>
    <row r="636" spans="2:22" x14ac:dyDescent="0.25">
      <c r="C636" s="38"/>
      <c r="F636">
        <f t="shared" si="33"/>
        <v>1999</v>
      </c>
      <c r="G636" s="30">
        <v>76</v>
      </c>
    </row>
    <row r="637" spans="2:22" x14ac:dyDescent="0.25">
      <c r="C637" s="38"/>
      <c r="F637">
        <f t="shared" si="33"/>
        <v>2000</v>
      </c>
      <c r="G637">
        <v>63</v>
      </c>
    </row>
    <row r="638" spans="2:22" x14ac:dyDescent="0.25">
      <c r="C638" s="38"/>
      <c r="F638">
        <f t="shared" si="33"/>
        <v>2001</v>
      </c>
      <c r="G638">
        <v>65</v>
      </c>
    </row>
    <row r="639" spans="2:22" x14ac:dyDescent="0.25">
      <c r="C639" s="38"/>
      <c r="F639">
        <f t="shared" si="33"/>
        <v>2002</v>
      </c>
      <c r="G639">
        <v>66</v>
      </c>
    </row>
    <row r="640" spans="2:22" x14ac:dyDescent="0.25">
      <c r="C640" s="38"/>
      <c r="F640">
        <f t="shared" si="33"/>
        <v>2003</v>
      </c>
      <c r="G640">
        <v>66</v>
      </c>
    </row>
    <row r="641" spans="3:7" x14ac:dyDescent="0.25">
      <c r="C641" s="38"/>
      <c r="F641">
        <f t="shared" si="33"/>
        <v>2004</v>
      </c>
      <c r="G641">
        <v>67</v>
      </c>
    </row>
    <row r="642" spans="3:7" x14ac:dyDescent="0.25">
      <c r="C642" s="38"/>
      <c r="F642">
        <f t="shared" si="33"/>
        <v>2005</v>
      </c>
      <c r="G642">
        <v>71</v>
      </c>
    </row>
    <row r="643" spans="3:7" x14ac:dyDescent="0.25">
      <c r="C643" s="38"/>
      <c r="F643">
        <f t="shared" si="33"/>
        <v>2006</v>
      </c>
      <c r="G643" s="30">
        <v>75</v>
      </c>
    </row>
    <row r="644" spans="3:7" x14ac:dyDescent="0.25">
      <c r="C644" s="38"/>
      <c r="F644">
        <f t="shared" si="33"/>
        <v>2007</v>
      </c>
      <c r="G644">
        <v>70</v>
      </c>
    </row>
    <row r="645" spans="3:7" x14ac:dyDescent="0.25">
      <c r="C645" s="38"/>
      <c r="F645">
        <f t="shared" si="33"/>
        <v>2008</v>
      </c>
      <c r="G645" s="30">
        <v>79</v>
      </c>
    </row>
    <row r="646" spans="3:7" x14ac:dyDescent="0.25">
      <c r="C646" s="38"/>
      <c r="F646">
        <f t="shared" si="33"/>
        <v>2009</v>
      </c>
      <c r="G646">
        <v>71</v>
      </c>
    </row>
    <row r="647" spans="3:7" x14ac:dyDescent="0.25">
      <c r="C647" s="38"/>
      <c r="F647">
        <f t="shared" si="33"/>
        <v>2010</v>
      </c>
      <c r="G647">
        <v>74</v>
      </c>
    </row>
    <row r="648" spans="3:7" x14ac:dyDescent="0.25">
      <c r="C648" s="38"/>
      <c r="F648">
        <f t="shared" si="33"/>
        <v>2011</v>
      </c>
      <c r="G648" s="30">
        <v>83</v>
      </c>
    </row>
    <row r="649" spans="3:7" x14ac:dyDescent="0.25">
      <c r="C649" s="38"/>
      <c r="F649">
        <f t="shared" si="33"/>
        <v>2012</v>
      </c>
      <c r="G649" s="30">
        <v>80</v>
      </c>
    </row>
    <row r="650" spans="3:7" x14ac:dyDescent="0.25">
      <c r="C650" s="38"/>
      <c r="F650">
        <f t="shared" si="33"/>
        <v>2013</v>
      </c>
      <c r="G650" s="30">
        <v>81</v>
      </c>
    </row>
    <row r="651" spans="3:7" x14ac:dyDescent="0.25">
      <c r="C651" s="38"/>
      <c r="F651">
        <f t="shared" si="33"/>
        <v>2014</v>
      </c>
      <c r="G651" s="30">
        <v>85</v>
      </c>
    </row>
    <row r="652" spans="3:7" x14ac:dyDescent="0.25">
      <c r="C652" s="38"/>
      <c r="F652">
        <f t="shared" si="33"/>
        <v>2015</v>
      </c>
      <c r="G652">
        <v>56</v>
      </c>
    </row>
    <row r="653" spans="3:7" x14ac:dyDescent="0.25">
      <c r="C653" s="38"/>
      <c r="F653">
        <f t="shared" si="33"/>
        <v>2016</v>
      </c>
      <c r="G653">
        <v>63</v>
      </c>
    </row>
    <row r="654" spans="3:7" x14ac:dyDescent="0.25">
      <c r="C654" s="38"/>
      <c r="F654">
        <f t="shared" si="33"/>
        <v>2017</v>
      </c>
      <c r="G654">
        <v>66</v>
      </c>
    </row>
    <row r="655" spans="3:7" x14ac:dyDescent="0.25">
      <c r="C655" s="38"/>
      <c r="F655">
        <v>2018</v>
      </c>
      <c r="G655">
        <v>59</v>
      </c>
    </row>
    <row r="656" spans="3:7" x14ac:dyDescent="0.25">
      <c r="C656" s="38"/>
    </row>
    <row r="657" spans="3:8" x14ac:dyDescent="0.25">
      <c r="C657" s="38"/>
    </row>
    <row r="658" spans="3:8" x14ac:dyDescent="0.25">
      <c r="C658" s="38"/>
    </row>
    <row r="659" spans="3:8" x14ac:dyDescent="0.25">
      <c r="C659" s="38"/>
    </row>
    <row r="660" spans="3:8" x14ac:dyDescent="0.25">
      <c r="C660" s="38"/>
      <c r="E660" s="2" t="s">
        <v>1198</v>
      </c>
      <c r="F660">
        <v>2014</v>
      </c>
      <c r="G660">
        <v>6.2</v>
      </c>
    </row>
    <row r="661" spans="3:8" x14ac:dyDescent="0.25">
      <c r="C661" s="38"/>
      <c r="F661">
        <v>2015</v>
      </c>
      <c r="G661">
        <v>6.4</v>
      </c>
    </row>
    <row r="662" spans="3:8" x14ac:dyDescent="0.25">
      <c r="C662" s="38"/>
      <c r="F662">
        <v>2016</v>
      </c>
      <c r="G662">
        <v>5.9</v>
      </c>
    </row>
    <row r="663" spans="3:8" x14ac:dyDescent="0.25">
      <c r="C663" s="38"/>
      <c r="F663">
        <v>2017</v>
      </c>
      <c r="G663">
        <v>5.3</v>
      </c>
    </row>
    <row r="664" spans="3:8" x14ac:dyDescent="0.25">
      <c r="C664" s="38"/>
      <c r="F664">
        <v>2018</v>
      </c>
      <c r="G664" s="84">
        <f>+I42</f>
        <v>4.333333333333333</v>
      </c>
    </row>
    <row r="665" spans="3:8" x14ac:dyDescent="0.25">
      <c r="C665" s="38"/>
    </row>
    <row r="666" spans="3:8" x14ac:dyDescent="0.25">
      <c r="C666" s="38"/>
    </row>
    <row r="667" spans="3:8" x14ac:dyDescent="0.25">
      <c r="C667" s="38"/>
    </row>
    <row r="668" spans="3:8" x14ac:dyDescent="0.25">
      <c r="C668" s="38"/>
      <c r="H668" s="2" t="s">
        <v>1374</v>
      </c>
    </row>
    <row r="669" spans="3:8" x14ac:dyDescent="0.25">
      <c r="C669" s="38"/>
    </row>
    <row r="670" spans="3:8" x14ac:dyDescent="0.25">
      <c r="C670" s="38"/>
    </row>
    <row r="671" spans="3:8" x14ac:dyDescent="0.25">
      <c r="C671" s="38"/>
    </row>
    <row r="672" spans="3:8" x14ac:dyDescent="0.25">
      <c r="C672" s="38"/>
    </row>
    <row r="673" spans="2:41" x14ac:dyDescent="0.25">
      <c r="C673" s="38"/>
    </row>
    <row r="674" spans="2:41" x14ac:dyDescent="0.25">
      <c r="B674" s="254"/>
      <c r="C674" s="255"/>
      <c r="D674" s="254"/>
      <c r="E674" s="254"/>
      <c r="F674" s="254"/>
      <c r="G674" s="254"/>
      <c r="H674" s="254"/>
      <c r="I674" s="254"/>
      <c r="J674" s="254"/>
      <c r="K674" s="254"/>
      <c r="L674" s="254"/>
      <c r="M674" s="254"/>
      <c r="N674" s="256"/>
      <c r="O674" s="254"/>
      <c r="P674" s="254"/>
      <c r="Q674" s="254"/>
      <c r="R674" s="254"/>
      <c r="S674" s="254"/>
      <c r="T674" s="254"/>
      <c r="U674" s="254"/>
      <c r="V674" s="254"/>
    </row>
    <row r="675" spans="2:41" x14ac:dyDescent="0.25">
      <c r="C675" s="38"/>
    </row>
    <row r="676" spans="2:41" x14ac:dyDescent="0.25">
      <c r="C676" s="38"/>
    </row>
    <row r="677" spans="2:41" x14ac:dyDescent="0.25">
      <c r="C677" s="38"/>
    </row>
    <row r="678" spans="2:41" x14ac:dyDescent="0.25">
      <c r="C678" s="39">
        <v>2018</v>
      </c>
      <c r="D678" s="62" t="str">
        <f>+'[1]PAT-650'!$F$4</f>
        <v>PAT-650</v>
      </c>
      <c r="E678" s="63" t="str">
        <f>+'[1]PAT-650'!$F$5</f>
        <v>Tunnels E and F Infrastructure Repairs</v>
      </c>
      <c r="F678" s="64">
        <f>+'[1]PAT-650'!$F$6</f>
        <v>43110</v>
      </c>
      <c r="G678" s="65" t="str">
        <f>+'[1]PAT-650'!$G$7</f>
        <v>PQL</v>
      </c>
      <c r="H678" s="94">
        <f>+'[1]PAT-650'!$F$7</f>
        <v>200000000</v>
      </c>
      <c r="I678" s="94">
        <f>+'[1]PAT-650'!$F$8</f>
        <v>108511400</v>
      </c>
      <c r="J678" s="27"/>
      <c r="K678" s="26">
        <f>+'[1]PAT-650'!$G$9</f>
        <v>-0.45744299999999999</v>
      </c>
      <c r="L678" s="11" t="str">
        <f>+'[1]PAT-650'!$F$11</f>
        <v>FAIL</v>
      </c>
      <c r="M678" s="15">
        <f>+'[1]PAT-650'!$H$12</f>
        <v>5</v>
      </c>
      <c r="N678" s="35" t="s">
        <v>226</v>
      </c>
      <c r="O678" s="15">
        <v>1</v>
      </c>
      <c r="P678" s="35" t="s">
        <v>459</v>
      </c>
      <c r="Q678" s="35" t="s">
        <v>1246</v>
      </c>
      <c r="R678" s="15"/>
      <c r="S678" s="24" t="s">
        <v>932</v>
      </c>
      <c r="T678" s="62" t="str">
        <f>+'[1]PAT-650'!$J$4</f>
        <v>Nathan Demaisip</v>
      </c>
      <c r="U678" s="62"/>
      <c r="V678" s="94">
        <f>+'[1]PAT-650'!$F$12</f>
        <v>136419680</v>
      </c>
      <c r="W678" s="199">
        <f t="shared" ref="W678:W687" si="34">+I678/V678</f>
        <v>0.79542335827206168</v>
      </c>
      <c r="X678" s="15"/>
      <c r="Y678" s="200">
        <f t="shared" ref="Y678:Y687" si="35">+I678/H678</f>
        <v>0.54255699999999996</v>
      </c>
      <c r="Z678" s="11" t="str">
        <f t="shared" ref="Z678:Z687" si="36">(IF(Y678&lt;$Y$3,"FAIL",IF(Y678&gt;$Y$4,"FAIL","GOOD")))</f>
        <v>FAIL</v>
      </c>
      <c r="AA678" s="11"/>
      <c r="AB678" s="15"/>
      <c r="AC678" s="54">
        <f t="shared" ref="AC678:AD687" si="37">+H678</f>
        <v>200000000</v>
      </c>
      <c r="AD678" s="54">
        <f t="shared" si="37"/>
        <v>108511400</v>
      </c>
      <c r="AE678" s="54">
        <f t="shared" ref="AE678:AE687" si="38">+AC678-AD678</f>
        <v>91488600</v>
      </c>
    </row>
    <row r="679" spans="2:41" x14ac:dyDescent="0.25">
      <c r="B679" s="224"/>
      <c r="C679" s="39">
        <v>2018</v>
      </c>
      <c r="D679" s="62" t="str">
        <f>+'[1]JFK-164.020'!$F$4</f>
        <v>JFK-164.020</v>
      </c>
      <c r="E679" s="63" t="str">
        <f>+'[1]JFK-164.020'!$F$5</f>
        <v>Reconstruct Runway 13L-31R and Associated Taxiways</v>
      </c>
      <c r="F679" s="64">
        <f>+'[1]JFK-164.020'!$F$6</f>
        <v>43413</v>
      </c>
      <c r="G679" s="65" t="str">
        <f>+'[1]JFK-164.020'!$G$7</f>
        <v>Public</v>
      </c>
      <c r="H679" s="94">
        <f>+'[1]JFK-164.020'!$F$7</f>
        <v>186355200</v>
      </c>
      <c r="I679" s="94">
        <f>+'[1]JFK-164.020'!$F$8</f>
        <v>152100000</v>
      </c>
      <c r="J679" s="94"/>
      <c r="K679" s="153">
        <f>+'[1]JFK-164.020'!$G$9</f>
        <v>-0.18381671131259014</v>
      </c>
      <c r="L679" s="11" t="str">
        <f>+'[1]JFK-164.020'!$F$11</f>
        <v>FAIL</v>
      </c>
      <c r="M679" s="15">
        <f>+'[1]JFK-164.020'!$H$12</f>
        <v>3</v>
      </c>
      <c r="N679" s="35" t="s">
        <v>93</v>
      </c>
      <c r="O679" s="15">
        <v>4</v>
      </c>
      <c r="P679" s="35" t="s">
        <v>458</v>
      </c>
      <c r="Q679" s="35"/>
      <c r="R679" s="15"/>
      <c r="S679" s="24"/>
      <c r="T679" s="62" t="str">
        <f>+'[1]JFK-164.020'!$J$4</f>
        <v>Wen Chang</v>
      </c>
      <c r="U679" s="62"/>
      <c r="V679" s="94">
        <f>+'[1]JFK-164.020'!$F$12</f>
        <v>157872084</v>
      </c>
      <c r="W679" s="199">
        <f t="shared" si="34"/>
        <v>0.96343822255491351</v>
      </c>
      <c r="X679" s="15"/>
      <c r="Y679" s="200">
        <f t="shared" si="35"/>
        <v>0.81618328868740986</v>
      </c>
      <c r="Z679" s="11" t="str">
        <f t="shared" si="36"/>
        <v>FAIL</v>
      </c>
      <c r="AA679" s="11"/>
      <c r="AB679" s="15"/>
      <c r="AC679" s="54">
        <f t="shared" si="37"/>
        <v>186355200</v>
      </c>
      <c r="AD679" s="54">
        <f t="shared" si="37"/>
        <v>152100000</v>
      </c>
      <c r="AE679" s="54">
        <f t="shared" si="38"/>
        <v>34255200</v>
      </c>
      <c r="AG679" s="4"/>
      <c r="AH679" s="4"/>
      <c r="AI679" s="225"/>
      <c r="AJ679" s="226"/>
      <c r="AK679" s="227"/>
      <c r="AL679" s="227"/>
      <c r="AM679" s="225"/>
      <c r="AN679" s="226"/>
      <c r="AO679" s="228"/>
    </row>
    <row r="680" spans="2:41" x14ac:dyDescent="0.25">
      <c r="C680" s="39">
        <v>2018</v>
      </c>
      <c r="D680" s="62" t="str">
        <f>+'[1]EWR-154.395'!$F$4</f>
        <v>EWR-154.395</v>
      </c>
      <c r="E680" s="63" t="str">
        <f>+'[1]EWR-154.395'!$F$5</f>
        <v>Bridges N61, 62, 63, At-Grade Roadways and Appurtenances</v>
      </c>
      <c r="F680" s="64">
        <f>+'[1]EWR-154.395'!$F$6</f>
        <v>43250</v>
      </c>
      <c r="G680" s="65" t="str">
        <f>+'[1]EWR-154.395'!$G$7</f>
        <v>Public</v>
      </c>
      <c r="H680" s="94">
        <f>+'[1]EWR-154.395'!$F$7</f>
        <v>153277500</v>
      </c>
      <c r="I680" s="94">
        <f>+'[1]EWR-154.395'!$F$8</f>
        <v>118434757</v>
      </c>
      <c r="J680" s="27"/>
      <c r="K680" s="26">
        <f>+'[1]EWR-154.395'!$G$9</f>
        <v>-0.22731805385656734</v>
      </c>
      <c r="L680" s="11" t="str">
        <f>+'[1]EWR-154.395'!$F$11</f>
        <v>FAIL</v>
      </c>
      <c r="M680" s="15">
        <f>+'[1]EWR-154.395'!$H$12</f>
        <v>13</v>
      </c>
      <c r="N680" s="35" t="s">
        <v>25</v>
      </c>
      <c r="O680" s="15">
        <v>2</v>
      </c>
      <c r="P680" s="35" t="s">
        <v>458</v>
      </c>
      <c r="Q680" s="35"/>
      <c r="R680" s="15"/>
      <c r="S680" s="24"/>
      <c r="T680" s="62" t="str">
        <f>+'[1]EWR-154.395'!$J$4</f>
        <v>Joe Lucin</v>
      </c>
      <c r="U680" s="62"/>
      <c r="V680" s="94">
        <f>+'[1]EWR-154.395'!$F$12</f>
        <v>138481360</v>
      </c>
      <c r="W680" s="199">
        <f t="shared" si="34"/>
        <v>0.85523970157427687</v>
      </c>
      <c r="X680" s="15"/>
      <c r="Y680" s="200">
        <f t="shared" si="35"/>
        <v>0.77268194614343266</v>
      </c>
      <c r="Z680" s="11" t="str">
        <f t="shared" si="36"/>
        <v>FAIL</v>
      </c>
      <c r="AA680" s="11"/>
      <c r="AB680" s="15"/>
      <c r="AC680" s="54">
        <f t="shared" si="37"/>
        <v>153277500</v>
      </c>
      <c r="AD680" s="54">
        <f t="shared" si="37"/>
        <v>118434757</v>
      </c>
      <c r="AE680" s="54">
        <f t="shared" si="38"/>
        <v>34842743</v>
      </c>
    </row>
    <row r="681" spans="2:41" x14ac:dyDescent="0.25">
      <c r="B681" s="224"/>
      <c r="C681" s="39">
        <v>2018</v>
      </c>
      <c r="D681" s="62" t="str">
        <f>+'[1]EWR-154.386'!$F$4</f>
        <v>EWR-154.386</v>
      </c>
      <c r="E681" s="63" t="str">
        <f>+'[1]EWR-154.386'!$F$5</f>
        <v>Term A Redev - Airside Utilities and Paving South phase 2</v>
      </c>
      <c r="F681" s="64">
        <f>+'[1]EWR-154.386'!$F$6</f>
        <v>43438</v>
      </c>
      <c r="G681" s="65" t="str">
        <f>+'[1]EWR-154.386'!$G$7</f>
        <v>Public</v>
      </c>
      <c r="H681" s="94">
        <f>+'[1]EWR-154.386'!$F$7</f>
        <v>122920000</v>
      </c>
      <c r="I681" s="94">
        <f>+'[1]EWR-154.386'!$F$8</f>
        <v>119769038</v>
      </c>
      <c r="J681" s="94" t="s">
        <v>519</v>
      </c>
      <c r="K681" s="153">
        <f>+'[1]EWR-154.386'!$G$9</f>
        <v>-2.5634249918646275E-2</v>
      </c>
      <c r="L681" s="11" t="str">
        <f>+'[1]EWR-154.386'!$F$11</f>
        <v>GOOD</v>
      </c>
      <c r="M681" s="15">
        <f>+'[1]EWR-154.386'!$H$12</f>
        <v>2</v>
      </c>
      <c r="N681" s="35" t="s">
        <v>25</v>
      </c>
      <c r="O681" s="15">
        <v>4</v>
      </c>
      <c r="P681" s="35" t="s">
        <v>458</v>
      </c>
      <c r="Q681" s="35"/>
      <c r="R681" s="15"/>
      <c r="S681" s="24"/>
      <c r="T681" s="62" t="str">
        <f>+'[1]EWR-154.386'!$J$4</f>
        <v>Joe Lucin</v>
      </c>
      <c r="U681" s="62"/>
      <c r="V681" s="94">
        <f>+'[1]EWR-154.386'!$F$12</f>
        <v>122138179</v>
      </c>
      <c r="W681" s="199">
        <f t="shared" si="34"/>
        <v>0.98060278105177912</v>
      </c>
      <c r="X681" s="15"/>
      <c r="Y681" s="200">
        <f t="shared" si="35"/>
        <v>0.97436575008135373</v>
      </c>
      <c r="Z681" s="11" t="str">
        <f t="shared" si="36"/>
        <v>FAIL</v>
      </c>
      <c r="AA681" s="11"/>
      <c r="AB681" s="15"/>
      <c r="AC681" s="54">
        <f t="shared" si="37"/>
        <v>122920000</v>
      </c>
      <c r="AD681" s="54">
        <f t="shared" si="37"/>
        <v>119769038</v>
      </c>
      <c r="AE681" s="54">
        <f t="shared" si="38"/>
        <v>3150962</v>
      </c>
      <c r="AG681" s="4"/>
      <c r="AH681" s="4"/>
      <c r="AI681" s="225"/>
      <c r="AJ681" s="226"/>
      <c r="AK681" s="227"/>
      <c r="AL681" s="227"/>
      <c r="AM681" s="225"/>
      <c r="AN681" s="226"/>
      <c r="AO681" s="228"/>
    </row>
    <row r="682" spans="2:41" x14ac:dyDescent="0.25">
      <c r="C682" s="39">
        <v>2018</v>
      </c>
      <c r="D682" s="62" t="str">
        <f>+'[1]GWB-244.204A'!$F$4</f>
        <v>GWB-244.204A</v>
      </c>
      <c r="E682" s="63" t="str">
        <f>+'[1]GWB-244.204A'!$F$5</f>
        <v>Rehab Center and Lemoine Avenue Bridges</v>
      </c>
      <c r="F682" s="64">
        <f>+'[1]GWB-244.204A'!$F$6</f>
        <v>43368</v>
      </c>
      <c r="G682" s="65" t="str">
        <f>+'[1]GWB-244.204A'!$G$7</f>
        <v>Public</v>
      </c>
      <c r="H682" s="94">
        <f>+'[1]GWB-244.204A'!$F$7</f>
        <v>64356250</v>
      </c>
      <c r="I682" s="94">
        <f>+'[1]GWB-244.204A'!$F$8</f>
        <v>51485000</v>
      </c>
      <c r="J682" s="27" t="s">
        <v>519</v>
      </c>
      <c r="K682" s="26">
        <f>+'[1]GWB-244.204A'!$G$9</f>
        <v>-0.2</v>
      </c>
      <c r="L682" s="11" t="str">
        <f>+'[1]GWB-244.204A'!$F$11</f>
        <v>GOOD</v>
      </c>
      <c r="M682" s="15">
        <f>+'[1]GWB-244.204A'!$H$12</f>
        <v>8</v>
      </c>
      <c r="N682" s="35" t="s">
        <v>25</v>
      </c>
      <c r="O682" s="15">
        <v>3</v>
      </c>
      <c r="P682" s="35" t="s">
        <v>457</v>
      </c>
      <c r="Q682" s="35"/>
      <c r="R682" s="15"/>
      <c r="S682" s="24"/>
      <c r="T682" s="62" t="str">
        <f>+'[1]GWB-244.204A'!$J$4</f>
        <v>Boris Lenderman</v>
      </c>
      <c r="U682" s="62"/>
      <c r="V682" s="94">
        <f>+'[1]GWB-244.204A'!$F$12</f>
        <v>75310398.875</v>
      </c>
      <c r="W682" s="199">
        <f t="shared" si="34"/>
        <v>0.68363732989191395</v>
      </c>
      <c r="X682" s="15"/>
      <c r="Y682" s="200">
        <f t="shared" si="35"/>
        <v>0.8</v>
      </c>
      <c r="Z682" s="11" t="str">
        <f t="shared" si="36"/>
        <v>FAIL</v>
      </c>
      <c r="AA682" s="11"/>
      <c r="AB682" s="15"/>
      <c r="AC682" s="54">
        <f t="shared" si="37"/>
        <v>64356250</v>
      </c>
      <c r="AD682" s="54">
        <f t="shared" si="37"/>
        <v>51485000</v>
      </c>
      <c r="AE682" s="54">
        <f t="shared" si="38"/>
        <v>12871250</v>
      </c>
    </row>
    <row r="683" spans="2:41" x14ac:dyDescent="0.25">
      <c r="C683" s="39">
        <v>2018</v>
      </c>
      <c r="D683" s="62" t="str">
        <f>+'[1]GWB-244.049'!$F$4</f>
        <v>GWB-244.049</v>
      </c>
      <c r="E683" s="63" t="str">
        <f>+'[1]GWB-244.049'!$F$5</f>
        <v>Trans-Manhattan Expressway Median Barriers and Water Mains</v>
      </c>
      <c r="F683" s="64">
        <f>+'[1]GWB-244.049'!$F$6</f>
        <v>43319</v>
      </c>
      <c r="G683" s="65" t="str">
        <f>+'[1]GWB-244.049'!$G$7</f>
        <v>Public</v>
      </c>
      <c r="H683" s="94">
        <f>+'[1]GWB-244.049'!$F$7</f>
        <v>54744000</v>
      </c>
      <c r="I683" s="94">
        <f>+'[1]GWB-244.049'!$F$8</f>
        <v>34776250</v>
      </c>
      <c r="J683" s="27" t="s">
        <v>519</v>
      </c>
      <c r="K683" s="26">
        <f>+'[1]GWB-244.049'!$G$9</f>
        <v>-0.36474773491158846</v>
      </c>
      <c r="L683" s="11" t="str">
        <f>+'[1]GWB-244.049'!$F$11</f>
        <v>GOOD</v>
      </c>
      <c r="M683" s="15">
        <f>+'[1]GWB-244.049'!$H$12</f>
        <v>4</v>
      </c>
      <c r="N683" s="35" t="s">
        <v>93</v>
      </c>
      <c r="O683" s="15">
        <v>3</v>
      </c>
      <c r="P683" s="35" t="s">
        <v>457</v>
      </c>
      <c r="Q683" s="35"/>
      <c r="R683" s="15"/>
      <c r="S683" s="24" t="s">
        <v>932</v>
      </c>
      <c r="T683" s="62" t="str">
        <f>+'[1]GWB-244.049'!$J$4</f>
        <v>Boris Lenderman</v>
      </c>
      <c r="U683" s="62"/>
      <c r="V683" s="94">
        <f>+'[1]GWB-244.049'!$F$12</f>
        <v>49859526.25</v>
      </c>
      <c r="W683" s="199">
        <f t="shared" si="34"/>
        <v>0.69748456544951631</v>
      </c>
      <c r="X683" s="15"/>
      <c r="Y683" s="200">
        <f t="shared" si="35"/>
        <v>0.63525226508841148</v>
      </c>
      <c r="Z683" s="11" t="str">
        <f t="shared" si="36"/>
        <v>FAIL</v>
      </c>
      <c r="AA683" s="11"/>
      <c r="AB683" s="15"/>
      <c r="AC683" s="54">
        <f t="shared" si="37"/>
        <v>54744000</v>
      </c>
      <c r="AD683" s="54">
        <f t="shared" si="37"/>
        <v>34776250</v>
      </c>
      <c r="AE683" s="54">
        <f t="shared" si="38"/>
        <v>19967750</v>
      </c>
    </row>
    <row r="684" spans="2:41" x14ac:dyDescent="0.25">
      <c r="C684" s="39">
        <v>2018</v>
      </c>
      <c r="D684" s="62" t="str">
        <f>+'[1]PAT-774.170'!$F$4</f>
        <v>PAT-774.170</v>
      </c>
      <c r="E684" s="63" t="str">
        <f>+'[1]PAT-774.170'!$F$5</f>
        <v>Repl Exchange Place and Newport Escalators and Elevators</v>
      </c>
      <c r="F684" s="64">
        <f>+'[1]PAT-774.170'!$F$6</f>
        <v>43264</v>
      </c>
      <c r="G684" s="65" t="str">
        <f>+'[1]PAT-774.170'!$G$7</f>
        <v>Public</v>
      </c>
      <c r="H684" s="94">
        <f>+'[1]PAT-774.170'!$F$7</f>
        <v>38600000</v>
      </c>
      <c r="I684" s="94">
        <f>+'[1]PAT-774.170'!$F$8</f>
        <v>35950000</v>
      </c>
      <c r="J684" s="27" t="s">
        <v>519</v>
      </c>
      <c r="K684" s="26">
        <f>+'[1]PAT-774.170'!$G$9</f>
        <v>-6.8652849740932637E-2</v>
      </c>
      <c r="L684" s="11" t="str">
        <f>+'[1]PAT-774.170'!$F$11</f>
        <v>GOOD</v>
      </c>
      <c r="M684" s="15">
        <f>+'[1]PAT-774.170'!$H$12</f>
        <v>2</v>
      </c>
      <c r="N684" s="35" t="s">
        <v>25</v>
      </c>
      <c r="O684" s="15">
        <v>2</v>
      </c>
      <c r="P684" s="35" t="s">
        <v>459</v>
      </c>
      <c r="Q684" s="35"/>
      <c r="R684" s="15"/>
      <c r="S684" s="24"/>
      <c r="T684" s="62" t="str">
        <f>+'[1]PAT-774.170'!$J$4</f>
        <v>Nathan Demaisip</v>
      </c>
      <c r="U684" s="62"/>
      <c r="V684" s="94">
        <f>+'[1]PAT-774.170'!$F$12</f>
        <v>39922000</v>
      </c>
      <c r="W684" s="199">
        <f t="shared" si="34"/>
        <v>0.90050598667401438</v>
      </c>
      <c r="X684" s="15"/>
      <c r="Y684" s="200">
        <f t="shared" si="35"/>
        <v>0.93134715025906734</v>
      </c>
      <c r="Z684" s="11" t="str">
        <f t="shared" si="36"/>
        <v>FAIL</v>
      </c>
      <c r="AA684" s="11"/>
      <c r="AB684" s="15"/>
      <c r="AC684" s="54">
        <f t="shared" si="37"/>
        <v>38600000</v>
      </c>
      <c r="AD684" s="54">
        <f t="shared" si="37"/>
        <v>35950000</v>
      </c>
      <c r="AE684" s="54">
        <f t="shared" si="38"/>
        <v>2650000</v>
      </c>
    </row>
    <row r="685" spans="2:41" x14ac:dyDescent="0.25">
      <c r="C685" s="39">
        <v>2018</v>
      </c>
      <c r="D685" s="62" t="str">
        <f>+'[1]LGA-124.260'!$F$4</f>
        <v>LGA-124.260</v>
      </c>
      <c r="E685" s="63" t="str">
        <f>+'[1]LGA-124.260'!$F$5</f>
        <v>Rehab of Runway 4-22 and Associated Taxiways</v>
      </c>
      <c r="F685" s="64">
        <f>+'[1]LGA-124.260'!$F$6</f>
        <v>43299</v>
      </c>
      <c r="G685" s="65" t="str">
        <f>+'[1]LGA-124.260'!$G$7</f>
        <v>PQL</v>
      </c>
      <c r="H685" s="94">
        <f>+'[1]LGA-124.260'!$F$7</f>
        <v>34796400</v>
      </c>
      <c r="I685" s="94">
        <f>+'[1]LGA-124.260'!$F$8</f>
        <v>34483510</v>
      </c>
      <c r="J685" s="27" t="s">
        <v>519</v>
      </c>
      <c r="K685" s="26">
        <f>+'[1]LGA-124.260'!$G$9</f>
        <v>-8.9920221632122863E-3</v>
      </c>
      <c r="L685" s="11" t="str">
        <f>+'[1]LGA-124.260'!$F$11</f>
        <v>GOOD</v>
      </c>
      <c r="M685" s="15">
        <f>+'[1]LGA-124.260'!$H$12</f>
        <v>2</v>
      </c>
      <c r="N685" s="35" t="s">
        <v>93</v>
      </c>
      <c r="O685" s="15">
        <v>3</v>
      </c>
      <c r="P685" s="35" t="s">
        <v>458</v>
      </c>
      <c r="Q685" s="35"/>
      <c r="R685" s="15"/>
      <c r="S685" s="24"/>
      <c r="T685" s="62" t="str">
        <f>+'[1]LGA-124.260'!$J$4</f>
        <v>Joe Lucin</v>
      </c>
      <c r="U685" s="62"/>
      <c r="V685" s="94">
        <f>+'[1]LGA-124.260'!$F$12</f>
        <v>35471255</v>
      </c>
      <c r="W685" s="199">
        <f t="shared" si="34"/>
        <v>0.97215364948322236</v>
      </c>
      <c r="X685" s="15"/>
      <c r="Y685" s="200">
        <f t="shared" si="35"/>
        <v>0.99100797783678773</v>
      </c>
      <c r="Z685" s="11" t="str">
        <f t="shared" si="36"/>
        <v>FAIL</v>
      </c>
      <c r="AA685" s="11"/>
      <c r="AB685" s="15"/>
      <c r="AC685" s="54">
        <f t="shared" si="37"/>
        <v>34796400</v>
      </c>
      <c r="AD685" s="54">
        <f t="shared" si="37"/>
        <v>34483510</v>
      </c>
      <c r="AE685" s="54">
        <f t="shared" si="38"/>
        <v>312890</v>
      </c>
    </row>
    <row r="686" spans="2:41" x14ac:dyDescent="0.25">
      <c r="C686" s="39">
        <v>2018</v>
      </c>
      <c r="D686" s="62" t="str">
        <f>+'[1]AKO-284.051'!$F$4</f>
        <v>AKO-284.051</v>
      </c>
      <c r="E686" s="63" t="str">
        <f>+'[1]AKO-284.051'!$F$5</f>
        <v>Main Spain Pier and Fender Upgrades</v>
      </c>
      <c r="F686" s="64">
        <f>+'[1]AKO-284.051'!$F$6</f>
        <v>43179</v>
      </c>
      <c r="G686" s="65" t="str">
        <f>+'[1]AKO-284.051'!$G$7</f>
        <v>Public</v>
      </c>
      <c r="H686" s="94">
        <f>+'[1]AKO-284.051'!$F$7</f>
        <v>27125000</v>
      </c>
      <c r="I686" s="94">
        <f>+'[1]AKO-284.051'!$F$8</f>
        <v>22964560</v>
      </c>
      <c r="J686" s="27" t="s">
        <v>519</v>
      </c>
      <c r="K686" s="26">
        <f>+'[1]AKO-284.051'!$G$9</f>
        <v>-0.15338027649769584</v>
      </c>
      <c r="L686" s="11" t="str">
        <f>+'[1]AKO-284.051'!$F$11</f>
        <v>GOOD</v>
      </c>
      <c r="M686" s="15">
        <f>+'[1]AKO-284.051'!$H$12</f>
        <v>10</v>
      </c>
      <c r="N686" s="35" t="s">
        <v>226</v>
      </c>
      <c r="O686" s="15">
        <v>1</v>
      </c>
      <c r="P686" s="35" t="s">
        <v>457</v>
      </c>
      <c r="Q686" s="35" t="s">
        <v>1238</v>
      </c>
      <c r="R686" s="15"/>
      <c r="S686" s="24"/>
      <c r="T686" s="62" t="str">
        <f>+'[1]AKO-284.051'!$J$4</f>
        <v>Ed Minall</v>
      </c>
      <c r="U686" s="62"/>
      <c r="V686" s="94">
        <f>+'[1]AKO-284.051'!$F$12</f>
        <v>31632465.399999999</v>
      </c>
      <c r="W686" s="199">
        <f t="shared" si="34"/>
        <v>0.72598071979555534</v>
      </c>
      <c r="X686" s="15"/>
      <c r="Y686" s="200">
        <f t="shared" si="35"/>
        <v>0.84661972350230419</v>
      </c>
      <c r="Z686" s="11" t="str">
        <f t="shared" si="36"/>
        <v>FAIL</v>
      </c>
      <c r="AA686" s="11"/>
      <c r="AB686" s="15"/>
      <c r="AC686" s="54">
        <f t="shared" si="37"/>
        <v>27125000</v>
      </c>
      <c r="AD686" s="54">
        <f t="shared" si="37"/>
        <v>22964560</v>
      </c>
      <c r="AE686" s="54">
        <f t="shared" si="38"/>
        <v>4160440</v>
      </c>
    </row>
    <row r="687" spans="2:41" x14ac:dyDescent="0.25">
      <c r="C687" s="39">
        <v>2018</v>
      </c>
      <c r="D687" s="62" t="str">
        <f>+'[1]PAT-924.802'!$F$4</f>
        <v>PAT-924.802</v>
      </c>
      <c r="E687" s="63" t="str">
        <f>+'[1]PAT-924.802'!$F$5</f>
        <v>Fire Alarm System Upgrade</v>
      </c>
      <c r="F687" s="64">
        <f>+'[1]PAT-924.802'!$F$6</f>
        <v>43118</v>
      </c>
      <c r="G687" s="65" t="str">
        <f>+'[1]PAT-924.802'!$G$7</f>
        <v>VVP</v>
      </c>
      <c r="H687" s="94">
        <f>+'[1]PAT-924.802'!$F$7</f>
        <v>26900000</v>
      </c>
      <c r="I687" s="94">
        <f>+'[1]PAT-924.802'!$F$8</f>
        <v>24990000</v>
      </c>
      <c r="J687" s="27" t="s">
        <v>519</v>
      </c>
      <c r="K687" s="26">
        <f>+'[1]PAT-924.802'!$G$9</f>
        <v>-7.1003717472118963E-2</v>
      </c>
      <c r="L687" s="11" t="str">
        <f>+'[1]PAT-924.802'!$F$11</f>
        <v>GOOD</v>
      </c>
      <c r="M687" s="15">
        <f>+'[1]PAT-924.802'!$H$12</f>
        <v>2</v>
      </c>
      <c r="N687" s="35" t="s">
        <v>226</v>
      </c>
      <c r="O687" s="15">
        <v>1</v>
      </c>
      <c r="P687" s="35" t="s">
        <v>459</v>
      </c>
      <c r="Q687" s="35" t="s">
        <v>1246</v>
      </c>
      <c r="R687" s="15"/>
      <c r="S687" s="24"/>
      <c r="T687" s="62" t="str">
        <f>+'[1]PAT-924.802'!$J$4</f>
        <v>Nathan Demaisip</v>
      </c>
      <c r="U687" s="62"/>
      <c r="V687" s="94">
        <f>+'[1]PAT-924.802'!$F$12</f>
        <v>35017000</v>
      </c>
      <c r="W687" s="199">
        <f t="shared" si="34"/>
        <v>0.71365336836393756</v>
      </c>
      <c r="X687" s="15"/>
      <c r="Y687" s="200">
        <f t="shared" si="35"/>
        <v>0.92899628252788102</v>
      </c>
      <c r="Z687" s="11" t="str">
        <f t="shared" si="36"/>
        <v>FAIL</v>
      </c>
      <c r="AA687" s="11"/>
      <c r="AB687" s="15"/>
      <c r="AC687" s="54">
        <f t="shared" si="37"/>
        <v>26900000</v>
      </c>
      <c r="AD687" s="54">
        <f t="shared" si="37"/>
        <v>24990000</v>
      </c>
      <c r="AE687" s="54">
        <f t="shared" si="38"/>
        <v>1910000</v>
      </c>
    </row>
    <row r="688" spans="2:41" x14ac:dyDescent="0.25">
      <c r="C688" s="38"/>
    </row>
    <row r="689" spans="2:41" x14ac:dyDescent="0.25">
      <c r="C689" s="38"/>
      <c r="E689" s="83" t="s">
        <v>1372</v>
      </c>
      <c r="F689" s="15"/>
      <c r="G689" s="15" t="s">
        <v>1370</v>
      </c>
      <c r="H689" s="27">
        <f>SUM(H678:H680)</f>
        <v>539632700</v>
      </c>
      <c r="I689" s="27">
        <f>SUM(I678:I680)</f>
        <v>379046157</v>
      </c>
      <c r="J689" s="27">
        <f>+H689-I689</f>
        <v>160586543</v>
      </c>
      <c r="K689" s="15"/>
      <c r="M689">
        <f>AVERAGE(M678:M680)</f>
        <v>7</v>
      </c>
    </row>
    <row r="690" spans="2:41" x14ac:dyDescent="0.25">
      <c r="C690" s="38"/>
      <c r="E690" s="15"/>
      <c r="F690" s="15"/>
      <c r="G690" s="15" t="s">
        <v>1371</v>
      </c>
      <c r="H690" s="27">
        <f>SUM(H678:H687)</f>
        <v>909074350</v>
      </c>
      <c r="I690" s="27">
        <f>SUM(I678:I687)</f>
        <v>703464515</v>
      </c>
      <c r="J690" s="27">
        <f>+H690-I690</f>
        <v>205609835</v>
      </c>
      <c r="K690" s="15"/>
      <c r="M690">
        <f>AVERAGE(M678:M687)</f>
        <v>5.0999999999999996</v>
      </c>
    </row>
    <row r="691" spans="2:41" x14ac:dyDescent="0.25">
      <c r="C691" s="38"/>
    </row>
    <row r="692" spans="2:41" x14ac:dyDescent="0.25">
      <c r="C692" s="38"/>
    </row>
    <row r="693" spans="2:41" x14ac:dyDescent="0.25">
      <c r="C693" s="38"/>
    </row>
    <row r="694" spans="2:41" x14ac:dyDescent="0.25">
      <c r="B694" s="163"/>
      <c r="C694" s="164"/>
      <c r="D694" s="163"/>
      <c r="E694" s="163"/>
      <c r="F694" s="163"/>
      <c r="G694" s="163"/>
      <c r="H694" s="163"/>
      <c r="I694" s="163"/>
      <c r="J694" s="163"/>
      <c r="K694" s="163"/>
      <c r="L694" s="163"/>
      <c r="M694" s="163"/>
      <c r="N694" s="165"/>
      <c r="O694" s="163"/>
      <c r="P694" s="163"/>
      <c r="Q694" s="163"/>
      <c r="R694" s="163"/>
      <c r="S694" s="163"/>
      <c r="T694" s="163"/>
      <c r="U694" s="163"/>
    </row>
    <row r="695" spans="2:41" x14ac:dyDescent="0.25">
      <c r="C695" s="38"/>
    </row>
    <row r="696" spans="2:41" x14ac:dyDescent="0.25">
      <c r="C696" s="38"/>
    </row>
    <row r="697" spans="2:41" x14ac:dyDescent="0.25">
      <c r="C697" s="38"/>
      <c r="D697" s="83" t="s">
        <v>1375</v>
      </c>
    </row>
    <row r="698" spans="2:41" x14ac:dyDescent="0.25">
      <c r="B698" s="224"/>
      <c r="C698" s="39">
        <v>2018</v>
      </c>
      <c r="D698" s="62" t="s">
        <v>1316</v>
      </c>
      <c r="E698" s="63" t="s">
        <v>1317</v>
      </c>
      <c r="F698" s="64">
        <v>43411</v>
      </c>
      <c r="G698" s="65" t="s">
        <v>1225</v>
      </c>
      <c r="H698" s="94" t="s">
        <v>1387</v>
      </c>
      <c r="I698" s="94"/>
      <c r="J698" s="27"/>
      <c r="K698" s="26"/>
      <c r="L698" s="11"/>
      <c r="M698" s="257"/>
      <c r="N698" s="35"/>
      <c r="O698" s="15"/>
      <c r="P698" s="35"/>
      <c r="Q698" s="35"/>
      <c r="R698" s="15"/>
      <c r="S698" s="24" t="s">
        <v>227</v>
      </c>
      <c r="T698" s="62"/>
      <c r="U698" s="62"/>
      <c r="V698" s="94"/>
      <c r="W698" s="199"/>
      <c r="X698" s="15"/>
      <c r="Y698" s="200"/>
      <c r="Z698" s="11"/>
      <c r="AA698" s="11"/>
      <c r="AB698" s="15"/>
      <c r="AC698" s="54"/>
      <c r="AD698" s="54"/>
      <c r="AE698" s="54"/>
      <c r="AH698" s="4"/>
      <c r="AI698" s="225"/>
      <c r="AJ698" s="226"/>
      <c r="AK698" s="227"/>
      <c r="AL698" s="227"/>
      <c r="AM698" s="225"/>
      <c r="AN698" s="226"/>
      <c r="AO698" s="228"/>
    </row>
    <row r="699" spans="2:41" x14ac:dyDescent="0.25">
      <c r="B699" s="224"/>
      <c r="C699" s="39">
        <v>2018</v>
      </c>
      <c r="D699" s="62" t="s">
        <v>1376</v>
      </c>
      <c r="E699" s="63" t="s">
        <v>1377</v>
      </c>
      <c r="F699" s="64">
        <v>43398</v>
      </c>
      <c r="G699" s="65" t="s">
        <v>190</v>
      </c>
      <c r="H699" s="94" t="s">
        <v>1386</v>
      </c>
      <c r="I699" s="94"/>
      <c r="J699" s="27"/>
      <c r="K699" s="26"/>
      <c r="L699" s="11"/>
      <c r="M699" s="257"/>
      <c r="N699" s="35"/>
      <c r="O699" s="15"/>
      <c r="P699" s="35"/>
      <c r="Q699" s="35"/>
      <c r="R699" s="15"/>
      <c r="S699" s="24" t="s">
        <v>227</v>
      </c>
      <c r="T699" s="62"/>
      <c r="U699" s="62"/>
      <c r="V699" s="94"/>
      <c r="W699" s="199"/>
      <c r="X699" s="15"/>
      <c r="Y699" s="200"/>
      <c r="Z699" s="11"/>
      <c r="AA699" s="11"/>
      <c r="AB699" s="15"/>
      <c r="AC699" s="54"/>
      <c r="AD699" s="54"/>
      <c r="AE699" s="54"/>
      <c r="AM699" s="225"/>
      <c r="AN699" s="226"/>
      <c r="AO699" s="228"/>
    </row>
    <row r="700" spans="2:41" x14ac:dyDescent="0.25">
      <c r="B700" s="224"/>
      <c r="C700" s="39">
        <v>2018</v>
      </c>
      <c r="D700" s="62" t="s">
        <v>1320</v>
      </c>
      <c r="E700" s="63" t="s">
        <v>717</v>
      </c>
      <c r="F700" s="64">
        <v>43383</v>
      </c>
      <c r="G700" s="65" t="s">
        <v>1225</v>
      </c>
      <c r="H700" s="94" t="s">
        <v>1388</v>
      </c>
      <c r="I700" s="94"/>
      <c r="J700" s="27"/>
      <c r="K700" s="26"/>
      <c r="L700" s="11"/>
      <c r="M700" s="257"/>
      <c r="N700" s="35"/>
      <c r="O700" s="15"/>
      <c r="P700" s="35"/>
      <c r="Q700" s="35"/>
      <c r="R700" s="15"/>
      <c r="S700" s="24" t="s">
        <v>227</v>
      </c>
      <c r="T700" s="62"/>
      <c r="U700" s="62"/>
      <c r="V700" s="94"/>
      <c r="W700" s="199"/>
      <c r="X700" s="15"/>
      <c r="Y700" s="200"/>
      <c r="Z700" s="11"/>
      <c r="AA700" s="11"/>
      <c r="AB700" s="15"/>
      <c r="AC700" s="54"/>
      <c r="AD700" s="54"/>
      <c r="AE700" s="54"/>
      <c r="AH700" s="4"/>
      <c r="AI700" s="225"/>
      <c r="AJ700" s="226"/>
      <c r="AK700" s="227"/>
      <c r="AL700" s="227"/>
      <c r="AM700" s="225"/>
      <c r="AN700" s="226"/>
      <c r="AO700" s="228"/>
    </row>
    <row r="701" spans="2:41" x14ac:dyDescent="0.25">
      <c r="B701" s="224"/>
      <c r="C701" s="39">
        <v>2018</v>
      </c>
      <c r="D701" s="62" t="s">
        <v>1321</v>
      </c>
      <c r="E701" s="63" t="s">
        <v>1322</v>
      </c>
      <c r="F701" s="64">
        <v>43382</v>
      </c>
      <c r="G701" s="65" t="s">
        <v>1225</v>
      </c>
      <c r="H701" s="94" t="s">
        <v>1384</v>
      </c>
      <c r="I701" s="94"/>
      <c r="J701" s="94"/>
      <c r="K701" s="153"/>
      <c r="L701" s="11"/>
      <c r="M701" s="257"/>
      <c r="N701" s="35"/>
      <c r="O701" s="15"/>
      <c r="P701" s="35"/>
      <c r="Q701" s="35"/>
      <c r="R701" s="15"/>
      <c r="S701" s="24" t="s">
        <v>227</v>
      </c>
      <c r="T701" s="62"/>
      <c r="U701" s="62"/>
      <c r="V701" s="94"/>
      <c r="W701" s="199"/>
      <c r="X701" s="15"/>
      <c r="Y701" s="200"/>
      <c r="Z701" s="11"/>
      <c r="AA701" s="11"/>
      <c r="AB701" s="15"/>
      <c r="AC701" s="54"/>
      <c r="AD701" s="54"/>
      <c r="AE701" s="54"/>
      <c r="AG701" s="4"/>
      <c r="AH701" s="4"/>
      <c r="AI701" s="225"/>
      <c r="AJ701" s="226"/>
      <c r="AK701" s="227"/>
      <c r="AL701" s="227"/>
      <c r="AM701" s="225"/>
      <c r="AN701" s="226"/>
      <c r="AO701" s="228"/>
    </row>
    <row r="702" spans="2:41" x14ac:dyDescent="0.25">
      <c r="C702" s="39">
        <v>2018</v>
      </c>
      <c r="D702" s="62" t="s">
        <v>1378</v>
      </c>
      <c r="E702" s="63" t="s">
        <v>1257</v>
      </c>
      <c r="F702" s="64">
        <v>43242</v>
      </c>
      <c r="G702" s="65" t="s">
        <v>34</v>
      </c>
      <c r="H702" s="94" t="s">
        <v>1385</v>
      </c>
      <c r="I702" s="94"/>
      <c r="J702" s="27"/>
      <c r="K702" s="26"/>
      <c r="L702" s="11"/>
      <c r="M702" s="257"/>
      <c r="N702" s="35"/>
      <c r="O702" s="15"/>
      <c r="P702" s="35"/>
      <c r="Q702" s="35"/>
      <c r="R702" s="15"/>
      <c r="S702" s="24" t="s">
        <v>227</v>
      </c>
      <c r="T702" s="62"/>
      <c r="U702" s="62"/>
      <c r="V702" s="94"/>
      <c r="W702" s="199"/>
      <c r="X702" s="15"/>
      <c r="Y702" s="200"/>
      <c r="Z702" s="11"/>
      <c r="AA702" s="11"/>
      <c r="AB702" s="15"/>
      <c r="AC702" s="54"/>
      <c r="AD702" s="54"/>
      <c r="AE702" s="54"/>
    </row>
    <row r="703" spans="2:41" x14ac:dyDescent="0.25">
      <c r="C703" s="39">
        <v>2018</v>
      </c>
      <c r="D703" s="62" t="s">
        <v>1379</v>
      </c>
      <c r="E703" s="63" t="s">
        <v>1278</v>
      </c>
      <c r="F703" s="64">
        <v>43207</v>
      </c>
      <c r="G703" s="65" t="s">
        <v>190</v>
      </c>
      <c r="H703" s="94" t="s">
        <v>1382</v>
      </c>
      <c r="I703" s="94"/>
      <c r="J703" s="27"/>
      <c r="K703" s="26"/>
      <c r="L703" s="11"/>
      <c r="M703" s="257"/>
      <c r="N703" s="35"/>
      <c r="O703" s="15"/>
      <c r="P703" s="35"/>
      <c r="Q703" s="35"/>
      <c r="R703" s="15"/>
      <c r="S703" s="24" t="s">
        <v>227</v>
      </c>
      <c r="T703" s="62"/>
      <c r="U703" s="62"/>
      <c r="V703" s="94"/>
      <c r="W703" s="199"/>
      <c r="X703" s="15"/>
      <c r="Y703" s="200"/>
      <c r="Z703" s="11"/>
      <c r="AA703" s="11"/>
      <c r="AB703" s="15"/>
      <c r="AC703" s="54"/>
      <c r="AD703" s="54"/>
      <c r="AE703" s="54"/>
    </row>
    <row r="704" spans="2:41" x14ac:dyDescent="0.25">
      <c r="C704" s="39">
        <v>2018</v>
      </c>
      <c r="D704" s="62" t="s">
        <v>1380</v>
      </c>
      <c r="E704" s="63" t="s">
        <v>1381</v>
      </c>
      <c r="F704" s="64">
        <v>43117</v>
      </c>
      <c r="G704" s="65" t="s">
        <v>190</v>
      </c>
      <c r="H704" s="94" t="s">
        <v>1383</v>
      </c>
      <c r="I704" s="94"/>
      <c r="J704" s="27"/>
      <c r="K704" s="26"/>
      <c r="L704" s="11"/>
      <c r="M704" s="257"/>
      <c r="N704" s="35"/>
      <c r="O704" s="15"/>
      <c r="P704" s="35"/>
      <c r="Q704" s="35"/>
      <c r="R704" s="15"/>
      <c r="S704" s="24" t="s">
        <v>227</v>
      </c>
      <c r="T704" s="62"/>
      <c r="U704" s="62"/>
      <c r="V704" s="94"/>
      <c r="W704" s="199"/>
      <c r="X704" s="15"/>
      <c r="Y704" s="200"/>
      <c r="Z704" s="11"/>
      <c r="AA704" s="11"/>
      <c r="AB704" s="15"/>
      <c r="AC704" s="54"/>
      <c r="AD704" s="54"/>
      <c r="AE704" s="54"/>
    </row>
    <row r="716" spans="3:3" x14ac:dyDescent="0.25">
      <c r="C716" s="38"/>
    </row>
    <row r="717" spans="3:3" x14ac:dyDescent="0.25">
      <c r="C717" s="38"/>
    </row>
  </sheetData>
  <mergeCells count="4">
    <mergeCell ref="I2:J2"/>
    <mergeCell ref="F407:H407"/>
    <mergeCell ref="I407:K407"/>
    <mergeCell ref="K491:L491"/>
  </mergeCells>
  <conditionalFormatting sqref="L549:L556 L577:L583 L604:L606 L514:L528 L357:L358 L377:L378 L387:L388 L390:L391 L395:L396 L398:L399 L23:L24">
    <cfRule type="containsText" dxfId="6085" priority="1386" operator="containsText" text="FAIL">
      <formula>NOT(ISERROR(SEARCH("FAIL",L23)))</formula>
    </cfRule>
  </conditionalFormatting>
  <conditionalFormatting sqref="L549:L556 L577:L583 L604:L606 L514:L528 L357:L358 L377:L378 L387:L388 L390:L391 L395:L396 L398:L399 L23:L24">
    <cfRule type="containsText" dxfId="6084" priority="1385" operator="containsText" text="GOOD">
      <formula>NOT(ISERROR(SEARCH("GOOD",L23)))</formula>
    </cfRule>
  </conditionalFormatting>
  <conditionalFormatting sqref="L326">
    <cfRule type="containsText" dxfId="6083" priority="1382" operator="containsText" text="FAIL">
      <formula>NOT(ISERROR(SEARCH("FAIL",L326)))</formula>
    </cfRule>
  </conditionalFormatting>
  <conditionalFormatting sqref="L326">
    <cfRule type="containsText" dxfId="6082" priority="1381" operator="containsText" text="GOOD">
      <formula>NOT(ISERROR(SEARCH("GOOD",L326)))</formula>
    </cfRule>
  </conditionalFormatting>
  <conditionalFormatting sqref="L548">
    <cfRule type="containsText" dxfId="6081" priority="1376" operator="containsText" text="FAIL">
      <formula>NOT(ISERROR(SEARCH("FAIL",L548)))</formula>
    </cfRule>
  </conditionalFormatting>
  <conditionalFormatting sqref="L548">
    <cfRule type="containsText" dxfId="6080" priority="1375" operator="containsText" text="GOOD">
      <formula>NOT(ISERROR(SEARCH("GOOD",L548)))</formula>
    </cfRule>
  </conditionalFormatting>
  <conditionalFormatting sqref="L368:L369">
    <cfRule type="containsText" dxfId="6079" priority="1380" operator="containsText" text="FAIL">
      <formula>NOT(ISERROR(SEARCH("FAIL",L368)))</formula>
    </cfRule>
  </conditionalFormatting>
  <conditionalFormatting sqref="L368:L369">
    <cfRule type="containsText" dxfId="6078" priority="1379" operator="containsText" text="GOOD">
      <formula>NOT(ISERROR(SEARCH("GOOD",L368)))</formula>
    </cfRule>
  </conditionalFormatting>
  <conditionalFormatting sqref="K406">
    <cfRule type="containsText" dxfId="6077" priority="1378" operator="containsText" text="FAIL">
      <formula>NOT(ISERROR(SEARCH("FAIL",K406)))</formula>
    </cfRule>
  </conditionalFormatting>
  <conditionalFormatting sqref="K406">
    <cfRule type="containsText" dxfId="6076" priority="1377" operator="containsText" text="GOOD">
      <formula>NOT(ISERROR(SEARCH("GOOD",K406)))</formula>
    </cfRule>
  </conditionalFormatting>
  <conditionalFormatting sqref="B59">
    <cfRule type="containsText" dxfId="6075" priority="1105" operator="containsText" text="GOOD">
      <formula>NOT(ISERROR(SEARCH("GOOD",B59)))</formula>
    </cfRule>
  </conditionalFormatting>
  <conditionalFormatting sqref="L62">
    <cfRule type="containsText" dxfId="6074" priority="1128" operator="containsText" text="FAIL">
      <formula>NOT(ISERROR(SEARCH("FAIL",L62)))</formula>
    </cfRule>
  </conditionalFormatting>
  <conditionalFormatting sqref="L62">
    <cfRule type="containsText" dxfId="6073" priority="1127" operator="containsText" text="GOOD">
      <formula>NOT(ISERROR(SEARCH("GOOD",L62)))</formula>
    </cfRule>
  </conditionalFormatting>
  <conditionalFormatting sqref="Z62:AA62">
    <cfRule type="containsText" dxfId="6072" priority="1126" operator="containsText" text="FAIL">
      <formula>NOT(ISERROR(SEARCH("FAIL",Z62)))</formula>
    </cfRule>
  </conditionalFormatting>
  <conditionalFormatting sqref="Z62:AA62">
    <cfRule type="containsText" dxfId="6071" priority="1125" operator="containsText" text="GOOD">
      <formula>NOT(ISERROR(SEARCH("GOOD",Z62)))</formula>
    </cfRule>
  </conditionalFormatting>
  <conditionalFormatting sqref="B62">
    <cfRule type="containsText" dxfId="6070" priority="1124" operator="containsText" text="FAIL">
      <formula>NOT(ISERROR(SEARCH("FAIL",B62)))</formula>
    </cfRule>
  </conditionalFormatting>
  <conditionalFormatting sqref="B62">
    <cfRule type="containsText" dxfId="6069" priority="1123" operator="containsText" text="GOOD">
      <formula>NOT(ISERROR(SEARCH("GOOD",B62)))</formula>
    </cfRule>
  </conditionalFormatting>
  <conditionalFormatting sqref="L61">
    <cfRule type="containsText" dxfId="6068" priority="1122" operator="containsText" text="FAIL">
      <formula>NOT(ISERROR(SEARCH("FAIL",L61)))</formula>
    </cfRule>
  </conditionalFormatting>
  <conditionalFormatting sqref="L61">
    <cfRule type="containsText" dxfId="6067" priority="1121" operator="containsText" text="GOOD">
      <formula>NOT(ISERROR(SEARCH("GOOD",L61)))</formula>
    </cfRule>
  </conditionalFormatting>
  <conditionalFormatting sqref="Z61:AA61">
    <cfRule type="containsText" dxfId="6066" priority="1120" operator="containsText" text="FAIL">
      <formula>NOT(ISERROR(SEARCH("FAIL",Z61)))</formula>
    </cfRule>
  </conditionalFormatting>
  <conditionalFormatting sqref="Z61:AA61">
    <cfRule type="containsText" dxfId="6065" priority="1119" operator="containsText" text="GOOD">
      <formula>NOT(ISERROR(SEARCH("GOOD",Z61)))</formula>
    </cfRule>
  </conditionalFormatting>
  <conditionalFormatting sqref="B61">
    <cfRule type="containsText" dxfId="6064" priority="1118" operator="containsText" text="FAIL">
      <formula>NOT(ISERROR(SEARCH("FAIL",B61)))</formula>
    </cfRule>
  </conditionalFormatting>
  <conditionalFormatting sqref="B61">
    <cfRule type="containsText" dxfId="6063" priority="1117" operator="containsText" text="GOOD">
      <formula>NOT(ISERROR(SEARCH("GOOD",B61)))</formula>
    </cfRule>
  </conditionalFormatting>
  <conditionalFormatting sqref="L60">
    <cfRule type="containsText" dxfId="6062" priority="1116" operator="containsText" text="FAIL">
      <formula>NOT(ISERROR(SEARCH("FAIL",L60)))</formula>
    </cfRule>
  </conditionalFormatting>
  <conditionalFormatting sqref="L60">
    <cfRule type="containsText" dxfId="6061" priority="1115" operator="containsText" text="GOOD">
      <formula>NOT(ISERROR(SEARCH("GOOD",L60)))</formula>
    </cfRule>
  </conditionalFormatting>
  <conditionalFormatting sqref="Z60:AA60">
    <cfRule type="containsText" dxfId="6060" priority="1114" operator="containsText" text="FAIL">
      <formula>NOT(ISERROR(SEARCH("FAIL",Z60)))</formula>
    </cfRule>
  </conditionalFormatting>
  <conditionalFormatting sqref="Z60:AA60">
    <cfRule type="containsText" dxfId="6059" priority="1113" operator="containsText" text="GOOD">
      <formula>NOT(ISERROR(SEARCH("GOOD",Z60)))</formula>
    </cfRule>
  </conditionalFormatting>
  <conditionalFormatting sqref="B60">
    <cfRule type="containsText" dxfId="6058" priority="1112" operator="containsText" text="FAIL">
      <formula>NOT(ISERROR(SEARCH("FAIL",B60)))</formula>
    </cfRule>
  </conditionalFormatting>
  <conditionalFormatting sqref="B60">
    <cfRule type="containsText" dxfId="6057" priority="1111" operator="containsText" text="GOOD">
      <formula>NOT(ISERROR(SEARCH("GOOD",B60)))</formula>
    </cfRule>
  </conditionalFormatting>
  <conditionalFormatting sqref="L59">
    <cfRule type="containsText" dxfId="6056" priority="1110" operator="containsText" text="FAIL">
      <formula>NOT(ISERROR(SEARCH("FAIL",L59)))</formula>
    </cfRule>
  </conditionalFormatting>
  <conditionalFormatting sqref="L59">
    <cfRule type="containsText" dxfId="6055" priority="1109" operator="containsText" text="GOOD">
      <formula>NOT(ISERROR(SEARCH("GOOD",L59)))</formula>
    </cfRule>
  </conditionalFormatting>
  <conditionalFormatting sqref="Z59:AA59">
    <cfRule type="containsText" dxfId="6054" priority="1108" operator="containsText" text="FAIL">
      <formula>NOT(ISERROR(SEARCH("FAIL",Z59)))</formula>
    </cfRule>
  </conditionalFormatting>
  <conditionalFormatting sqref="Z59:AA59">
    <cfRule type="containsText" dxfId="6053" priority="1107" operator="containsText" text="GOOD">
      <formula>NOT(ISERROR(SEARCH("GOOD",Z59)))</formula>
    </cfRule>
  </conditionalFormatting>
  <conditionalFormatting sqref="B59">
    <cfRule type="containsText" dxfId="6052" priority="1106" operator="containsText" text="FAIL">
      <formula>NOT(ISERROR(SEARCH("FAIL",B59)))</formula>
    </cfRule>
  </conditionalFormatting>
  <conditionalFormatting sqref="L63">
    <cfRule type="containsText" dxfId="6051" priority="1104" operator="containsText" text="FAIL">
      <formula>NOT(ISERROR(SEARCH("FAIL",L63)))</formula>
    </cfRule>
  </conditionalFormatting>
  <conditionalFormatting sqref="L63">
    <cfRule type="containsText" dxfId="6050" priority="1103" operator="containsText" text="GOOD">
      <formula>NOT(ISERROR(SEARCH("GOOD",L63)))</formula>
    </cfRule>
  </conditionalFormatting>
  <conditionalFormatting sqref="Z63:AA63">
    <cfRule type="containsText" dxfId="6049" priority="1102" operator="containsText" text="FAIL">
      <formula>NOT(ISERROR(SEARCH("FAIL",Z63)))</formula>
    </cfRule>
  </conditionalFormatting>
  <conditionalFormatting sqref="Z63:AA63">
    <cfRule type="containsText" dxfId="6048" priority="1101" operator="containsText" text="GOOD">
      <formula>NOT(ISERROR(SEARCH("GOOD",Z63)))</formula>
    </cfRule>
  </conditionalFormatting>
  <conditionalFormatting sqref="B63">
    <cfRule type="containsText" dxfId="6047" priority="1100" operator="containsText" text="FAIL">
      <formula>NOT(ISERROR(SEARCH("FAIL",B63)))</formula>
    </cfRule>
  </conditionalFormatting>
  <conditionalFormatting sqref="B63">
    <cfRule type="containsText" dxfId="6046" priority="1099" operator="containsText" text="GOOD">
      <formula>NOT(ISERROR(SEARCH("GOOD",B63)))</formula>
    </cfRule>
  </conditionalFormatting>
  <conditionalFormatting sqref="L64:L65">
    <cfRule type="containsText" dxfId="6045" priority="1098" operator="containsText" text="FAIL">
      <formula>NOT(ISERROR(SEARCH("FAIL",L64)))</formula>
    </cfRule>
  </conditionalFormatting>
  <conditionalFormatting sqref="L64:L65">
    <cfRule type="containsText" dxfId="6044" priority="1097" operator="containsText" text="GOOD">
      <formula>NOT(ISERROR(SEARCH("GOOD",L64)))</formula>
    </cfRule>
  </conditionalFormatting>
  <conditionalFormatting sqref="Z64:AA65">
    <cfRule type="containsText" dxfId="6043" priority="1096" operator="containsText" text="FAIL">
      <formula>NOT(ISERROR(SEARCH("FAIL",Z64)))</formula>
    </cfRule>
  </conditionalFormatting>
  <conditionalFormatting sqref="Z64:AA65">
    <cfRule type="containsText" dxfId="6042" priority="1095" operator="containsText" text="GOOD">
      <formula>NOT(ISERROR(SEARCH("GOOD",Z64)))</formula>
    </cfRule>
  </conditionalFormatting>
  <conditionalFormatting sqref="B64:B65">
    <cfRule type="containsText" dxfId="6041" priority="1094" operator="containsText" text="FAIL">
      <formula>NOT(ISERROR(SEARCH("FAIL",B64)))</formula>
    </cfRule>
  </conditionalFormatting>
  <conditionalFormatting sqref="B64:B65">
    <cfRule type="containsText" dxfId="6040" priority="1093" operator="containsText" text="GOOD">
      <formula>NOT(ISERROR(SEARCH("GOOD",B64)))</formula>
    </cfRule>
  </conditionalFormatting>
  <conditionalFormatting sqref="L66">
    <cfRule type="containsText" dxfId="6039" priority="1092" operator="containsText" text="FAIL">
      <formula>NOT(ISERROR(SEARCH("FAIL",L66)))</formula>
    </cfRule>
  </conditionalFormatting>
  <conditionalFormatting sqref="L66">
    <cfRule type="containsText" dxfId="6038" priority="1091" operator="containsText" text="GOOD">
      <formula>NOT(ISERROR(SEARCH("GOOD",L66)))</formula>
    </cfRule>
  </conditionalFormatting>
  <conditionalFormatting sqref="Z66:AA66">
    <cfRule type="containsText" dxfId="6037" priority="1090" operator="containsText" text="FAIL">
      <formula>NOT(ISERROR(SEARCH("FAIL",Z66)))</formula>
    </cfRule>
  </conditionalFormatting>
  <conditionalFormatting sqref="Z66:AA66">
    <cfRule type="containsText" dxfId="6036" priority="1089" operator="containsText" text="GOOD">
      <formula>NOT(ISERROR(SEARCH("GOOD",Z66)))</formula>
    </cfRule>
  </conditionalFormatting>
  <conditionalFormatting sqref="B66">
    <cfRule type="containsText" dxfId="6035" priority="1088" operator="containsText" text="FAIL">
      <formula>NOT(ISERROR(SEARCH("FAIL",B66)))</formula>
    </cfRule>
  </conditionalFormatting>
  <conditionalFormatting sqref="B66">
    <cfRule type="containsText" dxfId="6034" priority="1087" operator="containsText" text="GOOD">
      <formula>NOT(ISERROR(SEARCH("GOOD",B66)))</formula>
    </cfRule>
  </conditionalFormatting>
  <conditionalFormatting sqref="L67">
    <cfRule type="containsText" dxfId="6033" priority="1086" operator="containsText" text="FAIL">
      <formula>NOT(ISERROR(SEARCH("FAIL",L67)))</formula>
    </cfRule>
  </conditionalFormatting>
  <conditionalFormatting sqref="L67">
    <cfRule type="containsText" dxfId="6032" priority="1085" operator="containsText" text="GOOD">
      <formula>NOT(ISERROR(SEARCH("GOOD",L67)))</formula>
    </cfRule>
  </conditionalFormatting>
  <conditionalFormatting sqref="Z67:AA67">
    <cfRule type="containsText" dxfId="6031" priority="1084" operator="containsText" text="FAIL">
      <formula>NOT(ISERROR(SEARCH("FAIL",Z67)))</formula>
    </cfRule>
  </conditionalFormatting>
  <conditionalFormatting sqref="Z67:AA67">
    <cfRule type="containsText" dxfId="6030" priority="1083" operator="containsText" text="GOOD">
      <formula>NOT(ISERROR(SEARCH("GOOD",Z67)))</formula>
    </cfRule>
  </conditionalFormatting>
  <conditionalFormatting sqref="B67">
    <cfRule type="containsText" dxfId="6029" priority="1082" operator="containsText" text="FAIL">
      <formula>NOT(ISERROR(SEARCH("FAIL",B67)))</formula>
    </cfRule>
  </conditionalFormatting>
  <conditionalFormatting sqref="B67">
    <cfRule type="containsText" dxfId="6028" priority="1081" operator="containsText" text="GOOD">
      <formula>NOT(ISERROR(SEARCH("GOOD",B67)))</formula>
    </cfRule>
  </conditionalFormatting>
  <conditionalFormatting sqref="L68">
    <cfRule type="containsText" dxfId="6027" priority="1080" operator="containsText" text="FAIL">
      <formula>NOT(ISERROR(SEARCH("FAIL",L68)))</formula>
    </cfRule>
  </conditionalFormatting>
  <conditionalFormatting sqref="L68">
    <cfRule type="containsText" dxfId="6026" priority="1079" operator="containsText" text="GOOD">
      <formula>NOT(ISERROR(SEARCH("GOOD",L68)))</formula>
    </cfRule>
  </conditionalFormatting>
  <conditionalFormatting sqref="Z68:AA68">
    <cfRule type="containsText" dxfId="6025" priority="1078" operator="containsText" text="FAIL">
      <formula>NOT(ISERROR(SEARCH("FAIL",Z68)))</formula>
    </cfRule>
  </conditionalFormatting>
  <conditionalFormatting sqref="Z68:AA68">
    <cfRule type="containsText" dxfId="6024" priority="1077" operator="containsText" text="GOOD">
      <formula>NOT(ISERROR(SEARCH("GOOD",Z68)))</formula>
    </cfRule>
  </conditionalFormatting>
  <conditionalFormatting sqref="B68">
    <cfRule type="containsText" dxfId="6023" priority="1076" operator="containsText" text="FAIL">
      <formula>NOT(ISERROR(SEARCH("FAIL",B68)))</formula>
    </cfRule>
  </conditionalFormatting>
  <conditionalFormatting sqref="B68">
    <cfRule type="containsText" dxfId="6022" priority="1075" operator="containsText" text="GOOD">
      <formula>NOT(ISERROR(SEARCH("GOOD",B68)))</formula>
    </cfRule>
  </conditionalFormatting>
  <conditionalFormatting sqref="AQ68">
    <cfRule type="containsText" dxfId="6021" priority="1074" operator="containsText" text="FAIL">
      <formula>NOT(ISERROR(SEARCH("FAIL",AQ68)))</formula>
    </cfRule>
  </conditionalFormatting>
  <conditionalFormatting sqref="AQ68">
    <cfRule type="containsText" dxfId="6020" priority="1073" operator="containsText" text="GOOD">
      <formula>NOT(ISERROR(SEARCH("GOOD",AQ68)))</formula>
    </cfRule>
  </conditionalFormatting>
  <conditionalFormatting sqref="L69:L70">
    <cfRule type="containsText" dxfId="6019" priority="1072" operator="containsText" text="FAIL">
      <formula>NOT(ISERROR(SEARCH("FAIL",L69)))</formula>
    </cfRule>
  </conditionalFormatting>
  <conditionalFormatting sqref="L69:L70">
    <cfRule type="containsText" dxfId="6018" priority="1071" operator="containsText" text="GOOD">
      <formula>NOT(ISERROR(SEARCH("GOOD",L69)))</formula>
    </cfRule>
  </conditionalFormatting>
  <conditionalFormatting sqref="Z69:AA70">
    <cfRule type="containsText" dxfId="6017" priority="1070" operator="containsText" text="FAIL">
      <formula>NOT(ISERROR(SEARCH("FAIL",Z69)))</formula>
    </cfRule>
  </conditionalFormatting>
  <conditionalFormatting sqref="Z69:AA70">
    <cfRule type="containsText" dxfId="6016" priority="1069" operator="containsText" text="GOOD">
      <formula>NOT(ISERROR(SEARCH("GOOD",Z69)))</formula>
    </cfRule>
  </conditionalFormatting>
  <conditionalFormatting sqref="L72">
    <cfRule type="containsText" dxfId="6015" priority="1068" operator="containsText" text="FAIL">
      <formula>NOT(ISERROR(SEARCH("FAIL",L72)))</formula>
    </cfRule>
  </conditionalFormatting>
  <conditionalFormatting sqref="L72">
    <cfRule type="containsText" dxfId="6014" priority="1067" operator="containsText" text="GOOD">
      <formula>NOT(ISERROR(SEARCH("GOOD",L72)))</formula>
    </cfRule>
  </conditionalFormatting>
  <conditionalFormatting sqref="Z72:AA72">
    <cfRule type="containsText" dxfId="6013" priority="1066" operator="containsText" text="FAIL">
      <formula>NOT(ISERROR(SEARCH("FAIL",Z72)))</formula>
    </cfRule>
  </conditionalFormatting>
  <conditionalFormatting sqref="Z72:AA72">
    <cfRule type="containsText" dxfId="6012" priority="1065" operator="containsText" text="GOOD">
      <formula>NOT(ISERROR(SEARCH("GOOD",Z72)))</formula>
    </cfRule>
  </conditionalFormatting>
  <conditionalFormatting sqref="L71">
    <cfRule type="containsText" dxfId="6011" priority="1064" operator="containsText" text="FAIL">
      <formula>NOT(ISERROR(SEARCH("FAIL",L71)))</formula>
    </cfRule>
  </conditionalFormatting>
  <conditionalFormatting sqref="L71">
    <cfRule type="containsText" dxfId="6010" priority="1063" operator="containsText" text="GOOD">
      <formula>NOT(ISERROR(SEARCH("GOOD",L71)))</formula>
    </cfRule>
  </conditionalFormatting>
  <conditionalFormatting sqref="Z71:AA71">
    <cfRule type="containsText" dxfId="6009" priority="1062" operator="containsText" text="FAIL">
      <formula>NOT(ISERROR(SEARCH("FAIL",Z71)))</formula>
    </cfRule>
  </conditionalFormatting>
  <conditionalFormatting sqref="Z71:AA71">
    <cfRule type="containsText" dxfId="6008" priority="1061" operator="containsText" text="GOOD">
      <formula>NOT(ISERROR(SEARCH("GOOD",Z71)))</formula>
    </cfRule>
  </conditionalFormatting>
  <conditionalFormatting sqref="L73">
    <cfRule type="containsText" dxfId="6007" priority="1060" operator="containsText" text="FAIL">
      <formula>NOT(ISERROR(SEARCH("FAIL",L73)))</formula>
    </cfRule>
  </conditionalFormatting>
  <conditionalFormatting sqref="L73">
    <cfRule type="containsText" dxfId="6006" priority="1059" operator="containsText" text="GOOD">
      <formula>NOT(ISERROR(SEARCH("GOOD",L73)))</formula>
    </cfRule>
  </conditionalFormatting>
  <conditionalFormatting sqref="Z73:AA73">
    <cfRule type="containsText" dxfId="6005" priority="1058" operator="containsText" text="FAIL">
      <formula>NOT(ISERROR(SEARCH("FAIL",Z73)))</formula>
    </cfRule>
  </conditionalFormatting>
  <conditionalFormatting sqref="Z73:AA73">
    <cfRule type="containsText" dxfId="6004" priority="1057" operator="containsText" text="GOOD">
      <formula>NOT(ISERROR(SEARCH("GOOD",Z73)))</formula>
    </cfRule>
  </conditionalFormatting>
  <conditionalFormatting sqref="L74">
    <cfRule type="containsText" dxfId="6003" priority="1056" operator="containsText" text="FAIL">
      <formula>NOT(ISERROR(SEARCH("FAIL",L74)))</formula>
    </cfRule>
  </conditionalFormatting>
  <conditionalFormatting sqref="L74">
    <cfRule type="containsText" dxfId="6002" priority="1055" operator="containsText" text="GOOD">
      <formula>NOT(ISERROR(SEARCH("GOOD",L74)))</formula>
    </cfRule>
  </conditionalFormatting>
  <conditionalFormatting sqref="Z74:AA74">
    <cfRule type="containsText" dxfId="6001" priority="1054" operator="containsText" text="FAIL">
      <formula>NOT(ISERROR(SEARCH("FAIL",Z74)))</formula>
    </cfRule>
  </conditionalFormatting>
  <conditionalFormatting sqref="Z74:AA74">
    <cfRule type="containsText" dxfId="6000" priority="1053" operator="containsText" text="GOOD">
      <formula>NOT(ISERROR(SEARCH("GOOD",Z74)))</formula>
    </cfRule>
  </conditionalFormatting>
  <conditionalFormatting sqref="L75">
    <cfRule type="containsText" dxfId="5999" priority="1052" operator="containsText" text="FAIL">
      <formula>NOT(ISERROR(SEARCH("FAIL",L75)))</formula>
    </cfRule>
  </conditionalFormatting>
  <conditionalFormatting sqref="L75">
    <cfRule type="containsText" dxfId="5998" priority="1051" operator="containsText" text="GOOD">
      <formula>NOT(ISERROR(SEARCH("GOOD",L75)))</formula>
    </cfRule>
  </conditionalFormatting>
  <conditionalFormatting sqref="Z75:AA75">
    <cfRule type="containsText" dxfId="5997" priority="1050" operator="containsText" text="FAIL">
      <formula>NOT(ISERROR(SEARCH("FAIL",Z75)))</formula>
    </cfRule>
  </conditionalFormatting>
  <conditionalFormatting sqref="Z75:AA75">
    <cfRule type="containsText" dxfId="5996" priority="1049" operator="containsText" text="GOOD">
      <formula>NOT(ISERROR(SEARCH("GOOD",Z75)))</formula>
    </cfRule>
  </conditionalFormatting>
  <conditionalFormatting sqref="L76">
    <cfRule type="containsText" dxfId="5995" priority="1048" operator="containsText" text="FAIL">
      <formula>NOT(ISERROR(SEARCH("FAIL",L76)))</formula>
    </cfRule>
  </conditionalFormatting>
  <conditionalFormatting sqref="L76">
    <cfRule type="containsText" dxfId="5994" priority="1047" operator="containsText" text="GOOD">
      <formula>NOT(ISERROR(SEARCH("GOOD",L76)))</formula>
    </cfRule>
  </conditionalFormatting>
  <conditionalFormatting sqref="Z76:AA76">
    <cfRule type="containsText" dxfId="5993" priority="1046" operator="containsText" text="FAIL">
      <formula>NOT(ISERROR(SEARCH("FAIL",Z76)))</formula>
    </cfRule>
  </conditionalFormatting>
  <conditionalFormatting sqref="Z76:AA76">
    <cfRule type="containsText" dxfId="5992" priority="1045" operator="containsText" text="GOOD">
      <formula>NOT(ISERROR(SEARCH("GOOD",Z76)))</formula>
    </cfRule>
  </conditionalFormatting>
  <conditionalFormatting sqref="B76">
    <cfRule type="containsText" dxfId="5991" priority="1044" operator="containsText" text="FAIL">
      <formula>NOT(ISERROR(SEARCH("FAIL",B76)))</formula>
    </cfRule>
  </conditionalFormatting>
  <conditionalFormatting sqref="B76">
    <cfRule type="containsText" dxfId="5990" priority="1043" operator="containsText" text="GOOD">
      <formula>NOT(ISERROR(SEARCH("GOOD",B76)))</formula>
    </cfRule>
  </conditionalFormatting>
  <conditionalFormatting sqref="Z77:AA77">
    <cfRule type="containsText" dxfId="5989" priority="1039" operator="containsText" text="GOOD">
      <formula>NOT(ISERROR(SEARCH("GOOD",Z77)))</formula>
    </cfRule>
  </conditionalFormatting>
  <conditionalFormatting sqref="L77">
    <cfRule type="containsText" dxfId="5988" priority="1042" operator="containsText" text="FAIL">
      <formula>NOT(ISERROR(SEARCH("FAIL",L77)))</formula>
    </cfRule>
  </conditionalFormatting>
  <conditionalFormatting sqref="L77">
    <cfRule type="containsText" dxfId="5987" priority="1041" operator="containsText" text="GOOD">
      <formula>NOT(ISERROR(SEARCH("GOOD",L77)))</formula>
    </cfRule>
  </conditionalFormatting>
  <conditionalFormatting sqref="Z77:AA77">
    <cfRule type="containsText" dxfId="5986" priority="1040" operator="containsText" text="FAIL">
      <formula>NOT(ISERROR(SEARCH("FAIL",Z77)))</formula>
    </cfRule>
  </conditionalFormatting>
  <conditionalFormatting sqref="L78">
    <cfRule type="containsText" dxfId="5985" priority="1038" operator="containsText" text="FAIL">
      <formula>NOT(ISERROR(SEARCH("FAIL",L78)))</formula>
    </cfRule>
  </conditionalFormatting>
  <conditionalFormatting sqref="L78">
    <cfRule type="containsText" dxfId="5984" priority="1037" operator="containsText" text="GOOD">
      <formula>NOT(ISERROR(SEARCH("GOOD",L78)))</formula>
    </cfRule>
  </conditionalFormatting>
  <conditionalFormatting sqref="Z78:AA78">
    <cfRule type="containsText" dxfId="5983" priority="1036" operator="containsText" text="FAIL">
      <formula>NOT(ISERROR(SEARCH("FAIL",Z78)))</formula>
    </cfRule>
  </conditionalFormatting>
  <conditionalFormatting sqref="Z78:AA78">
    <cfRule type="containsText" dxfId="5982" priority="1035" operator="containsText" text="GOOD">
      <formula>NOT(ISERROR(SEARCH("GOOD",Z78)))</formula>
    </cfRule>
  </conditionalFormatting>
  <conditionalFormatting sqref="L79">
    <cfRule type="containsText" dxfId="5981" priority="1034" operator="containsText" text="FAIL">
      <formula>NOT(ISERROR(SEARCH("FAIL",L79)))</formula>
    </cfRule>
  </conditionalFormatting>
  <conditionalFormatting sqref="L79">
    <cfRule type="containsText" dxfId="5980" priority="1033" operator="containsText" text="GOOD">
      <formula>NOT(ISERROR(SEARCH("GOOD",L79)))</formula>
    </cfRule>
  </conditionalFormatting>
  <conditionalFormatting sqref="Z79:AA79">
    <cfRule type="containsText" dxfId="5979" priority="1032" operator="containsText" text="FAIL">
      <formula>NOT(ISERROR(SEARCH("FAIL",Z79)))</formula>
    </cfRule>
  </conditionalFormatting>
  <conditionalFormatting sqref="Z79:AA79">
    <cfRule type="containsText" dxfId="5978" priority="1031" operator="containsText" text="GOOD">
      <formula>NOT(ISERROR(SEARCH("GOOD",Z79)))</formula>
    </cfRule>
  </conditionalFormatting>
  <conditionalFormatting sqref="L80">
    <cfRule type="containsText" dxfId="5977" priority="1030" operator="containsText" text="FAIL">
      <formula>NOT(ISERROR(SEARCH("FAIL",L80)))</formula>
    </cfRule>
  </conditionalFormatting>
  <conditionalFormatting sqref="L80">
    <cfRule type="containsText" dxfId="5976" priority="1029" operator="containsText" text="GOOD">
      <formula>NOT(ISERROR(SEARCH("GOOD",L80)))</formula>
    </cfRule>
  </conditionalFormatting>
  <conditionalFormatting sqref="Z80:AA80">
    <cfRule type="containsText" dxfId="5975" priority="1028" operator="containsText" text="FAIL">
      <formula>NOT(ISERROR(SEARCH("FAIL",Z80)))</formula>
    </cfRule>
  </conditionalFormatting>
  <conditionalFormatting sqref="Z80:AA80">
    <cfRule type="containsText" dxfId="5974" priority="1027" operator="containsText" text="GOOD">
      <formula>NOT(ISERROR(SEARCH("GOOD",Z80)))</formula>
    </cfRule>
  </conditionalFormatting>
  <conditionalFormatting sqref="L81">
    <cfRule type="containsText" dxfId="5973" priority="1026" operator="containsText" text="FAIL">
      <formula>NOT(ISERROR(SEARCH("FAIL",L81)))</formula>
    </cfRule>
  </conditionalFormatting>
  <conditionalFormatting sqref="L81">
    <cfRule type="containsText" dxfId="5972" priority="1025" operator="containsText" text="GOOD">
      <formula>NOT(ISERROR(SEARCH("GOOD",L81)))</formula>
    </cfRule>
  </conditionalFormatting>
  <conditionalFormatting sqref="Z81:AA81">
    <cfRule type="containsText" dxfId="5971" priority="1024" operator="containsText" text="FAIL">
      <formula>NOT(ISERROR(SEARCH("FAIL",Z81)))</formula>
    </cfRule>
  </conditionalFormatting>
  <conditionalFormatting sqref="Z81:AA81">
    <cfRule type="containsText" dxfId="5970" priority="1023" operator="containsText" text="GOOD">
      <formula>NOT(ISERROR(SEARCH("GOOD",Z81)))</formula>
    </cfRule>
  </conditionalFormatting>
  <conditionalFormatting sqref="B81">
    <cfRule type="containsText" dxfId="5969" priority="1022" operator="containsText" text="FAIL">
      <formula>NOT(ISERROR(SEARCH("FAIL",B81)))</formula>
    </cfRule>
  </conditionalFormatting>
  <conditionalFormatting sqref="B81">
    <cfRule type="containsText" dxfId="5968" priority="1021" operator="containsText" text="GOOD">
      <formula>NOT(ISERROR(SEARCH("GOOD",B81)))</formula>
    </cfRule>
  </conditionalFormatting>
  <conditionalFormatting sqref="L82">
    <cfRule type="containsText" dxfId="5967" priority="1020" operator="containsText" text="FAIL">
      <formula>NOT(ISERROR(SEARCH("FAIL",L82)))</formula>
    </cfRule>
  </conditionalFormatting>
  <conditionalFormatting sqref="L82">
    <cfRule type="containsText" dxfId="5966" priority="1019" operator="containsText" text="GOOD">
      <formula>NOT(ISERROR(SEARCH("GOOD",L82)))</formula>
    </cfRule>
  </conditionalFormatting>
  <conditionalFormatting sqref="Z82:AA82">
    <cfRule type="containsText" dxfId="5965" priority="1018" operator="containsText" text="FAIL">
      <formula>NOT(ISERROR(SEARCH("FAIL",Z82)))</formula>
    </cfRule>
  </conditionalFormatting>
  <conditionalFormatting sqref="Z82:AA82">
    <cfRule type="containsText" dxfId="5964" priority="1017" operator="containsText" text="GOOD">
      <formula>NOT(ISERROR(SEARCH("GOOD",Z82)))</formula>
    </cfRule>
  </conditionalFormatting>
  <conditionalFormatting sqref="L85">
    <cfRule type="containsText" dxfId="5963" priority="1016" operator="containsText" text="FAIL">
      <formula>NOT(ISERROR(SEARCH("FAIL",L85)))</formula>
    </cfRule>
  </conditionalFormatting>
  <conditionalFormatting sqref="L85">
    <cfRule type="containsText" dxfId="5962" priority="1015" operator="containsText" text="GOOD">
      <formula>NOT(ISERROR(SEARCH("GOOD",L85)))</formula>
    </cfRule>
  </conditionalFormatting>
  <conditionalFormatting sqref="Z85:AA85">
    <cfRule type="containsText" dxfId="5961" priority="1014" operator="containsText" text="FAIL">
      <formula>NOT(ISERROR(SEARCH("FAIL",Z85)))</formula>
    </cfRule>
  </conditionalFormatting>
  <conditionalFormatting sqref="Z85:AA85">
    <cfRule type="containsText" dxfId="5960" priority="1013" operator="containsText" text="GOOD">
      <formula>NOT(ISERROR(SEARCH("GOOD",Z85)))</formula>
    </cfRule>
  </conditionalFormatting>
  <conditionalFormatting sqref="L84">
    <cfRule type="containsText" dxfId="5959" priority="1012" operator="containsText" text="FAIL">
      <formula>NOT(ISERROR(SEARCH("FAIL",L84)))</formula>
    </cfRule>
  </conditionalFormatting>
  <conditionalFormatting sqref="L84">
    <cfRule type="containsText" dxfId="5958" priority="1011" operator="containsText" text="GOOD">
      <formula>NOT(ISERROR(SEARCH("GOOD",L84)))</formula>
    </cfRule>
  </conditionalFormatting>
  <conditionalFormatting sqref="Z84:AA84">
    <cfRule type="containsText" dxfId="5957" priority="1010" operator="containsText" text="FAIL">
      <formula>NOT(ISERROR(SEARCH("FAIL",Z84)))</formula>
    </cfRule>
  </conditionalFormatting>
  <conditionalFormatting sqref="Z84:AA84">
    <cfRule type="containsText" dxfId="5956" priority="1009" operator="containsText" text="GOOD">
      <formula>NOT(ISERROR(SEARCH("GOOD",Z84)))</formula>
    </cfRule>
  </conditionalFormatting>
  <conditionalFormatting sqref="L83">
    <cfRule type="containsText" dxfId="5955" priority="1008" operator="containsText" text="FAIL">
      <formula>NOT(ISERROR(SEARCH("FAIL",L83)))</formula>
    </cfRule>
  </conditionalFormatting>
  <conditionalFormatting sqref="L83">
    <cfRule type="containsText" dxfId="5954" priority="1007" operator="containsText" text="GOOD">
      <formula>NOT(ISERROR(SEARCH("GOOD",L83)))</formula>
    </cfRule>
  </conditionalFormatting>
  <conditionalFormatting sqref="Z83:AA83">
    <cfRule type="containsText" dxfId="5953" priority="1006" operator="containsText" text="FAIL">
      <formula>NOT(ISERROR(SEARCH("FAIL",Z83)))</formula>
    </cfRule>
  </conditionalFormatting>
  <conditionalFormatting sqref="Z83:AA83">
    <cfRule type="containsText" dxfId="5952" priority="1005" operator="containsText" text="GOOD">
      <formula>NOT(ISERROR(SEARCH("GOOD",Z83)))</formula>
    </cfRule>
  </conditionalFormatting>
  <conditionalFormatting sqref="L86">
    <cfRule type="containsText" dxfId="5951" priority="1004" operator="containsText" text="FAIL">
      <formula>NOT(ISERROR(SEARCH("FAIL",L86)))</formula>
    </cfRule>
  </conditionalFormatting>
  <conditionalFormatting sqref="L86">
    <cfRule type="containsText" dxfId="5950" priority="1003" operator="containsText" text="GOOD">
      <formula>NOT(ISERROR(SEARCH("GOOD",L86)))</formula>
    </cfRule>
  </conditionalFormatting>
  <conditionalFormatting sqref="Z86:AA86">
    <cfRule type="containsText" dxfId="5949" priority="1002" operator="containsText" text="FAIL">
      <formula>NOT(ISERROR(SEARCH("FAIL",Z86)))</formula>
    </cfRule>
  </conditionalFormatting>
  <conditionalFormatting sqref="Z86:AA86">
    <cfRule type="containsText" dxfId="5948" priority="1001" operator="containsText" text="GOOD">
      <formula>NOT(ISERROR(SEARCH("GOOD",Z86)))</formula>
    </cfRule>
  </conditionalFormatting>
  <conditionalFormatting sqref="L90">
    <cfRule type="containsText" dxfId="5947" priority="1000" operator="containsText" text="FAIL">
      <formula>NOT(ISERROR(SEARCH("FAIL",L90)))</formula>
    </cfRule>
  </conditionalFormatting>
  <conditionalFormatting sqref="L90">
    <cfRule type="containsText" dxfId="5946" priority="999" operator="containsText" text="GOOD">
      <formula>NOT(ISERROR(SEARCH("GOOD",L90)))</formula>
    </cfRule>
  </conditionalFormatting>
  <conditionalFormatting sqref="Z90:AA90">
    <cfRule type="containsText" dxfId="5945" priority="998" operator="containsText" text="FAIL">
      <formula>NOT(ISERROR(SEARCH("FAIL",Z90)))</formula>
    </cfRule>
  </conditionalFormatting>
  <conditionalFormatting sqref="Z90:AA90">
    <cfRule type="containsText" dxfId="5944" priority="997" operator="containsText" text="GOOD">
      <formula>NOT(ISERROR(SEARCH("GOOD",Z90)))</formula>
    </cfRule>
  </conditionalFormatting>
  <conditionalFormatting sqref="B90">
    <cfRule type="containsText" dxfId="5943" priority="996" operator="containsText" text="FAIL">
      <formula>NOT(ISERROR(SEARCH("FAIL",B90)))</formula>
    </cfRule>
  </conditionalFormatting>
  <conditionalFormatting sqref="B90">
    <cfRule type="containsText" dxfId="5942" priority="995" operator="containsText" text="GOOD">
      <formula>NOT(ISERROR(SEARCH("GOOD",B90)))</formula>
    </cfRule>
  </conditionalFormatting>
  <conditionalFormatting sqref="L91">
    <cfRule type="containsText" dxfId="5941" priority="994" operator="containsText" text="FAIL">
      <formula>NOT(ISERROR(SEARCH("FAIL",L91)))</formula>
    </cfRule>
  </conditionalFormatting>
  <conditionalFormatting sqref="L91">
    <cfRule type="containsText" dxfId="5940" priority="993" operator="containsText" text="GOOD">
      <formula>NOT(ISERROR(SEARCH("GOOD",L91)))</formula>
    </cfRule>
  </conditionalFormatting>
  <conditionalFormatting sqref="Z91:AA91">
    <cfRule type="containsText" dxfId="5939" priority="992" operator="containsText" text="FAIL">
      <formula>NOT(ISERROR(SEARCH("FAIL",Z91)))</formula>
    </cfRule>
  </conditionalFormatting>
  <conditionalFormatting sqref="Z91:AA91">
    <cfRule type="containsText" dxfId="5938" priority="991" operator="containsText" text="GOOD">
      <formula>NOT(ISERROR(SEARCH("GOOD",Z91)))</formula>
    </cfRule>
  </conditionalFormatting>
  <conditionalFormatting sqref="B91">
    <cfRule type="containsText" dxfId="5937" priority="990" operator="containsText" text="FAIL">
      <formula>NOT(ISERROR(SEARCH("FAIL",B91)))</formula>
    </cfRule>
  </conditionalFormatting>
  <conditionalFormatting sqref="B91">
    <cfRule type="containsText" dxfId="5936" priority="989" operator="containsText" text="GOOD">
      <formula>NOT(ISERROR(SEARCH("GOOD",B91)))</formula>
    </cfRule>
  </conditionalFormatting>
  <conditionalFormatting sqref="L92">
    <cfRule type="containsText" dxfId="5935" priority="988" operator="containsText" text="FAIL">
      <formula>NOT(ISERROR(SEARCH("FAIL",L92)))</formula>
    </cfRule>
  </conditionalFormatting>
  <conditionalFormatting sqref="L92">
    <cfRule type="containsText" dxfId="5934" priority="987" operator="containsText" text="GOOD">
      <formula>NOT(ISERROR(SEARCH("GOOD",L92)))</formula>
    </cfRule>
  </conditionalFormatting>
  <conditionalFormatting sqref="Z92:AA92">
    <cfRule type="containsText" dxfId="5933" priority="986" operator="containsText" text="FAIL">
      <formula>NOT(ISERROR(SEARCH("FAIL",Z92)))</formula>
    </cfRule>
  </conditionalFormatting>
  <conditionalFormatting sqref="Z92:AA92">
    <cfRule type="containsText" dxfId="5932" priority="985" operator="containsText" text="GOOD">
      <formula>NOT(ISERROR(SEARCH("GOOD",Z92)))</formula>
    </cfRule>
  </conditionalFormatting>
  <conditionalFormatting sqref="B92">
    <cfRule type="containsText" dxfId="5931" priority="984" operator="containsText" text="FAIL">
      <formula>NOT(ISERROR(SEARCH("FAIL",B92)))</formula>
    </cfRule>
  </conditionalFormatting>
  <conditionalFormatting sqref="B92">
    <cfRule type="containsText" dxfId="5930" priority="983" operator="containsText" text="GOOD">
      <formula>NOT(ISERROR(SEARCH("GOOD",B92)))</formula>
    </cfRule>
  </conditionalFormatting>
  <conditionalFormatting sqref="L93">
    <cfRule type="containsText" dxfId="5929" priority="982" operator="containsText" text="FAIL">
      <formula>NOT(ISERROR(SEARCH("FAIL",L93)))</formula>
    </cfRule>
  </conditionalFormatting>
  <conditionalFormatting sqref="L93">
    <cfRule type="containsText" dxfId="5928" priority="981" operator="containsText" text="GOOD">
      <formula>NOT(ISERROR(SEARCH("GOOD",L93)))</formula>
    </cfRule>
  </conditionalFormatting>
  <conditionalFormatting sqref="Z93:AA93">
    <cfRule type="containsText" dxfId="5927" priority="980" operator="containsText" text="FAIL">
      <formula>NOT(ISERROR(SEARCH("FAIL",Z93)))</formula>
    </cfRule>
  </conditionalFormatting>
  <conditionalFormatting sqref="Z93:AA93">
    <cfRule type="containsText" dxfId="5926" priority="979" operator="containsText" text="GOOD">
      <formula>NOT(ISERROR(SEARCH("GOOD",Z93)))</formula>
    </cfRule>
  </conditionalFormatting>
  <conditionalFormatting sqref="B93">
    <cfRule type="containsText" dxfId="5925" priority="978" operator="containsText" text="FAIL">
      <formula>NOT(ISERROR(SEARCH("FAIL",B93)))</formula>
    </cfRule>
  </conditionalFormatting>
  <conditionalFormatting sqref="B93">
    <cfRule type="containsText" dxfId="5924" priority="977" operator="containsText" text="GOOD">
      <formula>NOT(ISERROR(SEARCH("GOOD",B93)))</formula>
    </cfRule>
  </conditionalFormatting>
  <conditionalFormatting sqref="L94">
    <cfRule type="containsText" dxfId="5923" priority="976" operator="containsText" text="FAIL">
      <formula>NOT(ISERROR(SEARCH("FAIL",L94)))</formula>
    </cfRule>
  </conditionalFormatting>
  <conditionalFormatting sqref="L94">
    <cfRule type="containsText" dxfId="5922" priority="975" operator="containsText" text="GOOD">
      <formula>NOT(ISERROR(SEARCH("GOOD",L94)))</formula>
    </cfRule>
  </conditionalFormatting>
  <conditionalFormatting sqref="Z94:AA94">
    <cfRule type="containsText" dxfId="5921" priority="974" operator="containsText" text="FAIL">
      <formula>NOT(ISERROR(SEARCH("FAIL",Z94)))</formula>
    </cfRule>
  </conditionalFormatting>
  <conditionalFormatting sqref="Z94:AA94">
    <cfRule type="containsText" dxfId="5920" priority="973" operator="containsText" text="GOOD">
      <formula>NOT(ISERROR(SEARCH("GOOD",Z94)))</formula>
    </cfRule>
  </conditionalFormatting>
  <conditionalFormatting sqref="B94">
    <cfRule type="containsText" dxfId="5919" priority="972" operator="containsText" text="FAIL">
      <formula>NOT(ISERROR(SEARCH("FAIL",B94)))</formula>
    </cfRule>
  </conditionalFormatting>
  <conditionalFormatting sqref="B94">
    <cfRule type="containsText" dxfId="5918" priority="971" operator="containsText" text="GOOD">
      <formula>NOT(ISERROR(SEARCH("GOOD",B94)))</formula>
    </cfRule>
  </conditionalFormatting>
  <conditionalFormatting sqref="L95">
    <cfRule type="containsText" dxfId="5917" priority="970" operator="containsText" text="FAIL">
      <formula>NOT(ISERROR(SEARCH("FAIL",L95)))</formula>
    </cfRule>
  </conditionalFormatting>
  <conditionalFormatting sqref="L95">
    <cfRule type="containsText" dxfId="5916" priority="969" operator="containsText" text="GOOD">
      <formula>NOT(ISERROR(SEARCH("GOOD",L95)))</formula>
    </cfRule>
  </conditionalFormatting>
  <conditionalFormatting sqref="Z95:AA95">
    <cfRule type="containsText" dxfId="5915" priority="968" operator="containsText" text="FAIL">
      <formula>NOT(ISERROR(SEARCH("FAIL",Z95)))</formula>
    </cfRule>
  </conditionalFormatting>
  <conditionalFormatting sqref="Z95:AA95">
    <cfRule type="containsText" dxfId="5914" priority="967" operator="containsText" text="GOOD">
      <formula>NOT(ISERROR(SEARCH("GOOD",Z95)))</formula>
    </cfRule>
  </conditionalFormatting>
  <conditionalFormatting sqref="B95">
    <cfRule type="containsText" dxfId="5913" priority="966" operator="containsText" text="FAIL">
      <formula>NOT(ISERROR(SEARCH("FAIL",B95)))</formula>
    </cfRule>
  </conditionalFormatting>
  <conditionalFormatting sqref="B95">
    <cfRule type="containsText" dxfId="5912" priority="965" operator="containsText" text="GOOD">
      <formula>NOT(ISERROR(SEARCH("GOOD",B95)))</formula>
    </cfRule>
  </conditionalFormatting>
  <conditionalFormatting sqref="L96">
    <cfRule type="containsText" dxfId="5911" priority="964" operator="containsText" text="FAIL">
      <formula>NOT(ISERROR(SEARCH("FAIL",L96)))</formula>
    </cfRule>
  </conditionalFormatting>
  <conditionalFormatting sqref="L96">
    <cfRule type="containsText" dxfId="5910" priority="963" operator="containsText" text="GOOD">
      <formula>NOT(ISERROR(SEARCH("GOOD",L96)))</formula>
    </cfRule>
  </conditionalFormatting>
  <conditionalFormatting sqref="Z96:AA96">
    <cfRule type="containsText" dxfId="5909" priority="962" operator="containsText" text="FAIL">
      <formula>NOT(ISERROR(SEARCH("FAIL",Z96)))</formula>
    </cfRule>
  </conditionalFormatting>
  <conditionalFormatting sqref="Z96:AA96">
    <cfRule type="containsText" dxfId="5908" priority="961" operator="containsText" text="GOOD">
      <formula>NOT(ISERROR(SEARCH("GOOD",Z96)))</formula>
    </cfRule>
  </conditionalFormatting>
  <conditionalFormatting sqref="B96">
    <cfRule type="containsText" dxfId="5907" priority="960" operator="containsText" text="FAIL">
      <formula>NOT(ISERROR(SEARCH("FAIL",B96)))</formula>
    </cfRule>
  </conditionalFormatting>
  <conditionalFormatting sqref="B96">
    <cfRule type="containsText" dxfId="5906" priority="959" operator="containsText" text="GOOD">
      <formula>NOT(ISERROR(SEARCH("GOOD",B96)))</formula>
    </cfRule>
  </conditionalFormatting>
  <conditionalFormatting sqref="L97">
    <cfRule type="containsText" dxfId="5905" priority="958" operator="containsText" text="FAIL">
      <formula>NOT(ISERROR(SEARCH("FAIL",L97)))</formula>
    </cfRule>
  </conditionalFormatting>
  <conditionalFormatting sqref="L97">
    <cfRule type="containsText" dxfId="5904" priority="957" operator="containsText" text="GOOD">
      <formula>NOT(ISERROR(SEARCH("GOOD",L97)))</formula>
    </cfRule>
  </conditionalFormatting>
  <conditionalFormatting sqref="Z97:AA97">
    <cfRule type="containsText" dxfId="5903" priority="956" operator="containsText" text="FAIL">
      <formula>NOT(ISERROR(SEARCH("FAIL",Z97)))</formula>
    </cfRule>
  </conditionalFormatting>
  <conditionalFormatting sqref="Z97:AA97">
    <cfRule type="containsText" dxfId="5902" priority="955" operator="containsText" text="GOOD">
      <formula>NOT(ISERROR(SEARCH("GOOD",Z97)))</formula>
    </cfRule>
  </conditionalFormatting>
  <conditionalFormatting sqref="L98">
    <cfRule type="containsText" dxfId="5901" priority="954" operator="containsText" text="FAIL">
      <formula>NOT(ISERROR(SEARCH("FAIL",L98)))</formula>
    </cfRule>
  </conditionalFormatting>
  <conditionalFormatting sqref="L98">
    <cfRule type="containsText" dxfId="5900" priority="953" operator="containsText" text="GOOD">
      <formula>NOT(ISERROR(SEARCH("GOOD",L98)))</formula>
    </cfRule>
  </conditionalFormatting>
  <conditionalFormatting sqref="Z98:AA98">
    <cfRule type="containsText" dxfId="5899" priority="952" operator="containsText" text="FAIL">
      <formula>NOT(ISERROR(SEARCH("FAIL",Z98)))</formula>
    </cfRule>
  </conditionalFormatting>
  <conditionalFormatting sqref="Z98:AA98">
    <cfRule type="containsText" dxfId="5898" priority="951" operator="containsText" text="GOOD">
      <formula>NOT(ISERROR(SEARCH("GOOD",Z98)))</formula>
    </cfRule>
  </conditionalFormatting>
  <conditionalFormatting sqref="L99">
    <cfRule type="containsText" dxfId="5897" priority="950" operator="containsText" text="FAIL">
      <formula>NOT(ISERROR(SEARCH("FAIL",L99)))</formula>
    </cfRule>
  </conditionalFormatting>
  <conditionalFormatting sqref="L99">
    <cfRule type="containsText" dxfId="5896" priority="949" operator="containsText" text="GOOD">
      <formula>NOT(ISERROR(SEARCH("GOOD",L99)))</formula>
    </cfRule>
  </conditionalFormatting>
  <conditionalFormatting sqref="Z99:AA99">
    <cfRule type="containsText" dxfId="5895" priority="948" operator="containsText" text="FAIL">
      <formula>NOT(ISERROR(SEARCH("FAIL",Z99)))</formula>
    </cfRule>
  </conditionalFormatting>
  <conditionalFormatting sqref="Z99:AA99">
    <cfRule type="containsText" dxfId="5894" priority="947" operator="containsText" text="GOOD">
      <formula>NOT(ISERROR(SEARCH("GOOD",Z99)))</formula>
    </cfRule>
  </conditionalFormatting>
  <conditionalFormatting sqref="L100">
    <cfRule type="containsText" dxfId="5893" priority="946" operator="containsText" text="FAIL">
      <formula>NOT(ISERROR(SEARCH("FAIL",L100)))</formula>
    </cfRule>
  </conditionalFormatting>
  <conditionalFormatting sqref="L100">
    <cfRule type="containsText" dxfId="5892" priority="945" operator="containsText" text="GOOD">
      <formula>NOT(ISERROR(SEARCH("GOOD",L100)))</formula>
    </cfRule>
  </conditionalFormatting>
  <conditionalFormatting sqref="Z100:AA100">
    <cfRule type="containsText" dxfId="5891" priority="944" operator="containsText" text="FAIL">
      <formula>NOT(ISERROR(SEARCH("FAIL",Z100)))</formula>
    </cfRule>
  </conditionalFormatting>
  <conditionalFormatting sqref="Z100:AA100">
    <cfRule type="containsText" dxfId="5890" priority="943" operator="containsText" text="GOOD">
      <formula>NOT(ISERROR(SEARCH("GOOD",Z100)))</formula>
    </cfRule>
  </conditionalFormatting>
  <conditionalFormatting sqref="L101">
    <cfRule type="containsText" dxfId="5889" priority="942" operator="containsText" text="FAIL">
      <formula>NOT(ISERROR(SEARCH("FAIL",L101)))</formula>
    </cfRule>
  </conditionalFormatting>
  <conditionalFormatting sqref="L101">
    <cfRule type="containsText" dxfId="5888" priority="941" operator="containsText" text="GOOD">
      <formula>NOT(ISERROR(SEARCH("GOOD",L101)))</formula>
    </cfRule>
  </conditionalFormatting>
  <conditionalFormatting sqref="Z101:AA101">
    <cfRule type="containsText" dxfId="5887" priority="940" operator="containsText" text="FAIL">
      <formula>NOT(ISERROR(SEARCH("FAIL",Z101)))</formula>
    </cfRule>
  </conditionalFormatting>
  <conditionalFormatting sqref="Z101:AA101">
    <cfRule type="containsText" dxfId="5886" priority="939" operator="containsText" text="GOOD">
      <formula>NOT(ISERROR(SEARCH("GOOD",Z101)))</formula>
    </cfRule>
  </conditionalFormatting>
  <conditionalFormatting sqref="L102">
    <cfRule type="containsText" dxfId="5885" priority="938" operator="containsText" text="FAIL">
      <formula>NOT(ISERROR(SEARCH("FAIL",L102)))</formula>
    </cfRule>
  </conditionalFormatting>
  <conditionalFormatting sqref="L102">
    <cfRule type="containsText" dxfId="5884" priority="937" operator="containsText" text="GOOD">
      <formula>NOT(ISERROR(SEARCH("GOOD",L102)))</formula>
    </cfRule>
  </conditionalFormatting>
  <conditionalFormatting sqref="Z102:AA102">
    <cfRule type="containsText" dxfId="5883" priority="936" operator="containsText" text="FAIL">
      <formula>NOT(ISERROR(SEARCH("FAIL",Z102)))</formula>
    </cfRule>
  </conditionalFormatting>
  <conditionalFormatting sqref="Z102:AA102">
    <cfRule type="containsText" dxfId="5882" priority="935" operator="containsText" text="GOOD">
      <formula>NOT(ISERROR(SEARCH("GOOD",Z102)))</formula>
    </cfRule>
  </conditionalFormatting>
  <conditionalFormatting sqref="L103">
    <cfRule type="containsText" dxfId="5881" priority="934" operator="containsText" text="FAIL">
      <formula>NOT(ISERROR(SEARCH("FAIL",L103)))</formula>
    </cfRule>
  </conditionalFormatting>
  <conditionalFormatting sqref="L103">
    <cfRule type="containsText" dxfId="5880" priority="933" operator="containsText" text="GOOD">
      <formula>NOT(ISERROR(SEARCH("GOOD",L103)))</formula>
    </cfRule>
  </conditionalFormatting>
  <conditionalFormatting sqref="Z103:AA103">
    <cfRule type="containsText" dxfId="5879" priority="932" operator="containsText" text="FAIL">
      <formula>NOT(ISERROR(SEARCH("FAIL",Z103)))</formula>
    </cfRule>
  </conditionalFormatting>
  <conditionalFormatting sqref="Z103:AA103">
    <cfRule type="containsText" dxfId="5878" priority="931" operator="containsText" text="GOOD">
      <formula>NOT(ISERROR(SEARCH("GOOD",Z103)))</formula>
    </cfRule>
  </conditionalFormatting>
  <conditionalFormatting sqref="L104">
    <cfRule type="containsText" dxfId="5877" priority="930" operator="containsText" text="FAIL">
      <formula>NOT(ISERROR(SEARCH("FAIL",L104)))</formula>
    </cfRule>
  </conditionalFormatting>
  <conditionalFormatting sqref="L104">
    <cfRule type="containsText" dxfId="5876" priority="929" operator="containsText" text="GOOD">
      <formula>NOT(ISERROR(SEARCH("GOOD",L104)))</formula>
    </cfRule>
  </conditionalFormatting>
  <conditionalFormatting sqref="Z104:AA104">
    <cfRule type="containsText" dxfId="5875" priority="928" operator="containsText" text="FAIL">
      <formula>NOT(ISERROR(SEARCH("FAIL",Z104)))</formula>
    </cfRule>
  </conditionalFormatting>
  <conditionalFormatting sqref="Z104:AA104">
    <cfRule type="containsText" dxfId="5874" priority="927" operator="containsText" text="GOOD">
      <formula>NOT(ISERROR(SEARCH("GOOD",Z104)))</formula>
    </cfRule>
  </conditionalFormatting>
  <conditionalFormatting sqref="L105">
    <cfRule type="containsText" dxfId="5873" priority="926" operator="containsText" text="FAIL">
      <formula>NOT(ISERROR(SEARCH("FAIL",L105)))</formula>
    </cfRule>
  </conditionalFormatting>
  <conditionalFormatting sqref="L105">
    <cfRule type="containsText" dxfId="5872" priority="925" operator="containsText" text="GOOD">
      <formula>NOT(ISERROR(SEARCH("GOOD",L105)))</formula>
    </cfRule>
  </conditionalFormatting>
  <conditionalFormatting sqref="Z105:AA105">
    <cfRule type="containsText" dxfId="5871" priority="924" operator="containsText" text="FAIL">
      <formula>NOT(ISERROR(SEARCH("FAIL",Z105)))</formula>
    </cfRule>
  </conditionalFormatting>
  <conditionalFormatting sqref="Z105:AA105">
    <cfRule type="containsText" dxfId="5870" priority="923" operator="containsText" text="GOOD">
      <formula>NOT(ISERROR(SEARCH("GOOD",Z105)))</formula>
    </cfRule>
  </conditionalFormatting>
  <conditionalFormatting sqref="L106">
    <cfRule type="containsText" dxfId="5869" priority="922" operator="containsText" text="FAIL">
      <formula>NOT(ISERROR(SEARCH("FAIL",L106)))</formula>
    </cfRule>
  </conditionalFormatting>
  <conditionalFormatting sqref="L106">
    <cfRule type="containsText" dxfId="5868" priority="921" operator="containsText" text="GOOD">
      <formula>NOT(ISERROR(SEARCH("GOOD",L106)))</formula>
    </cfRule>
  </conditionalFormatting>
  <conditionalFormatting sqref="Z106:AA110">
    <cfRule type="containsText" dxfId="5867" priority="920" operator="containsText" text="FAIL">
      <formula>NOT(ISERROR(SEARCH("FAIL",Z106)))</formula>
    </cfRule>
  </conditionalFormatting>
  <conditionalFormatting sqref="Z106:AA110">
    <cfRule type="containsText" dxfId="5866" priority="919" operator="containsText" text="GOOD">
      <formula>NOT(ISERROR(SEARCH("GOOD",Z106)))</formula>
    </cfRule>
  </conditionalFormatting>
  <conditionalFormatting sqref="L107">
    <cfRule type="containsText" dxfId="5865" priority="918" operator="containsText" text="FAIL">
      <formula>NOT(ISERROR(SEARCH("FAIL",L107)))</formula>
    </cfRule>
  </conditionalFormatting>
  <conditionalFormatting sqref="L107">
    <cfRule type="containsText" dxfId="5864" priority="917" operator="containsText" text="GOOD">
      <formula>NOT(ISERROR(SEARCH("GOOD",L107)))</formula>
    </cfRule>
  </conditionalFormatting>
  <conditionalFormatting sqref="L108">
    <cfRule type="containsText" dxfId="5863" priority="916" operator="containsText" text="FAIL">
      <formula>NOT(ISERROR(SEARCH("FAIL",L108)))</formula>
    </cfRule>
  </conditionalFormatting>
  <conditionalFormatting sqref="L108">
    <cfRule type="containsText" dxfId="5862" priority="915" operator="containsText" text="GOOD">
      <formula>NOT(ISERROR(SEARCH("GOOD",L108)))</formula>
    </cfRule>
  </conditionalFormatting>
  <conditionalFormatting sqref="L109">
    <cfRule type="containsText" dxfId="5861" priority="914" operator="containsText" text="FAIL">
      <formula>NOT(ISERROR(SEARCH("FAIL",L109)))</formula>
    </cfRule>
  </conditionalFormatting>
  <conditionalFormatting sqref="L109">
    <cfRule type="containsText" dxfId="5860" priority="913" operator="containsText" text="GOOD">
      <formula>NOT(ISERROR(SEARCH("GOOD",L109)))</formula>
    </cfRule>
  </conditionalFormatting>
  <conditionalFormatting sqref="L110">
    <cfRule type="containsText" dxfId="5859" priority="912" operator="containsText" text="FAIL">
      <formula>NOT(ISERROR(SEARCH("FAIL",L110)))</formula>
    </cfRule>
  </conditionalFormatting>
  <conditionalFormatting sqref="L110">
    <cfRule type="containsText" dxfId="5858" priority="911" operator="containsText" text="GOOD">
      <formula>NOT(ISERROR(SEARCH("GOOD",L110)))</formula>
    </cfRule>
  </conditionalFormatting>
  <conditionalFormatting sqref="B110">
    <cfRule type="containsText" dxfId="5857" priority="910" operator="containsText" text="FAIL">
      <formula>NOT(ISERROR(SEARCH("FAIL",B110)))</formula>
    </cfRule>
  </conditionalFormatting>
  <conditionalFormatting sqref="B110">
    <cfRule type="containsText" dxfId="5856" priority="909" operator="containsText" text="GOOD">
      <formula>NOT(ISERROR(SEARCH("GOOD",B110)))</formula>
    </cfRule>
  </conditionalFormatting>
  <conditionalFormatting sqref="L114">
    <cfRule type="containsText" dxfId="5855" priority="908" operator="containsText" text="FAIL">
      <formula>NOT(ISERROR(SEARCH("FAIL",L114)))</formula>
    </cfRule>
  </conditionalFormatting>
  <conditionalFormatting sqref="L114">
    <cfRule type="containsText" dxfId="5854" priority="907" operator="containsText" text="GOOD">
      <formula>NOT(ISERROR(SEARCH("GOOD",L114)))</formula>
    </cfRule>
  </conditionalFormatting>
  <conditionalFormatting sqref="Z114:AA114">
    <cfRule type="containsText" dxfId="5853" priority="906" operator="containsText" text="FAIL">
      <formula>NOT(ISERROR(SEARCH("FAIL",Z114)))</formula>
    </cfRule>
  </conditionalFormatting>
  <conditionalFormatting sqref="Z114:AA114">
    <cfRule type="containsText" dxfId="5852" priority="905" operator="containsText" text="GOOD">
      <formula>NOT(ISERROR(SEARCH("GOOD",Z114)))</formula>
    </cfRule>
  </conditionalFormatting>
  <conditionalFormatting sqref="B114">
    <cfRule type="containsText" dxfId="5851" priority="904" operator="containsText" text="FAIL">
      <formula>NOT(ISERROR(SEARCH("FAIL",B114)))</formula>
    </cfRule>
  </conditionalFormatting>
  <conditionalFormatting sqref="B114">
    <cfRule type="containsText" dxfId="5850" priority="903" operator="containsText" text="GOOD">
      <formula>NOT(ISERROR(SEARCH("GOOD",B114)))</formula>
    </cfRule>
  </conditionalFormatting>
  <conditionalFormatting sqref="L115">
    <cfRule type="containsText" dxfId="5849" priority="902" operator="containsText" text="FAIL">
      <formula>NOT(ISERROR(SEARCH("FAIL",L115)))</formula>
    </cfRule>
  </conditionalFormatting>
  <conditionalFormatting sqref="L115">
    <cfRule type="containsText" dxfId="5848" priority="901" operator="containsText" text="GOOD">
      <formula>NOT(ISERROR(SEARCH("GOOD",L115)))</formula>
    </cfRule>
  </conditionalFormatting>
  <conditionalFormatting sqref="Z115:AA115">
    <cfRule type="containsText" dxfId="5847" priority="900" operator="containsText" text="FAIL">
      <formula>NOT(ISERROR(SEARCH("FAIL",Z115)))</formula>
    </cfRule>
  </conditionalFormatting>
  <conditionalFormatting sqref="Z115:AA115">
    <cfRule type="containsText" dxfId="5846" priority="899" operator="containsText" text="GOOD">
      <formula>NOT(ISERROR(SEARCH("GOOD",Z115)))</formula>
    </cfRule>
  </conditionalFormatting>
  <conditionalFormatting sqref="L116">
    <cfRule type="containsText" dxfId="5845" priority="898" operator="containsText" text="FAIL">
      <formula>NOT(ISERROR(SEARCH("FAIL",L116)))</formula>
    </cfRule>
  </conditionalFormatting>
  <conditionalFormatting sqref="L116">
    <cfRule type="containsText" dxfId="5844" priority="897" operator="containsText" text="GOOD">
      <formula>NOT(ISERROR(SEARCH("GOOD",L116)))</formula>
    </cfRule>
  </conditionalFormatting>
  <conditionalFormatting sqref="Z116:AA116">
    <cfRule type="containsText" dxfId="5843" priority="896" operator="containsText" text="FAIL">
      <formula>NOT(ISERROR(SEARCH("FAIL",Z116)))</formula>
    </cfRule>
  </conditionalFormatting>
  <conditionalFormatting sqref="Z116:AA116">
    <cfRule type="containsText" dxfId="5842" priority="895" operator="containsText" text="GOOD">
      <formula>NOT(ISERROR(SEARCH("GOOD",Z116)))</formula>
    </cfRule>
  </conditionalFormatting>
  <conditionalFormatting sqref="L117">
    <cfRule type="containsText" dxfId="5841" priority="894" operator="containsText" text="FAIL">
      <formula>NOT(ISERROR(SEARCH("FAIL",L117)))</formula>
    </cfRule>
  </conditionalFormatting>
  <conditionalFormatting sqref="L117">
    <cfRule type="containsText" dxfId="5840" priority="893" operator="containsText" text="GOOD">
      <formula>NOT(ISERROR(SEARCH("GOOD",L117)))</formula>
    </cfRule>
  </conditionalFormatting>
  <conditionalFormatting sqref="Z117:AA117">
    <cfRule type="containsText" dxfId="5839" priority="892" operator="containsText" text="FAIL">
      <formula>NOT(ISERROR(SEARCH("FAIL",Z117)))</formula>
    </cfRule>
  </conditionalFormatting>
  <conditionalFormatting sqref="Z117:AA117">
    <cfRule type="containsText" dxfId="5838" priority="891" operator="containsText" text="GOOD">
      <formula>NOT(ISERROR(SEARCH("GOOD",Z117)))</formula>
    </cfRule>
  </conditionalFormatting>
  <conditionalFormatting sqref="L118">
    <cfRule type="containsText" dxfId="5837" priority="890" operator="containsText" text="FAIL">
      <formula>NOT(ISERROR(SEARCH("FAIL",L118)))</formula>
    </cfRule>
  </conditionalFormatting>
  <conditionalFormatting sqref="L118">
    <cfRule type="containsText" dxfId="5836" priority="889" operator="containsText" text="GOOD">
      <formula>NOT(ISERROR(SEARCH("GOOD",L118)))</formula>
    </cfRule>
  </conditionalFormatting>
  <conditionalFormatting sqref="Z118:AA118">
    <cfRule type="containsText" dxfId="5835" priority="888" operator="containsText" text="FAIL">
      <formula>NOT(ISERROR(SEARCH("FAIL",Z118)))</formula>
    </cfRule>
  </conditionalFormatting>
  <conditionalFormatting sqref="Z118:AA118">
    <cfRule type="containsText" dxfId="5834" priority="887" operator="containsText" text="GOOD">
      <formula>NOT(ISERROR(SEARCH("GOOD",Z118)))</formula>
    </cfRule>
  </conditionalFormatting>
  <conditionalFormatting sqref="L119">
    <cfRule type="containsText" dxfId="5833" priority="886" operator="containsText" text="FAIL">
      <formula>NOT(ISERROR(SEARCH("FAIL",L119)))</formula>
    </cfRule>
  </conditionalFormatting>
  <conditionalFormatting sqref="L119">
    <cfRule type="containsText" dxfId="5832" priority="885" operator="containsText" text="GOOD">
      <formula>NOT(ISERROR(SEARCH("GOOD",L119)))</formula>
    </cfRule>
  </conditionalFormatting>
  <conditionalFormatting sqref="Z119:AA120">
    <cfRule type="containsText" dxfId="5831" priority="884" operator="containsText" text="FAIL">
      <formula>NOT(ISERROR(SEARCH("FAIL",Z119)))</formula>
    </cfRule>
  </conditionalFormatting>
  <conditionalFormatting sqref="Z119:AA120">
    <cfRule type="containsText" dxfId="5830" priority="883" operator="containsText" text="GOOD">
      <formula>NOT(ISERROR(SEARCH("GOOD",Z119)))</formula>
    </cfRule>
  </conditionalFormatting>
  <conditionalFormatting sqref="L120">
    <cfRule type="containsText" dxfId="5829" priority="882" operator="containsText" text="FAIL">
      <formula>NOT(ISERROR(SEARCH("FAIL",L120)))</formula>
    </cfRule>
  </conditionalFormatting>
  <conditionalFormatting sqref="L120">
    <cfRule type="containsText" dxfId="5828" priority="881" operator="containsText" text="GOOD">
      <formula>NOT(ISERROR(SEARCH("GOOD",L120)))</formula>
    </cfRule>
  </conditionalFormatting>
  <conditionalFormatting sqref="L148">
    <cfRule type="containsText" dxfId="5827" priority="880" operator="containsText" text="FAIL">
      <formula>NOT(ISERROR(SEARCH("FAIL",L148)))</formula>
    </cfRule>
  </conditionalFormatting>
  <conditionalFormatting sqref="L148">
    <cfRule type="containsText" dxfId="5826" priority="879" operator="containsText" text="GOOD">
      <formula>NOT(ISERROR(SEARCH("GOOD",L148)))</formula>
    </cfRule>
  </conditionalFormatting>
  <conditionalFormatting sqref="Z148:AA148">
    <cfRule type="containsText" dxfId="5825" priority="878" operator="containsText" text="FAIL">
      <formula>NOT(ISERROR(SEARCH("FAIL",Z148)))</formula>
    </cfRule>
  </conditionalFormatting>
  <conditionalFormatting sqref="Z148:AA148">
    <cfRule type="containsText" dxfId="5824" priority="877" operator="containsText" text="GOOD">
      <formula>NOT(ISERROR(SEARCH("GOOD",Z148)))</formula>
    </cfRule>
  </conditionalFormatting>
  <conditionalFormatting sqref="B148">
    <cfRule type="containsText" dxfId="5823" priority="876" operator="containsText" text="FAIL">
      <formula>NOT(ISERROR(SEARCH("FAIL",B148)))</formula>
    </cfRule>
  </conditionalFormatting>
  <conditionalFormatting sqref="B148">
    <cfRule type="containsText" dxfId="5822" priority="875" operator="containsText" text="GOOD">
      <formula>NOT(ISERROR(SEARCH("GOOD",B148)))</formula>
    </cfRule>
  </conditionalFormatting>
  <conditionalFormatting sqref="L149">
    <cfRule type="containsText" dxfId="5821" priority="874" operator="containsText" text="FAIL">
      <formula>NOT(ISERROR(SEARCH("FAIL",L149)))</formula>
    </cfRule>
  </conditionalFormatting>
  <conditionalFormatting sqref="L149">
    <cfRule type="containsText" dxfId="5820" priority="873" operator="containsText" text="GOOD">
      <formula>NOT(ISERROR(SEARCH("GOOD",L149)))</formula>
    </cfRule>
  </conditionalFormatting>
  <conditionalFormatting sqref="Z149:AA149">
    <cfRule type="containsText" dxfId="5819" priority="872" operator="containsText" text="FAIL">
      <formula>NOT(ISERROR(SEARCH("FAIL",Z149)))</formula>
    </cfRule>
  </conditionalFormatting>
  <conditionalFormatting sqref="Z149:AA149">
    <cfRule type="containsText" dxfId="5818" priority="871" operator="containsText" text="GOOD">
      <formula>NOT(ISERROR(SEARCH("GOOD",Z149)))</formula>
    </cfRule>
  </conditionalFormatting>
  <conditionalFormatting sqref="B149">
    <cfRule type="containsText" dxfId="5817" priority="870" operator="containsText" text="FAIL">
      <formula>NOT(ISERROR(SEARCH("FAIL",B149)))</formula>
    </cfRule>
  </conditionalFormatting>
  <conditionalFormatting sqref="B149">
    <cfRule type="containsText" dxfId="5816" priority="869" operator="containsText" text="GOOD">
      <formula>NOT(ISERROR(SEARCH("GOOD",B149)))</formula>
    </cfRule>
  </conditionalFormatting>
  <conditionalFormatting sqref="L150">
    <cfRule type="containsText" dxfId="5815" priority="868" operator="containsText" text="FAIL">
      <formula>NOT(ISERROR(SEARCH("FAIL",L150)))</formula>
    </cfRule>
  </conditionalFormatting>
  <conditionalFormatting sqref="L150">
    <cfRule type="containsText" dxfId="5814" priority="867" operator="containsText" text="GOOD">
      <formula>NOT(ISERROR(SEARCH("GOOD",L150)))</formula>
    </cfRule>
  </conditionalFormatting>
  <conditionalFormatting sqref="Z150:AA150">
    <cfRule type="containsText" dxfId="5813" priority="866" operator="containsText" text="FAIL">
      <formula>NOT(ISERROR(SEARCH("FAIL",Z150)))</formula>
    </cfRule>
  </conditionalFormatting>
  <conditionalFormatting sqref="Z150:AA150">
    <cfRule type="containsText" dxfId="5812" priority="865" operator="containsText" text="GOOD">
      <formula>NOT(ISERROR(SEARCH("GOOD",Z150)))</formula>
    </cfRule>
  </conditionalFormatting>
  <conditionalFormatting sqref="B150">
    <cfRule type="containsText" dxfId="5811" priority="864" operator="containsText" text="FAIL">
      <formula>NOT(ISERROR(SEARCH("FAIL",B150)))</formula>
    </cfRule>
  </conditionalFormatting>
  <conditionalFormatting sqref="B150">
    <cfRule type="containsText" dxfId="5810" priority="863" operator="containsText" text="GOOD">
      <formula>NOT(ISERROR(SEARCH("GOOD",B150)))</formula>
    </cfRule>
  </conditionalFormatting>
  <conditionalFormatting sqref="L151">
    <cfRule type="containsText" dxfId="5809" priority="862" operator="containsText" text="FAIL">
      <formula>NOT(ISERROR(SEARCH("FAIL",L151)))</formula>
    </cfRule>
  </conditionalFormatting>
  <conditionalFormatting sqref="L151">
    <cfRule type="containsText" dxfId="5808" priority="861" operator="containsText" text="GOOD">
      <formula>NOT(ISERROR(SEARCH("GOOD",L151)))</formula>
    </cfRule>
  </conditionalFormatting>
  <conditionalFormatting sqref="Z151:AA151">
    <cfRule type="containsText" dxfId="5807" priority="860" operator="containsText" text="FAIL">
      <formula>NOT(ISERROR(SEARCH("FAIL",Z151)))</formula>
    </cfRule>
  </conditionalFormatting>
  <conditionalFormatting sqref="Z151:AA151">
    <cfRule type="containsText" dxfId="5806" priority="859" operator="containsText" text="GOOD">
      <formula>NOT(ISERROR(SEARCH("GOOD",Z151)))</formula>
    </cfRule>
  </conditionalFormatting>
  <conditionalFormatting sqref="L155">
    <cfRule type="containsText" dxfId="5805" priority="858" operator="containsText" text="FAIL">
      <formula>NOT(ISERROR(SEARCH("FAIL",L155)))</formula>
    </cfRule>
  </conditionalFormatting>
  <conditionalFormatting sqref="L155">
    <cfRule type="containsText" dxfId="5804" priority="857" operator="containsText" text="GOOD">
      <formula>NOT(ISERROR(SEARCH("GOOD",L155)))</formula>
    </cfRule>
  </conditionalFormatting>
  <conditionalFormatting sqref="Z155:AA155">
    <cfRule type="containsText" dxfId="5803" priority="856" operator="containsText" text="FAIL">
      <formula>NOT(ISERROR(SEARCH("FAIL",Z155)))</formula>
    </cfRule>
  </conditionalFormatting>
  <conditionalFormatting sqref="Z155:AA155">
    <cfRule type="containsText" dxfId="5802" priority="855" operator="containsText" text="GOOD">
      <formula>NOT(ISERROR(SEARCH("GOOD",Z155)))</formula>
    </cfRule>
  </conditionalFormatting>
  <conditionalFormatting sqref="L154">
    <cfRule type="containsText" dxfId="5801" priority="854" operator="containsText" text="FAIL">
      <formula>NOT(ISERROR(SEARCH("FAIL",L154)))</formula>
    </cfRule>
  </conditionalFormatting>
  <conditionalFormatting sqref="L154">
    <cfRule type="containsText" dxfId="5800" priority="853" operator="containsText" text="GOOD">
      <formula>NOT(ISERROR(SEARCH("GOOD",L154)))</formula>
    </cfRule>
  </conditionalFormatting>
  <conditionalFormatting sqref="Z154:AA154">
    <cfRule type="containsText" dxfId="5799" priority="852" operator="containsText" text="FAIL">
      <formula>NOT(ISERROR(SEARCH("FAIL",Z154)))</formula>
    </cfRule>
  </conditionalFormatting>
  <conditionalFormatting sqref="Z154:AA154">
    <cfRule type="containsText" dxfId="5798" priority="851" operator="containsText" text="GOOD">
      <formula>NOT(ISERROR(SEARCH("GOOD",Z154)))</formula>
    </cfRule>
  </conditionalFormatting>
  <conditionalFormatting sqref="L153">
    <cfRule type="containsText" dxfId="5797" priority="850" operator="containsText" text="FAIL">
      <formula>NOT(ISERROR(SEARCH("FAIL",L153)))</formula>
    </cfRule>
  </conditionalFormatting>
  <conditionalFormatting sqref="L153">
    <cfRule type="containsText" dxfId="5796" priority="849" operator="containsText" text="GOOD">
      <formula>NOT(ISERROR(SEARCH("GOOD",L153)))</formula>
    </cfRule>
  </conditionalFormatting>
  <conditionalFormatting sqref="Z153:AA153">
    <cfRule type="containsText" dxfId="5795" priority="848" operator="containsText" text="FAIL">
      <formula>NOT(ISERROR(SEARCH("FAIL",Z153)))</formula>
    </cfRule>
  </conditionalFormatting>
  <conditionalFormatting sqref="Z153:AA153">
    <cfRule type="containsText" dxfId="5794" priority="847" operator="containsText" text="GOOD">
      <formula>NOT(ISERROR(SEARCH("GOOD",Z153)))</formula>
    </cfRule>
  </conditionalFormatting>
  <conditionalFormatting sqref="L152">
    <cfRule type="containsText" dxfId="5793" priority="846" operator="containsText" text="FAIL">
      <formula>NOT(ISERROR(SEARCH("FAIL",L152)))</formula>
    </cfRule>
  </conditionalFormatting>
  <conditionalFormatting sqref="L152">
    <cfRule type="containsText" dxfId="5792" priority="845" operator="containsText" text="GOOD">
      <formula>NOT(ISERROR(SEARCH("GOOD",L152)))</formula>
    </cfRule>
  </conditionalFormatting>
  <conditionalFormatting sqref="Z152:AA152">
    <cfRule type="containsText" dxfId="5791" priority="844" operator="containsText" text="FAIL">
      <formula>NOT(ISERROR(SEARCH("FAIL",Z152)))</formula>
    </cfRule>
  </conditionalFormatting>
  <conditionalFormatting sqref="Z152:AA152">
    <cfRule type="containsText" dxfId="5790" priority="843" operator="containsText" text="GOOD">
      <formula>NOT(ISERROR(SEARCH("GOOD",Z152)))</formula>
    </cfRule>
  </conditionalFormatting>
  <conditionalFormatting sqref="L156">
    <cfRule type="containsText" dxfId="5789" priority="842" operator="containsText" text="FAIL">
      <formula>NOT(ISERROR(SEARCH("FAIL",L156)))</formula>
    </cfRule>
  </conditionalFormatting>
  <conditionalFormatting sqref="L156">
    <cfRule type="containsText" dxfId="5788" priority="841" operator="containsText" text="GOOD">
      <formula>NOT(ISERROR(SEARCH("GOOD",L156)))</formula>
    </cfRule>
  </conditionalFormatting>
  <conditionalFormatting sqref="Z156:AA156">
    <cfRule type="containsText" dxfId="5787" priority="840" operator="containsText" text="FAIL">
      <formula>NOT(ISERROR(SEARCH("FAIL",Z156)))</formula>
    </cfRule>
  </conditionalFormatting>
  <conditionalFormatting sqref="Z156:AA156">
    <cfRule type="containsText" dxfId="5786" priority="839" operator="containsText" text="GOOD">
      <formula>NOT(ISERROR(SEARCH("GOOD",Z156)))</formula>
    </cfRule>
  </conditionalFormatting>
  <conditionalFormatting sqref="L157">
    <cfRule type="containsText" dxfId="5785" priority="838" operator="containsText" text="FAIL">
      <formula>NOT(ISERROR(SEARCH("FAIL",L157)))</formula>
    </cfRule>
  </conditionalFormatting>
  <conditionalFormatting sqref="L157">
    <cfRule type="containsText" dxfId="5784" priority="837" operator="containsText" text="GOOD">
      <formula>NOT(ISERROR(SEARCH("GOOD",L157)))</formula>
    </cfRule>
  </conditionalFormatting>
  <conditionalFormatting sqref="Z157:AA157">
    <cfRule type="containsText" dxfId="5783" priority="836" operator="containsText" text="FAIL">
      <formula>NOT(ISERROR(SEARCH("FAIL",Z157)))</formula>
    </cfRule>
  </conditionalFormatting>
  <conditionalFormatting sqref="Z157:AA157">
    <cfRule type="containsText" dxfId="5782" priority="835" operator="containsText" text="GOOD">
      <formula>NOT(ISERROR(SEARCH("GOOD",Z157)))</formula>
    </cfRule>
  </conditionalFormatting>
  <conditionalFormatting sqref="L158">
    <cfRule type="containsText" dxfId="5781" priority="834" operator="containsText" text="FAIL">
      <formula>NOT(ISERROR(SEARCH("FAIL",L158)))</formula>
    </cfRule>
  </conditionalFormatting>
  <conditionalFormatting sqref="L158">
    <cfRule type="containsText" dxfId="5780" priority="833" operator="containsText" text="GOOD">
      <formula>NOT(ISERROR(SEARCH("GOOD",L158)))</formula>
    </cfRule>
  </conditionalFormatting>
  <conditionalFormatting sqref="Z158:AA158">
    <cfRule type="containsText" dxfId="5779" priority="832" operator="containsText" text="FAIL">
      <formula>NOT(ISERROR(SEARCH("FAIL",Z158)))</formula>
    </cfRule>
  </conditionalFormatting>
  <conditionalFormatting sqref="Z158:AA158">
    <cfRule type="containsText" dxfId="5778" priority="831" operator="containsText" text="GOOD">
      <formula>NOT(ISERROR(SEARCH("GOOD",Z158)))</formula>
    </cfRule>
  </conditionalFormatting>
  <conditionalFormatting sqref="L159">
    <cfRule type="containsText" dxfId="5777" priority="830" operator="containsText" text="FAIL">
      <formula>NOT(ISERROR(SEARCH("FAIL",L159)))</formula>
    </cfRule>
  </conditionalFormatting>
  <conditionalFormatting sqref="L159">
    <cfRule type="containsText" dxfId="5776" priority="829" operator="containsText" text="GOOD">
      <formula>NOT(ISERROR(SEARCH("GOOD",L159)))</formula>
    </cfRule>
  </conditionalFormatting>
  <conditionalFormatting sqref="Z159:AA159">
    <cfRule type="containsText" dxfId="5775" priority="828" operator="containsText" text="FAIL">
      <formula>NOT(ISERROR(SEARCH("FAIL",Z159)))</formula>
    </cfRule>
  </conditionalFormatting>
  <conditionalFormatting sqref="Z159:AA159">
    <cfRule type="containsText" dxfId="5774" priority="827" operator="containsText" text="GOOD">
      <formula>NOT(ISERROR(SEARCH("GOOD",Z159)))</formula>
    </cfRule>
  </conditionalFormatting>
  <conditionalFormatting sqref="L160">
    <cfRule type="containsText" dxfId="5773" priority="826" operator="containsText" text="FAIL">
      <formula>NOT(ISERROR(SEARCH("FAIL",L160)))</formula>
    </cfRule>
  </conditionalFormatting>
  <conditionalFormatting sqref="L160">
    <cfRule type="containsText" dxfId="5772" priority="825" operator="containsText" text="GOOD">
      <formula>NOT(ISERROR(SEARCH("GOOD",L160)))</formula>
    </cfRule>
  </conditionalFormatting>
  <conditionalFormatting sqref="Z160:AA160">
    <cfRule type="containsText" dxfId="5771" priority="824" operator="containsText" text="FAIL">
      <formula>NOT(ISERROR(SEARCH("FAIL",Z160)))</formula>
    </cfRule>
  </conditionalFormatting>
  <conditionalFormatting sqref="Z160:AA160">
    <cfRule type="containsText" dxfId="5770" priority="823" operator="containsText" text="GOOD">
      <formula>NOT(ISERROR(SEARCH("GOOD",Z160)))</formula>
    </cfRule>
  </conditionalFormatting>
  <conditionalFormatting sqref="L161">
    <cfRule type="containsText" dxfId="5769" priority="822" operator="containsText" text="FAIL">
      <formula>NOT(ISERROR(SEARCH("FAIL",L161)))</formula>
    </cfRule>
  </conditionalFormatting>
  <conditionalFormatting sqref="L161">
    <cfRule type="containsText" dxfId="5768" priority="821" operator="containsText" text="GOOD">
      <formula>NOT(ISERROR(SEARCH("GOOD",L161)))</formula>
    </cfRule>
  </conditionalFormatting>
  <conditionalFormatting sqref="Z161:AA162">
    <cfRule type="containsText" dxfId="5767" priority="820" operator="containsText" text="FAIL">
      <formula>NOT(ISERROR(SEARCH("FAIL",Z161)))</formula>
    </cfRule>
  </conditionalFormatting>
  <conditionalFormatting sqref="Z161:AA162">
    <cfRule type="containsText" dxfId="5766" priority="819" operator="containsText" text="GOOD">
      <formula>NOT(ISERROR(SEARCH("GOOD",Z161)))</formula>
    </cfRule>
  </conditionalFormatting>
  <conditionalFormatting sqref="L162">
    <cfRule type="containsText" dxfId="5765" priority="818" operator="containsText" text="FAIL">
      <formula>NOT(ISERROR(SEARCH("FAIL",L162)))</formula>
    </cfRule>
  </conditionalFormatting>
  <conditionalFormatting sqref="L162">
    <cfRule type="containsText" dxfId="5764" priority="817" operator="containsText" text="GOOD">
      <formula>NOT(ISERROR(SEARCH("GOOD",L162)))</formula>
    </cfRule>
  </conditionalFormatting>
  <conditionalFormatting sqref="B162">
    <cfRule type="containsText" dxfId="5763" priority="816" operator="containsText" text="FAIL">
      <formula>NOT(ISERROR(SEARCH("FAIL",B162)))</formula>
    </cfRule>
  </conditionalFormatting>
  <conditionalFormatting sqref="B162">
    <cfRule type="containsText" dxfId="5762" priority="815" operator="containsText" text="GOOD">
      <formula>NOT(ISERROR(SEARCH("GOOD",B162)))</formula>
    </cfRule>
  </conditionalFormatting>
  <conditionalFormatting sqref="B185">
    <cfRule type="containsText" dxfId="5761" priority="809" operator="containsText" text="GOOD">
      <formula>NOT(ISERROR(SEARCH("GOOD",B185)))</formula>
    </cfRule>
  </conditionalFormatting>
  <conditionalFormatting sqref="L185">
    <cfRule type="containsText" dxfId="5760" priority="814" operator="containsText" text="FAIL">
      <formula>NOT(ISERROR(SEARCH("FAIL",L185)))</formula>
    </cfRule>
  </conditionalFormatting>
  <conditionalFormatting sqref="L185">
    <cfRule type="containsText" dxfId="5759" priority="813" operator="containsText" text="GOOD">
      <formula>NOT(ISERROR(SEARCH("GOOD",L185)))</formula>
    </cfRule>
  </conditionalFormatting>
  <conditionalFormatting sqref="Z185:AA185">
    <cfRule type="containsText" dxfId="5758" priority="812" operator="containsText" text="FAIL">
      <formula>NOT(ISERROR(SEARCH("FAIL",Z185)))</formula>
    </cfRule>
  </conditionalFormatting>
  <conditionalFormatting sqref="Z185:AA185">
    <cfRule type="containsText" dxfId="5757" priority="811" operator="containsText" text="GOOD">
      <formula>NOT(ISERROR(SEARCH("GOOD",Z185)))</formula>
    </cfRule>
  </conditionalFormatting>
  <conditionalFormatting sqref="B185">
    <cfRule type="containsText" dxfId="5756" priority="810" operator="containsText" text="FAIL">
      <formula>NOT(ISERROR(SEARCH("FAIL",B185)))</formula>
    </cfRule>
  </conditionalFormatting>
  <conditionalFormatting sqref="L186:L187">
    <cfRule type="containsText" dxfId="5755" priority="784" operator="containsText" text="FAIL">
      <formula>NOT(ISERROR(SEARCH("FAIL",L186)))</formula>
    </cfRule>
  </conditionalFormatting>
  <conditionalFormatting sqref="L186:L187">
    <cfRule type="containsText" dxfId="5754" priority="783" operator="containsText" text="GOOD">
      <formula>NOT(ISERROR(SEARCH("GOOD",L186)))</formula>
    </cfRule>
  </conditionalFormatting>
  <conditionalFormatting sqref="L191">
    <cfRule type="containsText" dxfId="5753" priority="808" operator="containsText" text="FAIL">
      <formula>NOT(ISERROR(SEARCH("FAIL",L191)))</formula>
    </cfRule>
  </conditionalFormatting>
  <conditionalFormatting sqref="L191">
    <cfRule type="containsText" dxfId="5752" priority="807" operator="containsText" text="GOOD">
      <formula>NOT(ISERROR(SEARCH("GOOD",L191)))</formula>
    </cfRule>
  </conditionalFormatting>
  <conditionalFormatting sqref="Z191:AA191">
    <cfRule type="containsText" dxfId="5751" priority="806" operator="containsText" text="FAIL">
      <formula>NOT(ISERROR(SEARCH("FAIL",Z191)))</formula>
    </cfRule>
  </conditionalFormatting>
  <conditionalFormatting sqref="Z191:AA191">
    <cfRule type="containsText" dxfId="5750" priority="805" operator="containsText" text="GOOD">
      <formula>NOT(ISERROR(SEARCH("GOOD",Z191)))</formula>
    </cfRule>
  </conditionalFormatting>
  <conditionalFormatting sqref="B191">
    <cfRule type="containsText" dxfId="5749" priority="804" operator="containsText" text="FAIL">
      <formula>NOT(ISERROR(SEARCH("FAIL",B191)))</formula>
    </cfRule>
  </conditionalFormatting>
  <conditionalFormatting sqref="B191">
    <cfRule type="containsText" dxfId="5748" priority="803" operator="containsText" text="GOOD">
      <formula>NOT(ISERROR(SEARCH("GOOD",B191)))</formula>
    </cfRule>
  </conditionalFormatting>
  <conditionalFormatting sqref="L190">
    <cfRule type="containsText" dxfId="5747" priority="802" operator="containsText" text="FAIL">
      <formula>NOT(ISERROR(SEARCH("FAIL",L190)))</formula>
    </cfRule>
  </conditionalFormatting>
  <conditionalFormatting sqref="L190">
    <cfRule type="containsText" dxfId="5746" priority="801" operator="containsText" text="GOOD">
      <formula>NOT(ISERROR(SEARCH("GOOD",L190)))</formula>
    </cfRule>
  </conditionalFormatting>
  <conditionalFormatting sqref="Z190:AA190">
    <cfRule type="containsText" dxfId="5745" priority="800" operator="containsText" text="FAIL">
      <formula>NOT(ISERROR(SEARCH("FAIL",Z190)))</formula>
    </cfRule>
  </conditionalFormatting>
  <conditionalFormatting sqref="Z190:AA190">
    <cfRule type="containsText" dxfId="5744" priority="799" operator="containsText" text="GOOD">
      <formula>NOT(ISERROR(SEARCH("GOOD",Z190)))</formula>
    </cfRule>
  </conditionalFormatting>
  <conditionalFormatting sqref="B190">
    <cfRule type="containsText" dxfId="5743" priority="798" operator="containsText" text="FAIL">
      <formula>NOT(ISERROR(SEARCH("FAIL",B190)))</formula>
    </cfRule>
  </conditionalFormatting>
  <conditionalFormatting sqref="B190">
    <cfRule type="containsText" dxfId="5742" priority="797" operator="containsText" text="GOOD">
      <formula>NOT(ISERROR(SEARCH("GOOD",B190)))</formula>
    </cfRule>
  </conditionalFormatting>
  <conditionalFormatting sqref="L189">
    <cfRule type="containsText" dxfId="5741" priority="796" operator="containsText" text="FAIL">
      <formula>NOT(ISERROR(SEARCH("FAIL",L189)))</formula>
    </cfRule>
  </conditionalFormatting>
  <conditionalFormatting sqref="L189">
    <cfRule type="containsText" dxfId="5740" priority="795" operator="containsText" text="GOOD">
      <formula>NOT(ISERROR(SEARCH("GOOD",L189)))</formula>
    </cfRule>
  </conditionalFormatting>
  <conditionalFormatting sqref="Z189:AA189">
    <cfRule type="containsText" dxfId="5739" priority="794" operator="containsText" text="FAIL">
      <formula>NOT(ISERROR(SEARCH("FAIL",Z189)))</formula>
    </cfRule>
  </conditionalFormatting>
  <conditionalFormatting sqref="Z189:AA189">
    <cfRule type="containsText" dxfId="5738" priority="793" operator="containsText" text="GOOD">
      <formula>NOT(ISERROR(SEARCH("GOOD",Z189)))</formula>
    </cfRule>
  </conditionalFormatting>
  <conditionalFormatting sqref="B189">
    <cfRule type="containsText" dxfId="5737" priority="792" operator="containsText" text="FAIL">
      <formula>NOT(ISERROR(SEARCH("FAIL",B189)))</formula>
    </cfRule>
  </conditionalFormatting>
  <conditionalFormatting sqref="B189">
    <cfRule type="containsText" dxfId="5736" priority="791" operator="containsText" text="GOOD">
      <formula>NOT(ISERROR(SEARCH("GOOD",B189)))</formula>
    </cfRule>
  </conditionalFormatting>
  <conditionalFormatting sqref="L188">
    <cfRule type="containsText" dxfId="5735" priority="790" operator="containsText" text="FAIL">
      <formula>NOT(ISERROR(SEARCH("FAIL",L188)))</formula>
    </cfRule>
  </conditionalFormatting>
  <conditionalFormatting sqref="L188">
    <cfRule type="containsText" dxfId="5734" priority="789" operator="containsText" text="GOOD">
      <formula>NOT(ISERROR(SEARCH("GOOD",L188)))</formula>
    </cfRule>
  </conditionalFormatting>
  <conditionalFormatting sqref="Z188:AA188">
    <cfRule type="containsText" dxfId="5733" priority="788" operator="containsText" text="FAIL">
      <formula>NOT(ISERROR(SEARCH("FAIL",Z188)))</formula>
    </cfRule>
  </conditionalFormatting>
  <conditionalFormatting sqref="Z188:AA188">
    <cfRule type="containsText" dxfId="5732" priority="787" operator="containsText" text="GOOD">
      <formula>NOT(ISERROR(SEARCH("GOOD",Z188)))</formula>
    </cfRule>
  </conditionalFormatting>
  <conditionalFormatting sqref="B188">
    <cfRule type="containsText" dxfId="5731" priority="786" operator="containsText" text="FAIL">
      <formula>NOT(ISERROR(SEARCH("FAIL",B188)))</formula>
    </cfRule>
  </conditionalFormatting>
  <conditionalFormatting sqref="B188">
    <cfRule type="containsText" dxfId="5730" priority="785" operator="containsText" text="GOOD">
      <formula>NOT(ISERROR(SEARCH("GOOD",B188)))</formula>
    </cfRule>
  </conditionalFormatting>
  <conditionalFormatting sqref="Z186:AA187">
    <cfRule type="containsText" dxfId="5729" priority="782" operator="containsText" text="FAIL">
      <formula>NOT(ISERROR(SEARCH("FAIL",Z186)))</formula>
    </cfRule>
  </conditionalFormatting>
  <conditionalFormatting sqref="Z186:AA187">
    <cfRule type="containsText" dxfId="5728" priority="781" operator="containsText" text="GOOD">
      <formula>NOT(ISERROR(SEARCH("GOOD",Z186)))</formula>
    </cfRule>
  </conditionalFormatting>
  <conditionalFormatting sqref="B186:B187">
    <cfRule type="containsText" dxfId="5727" priority="780" operator="containsText" text="FAIL">
      <formula>NOT(ISERROR(SEARCH("FAIL",B186)))</formula>
    </cfRule>
  </conditionalFormatting>
  <conditionalFormatting sqref="B186:B187">
    <cfRule type="containsText" dxfId="5726" priority="779" operator="containsText" text="GOOD">
      <formula>NOT(ISERROR(SEARCH("GOOD",B186)))</formula>
    </cfRule>
  </conditionalFormatting>
  <conditionalFormatting sqref="L192">
    <cfRule type="containsText" dxfId="5725" priority="778" operator="containsText" text="FAIL">
      <formula>NOT(ISERROR(SEARCH("FAIL",L192)))</formula>
    </cfRule>
  </conditionalFormatting>
  <conditionalFormatting sqref="L192">
    <cfRule type="containsText" dxfId="5724" priority="777" operator="containsText" text="GOOD">
      <formula>NOT(ISERROR(SEARCH("GOOD",L192)))</formula>
    </cfRule>
  </conditionalFormatting>
  <conditionalFormatting sqref="Z192:AA192">
    <cfRule type="containsText" dxfId="5723" priority="776" operator="containsText" text="FAIL">
      <formula>NOT(ISERROR(SEARCH("FAIL",Z192)))</formula>
    </cfRule>
  </conditionalFormatting>
  <conditionalFormatting sqref="Z192:AA192">
    <cfRule type="containsText" dxfId="5722" priority="775" operator="containsText" text="GOOD">
      <formula>NOT(ISERROR(SEARCH("GOOD",Z192)))</formula>
    </cfRule>
  </conditionalFormatting>
  <conditionalFormatting sqref="B192">
    <cfRule type="containsText" dxfId="5721" priority="774" operator="containsText" text="FAIL">
      <formula>NOT(ISERROR(SEARCH("FAIL",B192)))</formula>
    </cfRule>
  </conditionalFormatting>
  <conditionalFormatting sqref="B192">
    <cfRule type="containsText" dxfId="5720" priority="773" operator="containsText" text="GOOD">
      <formula>NOT(ISERROR(SEARCH("GOOD",B192)))</formula>
    </cfRule>
  </conditionalFormatting>
  <conditionalFormatting sqref="L193">
    <cfRule type="containsText" dxfId="5719" priority="772" operator="containsText" text="FAIL">
      <formula>NOT(ISERROR(SEARCH("FAIL",L193)))</formula>
    </cfRule>
  </conditionalFormatting>
  <conditionalFormatting sqref="L193">
    <cfRule type="containsText" dxfId="5718" priority="771" operator="containsText" text="GOOD">
      <formula>NOT(ISERROR(SEARCH("GOOD",L193)))</formula>
    </cfRule>
  </conditionalFormatting>
  <conditionalFormatting sqref="Z193:AA193">
    <cfRule type="containsText" dxfId="5717" priority="770" operator="containsText" text="FAIL">
      <formula>NOT(ISERROR(SEARCH("FAIL",Z193)))</formula>
    </cfRule>
  </conditionalFormatting>
  <conditionalFormatting sqref="Z193:AA193">
    <cfRule type="containsText" dxfId="5716" priority="769" operator="containsText" text="GOOD">
      <formula>NOT(ISERROR(SEARCH("GOOD",Z193)))</formula>
    </cfRule>
  </conditionalFormatting>
  <conditionalFormatting sqref="L194">
    <cfRule type="containsText" dxfId="5715" priority="768" operator="containsText" text="FAIL">
      <formula>NOT(ISERROR(SEARCH("FAIL",L194)))</formula>
    </cfRule>
  </conditionalFormatting>
  <conditionalFormatting sqref="L194">
    <cfRule type="containsText" dxfId="5714" priority="767" operator="containsText" text="GOOD">
      <formula>NOT(ISERROR(SEARCH("GOOD",L194)))</formula>
    </cfRule>
  </conditionalFormatting>
  <conditionalFormatting sqref="Z194:AA194">
    <cfRule type="containsText" dxfId="5713" priority="766" operator="containsText" text="FAIL">
      <formula>NOT(ISERROR(SEARCH("FAIL",Z194)))</formula>
    </cfRule>
  </conditionalFormatting>
  <conditionalFormatting sqref="Z194:AA194">
    <cfRule type="containsText" dxfId="5712" priority="765" operator="containsText" text="GOOD">
      <formula>NOT(ISERROR(SEARCH("GOOD",Z194)))</formula>
    </cfRule>
  </conditionalFormatting>
  <conditionalFormatting sqref="L195">
    <cfRule type="containsText" dxfId="5711" priority="764" operator="containsText" text="FAIL">
      <formula>NOT(ISERROR(SEARCH("FAIL",L195)))</formula>
    </cfRule>
  </conditionalFormatting>
  <conditionalFormatting sqref="L195">
    <cfRule type="containsText" dxfId="5710" priority="763" operator="containsText" text="GOOD">
      <formula>NOT(ISERROR(SEARCH("GOOD",L195)))</formula>
    </cfRule>
  </conditionalFormatting>
  <conditionalFormatting sqref="Z195:AA195">
    <cfRule type="containsText" dxfId="5709" priority="762" operator="containsText" text="FAIL">
      <formula>NOT(ISERROR(SEARCH("FAIL",Z195)))</formula>
    </cfRule>
  </conditionalFormatting>
  <conditionalFormatting sqref="Z195:AA195">
    <cfRule type="containsText" dxfId="5708" priority="761" operator="containsText" text="GOOD">
      <formula>NOT(ISERROR(SEARCH("GOOD",Z195)))</formula>
    </cfRule>
  </conditionalFormatting>
  <conditionalFormatting sqref="L196">
    <cfRule type="containsText" dxfId="5707" priority="760" operator="containsText" text="FAIL">
      <formula>NOT(ISERROR(SEARCH("FAIL",L196)))</formula>
    </cfRule>
  </conditionalFormatting>
  <conditionalFormatting sqref="L196">
    <cfRule type="containsText" dxfId="5706" priority="759" operator="containsText" text="GOOD">
      <formula>NOT(ISERROR(SEARCH("GOOD",L196)))</formula>
    </cfRule>
  </conditionalFormatting>
  <conditionalFormatting sqref="Z196:AA196">
    <cfRule type="containsText" dxfId="5705" priority="758" operator="containsText" text="FAIL">
      <formula>NOT(ISERROR(SEARCH("FAIL",Z196)))</formula>
    </cfRule>
  </conditionalFormatting>
  <conditionalFormatting sqref="Z196:AA196">
    <cfRule type="containsText" dxfId="5704" priority="757" operator="containsText" text="GOOD">
      <formula>NOT(ISERROR(SEARCH("GOOD",Z196)))</formula>
    </cfRule>
  </conditionalFormatting>
  <conditionalFormatting sqref="L197">
    <cfRule type="containsText" dxfId="5703" priority="756" operator="containsText" text="FAIL">
      <formula>NOT(ISERROR(SEARCH("FAIL",L197)))</formula>
    </cfRule>
  </conditionalFormatting>
  <conditionalFormatting sqref="L197">
    <cfRule type="containsText" dxfId="5702" priority="755" operator="containsText" text="GOOD">
      <formula>NOT(ISERROR(SEARCH("GOOD",L197)))</formula>
    </cfRule>
  </conditionalFormatting>
  <conditionalFormatting sqref="Z197:AA197">
    <cfRule type="containsText" dxfId="5701" priority="754" operator="containsText" text="FAIL">
      <formula>NOT(ISERROR(SEARCH("FAIL",Z197)))</formula>
    </cfRule>
  </conditionalFormatting>
  <conditionalFormatting sqref="Z197:AA197">
    <cfRule type="containsText" dxfId="5700" priority="753" operator="containsText" text="GOOD">
      <formula>NOT(ISERROR(SEARCH("GOOD",Z197)))</formula>
    </cfRule>
  </conditionalFormatting>
  <conditionalFormatting sqref="B197">
    <cfRule type="containsText" dxfId="5699" priority="752" operator="containsText" text="FAIL">
      <formula>NOT(ISERROR(SEARCH("FAIL",B197)))</formula>
    </cfRule>
  </conditionalFormatting>
  <conditionalFormatting sqref="B197">
    <cfRule type="containsText" dxfId="5698" priority="751" operator="containsText" text="GOOD">
      <formula>NOT(ISERROR(SEARCH("GOOD",B197)))</formula>
    </cfRule>
  </conditionalFormatting>
  <conditionalFormatting sqref="L198">
    <cfRule type="containsText" dxfId="5697" priority="750" operator="containsText" text="FAIL">
      <formula>NOT(ISERROR(SEARCH("FAIL",L198)))</formula>
    </cfRule>
  </conditionalFormatting>
  <conditionalFormatting sqref="L198">
    <cfRule type="containsText" dxfId="5696" priority="749" operator="containsText" text="GOOD">
      <formula>NOT(ISERROR(SEARCH("GOOD",L198)))</formula>
    </cfRule>
  </conditionalFormatting>
  <conditionalFormatting sqref="Z198:AA198">
    <cfRule type="containsText" dxfId="5695" priority="748" operator="containsText" text="FAIL">
      <formula>NOT(ISERROR(SEARCH("FAIL",Z198)))</formula>
    </cfRule>
  </conditionalFormatting>
  <conditionalFormatting sqref="Z198:AA198">
    <cfRule type="containsText" dxfId="5694" priority="747" operator="containsText" text="GOOD">
      <formula>NOT(ISERROR(SEARCH("GOOD",Z198)))</formula>
    </cfRule>
  </conditionalFormatting>
  <conditionalFormatting sqref="L199">
    <cfRule type="containsText" dxfId="5693" priority="746" operator="containsText" text="FAIL">
      <formula>NOT(ISERROR(SEARCH("FAIL",L199)))</formula>
    </cfRule>
  </conditionalFormatting>
  <conditionalFormatting sqref="L199">
    <cfRule type="containsText" dxfId="5692" priority="745" operator="containsText" text="GOOD">
      <formula>NOT(ISERROR(SEARCH("GOOD",L199)))</formula>
    </cfRule>
  </conditionalFormatting>
  <conditionalFormatting sqref="Z199:AA199">
    <cfRule type="containsText" dxfId="5691" priority="744" operator="containsText" text="FAIL">
      <formula>NOT(ISERROR(SEARCH("FAIL",Z199)))</formula>
    </cfRule>
  </conditionalFormatting>
  <conditionalFormatting sqref="Z199:AA199">
    <cfRule type="containsText" dxfId="5690" priority="743" operator="containsText" text="GOOD">
      <formula>NOT(ISERROR(SEARCH("GOOD",Z199)))</formula>
    </cfRule>
  </conditionalFormatting>
  <conditionalFormatting sqref="B199">
    <cfRule type="containsText" dxfId="5689" priority="742" operator="containsText" text="FAIL">
      <formula>NOT(ISERROR(SEARCH("FAIL",B199)))</formula>
    </cfRule>
  </conditionalFormatting>
  <conditionalFormatting sqref="B199">
    <cfRule type="containsText" dxfId="5688" priority="741" operator="containsText" text="GOOD">
      <formula>NOT(ISERROR(SEARCH("GOOD",B199)))</formula>
    </cfRule>
  </conditionalFormatting>
  <conditionalFormatting sqref="L200">
    <cfRule type="containsText" dxfId="5687" priority="740" operator="containsText" text="FAIL">
      <formula>NOT(ISERROR(SEARCH("FAIL",L200)))</formula>
    </cfRule>
  </conditionalFormatting>
  <conditionalFormatting sqref="L200">
    <cfRule type="containsText" dxfId="5686" priority="739" operator="containsText" text="GOOD">
      <formula>NOT(ISERROR(SEARCH("GOOD",L200)))</formula>
    </cfRule>
  </conditionalFormatting>
  <conditionalFormatting sqref="Z200:AA200">
    <cfRule type="containsText" dxfId="5685" priority="738" operator="containsText" text="FAIL">
      <formula>NOT(ISERROR(SEARCH("FAIL",Z200)))</formula>
    </cfRule>
  </conditionalFormatting>
  <conditionalFormatting sqref="Z200:AA200">
    <cfRule type="containsText" dxfId="5684" priority="737" operator="containsText" text="GOOD">
      <formula>NOT(ISERROR(SEARCH("GOOD",Z200)))</formula>
    </cfRule>
  </conditionalFormatting>
  <conditionalFormatting sqref="L201">
    <cfRule type="containsText" dxfId="5683" priority="736" operator="containsText" text="FAIL">
      <formula>NOT(ISERROR(SEARCH("FAIL",L201)))</formula>
    </cfRule>
  </conditionalFormatting>
  <conditionalFormatting sqref="L201">
    <cfRule type="containsText" dxfId="5682" priority="735" operator="containsText" text="GOOD">
      <formula>NOT(ISERROR(SEARCH("GOOD",L201)))</formula>
    </cfRule>
  </conditionalFormatting>
  <conditionalFormatting sqref="Z201:AA201">
    <cfRule type="containsText" dxfId="5681" priority="734" operator="containsText" text="FAIL">
      <formula>NOT(ISERROR(SEARCH("FAIL",Z201)))</formula>
    </cfRule>
  </conditionalFormatting>
  <conditionalFormatting sqref="Z201:AA201">
    <cfRule type="containsText" dxfId="5680" priority="733" operator="containsText" text="GOOD">
      <formula>NOT(ISERROR(SEARCH("GOOD",Z201)))</formula>
    </cfRule>
  </conditionalFormatting>
  <conditionalFormatting sqref="L202">
    <cfRule type="containsText" dxfId="5679" priority="732" operator="containsText" text="FAIL">
      <formula>NOT(ISERROR(SEARCH("FAIL",L202)))</formula>
    </cfRule>
  </conditionalFormatting>
  <conditionalFormatting sqref="L202">
    <cfRule type="containsText" dxfId="5678" priority="731" operator="containsText" text="GOOD">
      <formula>NOT(ISERROR(SEARCH("GOOD",L202)))</formula>
    </cfRule>
  </conditionalFormatting>
  <conditionalFormatting sqref="Z202:AA202">
    <cfRule type="containsText" dxfId="5677" priority="730" operator="containsText" text="FAIL">
      <formula>NOT(ISERROR(SEARCH("FAIL",Z202)))</formula>
    </cfRule>
  </conditionalFormatting>
  <conditionalFormatting sqref="Z202:AA202">
    <cfRule type="containsText" dxfId="5676" priority="729" operator="containsText" text="GOOD">
      <formula>NOT(ISERROR(SEARCH("GOOD",Z202)))</formula>
    </cfRule>
  </conditionalFormatting>
  <conditionalFormatting sqref="L203">
    <cfRule type="containsText" dxfId="5675" priority="728" operator="containsText" text="FAIL">
      <formula>NOT(ISERROR(SEARCH("FAIL",L203)))</formula>
    </cfRule>
  </conditionalFormatting>
  <conditionalFormatting sqref="L203">
    <cfRule type="containsText" dxfId="5674" priority="727" operator="containsText" text="GOOD">
      <formula>NOT(ISERROR(SEARCH("GOOD",L203)))</formula>
    </cfRule>
  </conditionalFormatting>
  <conditionalFormatting sqref="Z203:AA205">
    <cfRule type="containsText" dxfId="5673" priority="726" operator="containsText" text="FAIL">
      <formula>NOT(ISERROR(SEARCH("FAIL",Z203)))</formula>
    </cfRule>
  </conditionalFormatting>
  <conditionalFormatting sqref="Z203:AA205">
    <cfRule type="containsText" dxfId="5672" priority="725" operator="containsText" text="GOOD">
      <formula>NOT(ISERROR(SEARCH("GOOD",Z203)))</formula>
    </cfRule>
  </conditionalFormatting>
  <conditionalFormatting sqref="L204">
    <cfRule type="containsText" dxfId="5671" priority="724" operator="containsText" text="FAIL">
      <formula>NOT(ISERROR(SEARCH("FAIL",L204)))</formula>
    </cfRule>
  </conditionalFormatting>
  <conditionalFormatting sqref="L204">
    <cfRule type="containsText" dxfId="5670" priority="723" operator="containsText" text="GOOD">
      <formula>NOT(ISERROR(SEARCH("GOOD",L204)))</formula>
    </cfRule>
  </conditionalFormatting>
  <conditionalFormatting sqref="L205">
    <cfRule type="containsText" dxfId="5669" priority="722" operator="containsText" text="FAIL">
      <formula>NOT(ISERROR(SEARCH("FAIL",L205)))</formula>
    </cfRule>
  </conditionalFormatting>
  <conditionalFormatting sqref="L205">
    <cfRule type="containsText" dxfId="5668" priority="721" operator="containsText" text="GOOD">
      <formula>NOT(ISERROR(SEARCH("GOOD",L205)))</formula>
    </cfRule>
  </conditionalFormatting>
  <conditionalFormatting sqref="L228">
    <cfRule type="containsText" dxfId="5667" priority="720" operator="containsText" text="FAIL">
      <formula>NOT(ISERROR(SEARCH("FAIL",L228)))</formula>
    </cfRule>
  </conditionalFormatting>
  <conditionalFormatting sqref="L228">
    <cfRule type="containsText" dxfId="5666" priority="719" operator="containsText" text="GOOD">
      <formula>NOT(ISERROR(SEARCH("GOOD",L228)))</formula>
    </cfRule>
  </conditionalFormatting>
  <conditionalFormatting sqref="Z228:AA228">
    <cfRule type="containsText" dxfId="5665" priority="718" operator="containsText" text="FAIL">
      <formula>NOT(ISERROR(SEARCH("FAIL",Z228)))</formula>
    </cfRule>
  </conditionalFormatting>
  <conditionalFormatting sqref="Z228:AA228">
    <cfRule type="containsText" dxfId="5664" priority="717" operator="containsText" text="GOOD">
      <formula>NOT(ISERROR(SEARCH("GOOD",Z228)))</formula>
    </cfRule>
  </conditionalFormatting>
  <conditionalFormatting sqref="L229">
    <cfRule type="containsText" dxfId="5663" priority="716" operator="containsText" text="FAIL">
      <formula>NOT(ISERROR(SEARCH("FAIL",L229)))</formula>
    </cfRule>
  </conditionalFormatting>
  <conditionalFormatting sqref="L229">
    <cfRule type="containsText" dxfId="5662" priority="715" operator="containsText" text="GOOD">
      <formula>NOT(ISERROR(SEARCH("GOOD",L229)))</formula>
    </cfRule>
  </conditionalFormatting>
  <conditionalFormatting sqref="Z229:AA229">
    <cfRule type="containsText" dxfId="5661" priority="714" operator="containsText" text="FAIL">
      <formula>NOT(ISERROR(SEARCH("FAIL",Z229)))</formula>
    </cfRule>
  </conditionalFormatting>
  <conditionalFormatting sqref="Z229:AA229">
    <cfRule type="containsText" dxfId="5660" priority="713" operator="containsText" text="GOOD">
      <formula>NOT(ISERROR(SEARCH("GOOD",Z229)))</formula>
    </cfRule>
  </conditionalFormatting>
  <conditionalFormatting sqref="L230">
    <cfRule type="containsText" dxfId="5659" priority="712" operator="containsText" text="FAIL">
      <formula>NOT(ISERROR(SEARCH("FAIL",L230)))</formula>
    </cfRule>
  </conditionalFormatting>
  <conditionalFormatting sqref="L230">
    <cfRule type="containsText" dxfId="5658" priority="711" operator="containsText" text="GOOD">
      <formula>NOT(ISERROR(SEARCH("GOOD",L230)))</formula>
    </cfRule>
  </conditionalFormatting>
  <conditionalFormatting sqref="Z230:AA230">
    <cfRule type="containsText" dxfId="5657" priority="710" operator="containsText" text="FAIL">
      <formula>NOT(ISERROR(SEARCH("FAIL",Z230)))</formula>
    </cfRule>
  </conditionalFormatting>
  <conditionalFormatting sqref="Z230:AA230">
    <cfRule type="containsText" dxfId="5656" priority="709" operator="containsText" text="GOOD">
      <formula>NOT(ISERROR(SEARCH("GOOD",Z230)))</formula>
    </cfRule>
  </conditionalFormatting>
  <conditionalFormatting sqref="L231">
    <cfRule type="containsText" dxfId="5655" priority="708" operator="containsText" text="FAIL">
      <formula>NOT(ISERROR(SEARCH("FAIL",L231)))</formula>
    </cfRule>
  </conditionalFormatting>
  <conditionalFormatting sqref="L231">
    <cfRule type="containsText" dxfId="5654" priority="707" operator="containsText" text="GOOD">
      <formula>NOT(ISERROR(SEARCH("GOOD",L231)))</formula>
    </cfRule>
  </conditionalFormatting>
  <conditionalFormatting sqref="Z231:AA231">
    <cfRule type="containsText" dxfId="5653" priority="706" operator="containsText" text="FAIL">
      <formula>NOT(ISERROR(SEARCH("FAIL",Z231)))</formula>
    </cfRule>
  </conditionalFormatting>
  <conditionalFormatting sqref="Z231:AA231">
    <cfRule type="containsText" dxfId="5652" priority="705" operator="containsText" text="GOOD">
      <formula>NOT(ISERROR(SEARCH("GOOD",Z231)))</formula>
    </cfRule>
  </conditionalFormatting>
  <conditionalFormatting sqref="L232">
    <cfRule type="containsText" dxfId="5651" priority="704" operator="containsText" text="FAIL">
      <formula>NOT(ISERROR(SEARCH("FAIL",L232)))</formula>
    </cfRule>
  </conditionalFormatting>
  <conditionalFormatting sqref="L232">
    <cfRule type="containsText" dxfId="5650" priority="703" operator="containsText" text="GOOD">
      <formula>NOT(ISERROR(SEARCH("GOOD",L232)))</formula>
    </cfRule>
  </conditionalFormatting>
  <conditionalFormatting sqref="Z232:AA232">
    <cfRule type="containsText" dxfId="5649" priority="702" operator="containsText" text="FAIL">
      <formula>NOT(ISERROR(SEARCH("FAIL",Z232)))</formula>
    </cfRule>
  </conditionalFormatting>
  <conditionalFormatting sqref="Z232:AA232">
    <cfRule type="containsText" dxfId="5648" priority="701" operator="containsText" text="GOOD">
      <formula>NOT(ISERROR(SEARCH("GOOD",Z232)))</formula>
    </cfRule>
  </conditionalFormatting>
  <conditionalFormatting sqref="L255">
    <cfRule type="containsText" dxfId="5647" priority="700" operator="containsText" text="FAIL">
      <formula>NOT(ISERROR(SEARCH("FAIL",L255)))</formula>
    </cfRule>
  </conditionalFormatting>
  <conditionalFormatting sqref="L255">
    <cfRule type="containsText" dxfId="5646" priority="699" operator="containsText" text="GOOD">
      <formula>NOT(ISERROR(SEARCH("GOOD",L255)))</formula>
    </cfRule>
  </conditionalFormatting>
  <conditionalFormatting sqref="Z255:AA255">
    <cfRule type="containsText" dxfId="5645" priority="698" operator="containsText" text="FAIL">
      <formula>NOT(ISERROR(SEARCH("FAIL",Z255)))</formula>
    </cfRule>
  </conditionalFormatting>
  <conditionalFormatting sqref="Z255:AA255">
    <cfRule type="containsText" dxfId="5644" priority="697" operator="containsText" text="GOOD">
      <formula>NOT(ISERROR(SEARCH("GOOD",Z255)))</formula>
    </cfRule>
  </conditionalFormatting>
  <conditionalFormatting sqref="B255">
    <cfRule type="containsText" dxfId="5643" priority="696" operator="containsText" text="FAIL">
      <formula>NOT(ISERROR(SEARCH("FAIL",B255)))</formula>
    </cfRule>
  </conditionalFormatting>
  <conditionalFormatting sqref="B255">
    <cfRule type="containsText" dxfId="5642" priority="695" operator="containsText" text="GOOD">
      <formula>NOT(ISERROR(SEARCH("GOOD",B255)))</formula>
    </cfRule>
  </conditionalFormatting>
  <conditionalFormatting sqref="L256">
    <cfRule type="containsText" dxfId="5641" priority="694" operator="containsText" text="FAIL">
      <formula>NOT(ISERROR(SEARCH("FAIL",L256)))</formula>
    </cfRule>
  </conditionalFormatting>
  <conditionalFormatting sqref="L256">
    <cfRule type="containsText" dxfId="5640" priority="693" operator="containsText" text="GOOD">
      <formula>NOT(ISERROR(SEARCH("GOOD",L256)))</formula>
    </cfRule>
  </conditionalFormatting>
  <conditionalFormatting sqref="Z256:AA256">
    <cfRule type="containsText" dxfId="5639" priority="692" operator="containsText" text="FAIL">
      <formula>NOT(ISERROR(SEARCH("FAIL",Z256)))</formula>
    </cfRule>
  </conditionalFormatting>
  <conditionalFormatting sqref="Z256:AA256">
    <cfRule type="containsText" dxfId="5638" priority="691" operator="containsText" text="GOOD">
      <formula>NOT(ISERROR(SEARCH("GOOD",Z256)))</formula>
    </cfRule>
  </conditionalFormatting>
  <conditionalFormatting sqref="B256">
    <cfRule type="containsText" dxfId="5637" priority="690" operator="containsText" text="FAIL">
      <formula>NOT(ISERROR(SEARCH("FAIL",B256)))</formula>
    </cfRule>
  </conditionalFormatting>
  <conditionalFormatting sqref="B256">
    <cfRule type="containsText" dxfId="5636" priority="689" operator="containsText" text="GOOD">
      <formula>NOT(ISERROR(SEARCH("GOOD",B256)))</formula>
    </cfRule>
  </conditionalFormatting>
  <conditionalFormatting sqref="L257">
    <cfRule type="containsText" dxfId="5635" priority="688" operator="containsText" text="FAIL">
      <formula>NOT(ISERROR(SEARCH("FAIL",L257)))</formula>
    </cfRule>
  </conditionalFormatting>
  <conditionalFormatting sqref="L257">
    <cfRule type="containsText" dxfId="5634" priority="687" operator="containsText" text="GOOD">
      <formula>NOT(ISERROR(SEARCH("GOOD",L257)))</formula>
    </cfRule>
  </conditionalFormatting>
  <conditionalFormatting sqref="Z257:AA257">
    <cfRule type="containsText" dxfId="5633" priority="686" operator="containsText" text="FAIL">
      <formula>NOT(ISERROR(SEARCH("FAIL",Z257)))</formula>
    </cfRule>
  </conditionalFormatting>
  <conditionalFormatting sqref="Z257:AA257">
    <cfRule type="containsText" dxfId="5632" priority="685" operator="containsText" text="GOOD">
      <formula>NOT(ISERROR(SEARCH("GOOD",Z257)))</formula>
    </cfRule>
  </conditionalFormatting>
  <conditionalFormatting sqref="B257">
    <cfRule type="containsText" dxfId="5631" priority="684" operator="containsText" text="FAIL">
      <formula>NOT(ISERROR(SEARCH("FAIL",B257)))</formula>
    </cfRule>
  </conditionalFormatting>
  <conditionalFormatting sqref="B257">
    <cfRule type="containsText" dxfId="5630" priority="683" operator="containsText" text="GOOD">
      <formula>NOT(ISERROR(SEARCH("GOOD",B257)))</formula>
    </cfRule>
  </conditionalFormatting>
  <conditionalFormatting sqref="L258:L259">
    <cfRule type="containsText" dxfId="5629" priority="682" operator="containsText" text="FAIL">
      <formula>NOT(ISERROR(SEARCH("FAIL",L258)))</formula>
    </cfRule>
  </conditionalFormatting>
  <conditionalFormatting sqref="L258:L259">
    <cfRule type="containsText" dxfId="5628" priority="681" operator="containsText" text="GOOD">
      <formula>NOT(ISERROR(SEARCH("GOOD",L258)))</formula>
    </cfRule>
  </conditionalFormatting>
  <conditionalFormatting sqref="Z258:AA259">
    <cfRule type="containsText" dxfId="5627" priority="680" operator="containsText" text="FAIL">
      <formula>NOT(ISERROR(SEARCH("FAIL",Z258)))</formula>
    </cfRule>
  </conditionalFormatting>
  <conditionalFormatting sqref="Z258:AA259">
    <cfRule type="containsText" dxfId="5626" priority="679" operator="containsText" text="GOOD">
      <formula>NOT(ISERROR(SEARCH("GOOD",Z258)))</formula>
    </cfRule>
  </conditionalFormatting>
  <conditionalFormatting sqref="B258:B259">
    <cfRule type="containsText" dxfId="5625" priority="678" operator="containsText" text="FAIL">
      <formula>NOT(ISERROR(SEARCH("FAIL",B258)))</formula>
    </cfRule>
  </conditionalFormatting>
  <conditionalFormatting sqref="B258:B259">
    <cfRule type="containsText" dxfId="5624" priority="677" operator="containsText" text="GOOD">
      <formula>NOT(ISERROR(SEARCH("GOOD",B258)))</formula>
    </cfRule>
  </conditionalFormatting>
  <conditionalFormatting sqref="L260">
    <cfRule type="containsText" dxfId="5623" priority="676" operator="containsText" text="FAIL">
      <formula>NOT(ISERROR(SEARCH("FAIL",L260)))</formula>
    </cfRule>
  </conditionalFormatting>
  <conditionalFormatting sqref="L260">
    <cfRule type="containsText" dxfId="5622" priority="675" operator="containsText" text="GOOD">
      <formula>NOT(ISERROR(SEARCH("GOOD",L260)))</formula>
    </cfRule>
  </conditionalFormatting>
  <conditionalFormatting sqref="Z260:AA260">
    <cfRule type="containsText" dxfId="5621" priority="674" operator="containsText" text="FAIL">
      <formula>NOT(ISERROR(SEARCH("FAIL",Z260)))</formula>
    </cfRule>
  </conditionalFormatting>
  <conditionalFormatting sqref="Z260:AA260">
    <cfRule type="containsText" dxfId="5620" priority="673" operator="containsText" text="GOOD">
      <formula>NOT(ISERROR(SEARCH("GOOD",Z260)))</formula>
    </cfRule>
  </conditionalFormatting>
  <conditionalFormatting sqref="B260">
    <cfRule type="containsText" dxfId="5619" priority="672" operator="containsText" text="FAIL">
      <formula>NOT(ISERROR(SEARCH("FAIL",B260)))</formula>
    </cfRule>
  </conditionalFormatting>
  <conditionalFormatting sqref="B260">
    <cfRule type="containsText" dxfId="5618" priority="671" operator="containsText" text="GOOD">
      <formula>NOT(ISERROR(SEARCH("GOOD",B260)))</formula>
    </cfRule>
  </conditionalFormatting>
  <conditionalFormatting sqref="L261">
    <cfRule type="containsText" dxfId="5617" priority="670" operator="containsText" text="FAIL">
      <formula>NOT(ISERROR(SEARCH("FAIL",L261)))</formula>
    </cfRule>
  </conditionalFormatting>
  <conditionalFormatting sqref="L261">
    <cfRule type="containsText" dxfId="5616" priority="669" operator="containsText" text="GOOD">
      <formula>NOT(ISERROR(SEARCH("GOOD",L261)))</formula>
    </cfRule>
  </conditionalFormatting>
  <conditionalFormatting sqref="Z261:AA261">
    <cfRule type="containsText" dxfId="5615" priority="668" operator="containsText" text="FAIL">
      <formula>NOT(ISERROR(SEARCH("FAIL",Z261)))</formula>
    </cfRule>
  </conditionalFormatting>
  <conditionalFormatting sqref="Z261:AA261">
    <cfRule type="containsText" dxfId="5614" priority="667" operator="containsText" text="GOOD">
      <formula>NOT(ISERROR(SEARCH("GOOD",Z261)))</formula>
    </cfRule>
  </conditionalFormatting>
  <conditionalFormatting sqref="B261">
    <cfRule type="containsText" dxfId="5613" priority="666" operator="containsText" text="FAIL">
      <formula>NOT(ISERROR(SEARCH("FAIL",B261)))</formula>
    </cfRule>
  </conditionalFormatting>
  <conditionalFormatting sqref="B261">
    <cfRule type="containsText" dxfId="5612" priority="665" operator="containsText" text="GOOD">
      <formula>NOT(ISERROR(SEARCH("GOOD",B261)))</formula>
    </cfRule>
  </conditionalFormatting>
  <conditionalFormatting sqref="AQ261">
    <cfRule type="containsText" dxfId="5611" priority="664" operator="containsText" text="FAIL">
      <formula>NOT(ISERROR(SEARCH("FAIL",AQ261)))</formula>
    </cfRule>
  </conditionalFormatting>
  <conditionalFormatting sqref="AQ261">
    <cfRule type="containsText" dxfId="5610" priority="663" operator="containsText" text="GOOD">
      <formula>NOT(ISERROR(SEARCH("GOOD",AQ261)))</formula>
    </cfRule>
  </conditionalFormatting>
  <conditionalFormatting sqref="L262">
    <cfRule type="containsText" dxfId="5609" priority="662" operator="containsText" text="FAIL">
      <formula>NOT(ISERROR(SEARCH("FAIL",L262)))</formula>
    </cfRule>
  </conditionalFormatting>
  <conditionalFormatting sqref="L262">
    <cfRule type="containsText" dxfId="5608" priority="661" operator="containsText" text="GOOD">
      <formula>NOT(ISERROR(SEARCH("GOOD",L262)))</formula>
    </cfRule>
  </conditionalFormatting>
  <conditionalFormatting sqref="Z262:AA262">
    <cfRule type="containsText" dxfId="5607" priority="660" operator="containsText" text="FAIL">
      <formula>NOT(ISERROR(SEARCH("FAIL",Z262)))</formula>
    </cfRule>
  </conditionalFormatting>
  <conditionalFormatting sqref="Z262:AA262">
    <cfRule type="containsText" dxfId="5606" priority="659" operator="containsText" text="GOOD">
      <formula>NOT(ISERROR(SEARCH("GOOD",Z262)))</formula>
    </cfRule>
  </conditionalFormatting>
  <conditionalFormatting sqref="L263">
    <cfRule type="containsText" dxfId="5605" priority="658" operator="containsText" text="FAIL">
      <formula>NOT(ISERROR(SEARCH("FAIL",L263)))</formula>
    </cfRule>
  </conditionalFormatting>
  <conditionalFormatting sqref="L263">
    <cfRule type="containsText" dxfId="5604" priority="657" operator="containsText" text="GOOD">
      <formula>NOT(ISERROR(SEARCH("GOOD",L263)))</formula>
    </cfRule>
  </conditionalFormatting>
  <conditionalFormatting sqref="Z263:AA263">
    <cfRule type="containsText" dxfId="5603" priority="656" operator="containsText" text="FAIL">
      <formula>NOT(ISERROR(SEARCH("FAIL",Z263)))</formula>
    </cfRule>
  </conditionalFormatting>
  <conditionalFormatting sqref="Z263:AA263">
    <cfRule type="containsText" dxfId="5602" priority="655" operator="containsText" text="GOOD">
      <formula>NOT(ISERROR(SEARCH("GOOD",Z263)))</formula>
    </cfRule>
  </conditionalFormatting>
  <conditionalFormatting sqref="Z264:AA264">
    <cfRule type="containsText" dxfId="5601" priority="651" operator="containsText" text="GOOD">
      <formula>NOT(ISERROR(SEARCH("GOOD",Z264)))</formula>
    </cfRule>
  </conditionalFormatting>
  <conditionalFormatting sqref="L264">
    <cfRule type="containsText" dxfId="5600" priority="654" operator="containsText" text="FAIL">
      <formula>NOT(ISERROR(SEARCH("FAIL",L264)))</formula>
    </cfRule>
  </conditionalFormatting>
  <conditionalFormatting sqref="L264">
    <cfRule type="containsText" dxfId="5599" priority="653" operator="containsText" text="GOOD">
      <formula>NOT(ISERROR(SEARCH("GOOD",L264)))</formula>
    </cfRule>
  </conditionalFormatting>
  <conditionalFormatting sqref="Z264:AA264">
    <cfRule type="containsText" dxfId="5598" priority="652" operator="containsText" text="FAIL">
      <formula>NOT(ISERROR(SEARCH("FAIL",Z264)))</formula>
    </cfRule>
  </conditionalFormatting>
  <conditionalFormatting sqref="L265">
    <cfRule type="containsText" dxfId="5597" priority="650" operator="containsText" text="FAIL">
      <formula>NOT(ISERROR(SEARCH("FAIL",L265)))</formula>
    </cfRule>
  </conditionalFormatting>
  <conditionalFormatting sqref="L265">
    <cfRule type="containsText" dxfId="5596" priority="649" operator="containsText" text="GOOD">
      <formula>NOT(ISERROR(SEARCH("GOOD",L265)))</formula>
    </cfRule>
  </conditionalFormatting>
  <conditionalFormatting sqref="Z265:AA265">
    <cfRule type="containsText" dxfId="5595" priority="648" operator="containsText" text="FAIL">
      <formula>NOT(ISERROR(SEARCH("FAIL",Z265)))</formula>
    </cfRule>
  </conditionalFormatting>
  <conditionalFormatting sqref="Z265:AA265">
    <cfRule type="containsText" dxfId="5594" priority="647" operator="containsText" text="GOOD">
      <formula>NOT(ISERROR(SEARCH("GOOD",Z265)))</formula>
    </cfRule>
  </conditionalFormatting>
  <conditionalFormatting sqref="L266">
    <cfRule type="containsText" dxfId="5593" priority="646" operator="containsText" text="FAIL">
      <formula>NOT(ISERROR(SEARCH("FAIL",L266)))</formula>
    </cfRule>
  </conditionalFormatting>
  <conditionalFormatting sqref="L266">
    <cfRule type="containsText" dxfId="5592" priority="645" operator="containsText" text="GOOD">
      <formula>NOT(ISERROR(SEARCH("GOOD",L266)))</formula>
    </cfRule>
  </conditionalFormatting>
  <conditionalFormatting sqref="Z266:AA266">
    <cfRule type="containsText" dxfId="5591" priority="644" operator="containsText" text="FAIL">
      <formula>NOT(ISERROR(SEARCH("FAIL",Z266)))</formula>
    </cfRule>
  </conditionalFormatting>
  <conditionalFormatting sqref="Z266:AA266">
    <cfRule type="containsText" dxfId="5590" priority="643" operator="containsText" text="GOOD">
      <formula>NOT(ISERROR(SEARCH("GOOD",Z266)))</formula>
    </cfRule>
  </conditionalFormatting>
  <conditionalFormatting sqref="L267">
    <cfRule type="containsText" dxfId="5589" priority="642" operator="containsText" text="FAIL">
      <formula>NOT(ISERROR(SEARCH("FAIL",L267)))</formula>
    </cfRule>
  </conditionalFormatting>
  <conditionalFormatting sqref="L267">
    <cfRule type="containsText" dxfId="5588" priority="641" operator="containsText" text="GOOD">
      <formula>NOT(ISERROR(SEARCH("GOOD",L267)))</formula>
    </cfRule>
  </conditionalFormatting>
  <conditionalFormatting sqref="Z267:AA267">
    <cfRule type="containsText" dxfId="5587" priority="640" operator="containsText" text="FAIL">
      <formula>NOT(ISERROR(SEARCH("FAIL",Z267)))</formula>
    </cfRule>
  </conditionalFormatting>
  <conditionalFormatting sqref="Z267:AA267">
    <cfRule type="containsText" dxfId="5586" priority="639" operator="containsText" text="GOOD">
      <formula>NOT(ISERROR(SEARCH("GOOD",Z267)))</formula>
    </cfRule>
  </conditionalFormatting>
  <conditionalFormatting sqref="L268">
    <cfRule type="containsText" dxfId="5585" priority="638" operator="containsText" text="FAIL">
      <formula>NOT(ISERROR(SEARCH("FAIL",L268)))</formula>
    </cfRule>
  </conditionalFormatting>
  <conditionalFormatting sqref="L268">
    <cfRule type="containsText" dxfId="5584" priority="637" operator="containsText" text="GOOD">
      <formula>NOT(ISERROR(SEARCH("GOOD",L268)))</formula>
    </cfRule>
  </conditionalFormatting>
  <conditionalFormatting sqref="Z268:AA269">
    <cfRule type="containsText" dxfId="5583" priority="636" operator="containsText" text="FAIL">
      <formula>NOT(ISERROR(SEARCH("FAIL",Z268)))</formula>
    </cfRule>
  </conditionalFormatting>
  <conditionalFormatting sqref="Z268:AA269">
    <cfRule type="containsText" dxfId="5582" priority="635" operator="containsText" text="GOOD">
      <formula>NOT(ISERROR(SEARCH("GOOD",Z268)))</formula>
    </cfRule>
  </conditionalFormatting>
  <conditionalFormatting sqref="L269">
    <cfRule type="containsText" dxfId="5581" priority="634" operator="containsText" text="FAIL">
      <formula>NOT(ISERROR(SEARCH("FAIL",L269)))</formula>
    </cfRule>
  </conditionalFormatting>
  <conditionalFormatting sqref="L269">
    <cfRule type="containsText" dxfId="5580" priority="633" operator="containsText" text="GOOD">
      <formula>NOT(ISERROR(SEARCH("GOOD",L269)))</formula>
    </cfRule>
  </conditionalFormatting>
  <conditionalFormatting sqref="L330">
    <cfRule type="containsText" dxfId="5579" priority="632" operator="containsText" text="FAIL">
      <formula>NOT(ISERROR(SEARCH("FAIL",L330)))</formula>
    </cfRule>
  </conditionalFormatting>
  <conditionalFormatting sqref="L330">
    <cfRule type="containsText" dxfId="5578" priority="631" operator="containsText" text="GOOD">
      <formula>NOT(ISERROR(SEARCH("GOOD",L330)))</formula>
    </cfRule>
  </conditionalFormatting>
  <conditionalFormatting sqref="Z330:AA330">
    <cfRule type="containsText" dxfId="5577" priority="630" operator="containsText" text="FAIL">
      <formula>NOT(ISERROR(SEARCH("FAIL",Z330)))</formula>
    </cfRule>
  </conditionalFormatting>
  <conditionalFormatting sqref="Z330:AA330">
    <cfRule type="containsText" dxfId="5576" priority="629" operator="containsText" text="GOOD">
      <formula>NOT(ISERROR(SEARCH("GOOD",Z330)))</formula>
    </cfRule>
  </conditionalFormatting>
  <conditionalFormatting sqref="B330">
    <cfRule type="containsText" dxfId="5575" priority="628" operator="containsText" text="FAIL">
      <formula>NOT(ISERROR(SEARCH("FAIL",B330)))</formula>
    </cfRule>
  </conditionalFormatting>
  <conditionalFormatting sqref="B330">
    <cfRule type="containsText" dxfId="5574" priority="627" operator="containsText" text="GOOD">
      <formula>NOT(ISERROR(SEARCH("GOOD",B330)))</formula>
    </cfRule>
  </conditionalFormatting>
  <conditionalFormatting sqref="L333">
    <cfRule type="containsText" dxfId="5573" priority="626" operator="containsText" text="FAIL">
      <formula>NOT(ISERROR(SEARCH("FAIL",L333)))</formula>
    </cfRule>
  </conditionalFormatting>
  <conditionalFormatting sqref="L333">
    <cfRule type="containsText" dxfId="5572" priority="625" operator="containsText" text="GOOD">
      <formula>NOT(ISERROR(SEARCH("GOOD",L333)))</formula>
    </cfRule>
  </conditionalFormatting>
  <conditionalFormatting sqref="Z333:AA333">
    <cfRule type="containsText" dxfId="5571" priority="624" operator="containsText" text="FAIL">
      <formula>NOT(ISERROR(SEARCH("FAIL",Z333)))</formula>
    </cfRule>
  </conditionalFormatting>
  <conditionalFormatting sqref="Z333:AA333">
    <cfRule type="containsText" dxfId="5570" priority="623" operator="containsText" text="GOOD">
      <formula>NOT(ISERROR(SEARCH("GOOD",Z333)))</formula>
    </cfRule>
  </conditionalFormatting>
  <conditionalFormatting sqref="B333">
    <cfRule type="containsText" dxfId="5569" priority="622" operator="containsText" text="FAIL">
      <formula>NOT(ISERROR(SEARCH("FAIL",B333)))</formula>
    </cfRule>
  </conditionalFormatting>
  <conditionalFormatting sqref="B333">
    <cfRule type="containsText" dxfId="5568" priority="621" operator="containsText" text="GOOD">
      <formula>NOT(ISERROR(SEARCH("GOOD",B333)))</formula>
    </cfRule>
  </conditionalFormatting>
  <conditionalFormatting sqref="L334">
    <cfRule type="containsText" dxfId="5567" priority="620" operator="containsText" text="FAIL">
      <formula>NOT(ISERROR(SEARCH("FAIL",L334)))</formula>
    </cfRule>
  </conditionalFormatting>
  <conditionalFormatting sqref="L334">
    <cfRule type="containsText" dxfId="5566" priority="619" operator="containsText" text="GOOD">
      <formula>NOT(ISERROR(SEARCH("GOOD",L334)))</formula>
    </cfRule>
  </conditionalFormatting>
  <conditionalFormatting sqref="Z334:AA334">
    <cfRule type="containsText" dxfId="5565" priority="618" operator="containsText" text="FAIL">
      <formula>NOT(ISERROR(SEARCH("FAIL",Z334)))</formula>
    </cfRule>
  </conditionalFormatting>
  <conditionalFormatting sqref="Z334:AA334">
    <cfRule type="containsText" dxfId="5564" priority="617" operator="containsText" text="GOOD">
      <formula>NOT(ISERROR(SEARCH("GOOD",Z334)))</formula>
    </cfRule>
  </conditionalFormatting>
  <conditionalFormatting sqref="B334">
    <cfRule type="containsText" dxfId="5563" priority="616" operator="containsText" text="FAIL">
      <formula>NOT(ISERROR(SEARCH("FAIL",B334)))</formula>
    </cfRule>
  </conditionalFormatting>
  <conditionalFormatting sqref="B334">
    <cfRule type="containsText" dxfId="5562" priority="615" operator="containsText" text="GOOD">
      <formula>NOT(ISERROR(SEARCH("GOOD",B334)))</formula>
    </cfRule>
  </conditionalFormatting>
  <conditionalFormatting sqref="L335">
    <cfRule type="containsText" dxfId="5561" priority="614" operator="containsText" text="FAIL">
      <formula>NOT(ISERROR(SEARCH("FAIL",L335)))</formula>
    </cfRule>
  </conditionalFormatting>
  <conditionalFormatting sqref="L335">
    <cfRule type="containsText" dxfId="5560" priority="613" operator="containsText" text="GOOD">
      <formula>NOT(ISERROR(SEARCH("GOOD",L335)))</formula>
    </cfRule>
  </conditionalFormatting>
  <conditionalFormatting sqref="Z335:AA335">
    <cfRule type="containsText" dxfId="5559" priority="612" operator="containsText" text="FAIL">
      <formula>NOT(ISERROR(SEARCH("FAIL",Z335)))</formula>
    </cfRule>
  </conditionalFormatting>
  <conditionalFormatting sqref="Z335:AA335">
    <cfRule type="containsText" dxfId="5558" priority="611" operator="containsText" text="GOOD">
      <formula>NOT(ISERROR(SEARCH("GOOD",Z335)))</formula>
    </cfRule>
  </conditionalFormatting>
  <conditionalFormatting sqref="B335">
    <cfRule type="containsText" dxfId="5557" priority="610" operator="containsText" text="FAIL">
      <formula>NOT(ISERROR(SEARCH("FAIL",B335)))</formula>
    </cfRule>
  </conditionalFormatting>
  <conditionalFormatting sqref="B335">
    <cfRule type="containsText" dxfId="5556" priority="609" operator="containsText" text="GOOD">
      <formula>NOT(ISERROR(SEARCH("GOOD",B335)))</formula>
    </cfRule>
  </conditionalFormatting>
  <conditionalFormatting sqref="L336">
    <cfRule type="containsText" dxfId="5555" priority="608" operator="containsText" text="FAIL">
      <formula>NOT(ISERROR(SEARCH("FAIL",L336)))</formula>
    </cfRule>
  </conditionalFormatting>
  <conditionalFormatting sqref="L336">
    <cfRule type="containsText" dxfId="5554" priority="607" operator="containsText" text="GOOD">
      <formula>NOT(ISERROR(SEARCH("GOOD",L336)))</formula>
    </cfRule>
  </conditionalFormatting>
  <conditionalFormatting sqref="Z336:AA336">
    <cfRule type="containsText" dxfId="5553" priority="606" operator="containsText" text="FAIL">
      <formula>NOT(ISERROR(SEARCH("FAIL",Z336)))</formula>
    </cfRule>
  </conditionalFormatting>
  <conditionalFormatting sqref="Z336:AA336">
    <cfRule type="containsText" dxfId="5552" priority="605" operator="containsText" text="GOOD">
      <formula>NOT(ISERROR(SEARCH("GOOD",Z336)))</formula>
    </cfRule>
  </conditionalFormatting>
  <conditionalFormatting sqref="L337">
    <cfRule type="containsText" dxfId="5551" priority="604" operator="containsText" text="FAIL">
      <formula>NOT(ISERROR(SEARCH("FAIL",L337)))</formula>
    </cfRule>
  </conditionalFormatting>
  <conditionalFormatting sqref="L337">
    <cfRule type="containsText" dxfId="5550" priority="603" operator="containsText" text="GOOD">
      <formula>NOT(ISERROR(SEARCH("GOOD",L337)))</formula>
    </cfRule>
  </conditionalFormatting>
  <conditionalFormatting sqref="Z337:AA337">
    <cfRule type="containsText" dxfId="5549" priority="602" operator="containsText" text="FAIL">
      <formula>NOT(ISERROR(SEARCH("FAIL",Z337)))</formula>
    </cfRule>
  </conditionalFormatting>
  <conditionalFormatting sqref="Z337:AA337">
    <cfRule type="containsText" dxfId="5548" priority="601" operator="containsText" text="GOOD">
      <formula>NOT(ISERROR(SEARCH("GOOD",Z337)))</formula>
    </cfRule>
  </conditionalFormatting>
  <conditionalFormatting sqref="L338">
    <cfRule type="containsText" dxfId="5547" priority="600" operator="containsText" text="FAIL">
      <formula>NOT(ISERROR(SEARCH("FAIL",L338)))</formula>
    </cfRule>
  </conditionalFormatting>
  <conditionalFormatting sqref="L338">
    <cfRule type="containsText" dxfId="5546" priority="599" operator="containsText" text="GOOD">
      <formula>NOT(ISERROR(SEARCH("GOOD",L338)))</formula>
    </cfRule>
  </conditionalFormatting>
  <conditionalFormatting sqref="Z338:AA338">
    <cfRule type="containsText" dxfId="5545" priority="598" operator="containsText" text="FAIL">
      <formula>NOT(ISERROR(SEARCH("FAIL",Z338)))</formula>
    </cfRule>
  </conditionalFormatting>
  <conditionalFormatting sqref="Z338:AA338">
    <cfRule type="containsText" dxfId="5544" priority="597" operator="containsText" text="GOOD">
      <formula>NOT(ISERROR(SEARCH("GOOD",Z338)))</formula>
    </cfRule>
  </conditionalFormatting>
  <conditionalFormatting sqref="L339">
    <cfRule type="containsText" dxfId="5543" priority="596" operator="containsText" text="FAIL">
      <formula>NOT(ISERROR(SEARCH("FAIL",L339)))</formula>
    </cfRule>
  </conditionalFormatting>
  <conditionalFormatting sqref="L339">
    <cfRule type="containsText" dxfId="5542" priority="595" operator="containsText" text="GOOD">
      <formula>NOT(ISERROR(SEARCH("GOOD",L339)))</formula>
    </cfRule>
  </conditionalFormatting>
  <conditionalFormatting sqref="Z339:AA339">
    <cfRule type="containsText" dxfId="5541" priority="594" operator="containsText" text="FAIL">
      <formula>NOT(ISERROR(SEARCH("FAIL",Z339)))</formula>
    </cfRule>
  </conditionalFormatting>
  <conditionalFormatting sqref="Z339:AA339">
    <cfRule type="containsText" dxfId="5540" priority="593" operator="containsText" text="GOOD">
      <formula>NOT(ISERROR(SEARCH("GOOD",Z339)))</formula>
    </cfRule>
  </conditionalFormatting>
  <conditionalFormatting sqref="L340">
    <cfRule type="containsText" dxfId="5539" priority="592" operator="containsText" text="FAIL">
      <formula>NOT(ISERROR(SEARCH("FAIL",L340)))</formula>
    </cfRule>
  </conditionalFormatting>
  <conditionalFormatting sqref="L340">
    <cfRule type="containsText" dxfId="5538" priority="591" operator="containsText" text="GOOD">
      <formula>NOT(ISERROR(SEARCH("GOOD",L340)))</formula>
    </cfRule>
  </conditionalFormatting>
  <conditionalFormatting sqref="Z340:AA340">
    <cfRule type="containsText" dxfId="5537" priority="590" operator="containsText" text="FAIL">
      <formula>NOT(ISERROR(SEARCH("FAIL",Z340)))</formula>
    </cfRule>
  </conditionalFormatting>
  <conditionalFormatting sqref="Z340:AA340">
    <cfRule type="containsText" dxfId="5536" priority="589" operator="containsText" text="GOOD">
      <formula>NOT(ISERROR(SEARCH("GOOD",Z340)))</formula>
    </cfRule>
  </conditionalFormatting>
  <conditionalFormatting sqref="Z341:AA341">
    <cfRule type="containsText" dxfId="5535" priority="585" operator="containsText" text="GOOD">
      <formula>NOT(ISERROR(SEARCH("GOOD",Z341)))</formula>
    </cfRule>
  </conditionalFormatting>
  <conditionalFormatting sqref="L341">
    <cfRule type="containsText" dxfId="5534" priority="588" operator="containsText" text="FAIL">
      <formula>NOT(ISERROR(SEARCH("FAIL",L341)))</formula>
    </cfRule>
  </conditionalFormatting>
  <conditionalFormatting sqref="L341">
    <cfRule type="containsText" dxfId="5533" priority="587" operator="containsText" text="GOOD">
      <formula>NOT(ISERROR(SEARCH("GOOD",L341)))</formula>
    </cfRule>
  </conditionalFormatting>
  <conditionalFormatting sqref="Z341:AA341">
    <cfRule type="containsText" dxfId="5532" priority="586" operator="containsText" text="FAIL">
      <formula>NOT(ISERROR(SEARCH("FAIL",Z341)))</formula>
    </cfRule>
  </conditionalFormatting>
  <conditionalFormatting sqref="L342">
    <cfRule type="containsText" dxfId="5531" priority="584" operator="containsText" text="FAIL">
      <formula>NOT(ISERROR(SEARCH("FAIL",L342)))</formula>
    </cfRule>
  </conditionalFormatting>
  <conditionalFormatting sqref="L342">
    <cfRule type="containsText" dxfId="5530" priority="583" operator="containsText" text="GOOD">
      <formula>NOT(ISERROR(SEARCH("GOOD",L342)))</formula>
    </cfRule>
  </conditionalFormatting>
  <conditionalFormatting sqref="Z342:AA342">
    <cfRule type="containsText" dxfId="5529" priority="582" operator="containsText" text="FAIL">
      <formula>NOT(ISERROR(SEARCH("FAIL",Z342)))</formula>
    </cfRule>
  </conditionalFormatting>
  <conditionalFormatting sqref="Z342:AA342">
    <cfRule type="containsText" dxfId="5528" priority="581" operator="containsText" text="GOOD">
      <formula>NOT(ISERROR(SEARCH("GOOD",Z342)))</formula>
    </cfRule>
  </conditionalFormatting>
  <conditionalFormatting sqref="L343">
    <cfRule type="containsText" dxfId="5527" priority="580" operator="containsText" text="FAIL">
      <formula>NOT(ISERROR(SEARCH("FAIL",L343)))</formula>
    </cfRule>
  </conditionalFormatting>
  <conditionalFormatting sqref="L343">
    <cfRule type="containsText" dxfId="5526" priority="579" operator="containsText" text="GOOD">
      <formula>NOT(ISERROR(SEARCH("GOOD",L343)))</formula>
    </cfRule>
  </conditionalFormatting>
  <conditionalFormatting sqref="Z343:AA344">
    <cfRule type="containsText" dxfId="5525" priority="578" operator="containsText" text="FAIL">
      <formula>NOT(ISERROR(SEARCH("FAIL",Z343)))</formula>
    </cfRule>
  </conditionalFormatting>
  <conditionalFormatting sqref="Z343:AA344">
    <cfRule type="containsText" dxfId="5524" priority="577" operator="containsText" text="GOOD">
      <formula>NOT(ISERROR(SEARCH("GOOD",Z343)))</formula>
    </cfRule>
  </conditionalFormatting>
  <conditionalFormatting sqref="L344">
    <cfRule type="containsText" dxfId="5523" priority="576" operator="containsText" text="FAIL">
      <formula>NOT(ISERROR(SEARCH("FAIL",L344)))</formula>
    </cfRule>
  </conditionalFormatting>
  <conditionalFormatting sqref="L344">
    <cfRule type="containsText" dxfId="5522" priority="575" operator="containsText" text="GOOD">
      <formula>NOT(ISERROR(SEARCH("GOOD",L344)))</formula>
    </cfRule>
  </conditionalFormatting>
  <conditionalFormatting sqref="B347">
    <cfRule type="containsText" dxfId="5521" priority="569" operator="containsText" text="GOOD">
      <formula>NOT(ISERROR(SEARCH("GOOD",B347)))</formula>
    </cfRule>
  </conditionalFormatting>
  <conditionalFormatting sqref="L347">
    <cfRule type="containsText" dxfId="5520" priority="574" operator="containsText" text="FAIL">
      <formula>NOT(ISERROR(SEARCH("FAIL",L347)))</formula>
    </cfRule>
  </conditionalFormatting>
  <conditionalFormatting sqref="L347">
    <cfRule type="containsText" dxfId="5519" priority="573" operator="containsText" text="GOOD">
      <formula>NOT(ISERROR(SEARCH("GOOD",L347)))</formula>
    </cfRule>
  </conditionalFormatting>
  <conditionalFormatting sqref="Z347:AA347">
    <cfRule type="containsText" dxfId="5518" priority="572" operator="containsText" text="FAIL">
      <formula>NOT(ISERROR(SEARCH("FAIL",Z347)))</formula>
    </cfRule>
  </conditionalFormatting>
  <conditionalFormatting sqref="Z347:AA347">
    <cfRule type="containsText" dxfId="5517" priority="571" operator="containsText" text="GOOD">
      <formula>NOT(ISERROR(SEARCH("GOOD",Z347)))</formula>
    </cfRule>
  </conditionalFormatting>
  <conditionalFormatting sqref="B347">
    <cfRule type="containsText" dxfId="5516" priority="570" operator="containsText" text="FAIL">
      <formula>NOT(ISERROR(SEARCH("FAIL",B347)))</formula>
    </cfRule>
  </conditionalFormatting>
  <conditionalFormatting sqref="L348">
    <cfRule type="containsText" dxfId="5515" priority="568" operator="containsText" text="FAIL">
      <formula>NOT(ISERROR(SEARCH("FAIL",L348)))</formula>
    </cfRule>
  </conditionalFormatting>
  <conditionalFormatting sqref="L348">
    <cfRule type="containsText" dxfId="5514" priority="567" operator="containsText" text="GOOD">
      <formula>NOT(ISERROR(SEARCH("GOOD",L348)))</formula>
    </cfRule>
  </conditionalFormatting>
  <conditionalFormatting sqref="Z348:AA348">
    <cfRule type="containsText" dxfId="5513" priority="566" operator="containsText" text="FAIL">
      <formula>NOT(ISERROR(SEARCH("FAIL",Z348)))</formula>
    </cfRule>
  </conditionalFormatting>
  <conditionalFormatting sqref="Z348:AA348">
    <cfRule type="containsText" dxfId="5512" priority="565" operator="containsText" text="GOOD">
      <formula>NOT(ISERROR(SEARCH("GOOD",Z348)))</formula>
    </cfRule>
  </conditionalFormatting>
  <conditionalFormatting sqref="B348">
    <cfRule type="containsText" dxfId="5511" priority="564" operator="containsText" text="FAIL">
      <formula>NOT(ISERROR(SEARCH("FAIL",B348)))</formula>
    </cfRule>
  </conditionalFormatting>
  <conditionalFormatting sqref="B348">
    <cfRule type="containsText" dxfId="5510" priority="563" operator="containsText" text="GOOD">
      <formula>NOT(ISERROR(SEARCH("GOOD",B348)))</formula>
    </cfRule>
  </conditionalFormatting>
  <conditionalFormatting sqref="L349">
    <cfRule type="containsText" dxfId="5509" priority="562" operator="containsText" text="FAIL">
      <formula>NOT(ISERROR(SEARCH("FAIL",L349)))</formula>
    </cfRule>
  </conditionalFormatting>
  <conditionalFormatting sqref="L349">
    <cfRule type="containsText" dxfId="5508" priority="561" operator="containsText" text="GOOD">
      <formula>NOT(ISERROR(SEARCH("GOOD",L349)))</formula>
    </cfRule>
  </conditionalFormatting>
  <conditionalFormatting sqref="Z349:AA349">
    <cfRule type="containsText" dxfId="5507" priority="560" operator="containsText" text="FAIL">
      <formula>NOT(ISERROR(SEARCH("FAIL",Z349)))</formula>
    </cfRule>
  </conditionalFormatting>
  <conditionalFormatting sqref="Z349:AA349">
    <cfRule type="containsText" dxfId="5506" priority="559" operator="containsText" text="GOOD">
      <formula>NOT(ISERROR(SEARCH("GOOD",Z349)))</formula>
    </cfRule>
  </conditionalFormatting>
  <conditionalFormatting sqref="B349">
    <cfRule type="containsText" dxfId="5505" priority="558" operator="containsText" text="FAIL">
      <formula>NOT(ISERROR(SEARCH("FAIL",B349)))</formula>
    </cfRule>
  </conditionalFormatting>
  <conditionalFormatting sqref="B349">
    <cfRule type="containsText" dxfId="5504" priority="557" operator="containsText" text="GOOD">
      <formula>NOT(ISERROR(SEARCH("GOOD",B349)))</formula>
    </cfRule>
  </conditionalFormatting>
  <conditionalFormatting sqref="L350">
    <cfRule type="containsText" dxfId="5503" priority="556" operator="containsText" text="FAIL">
      <formula>NOT(ISERROR(SEARCH("FAIL",L350)))</formula>
    </cfRule>
  </conditionalFormatting>
  <conditionalFormatting sqref="L350">
    <cfRule type="containsText" dxfId="5502" priority="555" operator="containsText" text="GOOD">
      <formula>NOT(ISERROR(SEARCH("GOOD",L350)))</formula>
    </cfRule>
  </conditionalFormatting>
  <conditionalFormatting sqref="Z350:AA350">
    <cfRule type="containsText" dxfId="5501" priority="554" operator="containsText" text="FAIL">
      <formula>NOT(ISERROR(SEARCH("FAIL",Z350)))</formula>
    </cfRule>
  </conditionalFormatting>
  <conditionalFormatting sqref="Z350:AA350">
    <cfRule type="containsText" dxfId="5500" priority="553" operator="containsText" text="GOOD">
      <formula>NOT(ISERROR(SEARCH("GOOD",Z350)))</formula>
    </cfRule>
  </conditionalFormatting>
  <conditionalFormatting sqref="B350">
    <cfRule type="containsText" dxfId="5499" priority="552" operator="containsText" text="FAIL">
      <formula>NOT(ISERROR(SEARCH("FAIL",B350)))</formula>
    </cfRule>
  </conditionalFormatting>
  <conditionalFormatting sqref="B350">
    <cfRule type="containsText" dxfId="5498" priority="551" operator="containsText" text="GOOD">
      <formula>NOT(ISERROR(SEARCH("GOOD",B350)))</formula>
    </cfRule>
  </conditionalFormatting>
  <conditionalFormatting sqref="L351">
    <cfRule type="containsText" dxfId="5497" priority="550" operator="containsText" text="FAIL">
      <formula>NOT(ISERROR(SEARCH("FAIL",L351)))</formula>
    </cfRule>
  </conditionalFormatting>
  <conditionalFormatting sqref="L351">
    <cfRule type="containsText" dxfId="5496" priority="549" operator="containsText" text="GOOD">
      <formula>NOT(ISERROR(SEARCH("GOOD",L351)))</formula>
    </cfRule>
  </conditionalFormatting>
  <conditionalFormatting sqref="Z351:AA351">
    <cfRule type="containsText" dxfId="5495" priority="548" operator="containsText" text="FAIL">
      <formula>NOT(ISERROR(SEARCH("FAIL",Z351)))</formula>
    </cfRule>
  </conditionalFormatting>
  <conditionalFormatting sqref="Z351:AA351">
    <cfRule type="containsText" dxfId="5494" priority="547" operator="containsText" text="GOOD">
      <formula>NOT(ISERROR(SEARCH("GOOD",Z351)))</formula>
    </cfRule>
  </conditionalFormatting>
  <conditionalFormatting sqref="L352">
    <cfRule type="containsText" dxfId="5493" priority="546" operator="containsText" text="FAIL">
      <formula>NOT(ISERROR(SEARCH("FAIL",L352)))</formula>
    </cfRule>
  </conditionalFormatting>
  <conditionalFormatting sqref="L352">
    <cfRule type="containsText" dxfId="5492" priority="545" operator="containsText" text="GOOD">
      <formula>NOT(ISERROR(SEARCH("GOOD",L352)))</formula>
    </cfRule>
  </conditionalFormatting>
  <conditionalFormatting sqref="Z352:AA352">
    <cfRule type="containsText" dxfId="5491" priority="544" operator="containsText" text="FAIL">
      <formula>NOT(ISERROR(SEARCH("FAIL",Z352)))</formula>
    </cfRule>
  </conditionalFormatting>
  <conditionalFormatting sqref="Z352:AA352">
    <cfRule type="containsText" dxfId="5490" priority="543" operator="containsText" text="GOOD">
      <formula>NOT(ISERROR(SEARCH("GOOD",Z352)))</formula>
    </cfRule>
  </conditionalFormatting>
  <conditionalFormatting sqref="L353">
    <cfRule type="containsText" dxfId="5489" priority="542" operator="containsText" text="FAIL">
      <formula>NOT(ISERROR(SEARCH("FAIL",L353)))</formula>
    </cfRule>
  </conditionalFormatting>
  <conditionalFormatting sqref="L353">
    <cfRule type="containsText" dxfId="5488" priority="541" operator="containsText" text="GOOD">
      <formula>NOT(ISERROR(SEARCH("GOOD",L353)))</formula>
    </cfRule>
  </conditionalFormatting>
  <conditionalFormatting sqref="Z353:AA353">
    <cfRule type="containsText" dxfId="5487" priority="540" operator="containsText" text="FAIL">
      <formula>NOT(ISERROR(SEARCH("FAIL",Z353)))</formula>
    </cfRule>
  </conditionalFormatting>
  <conditionalFormatting sqref="Z353:AA353">
    <cfRule type="containsText" dxfId="5486" priority="539" operator="containsText" text="GOOD">
      <formula>NOT(ISERROR(SEARCH("GOOD",Z353)))</formula>
    </cfRule>
  </conditionalFormatting>
  <conditionalFormatting sqref="L354">
    <cfRule type="containsText" dxfId="5485" priority="538" operator="containsText" text="FAIL">
      <formula>NOT(ISERROR(SEARCH("FAIL",L354)))</formula>
    </cfRule>
  </conditionalFormatting>
  <conditionalFormatting sqref="L354">
    <cfRule type="containsText" dxfId="5484" priority="537" operator="containsText" text="GOOD">
      <formula>NOT(ISERROR(SEARCH("GOOD",L354)))</formula>
    </cfRule>
  </conditionalFormatting>
  <conditionalFormatting sqref="Z354:AA354">
    <cfRule type="containsText" dxfId="5483" priority="536" operator="containsText" text="FAIL">
      <formula>NOT(ISERROR(SEARCH("FAIL",Z354)))</formula>
    </cfRule>
  </conditionalFormatting>
  <conditionalFormatting sqref="Z354:AA354">
    <cfRule type="containsText" dxfId="5482" priority="535" operator="containsText" text="GOOD">
      <formula>NOT(ISERROR(SEARCH("GOOD",Z354)))</formula>
    </cfRule>
  </conditionalFormatting>
  <conditionalFormatting sqref="B354">
    <cfRule type="containsText" dxfId="5481" priority="534" operator="containsText" text="FAIL">
      <formula>NOT(ISERROR(SEARCH("FAIL",B354)))</formula>
    </cfRule>
  </conditionalFormatting>
  <conditionalFormatting sqref="B354">
    <cfRule type="containsText" dxfId="5480" priority="533" operator="containsText" text="GOOD">
      <formula>NOT(ISERROR(SEARCH("GOOD",B354)))</formula>
    </cfRule>
  </conditionalFormatting>
  <conditionalFormatting sqref="L355">
    <cfRule type="containsText" dxfId="5479" priority="532" operator="containsText" text="FAIL">
      <formula>NOT(ISERROR(SEARCH("FAIL",L355)))</formula>
    </cfRule>
  </conditionalFormatting>
  <conditionalFormatting sqref="L355">
    <cfRule type="containsText" dxfId="5478" priority="531" operator="containsText" text="GOOD">
      <formula>NOT(ISERROR(SEARCH("GOOD",L355)))</formula>
    </cfRule>
  </conditionalFormatting>
  <conditionalFormatting sqref="Z355:AA355">
    <cfRule type="containsText" dxfId="5477" priority="530" operator="containsText" text="FAIL">
      <formula>NOT(ISERROR(SEARCH("FAIL",Z355)))</formula>
    </cfRule>
  </conditionalFormatting>
  <conditionalFormatting sqref="Z355:AA355">
    <cfRule type="containsText" dxfId="5476" priority="529" operator="containsText" text="GOOD">
      <formula>NOT(ISERROR(SEARCH("GOOD",Z355)))</formula>
    </cfRule>
  </conditionalFormatting>
  <conditionalFormatting sqref="B355">
    <cfRule type="containsText" dxfId="5475" priority="528" operator="containsText" text="FAIL">
      <formula>NOT(ISERROR(SEARCH("FAIL",B355)))</formula>
    </cfRule>
  </conditionalFormatting>
  <conditionalFormatting sqref="B355">
    <cfRule type="containsText" dxfId="5474" priority="527" operator="containsText" text="GOOD">
      <formula>NOT(ISERROR(SEARCH("GOOD",B355)))</formula>
    </cfRule>
  </conditionalFormatting>
  <conditionalFormatting sqref="L356">
    <cfRule type="containsText" dxfId="5473" priority="526" operator="containsText" text="FAIL">
      <formula>NOT(ISERROR(SEARCH("FAIL",L356)))</formula>
    </cfRule>
  </conditionalFormatting>
  <conditionalFormatting sqref="L356">
    <cfRule type="containsText" dxfId="5472" priority="525" operator="containsText" text="GOOD">
      <formula>NOT(ISERROR(SEARCH("GOOD",L356)))</formula>
    </cfRule>
  </conditionalFormatting>
  <conditionalFormatting sqref="Z356:AA356">
    <cfRule type="containsText" dxfId="5471" priority="524" operator="containsText" text="FAIL">
      <formula>NOT(ISERROR(SEARCH("FAIL",Z356)))</formula>
    </cfRule>
  </conditionalFormatting>
  <conditionalFormatting sqref="Z356:AA356">
    <cfRule type="containsText" dxfId="5470" priority="523" operator="containsText" text="GOOD">
      <formula>NOT(ISERROR(SEARCH("GOOD",Z356)))</formula>
    </cfRule>
  </conditionalFormatting>
  <conditionalFormatting sqref="L359">
    <cfRule type="containsText" dxfId="5469" priority="522" operator="containsText" text="FAIL">
      <formula>NOT(ISERROR(SEARCH("FAIL",L359)))</formula>
    </cfRule>
  </conditionalFormatting>
  <conditionalFormatting sqref="L359">
    <cfRule type="containsText" dxfId="5468" priority="521" operator="containsText" text="GOOD">
      <formula>NOT(ISERROR(SEARCH("GOOD",L359)))</formula>
    </cfRule>
  </conditionalFormatting>
  <conditionalFormatting sqref="Z359:AA359">
    <cfRule type="containsText" dxfId="5467" priority="520" operator="containsText" text="FAIL">
      <formula>NOT(ISERROR(SEARCH("FAIL",Z359)))</formula>
    </cfRule>
  </conditionalFormatting>
  <conditionalFormatting sqref="Z359:AA359">
    <cfRule type="containsText" dxfId="5466" priority="519" operator="containsText" text="GOOD">
      <formula>NOT(ISERROR(SEARCH("GOOD",Z359)))</formula>
    </cfRule>
  </conditionalFormatting>
  <conditionalFormatting sqref="B359">
    <cfRule type="containsText" dxfId="5465" priority="518" operator="containsText" text="FAIL">
      <formula>NOT(ISERROR(SEARCH("FAIL",B359)))</formula>
    </cfRule>
  </conditionalFormatting>
  <conditionalFormatting sqref="B359">
    <cfRule type="containsText" dxfId="5464" priority="517" operator="containsText" text="GOOD">
      <formula>NOT(ISERROR(SEARCH("GOOD",B359)))</formula>
    </cfRule>
  </conditionalFormatting>
  <conditionalFormatting sqref="L360">
    <cfRule type="containsText" dxfId="5463" priority="516" operator="containsText" text="FAIL">
      <formula>NOT(ISERROR(SEARCH("FAIL",L360)))</formula>
    </cfRule>
  </conditionalFormatting>
  <conditionalFormatting sqref="L360">
    <cfRule type="containsText" dxfId="5462" priority="515" operator="containsText" text="GOOD">
      <formula>NOT(ISERROR(SEARCH("GOOD",L360)))</formula>
    </cfRule>
  </conditionalFormatting>
  <conditionalFormatting sqref="Z360:AA360">
    <cfRule type="containsText" dxfId="5461" priority="514" operator="containsText" text="FAIL">
      <formula>NOT(ISERROR(SEARCH("FAIL",Z360)))</formula>
    </cfRule>
  </conditionalFormatting>
  <conditionalFormatting sqref="Z360:AA360">
    <cfRule type="containsText" dxfId="5460" priority="513" operator="containsText" text="GOOD">
      <formula>NOT(ISERROR(SEARCH("GOOD",Z360)))</formula>
    </cfRule>
  </conditionalFormatting>
  <conditionalFormatting sqref="B360">
    <cfRule type="containsText" dxfId="5459" priority="512" operator="containsText" text="FAIL">
      <formula>NOT(ISERROR(SEARCH("FAIL",B360)))</formula>
    </cfRule>
  </conditionalFormatting>
  <conditionalFormatting sqref="B360">
    <cfRule type="containsText" dxfId="5458" priority="511" operator="containsText" text="GOOD">
      <formula>NOT(ISERROR(SEARCH("GOOD",B360)))</formula>
    </cfRule>
  </conditionalFormatting>
  <conditionalFormatting sqref="L361">
    <cfRule type="containsText" dxfId="5457" priority="510" operator="containsText" text="FAIL">
      <formula>NOT(ISERROR(SEARCH("FAIL",L361)))</formula>
    </cfRule>
  </conditionalFormatting>
  <conditionalFormatting sqref="L361">
    <cfRule type="containsText" dxfId="5456" priority="509" operator="containsText" text="GOOD">
      <formula>NOT(ISERROR(SEARCH("GOOD",L361)))</formula>
    </cfRule>
  </conditionalFormatting>
  <conditionalFormatting sqref="Z361:AA361">
    <cfRule type="containsText" dxfId="5455" priority="508" operator="containsText" text="FAIL">
      <formula>NOT(ISERROR(SEARCH("FAIL",Z361)))</formula>
    </cfRule>
  </conditionalFormatting>
  <conditionalFormatting sqref="Z361:AA361">
    <cfRule type="containsText" dxfId="5454" priority="507" operator="containsText" text="GOOD">
      <formula>NOT(ISERROR(SEARCH("GOOD",Z361)))</formula>
    </cfRule>
  </conditionalFormatting>
  <conditionalFormatting sqref="B361">
    <cfRule type="containsText" dxfId="5453" priority="506" operator="containsText" text="FAIL">
      <formula>NOT(ISERROR(SEARCH("FAIL",B361)))</formula>
    </cfRule>
  </conditionalFormatting>
  <conditionalFormatting sqref="B361">
    <cfRule type="containsText" dxfId="5452" priority="505" operator="containsText" text="GOOD">
      <formula>NOT(ISERROR(SEARCH("GOOD",B361)))</formula>
    </cfRule>
  </conditionalFormatting>
  <conditionalFormatting sqref="L362">
    <cfRule type="containsText" dxfId="5451" priority="504" operator="containsText" text="FAIL">
      <formula>NOT(ISERROR(SEARCH("FAIL",L362)))</formula>
    </cfRule>
  </conditionalFormatting>
  <conditionalFormatting sqref="L362">
    <cfRule type="containsText" dxfId="5450" priority="503" operator="containsText" text="GOOD">
      <formula>NOT(ISERROR(SEARCH("GOOD",L362)))</formula>
    </cfRule>
  </conditionalFormatting>
  <conditionalFormatting sqref="Z362:AA362">
    <cfRule type="containsText" dxfId="5449" priority="502" operator="containsText" text="FAIL">
      <formula>NOT(ISERROR(SEARCH("FAIL",Z362)))</formula>
    </cfRule>
  </conditionalFormatting>
  <conditionalFormatting sqref="Z362:AA362">
    <cfRule type="containsText" dxfId="5448" priority="501" operator="containsText" text="GOOD">
      <formula>NOT(ISERROR(SEARCH("GOOD",Z362)))</formula>
    </cfRule>
  </conditionalFormatting>
  <conditionalFormatting sqref="B362">
    <cfRule type="containsText" dxfId="5447" priority="500" operator="containsText" text="FAIL">
      <formula>NOT(ISERROR(SEARCH("FAIL",B362)))</formula>
    </cfRule>
  </conditionalFormatting>
  <conditionalFormatting sqref="B362">
    <cfRule type="containsText" dxfId="5446" priority="499" operator="containsText" text="GOOD">
      <formula>NOT(ISERROR(SEARCH("GOOD",B362)))</formula>
    </cfRule>
  </conditionalFormatting>
  <conditionalFormatting sqref="L363">
    <cfRule type="containsText" dxfId="5445" priority="498" operator="containsText" text="FAIL">
      <formula>NOT(ISERROR(SEARCH("FAIL",L363)))</formula>
    </cfRule>
  </conditionalFormatting>
  <conditionalFormatting sqref="L363">
    <cfRule type="containsText" dxfId="5444" priority="497" operator="containsText" text="GOOD">
      <formula>NOT(ISERROR(SEARCH("GOOD",L363)))</formula>
    </cfRule>
  </conditionalFormatting>
  <conditionalFormatting sqref="Z363:AA363">
    <cfRule type="containsText" dxfId="5443" priority="496" operator="containsText" text="FAIL">
      <formula>NOT(ISERROR(SEARCH("FAIL",Z363)))</formula>
    </cfRule>
  </conditionalFormatting>
  <conditionalFormatting sqref="Z363:AA363">
    <cfRule type="containsText" dxfId="5442" priority="495" operator="containsText" text="GOOD">
      <formula>NOT(ISERROR(SEARCH("GOOD",Z363)))</formula>
    </cfRule>
  </conditionalFormatting>
  <conditionalFormatting sqref="B363">
    <cfRule type="containsText" dxfId="5441" priority="494" operator="containsText" text="FAIL">
      <formula>NOT(ISERROR(SEARCH("FAIL",B363)))</formula>
    </cfRule>
  </conditionalFormatting>
  <conditionalFormatting sqref="B363">
    <cfRule type="containsText" dxfId="5440" priority="493" operator="containsText" text="GOOD">
      <formula>NOT(ISERROR(SEARCH("GOOD",B363)))</formula>
    </cfRule>
  </conditionalFormatting>
  <conditionalFormatting sqref="L364">
    <cfRule type="containsText" dxfId="5439" priority="492" operator="containsText" text="FAIL">
      <formula>NOT(ISERROR(SEARCH("FAIL",L364)))</formula>
    </cfRule>
  </conditionalFormatting>
  <conditionalFormatting sqref="L364">
    <cfRule type="containsText" dxfId="5438" priority="491" operator="containsText" text="GOOD">
      <formula>NOT(ISERROR(SEARCH("GOOD",L364)))</formula>
    </cfRule>
  </conditionalFormatting>
  <conditionalFormatting sqref="Z364:AA364">
    <cfRule type="containsText" dxfId="5437" priority="490" operator="containsText" text="FAIL">
      <formula>NOT(ISERROR(SEARCH("FAIL",Z364)))</formula>
    </cfRule>
  </conditionalFormatting>
  <conditionalFormatting sqref="Z364:AA364">
    <cfRule type="containsText" dxfId="5436" priority="489" operator="containsText" text="GOOD">
      <formula>NOT(ISERROR(SEARCH("GOOD",Z364)))</formula>
    </cfRule>
  </conditionalFormatting>
  <conditionalFormatting sqref="L365">
    <cfRule type="containsText" dxfId="5435" priority="488" operator="containsText" text="FAIL">
      <formula>NOT(ISERROR(SEARCH("FAIL",L365)))</formula>
    </cfRule>
  </conditionalFormatting>
  <conditionalFormatting sqref="L365">
    <cfRule type="containsText" dxfId="5434" priority="487" operator="containsText" text="GOOD">
      <formula>NOT(ISERROR(SEARCH("GOOD",L365)))</formula>
    </cfRule>
  </conditionalFormatting>
  <conditionalFormatting sqref="Z365:AA365">
    <cfRule type="containsText" dxfId="5433" priority="486" operator="containsText" text="FAIL">
      <formula>NOT(ISERROR(SEARCH("FAIL",Z365)))</formula>
    </cfRule>
  </conditionalFormatting>
  <conditionalFormatting sqref="Z365:AA365">
    <cfRule type="containsText" dxfId="5432" priority="485" operator="containsText" text="GOOD">
      <formula>NOT(ISERROR(SEARCH("GOOD",Z365)))</formula>
    </cfRule>
  </conditionalFormatting>
  <conditionalFormatting sqref="L366">
    <cfRule type="containsText" dxfId="5431" priority="484" operator="containsText" text="FAIL">
      <formula>NOT(ISERROR(SEARCH("FAIL",L366)))</formula>
    </cfRule>
  </conditionalFormatting>
  <conditionalFormatting sqref="L366">
    <cfRule type="containsText" dxfId="5430" priority="483" operator="containsText" text="GOOD">
      <formula>NOT(ISERROR(SEARCH("GOOD",L366)))</formula>
    </cfRule>
  </conditionalFormatting>
  <conditionalFormatting sqref="Z366:AA366">
    <cfRule type="containsText" dxfId="5429" priority="482" operator="containsText" text="FAIL">
      <formula>NOT(ISERROR(SEARCH("FAIL",Z366)))</formula>
    </cfRule>
  </conditionalFormatting>
  <conditionalFormatting sqref="Z366:AA366">
    <cfRule type="containsText" dxfId="5428" priority="481" operator="containsText" text="GOOD">
      <formula>NOT(ISERROR(SEARCH("GOOD",Z366)))</formula>
    </cfRule>
  </conditionalFormatting>
  <conditionalFormatting sqref="L367">
    <cfRule type="containsText" dxfId="5427" priority="480" operator="containsText" text="FAIL">
      <formula>NOT(ISERROR(SEARCH("FAIL",L367)))</formula>
    </cfRule>
  </conditionalFormatting>
  <conditionalFormatting sqref="L367">
    <cfRule type="containsText" dxfId="5426" priority="479" operator="containsText" text="GOOD">
      <formula>NOT(ISERROR(SEARCH("GOOD",L367)))</formula>
    </cfRule>
  </conditionalFormatting>
  <conditionalFormatting sqref="Z367:AA367">
    <cfRule type="containsText" dxfId="5425" priority="478" operator="containsText" text="FAIL">
      <formula>NOT(ISERROR(SEARCH("FAIL",Z367)))</formula>
    </cfRule>
  </conditionalFormatting>
  <conditionalFormatting sqref="Z367:AA367">
    <cfRule type="containsText" dxfId="5424" priority="477" operator="containsText" text="GOOD">
      <formula>NOT(ISERROR(SEARCH("GOOD",Z367)))</formula>
    </cfRule>
  </conditionalFormatting>
  <conditionalFormatting sqref="L370">
    <cfRule type="containsText" dxfId="5423" priority="476" operator="containsText" text="FAIL">
      <formula>NOT(ISERROR(SEARCH("FAIL",L370)))</formula>
    </cfRule>
  </conditionalFormatting>
  <conditionalFormatting sqref="L370">
    <cfRule type="containsText" dxfId="5422" priority="475" operator="containsText" text="GOOD">
      <formula>NOT(ISERROR(SEARCH("GOOD",L370)))</formula>
    </cfRule>
  </conditionalFormatting>
  <conditionalFormatting sqref="Z370:AA370">
    <cfRule type="containsText" dxfId="5421" priority="474" operator="containsText" text="FAIL">
      <formula>NOT(ISERROR(SEARCH("FAIL",Z370)))</formula>
    </cfRule>
  </conditionalFormatting>
  <conditionalFormatting sqref="Z370:AA370">
    <cfRule type="containsText" dxfId="5420" priority="473" operator="containsText" text="GOOD">
      <formula>NOT(ISERROR(SEARCH("GOOD",Z370)))</formula>
    </cfRule>
  </conditionalFormatting>
  <conditionalFormatting sqref="B370">
    <cfRule type="containsText" dxfId="5419" priority="472" operator="containsText" text="FAIL">
      <formula>NOT(ISERROR(SEARCH("FAIL",B370)))</formula>
    </cfRule>
  </conditionalFormatting>
  <conditionalFormatting sqref="B370">
    <cfRule type="containsText" dxfId="5418" priority="471" operator="containsText" text="GOOD">
      <formula>NOT(ISERROR(SEARCH("GOOD",B370)))</formula>
    </cfRule>
  </conditionalFormatting>
  <conditionalFormatting sqref="L371">
    <cfRule type="containsText" dxfId="5417" priority="470" operator="containsText" text="FAIL">
      <formula>NOT(ISERROR(SEARCH("FAIL",L371)))</formula>
    </cfRule>
  </conditionalFormatting>
  <conditionalFormatting sqref="L371">
    <cfRule type="containsText" dxfId="5416" priority="469" operator="containsText" text="GOOD">
      <formula>NOT(ISERROR(SEARCH("GOOD",L371)))</formula>
    </cfRule>
  </conditionalFormatting>
  <conditionalFormatting sqref="Z371:AA371">
    <cfRule type="containsText" dxfId="5415" priority="468" operator="containsText" text="FAIL">
      <formula>NOT(ISERROR(SEARCH("FAIL",Z371)))</formula>
    </cfRule>
  </conditionalFormatting>
  <conditionalFormatting sqref="Z371:AA371">
    <cfRule type="containsText" dxfId="5414" priority="467" operator="containsText" text="GOOD">
      <formula>NOT(ISERROR(SEARCH("GOOD",Z371)))</formula>
    </cfRule>
  </conditionalFormatting>
  <conditionalFormatting sqref="B371">
    <cfRule type="containsText" dxfId="5413" priority="466" operator="containsText" text="FAIL">
      <formula>NOT(ISERROR(SEARCH("FAIL",B371)))</formula>
    </cfRule>
  </conditionalFormatting>
  <conditionalFormatting sqref="B371">
    <cfRule type="containsText" dxfId="5412" priority="465" operator="containsText" text="GOOD">
      <formula>NOT(ISERROR(SEARCH("GOOD",B371)))</formula>
    </cfRule>
  </conditionalFormatting>
  <conditionalFormatting sqref="AQ371">
    <cfRule type="containsText" dxfId="5411" priority="464" operator="containsText" text="FAIL">
      <formula>NOT(ISERROR(SEARCH("FAIL",AQ371)))</formula>
    </cfRule>
  </conditionalFormatting>
  <conditionalFormatting sqref="AQ371">
    <cfRule type="containsText" dxfId="5410" priority="463" operator="containsText" text="GOOD">
      <formula>NOT(ISERROR(SEARCH("GOOD",AQ371)))</formula>
    </cfRule>
  </conditionalFormatting>
  <conditionalFormatting sqref="L372">
    <cfRule type="containsText" dxfId="5409" priority="462" operator="containsText" text="FAIL">
      <formula>NOT(ISERROR(SEARCH("FAIL",L372)))</formula>
    </cfRule>
  </conditionalFormatting>
  <conditionalFormatting sqref="L372">
    <cfRule type="containsText" dxfId="5408" priority="461" operator="containsText" text="GOOD">
      <formula>NOT(ISERROR(SEARCH("GOOD",L372)))</formula>
    </cfRule>
  </conditionalFormatting>
  <conditionalFormatting sqref="Z372:AA372">
    <cfRule type="containsText" dxfId="5407" priority="460" operator="containsText" text="FAIL">
      <formula>NOT(ISERROR(SEARCH("FAIL",Z372)))</formula>
    </cfRule>
  </conditionalFormatting>
  <conditionalFormatting sqref="Z372:AA372">
    <cfRule type="containsText" dxfId="5406" priority="459" operator="containsText" text="GOOD">
      <formula>NOT(ISERROR(SEARCH("GOOD",Z372)))</formula>
    </cfRule>
  </conditionalFormatting>
  <conditionalFormatting sqref="L373">
    <cfRule type="containsText" dxfId="5405" priority="458" operator="containsText" text="FAIL">
      <formula>NOT(ISERROR(SEARCH("FAIL",L373)))</formula>
    </cfRule>
  </conditionalFormatting>
  <conditionalFormatting sqref="L373">
    <cfRule type="containsText" dxfId="5404" priority="457" operator="containsText" text="GOOD">
      <formula>NOT(ISERROR(SEARCH("GOOD",L373)))</formula>
    </cfRule>
  </conditionalFormatting>
  <conditionalFormatting sqref="Z373:AA373">
    <cfRule type="containsText" dxfId="5403" priority="456" operator="containsText" text="FAIL">
      <formula>NOT(ISERROR(SEARCH("FAIL",Z373)))</formula>
    </cfRule>
  </conditionalFormatting>
  <conditionalFormatting sqref="Z373:AA373">
    <cfRule type="containsText" dxfId="5402" priority="455" operator="containsText" text="GOOD">
      <formula>NOT(ISERROR(SEARCH("GOOD",Z373)))</formula>
    </cfRule>
  </conditionalFormatting>
  <conditionalFormatting sqref="L374">
    <cfRule type="containsText" dxfId="5401" priority="454" operator="containsText" text="FAIL">
      <formula>NOT(ISERROR(SEARCH("FAIL",L374)))</formula>
    </cfRule>
  </conditionalFormatting>
  <conditionalFormatting sqref="L374">
    <cfRule type="containsText" dxfId="5400" priority="453" operator="containsText" text="GOOD">
      <formula>NOT(ISERROR(SEARCH("GOOD",L374)))</formula>
    </cfRule>
  </conditionalFormatting>
  <conditionalFormatting sqref="Z374:AA374">
    <cfRule type="containsText" dxfId="5399" priority="452" operator="containsText" text="FAIL">
      <formula>NOT(ISERROR(SEARCH("FAIL",Z374)))</formula>
    </cfRule>
  </conditionalFormatting>
  <conditionalFormatting sqref="Z374:AA374">
    <cfRule type="containsText" dxfId="5398" priority="451" operator="containsText" text="GOOD">
      <formula>NOT(ISERROR(SEARCH("GOOD",Z374)))</formula>
    </cfRule>
  </conditionalFormatting>
  <conditionalFormatting sqref="L375">
    <cfRule type="containsText" dxfId="5397" priority="450" operator="containsText" text="FAIL">
      <formula>NOT(ISERROR(SEARCH("FAIL",L375)))</formula>
    </cfRule>
  </conditionalFormatting>
  <conditionalFormatting sqref="L375">
    <cfRule type="containsText" dxfId="5396" priority="449" operator="containsText" text="GOOD">
      <formula>NOT(ISERROR(SEARCH("GOOD",L375)))</formula>
    </cfRule>
  </conditionalFormatting>
  <conditionalFormatting sqref="Z375:AA376">
    <cfRule type="containsText" dxfId="5395" priority="448" operator="containsText" text="FAIL">
      <formula>NOT(ISERROR(SEARCH("FAIL",Z375)))</formula>
    </cfRule>
  </conditionalFormatting>
  <conditionalFormatting sqref="Z375:AA376">
    <cfRule type="containsText" dxfId="5394" priority="447" operator="containsText" text="GOOD">
      <formula>NOT(ISERROR(SEARCH("GOOD",Z375)))</formula>
    </cfRule>
  </conditionalFormatting>
  <conditionalFormatting sqref="L376">
    <cfRule type="containsText" dxfId="5393" priority="446" operator="containsText" text="FAIL">
      <formula>NOT(ISERROR(SEARCH("FAIL",L376)))</formula>
    </cfRule>
  </conditionalFormatting>
  <conditionalFormatting sqref="L376">
    <cfRule type="containsText" dxfId="5392" priority="445" operator="containsText" text="GOOD">
      <formula>NOT(ISERROR(SEARCH("GOOD",L376)))</formula>
    </cfRule>
  </conditionalFormatting>
  <conditionalFormatting sqref="B376">
    <cfRule type="containsText" dxfId="5391" priority="444" operator="containsText" text="FAIL">
      <formula>NOT(ISERROR(SEARCH("FAIL",B376)))</formula>
    </cfRule>
  </conditionalFormatting>
  <conditionalFormatting sqref="B376">
    <cfRule type="containsText" dxfId="5390" priority="443" operator="containsText" text="GOOD">
      <formula>NOT(ISERROR(SEARCH("GOOD",B376)))</formula>
    </cfRule>
  </conditionalFormatting>
  <conditionalFormatting sqref="L379">
    <cfRule type="containsText" dxfId="5389" priority="442" operator="containsText" text="FAIL">
      <formula>NOT(ISERROR(SEARCH("FAIL",L379)))</formula>
    </cfRule>
  </conditionalFormatting>
  <conditionalFormatting sqref="L379">
    <cfRule type="containsText" dxfId="5388" priority="441" operator="containsText" text="GOOD">
      <formula>NOT(ISERROR(SEARCH("GOOD",L379)))</formula>
    </cfRule>
  </conditionalFormatting>
  <conditionalFormatting sqref="Z379:AA379">
    <cfRule type="containsText" dxfId="5387" priority="439" operator="containsText" text="GOOD">
      <formula>NOT(ISERROR(SEARCH("GOOD",Z379)))</formula>
    </cfRule>
  </conditionalFormatting>
  <conditionalFormatting sqref="Z379:AA379">
    <cfRule type="containsText" dxfId="5386" priority="440" operator="containsText" text="FAIL">
      <formula>NOT(ISERROR(SEARCH("FAIL",Z379)))</formula>
    </cfRule>
  </conditionalFormatting>
  <conditionalFormatting sqref="B379">
    <cfRule type="containsText" dxfId="5385" priority="438" operator="containsText" text="FAIL">
      <formula>NOT(ISERROR(SEARCH("FAIL",B379)))</formula>
    </cfRule>
  </conditionalFormatting>
  <conditionalFormatting sqref="B379">
    <cfRule type="containsText" dxfId="5384" priority="437" operator="containsText" text="GOOD">
      <formula>NOT(ISERROR(SEARCH("GOOD",B379)))</formula>
    </cfRule>
  </conditionalFormatting>
  <conditionalFormatting sqref="L380">
    <cfRule type="containsText" dxfId="5383" priority="436" operator="containsText" text="FAIL">
      <formula>NOT(ISERROR(SEARCH("FAIL",L380)))</formula>
    </cfRule>
  </conditionalFormatting>
  <conditionalFormatting sqref="L380">
    <cfRule type="containsText" dxfId="5382" priority="435" operator="containsText" text="GOOD">
      <formula>NOT(ISERROR(SEARCH("GOOD",L380)))</formula>
    </cfRule>
  </conditionalFormatting>
  <conditionalFormatting sqref="Z380:AA380">
    <cfRule type="containsText" dxfId="5381" priority="434" operator="containsText" text="FAIL">
      <formula>NOT(ISERROR(SEARCH("FAIL",Z380)))</formula>
    </cfRule>
  </conditionalFormatting>
  <conditionalFormatting sqref="Z380:AA380">
    <cfRule type="containsText" dxfId="5380" priority="433" operator="containsText" text="GOOD">
      <formula>NOT(ISERROR(SEARCH("GOOD",Z380)))</formula>
    </cfRule>
  </conditionalFormatting>
  <conditionalFormatting sqref="L381">
    <cfRule type="containsText" dxfId="5379" priority="432" operator="containsText" text="FAIL">
      <formula>NOT(ISERROR(SEARCH("FAIL",L381)))</formula>
    </cfRule>
  </conditionalFormatting>
  <conditionalFormatting sqref="L381">
    <cfRule type="containsText" dxfId="5378" priority="431" operator="containsText" text="GOOD">
      <formula>NOT(ISERROR(SEARCH("GOOD",L381)))</formula>
    </cfRule>
  </conditionalFormatting>
  <conditionalFormatting sqref="Z381:AA381">
    <cfRule type="containsText" dxfId="5377" priority="430" operator="containsText" text="FAIL">
      <formula>NOT(ISERROR(SEARCH("FAIL",Z381)))</formula>
    </cfRule>
  </conditionalFormatting>
  <conditionalFormatting sqref="Z381:AA381">
    <cfRule type="containsText" dxfId="5376" priority="429" operator="containsText" text="GOOD">
      <formula>NOT(ISERROR(SEARCH("GOOD",Z381)))</formula>
    </cfRule>
  </conditionalFormatting>
  <conditionalFormatting sqref="L382">
    <cfRule type="containsText" dxfId="5375" priority="428" operator="containsText" text="FAIL">
      <formula>NOT(ISERROR(SEARCH("FAIL",L382)))</formula>
    </cfRule>
  </conditionalFormatting>
  <conditionalFormatting sqref="L382">
    <cfRule type="containsText" dxfId="5374" priority="427" operator="containsText" text="GOOD">
      <formula>NOT(ISERROR(SEARCH("GOOD",L382)))</formula>
    </cfRule>
  </conditionalFormatting>
  <conditionalFormatting sqref="Z382:AA382">
    <cfRule type="containsText" dxfId="5373" priority="426" operator="containsText" text="FAIL">
      <formula>NOT(ISERROR(SEARCH("FAIL",Z382)))</formula>
    </cfRule>
  </conditionalFormatting>
  <conditionalFormatting sqref="Z382:AA382">
    <cfRule type="containsText" dxfId="5372" priority="425" operator="containsText" text="GOOD">
      <formula>NOT(ISERROR(SEARCH("GOOD",Z382)))</formula>
    </cfRule>
  </conditionalFormatting>
  <conditionalFormatting sqref="L383">
    <cfRule type="containsText" dxfId="5371" priority="424" operator="containsText" text="FAIL">
      <formula>NOT(ISERROR(SEARCH("FAIL",L383)))</formula>
    </cfRule>
  </conditionalFormatting>
  <conditionalFormatting sqref="L383">
    <cfRule type="containsText" dxfId="5370" priority="423" operator="containsText" text="GOOD">
      <formula>NOT(ISERROR(SEARCH("GOOD",L383)))</formula>
    </cfRule>
  </conditionalFormatting>
  <conditionalFormatting sqref="Z383:AA383">
    <cfRule type="containsText" dxfId="5369" priority="422" operator="containsText" text="FAIL">
      <formula>NOT(ISERROR(SEARCH("FAIL",Z383)))</formula>
    </cfRule>
  </conditionalFormatting>
  <conditionalFormatting sqref="Z383:AA383">
    <cfRule type="containsText" dxfId="5368" priority="421" operator="containsText" text="GOOD">
      <formula>NOT(ISERROR(SEARCH("GOOD",Z383)))</formula>
    </cfRule>
  </conditionalFormatting>
  <conditionalFormatting sqref="L384">
    <cfRule type="containsText" dxfId="5367" priority="420" operator="containsText" text="FAIL">
      <formula>NOT(ISERROR(SEARCH("FAIL",L384)))</formula>
    </cfRule>
  </conditionalFormatting>
  <conditionalFormatting sqref="L384">
    <cfRule type="containsText" dxfId="5366" priority="419" operator="containsText" text="GOOD">
      <formula>NOT(ISERROR(SEARCH("GOOD",L384)))</formula>
    </cfRule>
  </conditionalFormatting>
  <conditionalFormatting sqref="Z384:AA384">
    <cfRule type="containsText" dxfId="5365" priority="418" operator="containsText" text="FAIL">
      <formula>NOT(ISERROR(SEARCH("FAIL",Z384)))</formula>
    </cfRule>
  </conditionalFormatting>
  <conditionalFormatting sqref="Z384:AA384">
    <cfRule type="containsText" dxfId="5364" priority="417" operator="containsText" text="GOOD">
      <formula>NOT(ISERROR(SEARCH("GOOD",Z384)))</formula>
    </cfRule>
  </conditionalFormatting>
  <conditionalFormatting sqref="L385">
    <cfRule type="containsText" dxfId="5363" priority="416" operator="containsText" text="FAIL">
      <formula>NOT(ISERROR(SEARCH("FAIL",L385)))</formula>
    </cfRule>
  </conditionalFormatting>
  <conditionalFormatting sqref="L385">
    <cfRule type="containsText" dxfId="5362" priority="415" operator="containsText" text="GOOD">
      <formula>NOT(ISERROR(SEARCH("GOOD",L385)))</formula>
    </cfRule>
  </conditionalFormatting>
  <conditionalFormatting sqref="Z385:AA386">
    <cfRule type="containsText" dxfId="5361" priority="414" operator="containsText" text="FAIL">
      <formula>NOT(ISERROR(SEARCH("FAIL",Z385)))</formula>
    </cfRule>
  </conditionalFormatting>
  <conditionalFormatting sqref="Z385:AA386">
    <cfRule type="containsText" dxfId="5360" priority="413" operator="containsText" text="GOOD">
      <formula>NOT(ISERROR(SEARCH("GOOD",Z385)))</formula>
    </cfRule>
  </conditionalFormatting>
  <conditionalFormatting sqref="L386">
    <cfRule type="containsText" dxfId="5359" priority="412" operator="containsText" text="FAIL">
      <formula>NOT(ISERROR(SEARCH("FAIL",L386)))</formula>
    </cfRule>
  </conditionalFormatting>
  <conditionalFormatting sqref="L386">
    <cfRule type="containsText" dxfId="5358" priority="411" operator="containsText" text="GOOD">
      <formula>NOT(ISERROR(SEARCH("GOOD",L386)))</formula>
    </cfRule>
  </conditionalFormatting>
  <conditionalFormatting sqref="L389">
    <cfRule type="containsText" dxfId="5357" priority="410" operator="containsText" text="FAIL">
      <formula>NOT(ISERROR(SEARCH("FAIL",L389)))</formula>
    </cfRule>
  </conditionalFormatting>
  <conditionalFormatting sqref="L389">
    <cfRule type="containsText" dxfId="5356" priority="409" operator="containsText" text="GOOD">
      <formula>NOT(ISERROR(SEARCH("GOOD",L389)))</formula>
    </cfRule>
  </conditionalFormatting>
  <conditionalFormatting sqref="Z389:AA389">
    <cfRule type="containsText" dxfId="5355" priority="408" operator="containsText" text="FAIL">
      <formula>NOT(ISERROR(SEARCH("FAIL",Z389)))</formula>
    </cfRule>
  </conditionalFormatting>
  <conditionalFormatting sqref="Z389:AA389">
    <cfRule type="containsText" dxfId="5354" priority="407" operator="containsText" text="GOOD">
      <formula>NOT(ISERROR(SEARCH("GOOD",Z389)))</formula>
    </cfRule>
  </conditionalFormatting>
  <conditionalFormatting sqref="Z392:AA392">
    <cfRule type="containsText" dxfId="5353" priority="404" operator="containsText" text="FAIL">
      <formula>NOT(ISERROR(SEARCH("FAIL",Z392)))</formula>
    </cfRule>
  </conditionalFormatting>
  <conditionalFormatting sqref="Z392:AA392">
    <cfRule type="containsText" dxfId="5352" priority="403" operator="containsText" text="GOOD">
      <formula>NOT(ISERROR(SEARCH("GOOD",Z392)))</formula>
    </cfRule>
  </conditionalFormatting>
  <conditionalFormatting sqref="L392">
    <cfRule type="containsText" dxfId="5351" priority="406" operator="containsText" text="FAIL">
      <formula>NOT(ISERROR(SEARCH("FAIL",L392)))</formula>
    </cfRule>
  </conditionalFormatting>
  <conditionalFormatting sqref="L392">
    <cfRule type="containsText" dxfId="5350" priority="405" operator="containsText" text="GOOD">
      <formula>NOT(ISERROR(SEARCH("GOOD",L392)))</formula>
    </cfRule>
  </conditionalFormatting>
  <conditionalFormatting sqref="B392">
    <cfRule type="containsText" dxfId="5349" priority="402" operator="containsText" text="FAIL">
      <formula>NOT(ISERROR(SEARCH("FAIL",B392)))</formula>
    </cfRule>
  </conditionalFormatting>
  <conditionalFormatting sqref="B392">
    <cfRule type="containsText" dxfId="5348" priority="401" operator="containsText" text="GOOD">
      <formula>NOT(ISERROR(SEARCH("GOOD",B392)))</formula>
    </cfRule>
  </conditionalFormatting>
  <conditionalFormatting sqref="L393">
    <cfRule type="containsText" dxfId="5347" priority="400" operator="containsText" text="FAIL">
      <formula>NOT(ISERROR(SEARCH("FAIL",L393)))</formula>
    </cfRule>
  </conditionalFormatting>
  <conditionalFormatting sqref="L393">
    <cfRule type="containsText" dxfId="5346" priority="399" operator="containsText" text="GOOD">
      <formula>NOT(ISERROR(SEARCH("GOOD",L393)))</formula>
    </cfRule>
  </conditionalFormatting>
  <conditionalFormatting sqref="Z393:AA393">
    <cfRule type="containsText" dxfId="5345" priority="398" operator="containsText" text="FAIL">
      <formula>NOT(ISERROR(SEARCH("FAIL",Z393)))</formula>
    </cfRule>
  </conditionalFormatting>
  <conditionalFormatting sqref="Z393:AA393">
    <cfRule type="containsText" dxfId="5344" priority="397" operator="containsText" text="GOOD">
      <formula>NOT(ISERROR(SEARCH("GOOD",Z393)))</formula>
    </cfRule>
  </conditionalFormatting>
  <conditionalFormatting sqref="B393">
    <cfRule type="containsText" dxfId="5343" priority="396" operator="containsText" text="FAIL">
      <formula>NOT(ISERROR(SEARCH("FAIL",B393)))</formula>
    </cfRule>
  </conditionalFormatting>
  <conditionalFormatting sqref="B393">
    <cfRule type="containsText" dxfId="5342" priority="395" operator="containsText" text="GOOD">
      <formula>NOT(ISERROR(SEARCH("GOOD",B393)))</formula>
    </cfRule>
  </conditionalFormatting>
  <conditionalFormatting sqref="L394">
    <cfRule type="containsText" dxfId="5341" priority="394" operator="containsText" text="FAIL">
      <formula>NOT(ISERROR(SEARCH("FAIL",L394)))</formula>
    </cfRule>
  </conditionalFormatting>
  <conditionalFormatting sqref="L394">
    <cfRule type="containsText" dxfId="5340" priority="393" operator="containsText" text="GOOD">
      <formula>NOT(ISERROR(SEARCH("GOOD",L394)))</formula>
    </cfRule>
  </conditionalFormatting>
  <conditionalFormatting sqref="Z394:AA394">
    <cfRule type="containsText" dxfId="5339" priority="392" operator="containsText" text="FAIL">
      <formula>NOT(ISERROR(SEARCH("FAIL",Z394)))</formula>
    </cfRule>
  </conditionalFormatting>
  <conditionalFormatting sqref="Z394:AA394">
    <cfRule type="containsText" dxfId="5338" priority="391" operator="containsText" text="GOOD">
      <formula>NOT(ISERROR(SEARCH("GOOD",Z394)))</formula>
    </cfRule>
  </conditionalFormatting>
  <conditionalFormatting sqref="L397">
    <cfRule type="containsText" dxfId="5337" priority="390" operator="containsText" text="FAIL">
      <formula>NOT(ISERROR(SEARCH("FAIL",L397)))</formula>
    </cfRule>
  </conditionalFormatting>
  <conditionalFormatting sqref="L397">
    <cfRule type="containsText" dxfId="5336" priority="389" operator="containsText" text="GOOD">
      <formula>NOT(ISERROR(SEARCH("GOOD",L397)))</formula>
    </cfRule>
  </conditionalFormatting>
  <conditionalFormatting sqref="Z397:AA397">
    <cfRule type="containsText" dxfId="5335" priority="388" operator="containsText" text="FAIL">
      <formula>NOT(ISERROR(SEARCH("FAIL",Z397)))</formula>
    </cfRule>
  </conditionalFormatting>
  <conditionalFormatting sqref="Z397:AA397">
    <cfRule type="containsText" dxfId="5334" priority="387" operator="containsText" text="GOOD">
      <formula>NOT(ISERROR(SEARCH("GOOD",Z397)))</formula>
    </cfRule>
  </conditionalFormatting>
  <conditionalFormatting sqref="L400">
    <cfRule type="containsText" dxfId="5333" priority="386" operator="containsText" text="FAIL">
      <formula>NOT(ISERROR(SEARCH("FAIL",L400)))</formula>
    </cfRule>
  </conditionalFormatting>
  <conditionalFormatting sqref="L400">
    <cfRule type="containsText" dxfId="5332" priority="385" operator="containsText" text="GOOD">
      <formula>NOT(ISERROR(SEARCH("GOOD",L400)))</formula>
    </cfRule>
  </conditionalFormatting>
  <conditionalFormatting sqref="Z400:AA400">
    <cfRule type="containsText" dxfId="5331" priority="384" operator="containsText" text="FAIL">
      <formula>NOT(ISERROR(SEARCH("FAIL",Z400)))</formula>
    </cfRule>
  </conditionalFormatting>
  <conditionalFormatting sqref="Z400:AA400">
    <cfRule type="containsText" dxfId="5330" priority="383" operator="containsText" text="GOOD">
      <formula>NOT(ISERROR(SEARCH("GOOD",Z400)))</formula>
    </cfRule>
  </conditionalFormatting>
  <conditionalFormatting sqref="L401">
    <cfRule type="containsText" dxfId="5329" priority="382" operator="containsText" text="FAIL">
      <formula>NOT(ISERROR(SEARCH("FAIL",L401)))</formula>
    </cfRule>
  </conditionalFormatting>
  <conditionalFormatting sqref="L401">
    <cfRule type="containsText" dxfId="5328" priority="381" operator="containsText" text="GOOD">
      <formula>NOT(ISERROR(SEARCH("GOOD",L401)))</formula>
    </cfRule>
  </conditionalFormatting>
  <conditionalFormatting sqref="Z401:AA401">
    <cfRule type="containsText" dxfId="5327" priority="380" operator="containsText" text="FAIL">
      <formula>NOT(ISERROR(SEARCH("FAIL",Z401)))</formula>
    </cfRule>
  </conditionalFormatting>
  <conditionalFormatting sqref="Z401:AA401">
    <cfRule type="containsText" dxfId="5326" priority="379" operator="containsText" text="GOOD">
      <formula>NOT(ISERROR(SEARCH("GOOD",Z401)))</formula>
    </cfRule>
  </conditionalFormatting>
  <conditionalFormatting sqref="L402">
    <cfRule type="containsText" dxfId="5325" priority="378" operator="containsText" text="FAIL">
      <formula>NOT(ISERROR(SEARCH("FAIL",L402)))</formula>
    </cfRule>
  </conditionalFormatting>
  <conditionalFormatting sqref="L402">
    <cfRule type="containsText" dxfId="5324" priority="377" operator="containsText" text="GOOD">
      <formula>NOT(ISERROR(SEARCH("GOOD",L402)))</formula>
    </cfRule>
  </conditionalFormatting>
  <conditionalFormatting sqref="Z402:AA402">
    <cfRule type="containsText" dxfId="5323" priority="376" operator="containsText" text="FAIL">
      <formula>NOT(ISERROR(SEARCH("FAIL",Z402)))</formula>
    </cfRule>
  </conditionalFormatting>
  <conditionalFormatting sqref="Z402:AA402">
    <cfRule type="containsText" dxfId="5322" priority="375" operator="containsText" text="GOOD">
      <formula>NOT(ISERROR(SEARCH("GOOD",Z402)))</formula>
    </cfRule>
  </conditionalFormatting>
  <conditionalFormatting sqref="L403">
    <cfRule type="containsText" dxfId="5321" priority="374" operator="containsText" text="FAIL">
      <formula>NOT(ISERROR(SEARCH("FAIL",L403)))</formula>
    </cfRule>
  </conditionalFormatting>
  <conditionalFormatting sqref="L403">
    <cfRule type="containsText" dxfId="5320" priority="373" operator="containsText" text="GOOD">
      <formula>NOT(ISERROR(SEARCH("GOOD",L403)))</formula>
    </cfRule>
  </conditionalFormatting>
  <conditionalFormatting sqref="Z403:AA403">
    <cfRule type="containsText" dxfId="5319" priority="372" operator="containsText" text="FAIL">
      <formula>NOT(ISERROR(SEARCH("FAIL",Z403)))</formula>
    </cfRule>
  </conditionalFormatting>
  <conditionalFormatting sqref="Z403:AA403">
    <cfRule type="containsText" dxfId="5318" priority="371" operator="containsText" text="GOOD">
      <formula>NOT(ISERROR(SEARCH("GOOD",Z403)))</formula>
    </cfRule>
  </conditionalFormatting>
  <conditionalFormatting sqref="L427">
    <cfRule type="containsText" dxfId="5317" priority="370" operator="containsText" text="FAIL">
      <formula>NOT(ISERROR(SEARCH("FAIL",L427)))</formula>
    </cfRule>
  </conditionalFormatting>
  <conditionalFormatting sqref="L427">
    <cfRule type="containsText" dxfId="5316" priority="369" operator="containsText" text="GOOD">
      <formula>NOT(ISERROR(SEARCH("GOOD",L427)))</formula>
    </cfRule>
  </conditionalFormatting>
  <conditionalFormatting sqref="Z427:AA427">
    <cfRule type="containsText" dxfId="5315" priority="368" operator="containsText" text="FAIL">
      <formula>NOT(ISERROR(SEARCH("FAIL",Z427)))</formula>
    </cfRule>
  </conditionalFormatting>
  <conditionalFormatting sqref="Z427:AA427">
    <cfRule type="containsText" dxfId="5314" priority="367" operator="containsText" text="GOOD">
      <formula>NOT(ISERROR(SEARCH("GOOD",Z427)))</formula>
    </cfRule>
  </conditionalFormatting>
  <conditionalFormatting sqref="B427">
    <cfRule type="containsText" dxfId="5313" priority="366" operator="containsText" text="FAIL">
      <formula>NOT(ISERROR(SEARCH("FAIL",B427)))</formula>
    </cfRule>
  </conditionalFormatting>
  <conditionalFormatting sqref="B427">
    <cfRule type="containsText" dxfId="5312" priority="365" operator="containsText" text="GOOD">
      <formula>NOT(ISERROR(SEARCH("GOOD",B427)))</formula>
    </cfRule>
  </conditionalFormatting>
  <conditionalFormatting sqref="L428">
    <cfRule type="containsText" dxfId="5311" priority="364" operator="containsText" text="FAIL">
      <formula>NOT(ISERROR(SEARCH("FAIL",L428)))</formula>
    </cfRule>
  </conditionalFormatting>
  <conditionalFormatting sqref="L428">
    <cfRule type="containsText" dxfId="5310" priority="363" operator="containsText" text="GOOD">
      <formula>NOT(ISERROR(SEARCH("GOOD",L428)))</formula>
    </cfRule>
  </conditionalFormatting>
  <conditionalFormatting sqref="Z428:AA428">
    <cfRule type="containsText" dxfId="5309" priority="361" operator="containsText" text="GOOD">
      <formula>NOT(ISERROR(SEARCH("GOOD",Z428)))</formula>
    </cfRule>
  </conditionalFormatting>
  <conditionalFormatting sqref="Z428:AA428">
    <cfRule type="containsText" dxfId="5308" priority="362" operator="containsText" text="FAIL">
      <formula>NOT(ISERROR(SEARCH("FAIL",Z428)))</formula>
    </cfRule>
  </conditionalFormatting>
  <conditionalFormatting sqref="B428">
    <cfRule type="containsText" dxfId="5307" priority="360" operator="containsText" text="FAIL">
      <formula>NOT(ISERROR(SEARCH("FAIL",B428)))</formula>
    </cfRule>
  </conditionalFormatting>
  <conditionalFormatting sqref="B428">
    <cfRule type="containsText" dxfId="5306" priority="359" operator="containsText" text="GOOD">
      <formula>NOT(ISERROR(SEARCH("GOOD",B428)))</formula>
    </cfRule>
  </conditionalFormatting>
  <conditionalFormatting sqref="L429">
    <cfRule type="containsText" dxfId="5305" priority="358" operator="containsText" text="FAIL">
      <formula>NOT(ISERROR(SEARCH("FAIL",L429)))</formula>
    </cfRule>
  </conditionalFormatting>
  <conditionalFormatting sqref="L429">
    <cfRule type="containsText" dxfId="5304" priority="357" operator="containsText" text="GOOD">
      <formula>NOT(ISERROR(SEARCH("GOOD",L429)))</formula>
    </cfRule>
  </conditionalFormatting>
  <conditionalFormatting sqref="Z429:AA429">
    <cfRule type="containsText" dxfId="5303" priority="356" operator="containsText" text="FAIL">
      <formula>NOT(ISERROR(SEARCH("FAIL",Z429)))</formula>
    </cfRule>
  </conditionalFormatting>
  <conditionalFormatting sqref="Z429:AA429">
    <cfRule type="containsText" dxfId="5302" priority="355" operator="containsText" text="GOOD">
      <formula>NOT(ISERROR(SEARCH("GOOD",Z429)))</formula>
    </cfRule>
  </conditionalFormatting>
  <conditionalFormatting sqref="B429">
    <cfRule type="containsText" dxfId="5301" priority="354" operator="containsText" text="FAIL">
      <formula>NOT(ISERROR(SEARCH("FAIL",B429)))</formula>
    </cfRule>
  </conditionalFormatting>
  <conditionalFormatting sqref="B429">
    <cfRule type="containsText" dxfId="5300" priority="353" operator="containsText" text="GOOD">
      <formula>NOT(ISERROR(SEARCH("GOOD",B429)))</formula>
    </cfRule>
  </conditionalFormatting>
  <conditionalFormatting sqref="L430">
    <cfRule type="containsText" dxfId="5299" priority="352" operator="containsText" text="FAIL">
      <formula>NOT(ISERROR(SEARCH("FAIL",L430)))</formula>
    </cfRule>
  </conditionalFormatting>
  <conditionalFormatting sqref="L430">
    <cfRule type="containsText" dxfId="5298" priority="351" operator="containsText" text="GOOD">
      <formula>NOT(ISERROR(SEARCH("GOOD",L430)))</formula>
    </cfRule>
  </conditionalFormatting>
  <conditionalFormatting sqref="Z430:AA430">
    <cfRule type="containsText" dxfId="5297" priority="350" operator="containsText" text="FAIL">
      <formula>NOT(ISERROR(SEARCH("FAIL",Z430)))</formula>
    </cfRule>
  </conditionalFormatting>
  <conditionalFormatting sqref="Z430:AA430">
    <cfRule type="containsText" dxfId="5296" priority="349" operator="containsText" text="GOOD">
      <formula>NOT(ISERROR(SEARCH("GOOD",Z430)))</formula>
    </cfRule>
  </conditionalFormatting>
  <conditionalFormatting sqref="B430">
    <cfRule type="containsText" dxfId="5295" priority="348" operator="containsText" text="FAIL">
      <formula>NOT(ISERROR(SEARCH("FAIL",B430)))</formula>
    </cfRule>
  </conditionalFormatting>
  <conditionalFormatting sqref="B430">
    <cfRule type="containsText" dxfId="5294" priority="347" operator="containsText" text="GOOD">
      <formula>NOT(ISERROR(SEARCH("GOOD",B430)))</formula>
    </cfRule>
  </conditionalFormatting>
  <conditionalFormatting sqref="L431">
    <cfRule type="containsText" dxfId="5293" priority="346" operator="containsText" text="FAIL">
      <formula>NOT(ISERROR(SEARCH("FAIL",L431)))</formula>
    </cfRule>
  </conditionalFormatting>
  <conditionalFormatting sqref="L431">
    <cfRule type="containsText" dxfId="5292" priority="345" operator="containsText" text="GOOD">
      <formula>NOT(ISERROR(SEARCH("GOOD",L431)))</formula>
    </cfRule>
  </conditionalFormatting>
  <conditionalFormatting sqref="Z431:AA431">
    <cfRule type="containsText" dxfId="5291" priority="344" operator="containsText" text="FAIL">
      <formula>NOT(ISERROR(SEARCH("FAIL",Z431)))</formula>
    </cfRule>
  </conditionalFormatting>
  <conditionalFormatting sqref="Z431:AA431">
    <cfRule type="containsText" dxfId="5290" priority="343" operator="containsText" text="GOOD">
      <formula>NOT(ISERROR(SEARCH("GOOD",Z431)))</formula>
    </cfRule>
  </conditionalFormatting>
  <conditionalFormatting sqref="L432">
    <cfRule type="containsText" dxfId="5289" priority="342" operator="containsText" text="FAIL">
      <formula>NOT(ISERROR(SEARCH("FAIL",L432)))</formula>
    </cfRule>
  </conditionalFormatting>
  <conditionalFormatting sqref="L432">
    <cfRule type="containsText" dxfId="5288" priority="341" operator="containsText" text="GOOD">
      <formula>NOT(ISERROR(SEARCH("GOOD",L432)))</formula>
    </cfRule>
  </conditionalFormatting>
  <conditionalFormatting sqref="Z432:AA432">
    <cfRule type="containsText" dxfId="5287" priority="340" operator="containsText" text="FAIL">
      <formula>NOT(ISERROR(SEARCH("FAIL",Z432)))</formula>
    </cfRule>
  </conditionalFormatting>
  <conditionalFormatting sqref="Z432:AA432">
    <cfRule type="containsText" dxfId="5286" priority="339" operator="containsText" text="GOOD">
      <formula>NOT(ISERROR(SEARCH("GOOD",Z432)))</formula>
    </cfRule>
  </conditionalFormatting>
  <conditionalFormatting sqref="L433">
    <cfRule type="containsText" dxfId="5285" priority="338" operator="containsText" text="FAIL">
      <formula>NOT(ISERROR(SEARCH("FAIL",L433)))</formula>
    </cfRule>
  </conditionalFormatting>
  <conditionalFormatting sqref="L433">
    <cfRule type="containsText" dxfId="5284" priority="337" operator="containsText" text="GOOD">
      <formula>NOT(ISERROR(SEARCH("GOOD",L433)))</formula>
    </cfRule>
  </conditionalFormatting>
  <conditionalFormatting sqref="Z433:AA433">
    <cfRule type="containsText" dxfId="5283" priority="336" operator="containsText" text="FAIL">
      <formula>NOT(ISERROR(SEARCH("FAIL",Z433)))</formula>
    </cfRule>
  </conditionalFormatting>
  <conditionalFormatting sqref="Z433:AA433">
    <cfRule type="containsText" dxfId="5282" priority="335" operator="containsText" text="GOOD">
      <formula>NOT(ISERROR(SEARCH("GOOD",Z433)))</formula>
    </cfRule>
  </conditionalFormatting>
  <conditionalFormatting sqref="L434">
    <cfRule type="containsText" dxfId="5281" priority="334" operator="containsText" text="FAIL">
      <formula>NOT(ISERROR(SEARCH("FAIL",L434)))</formula>
    </cfRule>
  </conditionalFormatting>
  <conditionalFormatting sqref="L434">
    <cfRule type="containsText" dxfId="5280" priority="333" operator="containsText" text="GOOD">
      <formula>NOT(ISERROR(SEARCH("GOOD",L434)))</formula>
    </cfRule>
  </conditionalFormatting>
  <conditionalFormatting sqref="Z434:AA434">
    <cfRule type="containsText" dxfId="5279" priority="332" operator="containsText" text="FAIL">
      <formula>NOT(ISERROR(SEARCH("FAIL",Z434)))</formula>
    </cfRule>
  </conditionalFormatting>
  <conditionalFormatting sqref="Z434:AA434">
    <cfRule type="containsText" dxfId="5278" priority="331" operator="containsText" text="GOOD">
      <formula>NOT(ISERROR(SEARCH("GOOD",Z434)))</formula>
    </cfRule>
  </conditionalFormatting>
  <conditionalFormatting sqref="L435">
    <cfRule type="containsText" dxfId="5277" priority="330" operator="containsText" text="FAIL">
      <formula>NOT(ISERROR(SEARCH("FAIL",L435)))</formula>
    </cfRule>
  </conditionalFormatting>
  <conditionalFormatting sqref="L435">
    <cfRule type="containsText" dxfId="5276" priority="329" operator="containsText" text="GOOD">
      <formula>NOT(ISERROR(SEARCH("GOOD",L435)))</formula>
    </cfRule>
  </conditionalFormatting>
  <conditionalFormatting sqref="Z435:AA435">
    <cfRule type="containsText" dxfId="5275" priority="328" operator="containsText" text="FAIL">
      <formula>NOT(ISERROR(SEARCH("FAIL",Z435)))</formula>
    </cfRule>
  </conditionalFormatting>
  <conditionalFormatting sqref="Z435:AA435">
    <cfRule type="containsText" dxfId="5274" priority="327" operator="containsText" text="GOOD">
      <formula>NOT(ISERROR(SEARCH("GOOD",Z435)))</formula>
    </cfRule>
  </conditionalFormatting>
  <conditionalFormatting sqref="L436">
    <cfRule type="containsText" dxfId="5273" priority="326" operator="containsText" text="FAIL">
      <formula>NOT(ISERROR(SEARCH("FAIL",L436)))</formula>
    </cfRule>
  </conditionalFormatting>
  <conditionalFormatting sqref="L436">
    <cfRule type="containsText" dxfId="5272" priority="325" operator="containsText" text="GOOD">
      <formula>NOT(ISERROR(SEARCH("GOOD",L436)))</formula>
    </cfRule>
  </conditionalFormatting>
  <conditionalFormatting sqref="Z436:AA436">
    <cfRule type="containsText" dxfId="5271" priority="324" operator="containsText" text="FAIL">
      <formula>NOT(ISERROR(SEARCH("FAIL",Z436)))</formula>
    </cfRule>
  </conditionalFormatting>
  <conditionalFormatting sqref="Z436:AA436">
    <cfRule type="containsText" dxfId="5270" priority="323" operator="containsText" text="GOOD">
      <formula>NOT(ISERROR(SEARCH("GOOD",Z436)))</formula>
    </cfRule>
  </conditionalFormatting>
  <conditionalFormatting sqref="L437">
    <cfRule type="containsText" dxfId="5269" priority="322" operator="containsText" text="FAIL">
      <formula>NOT(ISERROR(SEARCH("FAIL",L437)))</formula>
    </cfRule>
  </conditionalFormatting>
  <conditionalFormatting sqref="L437">
    <cfRule type="containsText" dxfId="5268" priority="321" operator="containsText" text="GOOD">
      <formula>NOT(ISERROR(SEARCH("GOOD",L437)))</formula>
    </cfRule>
  </conditionalFormatting>
  <conditionalFormatting sqref="Z437:AA437">
    <cfRule type="containsText" dxfId="5267" priority="320" operator="containsText" text="FAIL">
      <formula>NOT(ISERROR(SEARCH("FAIL",Z437)))</formula>
    </cfRule>
  </conditionalFormatting>
  <conditionalFormatting sqref="Z437:AA437">
    <cfRule type="containsText" dxfId="5266" priority="319" operator="containsText" text="GOOD">
      <formula>NOT(ISERROR(SEARCH("GOOD",Z437)))</formula>
    </cfRule>
  </conditionalFormatting>
  <conditionalFormatting sqref="L438">
    <cfRule type="containsText" dxfId="5265" priority="318" operator="containsText" text="FAIL">
      <formula>NOT(ISERROR(SEARCH("FAIL",L438)))</formula>
    </cfRule>
  </conditionalFormatting>
  <conditionalFormatting sqref="L438">
    <cfRule type="containsText" dxfId="5264" priority="317" operator="containsText" text="GOOD">
      <formula>NOT(ISERROR(SEARCH("GOOD",L438)))</formula>
    </cfRule>
  </conditionalFormatting>
  <conditionalFormatting sqref="Z438:AA438">
    <cfRule type="containsText" dxfId="5263" priority="316" operator="containsText" text="FAIL">
      <formula>NOT(ISERROR(SEARCH("FAIL",Z438)))</formula>
    </cfRule>
  </conditionalFormatting>
  <conditionalFormatting sqref="Z438:AA438">
    <cfRule type="containsText" dxfId="5262" priority="315" operator="containsText" text="GOOD">
      <formula>NOT(ISERROR(SEARCH("GOOD",Z438)))</formula>
    </cfRule>
  </conditionalFormatting>
  <conditionalFormatting sqref="L441">
    <cfRule type="containsText" dxfId="5261" priority="314" operator="containsText" text="FAIL">
      <formula>NOT(ISERROR(SEARCH("FAIL",L441)))</formula>
    </cfRule>
  </conditionalFormatting>
  <conditionalFormatting sqref="L441">
    <cfRule type="containsText" dxfId="5260" priority="313" operator="containsText" text="GOOD">
      <formula>NOT(ISERROR(SEARCH("GOOD",L441)))</formula>
    </cfRule>
  </conditionalFormatting>
  <conditionalFormatting sqref="Z441:AA441">
    <cfRule type="containsText" dxfId="5259" priority="312" operator="containsText" text="FAIL">
      <formula>NOT(ISERROR(SEARCH("FAIL",Z441)))</formula>
    </cfRule>
  </conditionalFormatting>
  <conditionalFormatting sqref="Z441:AA441">
    <cfRule type="containsText" dxfId="5258" priority="311" operator="containsText" text="GOOD">
      <formula>NOT(ISERROR(SEARCH("GOOD",Z441)))</formula>
    </cfRule>
  </conditionalFormatting>
  <conditionalFormatting sqref="L442">
    <cfRule type="containsText" dxfId="5257" priority="310" operator="containsText" text="FAIL">
      <formula>NOT(ISERROR(SEARCH("FAIL",L442)))</formula>
    </cfRule>
  </conditionalFormatting>
  <conditionalFormatting sqref="L442">
    <cfRule type="containsText" dxfId="5256" priority="309" operator="containsText" text="GOOD">
      <formula>NOT(ISERROR(SEARCH("GOOD",L442)))</formula>
    </cfRule>
  </conditionalFormatting>
  <conditionalFormatting sqref="Z442:AA442">
    <cfRule type="containsText" dxfId="5255" priority="308" operator="containsText" text="FAIL">
      <formula>NOT(ISERROR(SEARCH("FAIL",Z442)))</formula>
    </cfRule>
  </conditionalFormatting>
  <conditionalFormatting sqref="Z442:AA442">
    <cfRule type="containsText" dxfId="5254" priority="307" operator="containsText" text="GOOD">
      <formula>NOT(ISERROR(SEARCH("GOOD",Z442)))</formula>
    </cfRule>
  </conditionalFormatting>
  <conditionalFormatting sqref="L443">
    <cfRule type="containsText" dxfId="5253" priority="306" operator="containsText" text="FAIL">
      <formula>NOT(ISERROR(SEARCH("FAIL",L443)))</formula>
    </cfRule>
  </conditionalFormatting>
  <conditionalFormatting sqref="L443">
    <cfRule type="containsText" dxfId="5252" priority="305" operator="containsText" text="GOOD">
      <formula>NOT(ISERROR(SEARCH("GOOD",L443)))</formula>
    </cfRule>
  </conditionalFormatting>
  <conditionalFormatting sqref="Z443:AA443">
    <cfRule type="containsText" dxfId="5251" priority="304" operator="containsText" text="FAIL">
      <formula>NOT(ISERROR(SEARCH("FAIL",Z443)))</formula>
    </cfRule>
  </conditionalFormatting>
  <conditionalFormatting sqref="Z443:AA443">
    <cfRule type="containsText" dxfId="5250" priority="303" operator="containsText" text="GOOD">
      <formula>NOT(ISERROR(SEARCH("GOOD",Z443)))</formula>
    </cfRule>
  </conditionalFormatting>
  <conditionalFormatting sqref="B443">
    <cfRule type="containsText" dxfId="5249" priority="302" operator="containsText" text="FAIL">
      <formula>NOT(ISERROR(SEARCH("FAIL",B443)))</formula>
    </cfRule>
  </conditionalFormatting>
  <conditionalFormatting sqref="B443">
    <cfRule type="containsText" dxfId="5248" priority="301" operator="containsText" text="GOOD">
      <formula>NOT(ISERROR(SEARCH("GOOD",B443)))</formula>
    </cfRule>
  </conditionalFormatting>
  <conditionalFormatting sqref="L444">
    <cfRule type="containsText" dxfId="5247" priority="300" operator="containsText" text="FAIL">
      <formula>NOT(ISERROR(SEARCH("FAIL",L444)))</formula>
    </cfRule>
  </conditionalFormatting>
  <conditionalFormatting sqref="L444">
    <cfRule type="containsText" dxfId="5246" priority="299" operator="containsText" text="GOOD">
      <formula>NOT(ISERROR(SEARCH("GOOD",L444)))</formula>
    </cfRule>
  </conditionalFormatting>
  <conditionalFormatting sqref="Z444:AA446">
    <cfRule type="containsText" dxfId="5245" priority="298" operator="containsText" text="FAIL">
      <formula>NOT(ISERROR(SEARCH("FAIL",Z444)))</formula>
    </cfRule>
  </conditionalFormatting>
  <conditionalFormatting sqref="Z444:AA446">
    <cfRule type="containsText" dxfId="5244" priority="297" operator="containsText" text="GOOD">
      <formula>NOT(ISERROR(SEARCH("GOOD",Z444)))</formula>
    </cfRule>
  </conditionalFormatting>
  <conditionalFormatting sqref="L445">
    <cfRule type="containsText" dxfId="5243" priority="296" operator="containsText" text="FAIL">
      <formula>NOT(ISERROR(SEARCH("FAIL",L445)))</formula>
    </cfRule>
  </conditionalFormatting>
  <conditionalFormatting sqref="L445">
    <cfRule type="containsText" dxfId="5242" priority="295" operator="containsText" text="GOOD">
      <formula>NOT(ISERROR(SEARCH("GOOD",L445)))</formula>
    </cfRule>
  </conditionalFormatting>
  <conditionalFormatting sqref="L446">
    <cfRule type="containsText" dxfId="5241" priority="294" operator="containsText" text="FAIL">
      <formula>NOT(ISERROR(SEARCH("FAIL",L446)))</formula>
    </cfRule>
  </conditionalFormatting>
  <conditionalFormatting sqref="L446">
    <cfRule type="containsText" dxfId="5240" priority="293" operator="containsText" text="GOOD">
      <formula>NOT(ISERROR(SEARCH("GOOD",L446)))</formula>
    </cfRule>
  </conditionalFormatting>
  <conditionalFormatting sqref="B446">
    <cfRule type="containsText" dxfId="5239" priority="292" operator="containsText" text="FAIL">
      <formula>NOT(ISERROR(SEARCH("FAIL",B446)))</formula>
    </cfRule>
  </conditionalFormatting>
  <conditionalFormatting sqref="B446">
    <cfRule type="containsText" dxfId="5238" priority="291" operator="containsText" text="GOOD">
      <formula>NOT(ISERROR(SEARCH("GOOD",B446)))</formula>
    </cfRule>
  </conditionalFormatting>
  <conditionalFormatting sqref="Z450:AA450">
    <cfRule type="containsText" dxfId="5237" priority="283" operator="containsText" text="GOOD">
      <formula>NOT(ISERROR(SEARCH("GOOD",Z450)))</formula>
    </cfRule>
  </conditionalFormatting>
  <conditionalFormatting sqref="L449">
    <cfRule type="containsText" dxfId="5236" priority="290" operator="containsText" text="FAIL">
      <formula>NOT(ISERROR(SEARCH("FAIL",L449)))</formula>
    </cfRule>
  </conditionalFormatting>
  <conditionalFormatting sqref="L449">
    <cfRule type="containsText" dxfId="5235" priority="289" operator="containsText" text="GOOD">
      <formula>NOT(ISERROR(SEARCH("GOOD",L449)))</formula>
    </cfRule>
  </conditionalFormatting>
  <conditionalFormatting sqref="Z449:AA449">
    <cfRule type="containsText" dxfId="5234" priority="288" operator="containsText" text="FAIL">
      <formula>NOT(ISERROR(SEARCH("FAIL",Z449)))</formula>
    </cfRule>
  </conditionalFormatting>
  <conditionalFormatting sqref="Z449:AA449">
    <cfRule type="containsText" dxfId="5233" priority="287" operator="containsText" text="GOOD">
      <formula>NOT(ISERROR(SEARCH("GOOD",Z449)))</formula>
    </cfRule>
  </conditionalFormatting>
  <conditionalFormatting sqref="L450">
    <cfRule type="containsText" dxfId="5232" priority="286" operator="containsText" text="FAIL">
      <formula>NOT(ISERROR(SEARCH("FAIL",L450)))</formula>
    </cfRule>
  </conditionalFormatting>
  <conditionalFormatting sqref="L450">
    <cfRule type="containsText" dxfId="5231" priority="285" operator="containsText" text="GOOD">
      <formula>NOT(ISERROR(SEARCH("GOOD",L450)))</formula>
    </cfRule>
  </conditionalFormatting>
  <conditionalFormatting sqref="Z450:AA450">
    <cfRule type="containsText" dxfId="5230" priority="284" operator="containsText" text="FAIL">
      <formula>NOT(ISERROR(SEARCH("FAIL",Z450)))</formula>
    </cfRule>
  </conditionalFormatting>
  <conditionalFormatting sqref="L473">
    <cfRule type="containsText" dxfId="5229" priority="194" operator="containsText" text="FAIL">
      <formula>NOT(ISERROR(SEARCH("FAIL",L473)))</formula>
    </cfRule>
  </conditionalFormatting>
  <conditionalFormatting sqref="L473">
    <cfRule type="containsText" dxfId="5228" priority="193" operator="containsText" text="GOOD">
      <formula>NOT(ISERROR(SEARCH("GOOD",L473)))</formula>
    </cfRule>
  </conditionalFormatting>
  <conditionalFormatting sqref="B454">
    <cfRule type="containsText" dxfId="5227" priority="277" operator="containsText" text="GOOD">
      <formula>NOT(ISERROR(SEARCH("GOOD",B454)))</formula>
    </cfRule>
  </conditionalFormatting>
  <conditionalFormatting sqref="L454">
    <cfRule type="containsText" dxfId="5226" priority="282" operator="containsText" text="FAIL">
      <formula>NOT(ISERROR(SEARCH("FAIL",L454)))</formula>
    </cfRule>
  </conditionalFormatting>
  <conditionalFormatting sqref="L454">
    <cfRule type="containsText" dxfId="5225" priority="281" operator="containsText" text="GOOD">
      <formula>NOT(ISERROR(SEARCH("GOOD",L454)))</formula>
    </cfRule>
  </conditionalFormatting>
  <conditionalFormatting sqref="Z454:AA454">
    <cfRule type="containsText" dxfId="5224" priority="280" operator="containsText" text="FAIL">
      <formula>NOT(ISERROR(SEARCH("FAIL",Z454)))</formula>
    </cfRule>
  </conditionalFormatting>
  <conditionalFormatting sqref="Z454:AA454">
    <cfRule type="containsText" dxfId="5223" priority="279" operator="containsText" text="GOOD">
      <formula>NOT(ISERROR(SEARCH("GOOD",Z454)))</formula>
    </cfRule>
  </conditionalFormatting>
  <conditionalFormatting sqref="B454">
    <cfRule type="containsText" dxfId="5222" priority="278" operator="containsText" text="FAIL">
      <formula>NOT(ISERROR(SEARCH("FAIL",B454)))</formula>
    </cfRule>
  </conditionalFormatting>
  <conditionalFormatting sqref="L455">
    <cfRule type="containsText" dxfId="5221" priority="276" operator="containsText" text="FAIL">
      <formula>NOT(ISERROR(SEARCH("FAIL",L455)))</formula>
    </cfRule>
  </conditionalFormatting>
  <conditionalFormatting sqref="L455">
    <cfRule type="containsText" dxfId="5220" priority="275" operator="containsText" text="GOOD">
      <formula>NOT(ISERROR(SEARCH("GOOD",L455)))</formula>
    </cfRule>
  </conditionalFormatting>
  <conditionalFormatting sqref="Z455:AA455">
    <cfRule type="containsText" dxfId="5219" priority="274" operator="containsText" text="FAIL">
      <formula>NOT(ISERROR(SEARCH("FAIL",Z455)))</formula>
    </cfRule>
  </conditionalFormatting>
  <conditionalFormatting sqref="Z455:AA455">
    <cfRule type="containsText" dxfId="5218" priority="273" operator="containsText" text="GOOD">
      <formula>NOT(ISERROR(SEARCH("GOOD",Z455)))</formula>
    </cfRule>
  </conditionalFormatting>
  <conditionalFormatting sqref="B455">
    <cfRule type="containsText" dxfId="5217" priority="272" operator="containsText" text="FAIL">
      <formula>NOT(ISERROR(SEARCH("FAIL",B455)))</formula>
    </cfRule>
  </conditionalFormatting>
  <conditionalFormatting sqref="B455">
    <cfRule type="containsText" dxfId="5216" priority="271" operator="containsText" text="GOOD">
      <formula>NOT(ISERROR(SEARCH("GOOD",B455)))</formula>
    </cfRule>
  </conditionalFormatting>
  <conditionalFormatting sqref="L456">
    <cfRule type="containsText" dxfId="5215" priority="270" operator="containsText" text="FAIL">
      <formula>NOT(ISERROR(SEARCH("FAIL",L456)))</formula>
    </cfRule>
  </conditionalFormatting>
  <conditionalFormatting sqref="L456">
    <cfRule type="containsText" dxfId="5214" priority="269" operator="containsText" text="GOOD">
      <formula>NOT(ISERROR(SEARCH("GOOD",L456)))</formula>
    </cfRule>
  </conditionalFormatting>
  <conditionalFormatting sqref="Z456:AA456">
    <cfRule type="containsText" dxfId="5213" priority="267" operator="containsText" text="GOOD">
      <formula>NOT(ISERROR(SEARCH("GOOD",Z456)))</formula>
    </cfRule>
  </conditionalFormatting>
  <conditionalFormatting sqref="Z456:AA456">
    <cfRule type="containsText" dxfId="5212" priority="268" operator="containsText" text="FAIL">
      <formula>NOT(ISERROR(SEARCH("FAIL",Z456)))</formula>
    </cfRule>
  </conditionalFormatting>
  <conditionalFormatting sqref="B456">
    <cfRule type="containsText" dxfId="5211" priority="266" operator="containsText" text="FAIL">
      <formula>NOT(ISERROR(SEARCH("FAIL",B456)))</formula>
    </cfRule>
  </conditionalFormatting>
  <conditionalFormatting sqref="B456">
    <cfRule type="containsText" dxfId="5210" priority="265" operator="containsText" text="GOOD">
      <formula>NOT(ISERROR(SEARCH("GOOD",B456)))</formula>
    </cfRule>
  </conditionalFormatting>
  <conditionalFormatting sqref="L459:L460">
    <cfRule type="containsText" dxfId="5209" priority="264" operator="containsText" text="FAIL">
      <formula>NOT(ISERROR(SEARCH("FAIL",L459)))</formula>
    </cfRule>
  </conditionalFormatting>
  <conditionalFormatting sqref="L459:L460">
    <cfRule type="containsText" dxfId="5208" priority="263" operator="containsText" text="GOOD">
      <formula>NOT(ISERROR(SEARCH("GOOD",L459)))</formula>
    </cfRule>
  </conditionalFormatting>
  <conditionalFormatting sqref="Z459:AA460">
    <cfRule type="containsText" dxfId="5207" priority="262" operator="containsText" text="FAIL">
      <formula>NOT(ISERROR(SEARCH("FAIL",Z459)))</formula>
    </cfRule>
  </conditionalFormatting>
  <conditionalFormatting sqref="Z459:AA460">
    <cfRule type="containsText" dxfId="5206" priority="261" operator="containsText" text="GOOD">
      <formula>NOT(ISERROR(SEARCH("GOOD",Z459)))</formula>
    </cfRule>
  </conditionalFormatting>
  <conditionalFormatting sqref="B459:B460">
    <cfRule type="containsText" dxfId="5205" priority="260" operator="containsText" text="FAIL">
      <formula>NOT(ISERROR(SEARCH("FAIL",B459)))</formula>
    </cfRule>
  </conditionalFormatting>
  <conditionalFormatting sqref="B459:B460">
    <cfRule type="containsText" dxfId="5204" priority="259" operator="containsText" text="GOOD">
      <formula>NOT(ISERROR(SEARCH("GOOD",B459)))</formula>
    </cfRule>
  </conditionalFormatting>
  <conditionalFormatting sqref="L458">
    <cfRule type="containsText" dxfId="5203" priority="258" operator="containsText" text="FAIL">
      <formula>NOT(ISERROR(SEARCH("FAIL",L458)))</formula>
    </cfRule>
  </conditionalFormatting>
  <conditionalFormatting sqref="L458">
    <cfRule type="containsText" dxfId="5202" priority="257" operator="containsText" text="GOOD">
      <formula>NOT(ISERROR(SEARCH("GOOD",L458)))</formula>
    </cfRule>
  </conditionalFormatting>
  <conditionalFormatting sqref="Z458:AA458">
    <cfRule type="containsText" dxfId="5201" priority="256" operator="containsText" text="FAIL">
      <formula>NOT(ISERROR(SEARCH("FAIL",Z458)))</formula>
    </cfRule>
  </conditionalFormatting>
  <conditionalFormatting sqref="Z458:AA458">
    <cfRule type="containsText" dxfId="5200" priority="255" operator="containsText" text="GOOD">
      <formula>NOT(ISERROR(SEARCH("GOOD",Z458)))</formula>
    </cfRule>
  </conditionalFormatting>
  <conditionalFormatting sqref="B458">
    <cfRule type="containsText" dxfId="5199" priority="254" operator="containsText" text="FAIL">
      <formula>NOT(ISERROR(SEARCH("FAIL",B458)))</formula>
    </cfRule>
  </conditionalFormatting>
  <conditionalFormatting sqref="B458">
    <cfRule type="containsText" dxfId="5198" priority="253" operator="containsText" text="GOOD">
      <formula>NOT(ISERROR(SEARCH("GOOD",B458)))</formula>
    </cfRule>
  </conditionalFormatting>
  <conditionalFormatting sqref="L457">
    <cfRule type="containsText" dxfId="5197" priority="252" operator="containsText" text="FAIL">
      <formula>NOT(ISERROR(SEARCH("FAIL",L457)))</formula>
    </cfRule>
  </conditionalFormatting>
  <conditionalFormatting sqref="L457">
    <cfRule type="containsText" dxfId="5196" priority="251" operator="containsText" text="GOOD">
      <formula>NOT(ISERROR(SEARCH("GOOD",L457)))</formula>
    </cfRule>
  </conditionalFormatting>
  <conditionalFormatting sqref="Z457:AA457">
    <cfRule type="containsText" dxfId="5195" priority="250" operator="containsText" text="FAIL">
      <formula>NOT(ISERROR(SEARCH("FAIL",Z457)))</formula>
    </cfRule>
  </conditionalFormatting>
  <conditionalFormatting sqref="Z457:AA457">
    <cfRule type="containsText" dxfId="5194" priority="249" operator="containsText" text="GOOD">
      <formula>NOT(ISERROR(SEARCH("GOOD",Z457)))</formula>
    </cfRule>
  </conditionalFormatting>
  <conditionalFormatting sqref="B457">
    <cfRule type="containsText" dxfId="5193" priority="248" operator="containsText" text="FAIL">
      <formula>NOT(ISERROR(SEARCH("FAIL",B457)))</formula>
    </cfRule>
  </conditionalFormatting>
  <conditionalFormatting sqref="B457">
    <cfRule type="containsText" dxfId="5192" priority="247" operator="containsText" text="GOOD">
      <formula>NOT(ISERROR(SEARCH("GOOD",B457)))</formula>
    </cfRule>
  </conditionalFormatting>
  <conditionalFormatting sqref="Z461:AA462">
    <cfRule type="containsText" dxfId="5191" priority="244" operator="containsText" text="FAIL">
      <formula>NOT(ISERROR(SEARCH("FAIL",Z461)))</formula>
    </cfRule>
  </conditionalFormatting>
  <conditionalFormatting sqref="Z461:AA462">
    <cfRule type="containsText" dxfId="5190" priority="243" operator="containsText" text="GOOD">
      <formula>NOT(ISERROR(SEARCH("GOOD",Z461)))</formula>
    </cfRule>
  </conditionalFormatting>
  <conditionalFormatting sqref="L461:L462">
    <cfRule type="containsText" dxfId="5189" priority="246" operator="containsText" text="FAIL">
      <formula>NOT(ISERROR(SEARCH("FAIL",L461)))</formula>
    </cfRule>
  </conditionalFormatting>
  <conditionalFormatting sqref="L461:L462">
    <cfRule type="containsText" dxfId="5188" priority="245" operator="containsText" text="GOOD">
      <formula>NOT(ISERROR(SEARCH("GOOD",L461)))</formula>
    </cfRule>
  </conditionalFormatting>
  <conditionalFormatting sqref="B461:B462">
    <cfRule type="containsText" dxfId="5187" priority="242" operator="containsText" text="FAIL">
      <formula>NOT(ISERROR(SEARCH("FAIL",B461)))</formula>
    </cfRule>
  </conditionalFormatting>
  <conditionalFormatting sqref="B461:B462">
    <cfRule type="containsText" dxfId="5186" priority="241" operator="containsText" text="GOOD">
      <formula>NOT(ISERROR(SEARCH("GOOD",B461)))</formula>
    </cfRule>
  </conditionalFormatting>
  <conditionalFormatting sqref="L465:L466">
    <cfRule type="containsText" dxfId="5185" priority="240" operator="containsText" text="FAIL">
      <formula>NOT(ISERROR(SEARCH("FAIL",L465)))</formula>
    </cfRule>
  </conditionalFormatting>
  <conditionalFormatting sqref="L465:L466">
    <cfRule type="containsText" dxfId="5184" priority="239" operator="containsText" text="GOOD">
      <formula>NOT(ISERROR(SEARCH("GOOD",L465)))</formula>
    </cfRule>
  </conditionalFormatting>
  <conditionalFormatting sqref="Z465:AA466">
    <cfRule type="containsText" dxfId="5183" priority="238" operator="containsText" text="FAIL">
      <formula>NOT(ISERROR(SEARCH("FAIL",Z465)))</formula>
    </cfRule>
  </conditionalFormatting>
  <conditionalFormatting sqref="Z465:AA466">
    <cfRule type="containsText" dxfId="5182" priority="237" operator="containsText" text="GOOD">
      <formula>NOT(ISERROR(SEARCH("GOOD",Z465)))</formula>
    </cfRule>
  </conditionalFormatting>
  <conditionalFormatting sqref="B465:B466">
    <cfRule type="containsText" dxfId="5181" priority="236" operator="containsText" text="FAIL">
      <formula>NOT(ISERROR(SEARCH("FAIL",B465)))</formula>
    </cfRule>
  </conditionalFormatting>
  <conditionalFormatting sqref="B465:B466">
    <cfRule type="containsText" dxfId="5180" priority="235" operator="containsText" text="GOOD">
      <formula>NOT(ISERROR(SEARCH("GOOD",B465)))</formula>
    </cfRule>
  </conditionalFormatting>
  <conditionalFormatting sqref="L464">
    <cfRule type="containsText" dxfId="5179" priority="234" operator="containsText" text="FAIL">
      <formula>NOT(ISERROR(SEARCH("FAIL",L464)))</formula>
    </cfRule>
  </conditionalFormatting>
  <conditionalFormatting sqref="L464">
    <cfRule type="containsText" dxfId="5178" priority="233" operator="containsText" text="GOOD">
      <formula>NOT(ISERROR(SEARCH("GOOD",L464)))</formula>
    </cfRule>
  </conditionalFormatting>
  <conditionalFormatting sqref="Z464:AA464">
    <cfRule type="containsText" dxfId="5177" priority="232" operator="containsText" text="FAIL">
      <formula>NOT(ISERROR(SEARCH("FAIL",Z464)))</formula>
    </cfRule>
  </conditionalFormatting>
  <conditionalFormatting sqref="Z464:AA464">
    <cfRule type="containsText" dxfId="5176" priority="231" operator="containsText" text="GOOD">
      <formula>NOT(ISERROR(SEARCH("GOOD",Z464)))</formula>
    </cfRule>
  </conditionalFormatting>
  <conditionalFormatting sqref="B464">
    <cfRule type="containsText" dxfId="5175" priority="230" operator="containsText" text="FAIL">
      <formula>NOT(ISERROR(SEARCH("FAIL",B464)))</formula>
    </cfRule>
  </conditionalFormatting>
  <conditionalFormatting sqref="B464">
    <cfRule type="containsText" dxfId="5174" priority="229" operator="containsText" text="GOOD">
      <formula>NOT(ISERROR(SEARCH("GOOD",B464)))</formula>
    </cfRule>
  </conditionalFormatting>
  <conditionalFormatting sqref="L463">
    <cfRule type="containsText" dxfId="5173" priority="228" operator="containsText" text="FAIL">
      <formula>NOT(ISERROR(SEARCH("FAIL",L463)))</formula>
    </cfRule>
  </conditionalFormatting>
  <conditionalFormatting sqref="L463">
    <cfRule type="containsText" dxfId="5172" priority="227" operator="containsText" text="GOOD">
      <formula>NOT(ISERROR(SEARCH("GOOD",L463)))</formula>
    </cfRule>
  </conditionalFormatting>
  <conditionalFormatting sqref="Z463:AA463">
    <cfRule type="containsText" dxfId="5171" priority="226" operator="containsText" text="FAIL">
      <formula>NOT(ISERROR(SEARCH("FAIL",Z463)))</formula>
    </cfRule>
  </conditionalFormatting>
  <conditionalFormatting sqref="Z463:AA463">
    <cfRule type="containsText" dxfId="5170" priority="225" operator="containsText" text="GOOD">
      <formula>NOT(ISERROR(SEARCH("GOOD",Z463)))</formula>
    </cfRule>
  </conditionalFormatting>
  <conditionalFormatting sqref="B463">
    <cfRule type="containsText" dxfId="5169" priority="224" operator="containsText" text="FAIL">
      <formula>NOT(ISERROR(SEARCH("FAIL",B463)))</formula>
    </cfRule>
  </conditionalFormatting>
  <conditionalFormatting sqref="B463">
    <cfRule type="containsText" dxfId="5168" priority="223" operator="containsText" text="GOOD">
      <formula>NOT(ISERROR(SEARCH("GOOD",B463)))</formula>
    </cfRule>
  </conditionalFormatting>
  <conditionalFormatting sqref="L467">
    <cfRule type="containsText" dxfId="5167" priority="222" operator="containsText" text="FAIL">
      <formula>NOT(ISERROR(SEARCH("FAIL",L467)))</formula>
    </cfRule>
  </conditionalFormatting>
  <conditionalFormatting sqref="L467">
    <cfRule type="containsText" dxfId="5166" priority="221" operator="containsText" text="GOOD">
      <formula>NOT(ISERROR(SEARCH("GOOD",L467)))</formula>
    </cfRule>
  </conditionalFormatting>
  <conditionalFormatting sqref="Z467:AA467">
    <cfRule type="containsText" dxfId="5165" priority="220" operator="containsText" text="FAIL">
      <formula>NOT(ISERROR(SEARCH("FAIL",Z467)))</formula>
    </cfRule>
  </conditionalFormatting>
  <conditionalFormatting sqref="Z467:AA467">
    <cfRule type="containsText" dxfId="5164" priority="219" operator="containsText" text="GOOD">
      <formula>NOT(ISERROR(SEARCH("GOOD",Z467)))</formula>
    </cfRule>
  </conditionalFormatting>
  <conditionalFormatting sqref="B467">
    <cfRule type="containsText" dxfId="5163" priority="218" operator="containsText" text="FAIL">
      <formula>NOT(ISERROR(SEARCH("FAIL",B467)))</formula>
    </cfRule>
  </conditionalFormatting>
  <conditionalFormatting sqref="B467">
    <cfRule type="containsText" dxfId="5162" priority="217" operator="containsText" text="GOOD">
      <formula>NOT(ISERROR(SEARCH("GOOD",B467)))</formula>
    </cfRule>
  </conditionalFormatting>
  <conditionalFormatting sqref="AQ467">
    <cfRule type="containsText" dxfId="5161" priority="216" operator="containsText" text="FAIL">
      <formula>NOT(ISERROR(SEARCH("FAIL",AQ467)))</formula>
    </cfRule>
  </conditionalFormatting>
  <conditionalFormatting sqref="AQ467">
    <cfRule type="containsText" dxfId="5160" priority="215" operator="containsText" text="GOOD">
      <formula>NOT(ISERROR(SEARCH("GOOD",AQ467)))</formula>
    </cfRule>
  </conditionalFormatting>
  <conditionalFormatting sqref="L468">
    <cfRule type="containsText" dxfId="5159" priority="214" operator="containsText" text="FAIL">
      <formula>NOT(ISERROR(SEARCH("FAIL",L468)))</formula>
    </cfRule>
  </conditionalFormatting>
  <conditionalFormatting sqref="L468">
    <cfRule type="containsText" dxfId="5158" priority="213" operator="containsText" text="GOOD">
      <formula>NOT(ISERROR(SEARCH("GOOD",L468)))</formula>
    </cfRule>
  </conditionalFormatting>
  <conditionalFormatting sqref="Z468:AA468">
    <cfRule type="containsText" dxfId="5157" priority="212" operator="containsText" text="FAIL">
      <formula>NOT(ISERROR(SEARCH("FAIL",Z468)))</formula>
    </cfRule>
  </conditionalFormatting>
  <conditionalFormatting sqref="Z468:AA468">
    <cfRule type="containsText" dxfId="5156" priority="211" operator="containsText" text="GOOD">
      <formula>NOT(ISERROR(SEARCH("GOOD",Z468)))</formula>
    </cfRule>
  </conditionalFormatting>
  <conditionalFormatting sqref="L471">
    <cfRule type="containsText" dxfId="5155" priority="210" operator="containsText" text="FAIL">
      <formula>NOT(ISERROR(SEARCH("FAIL",L471)))</formula>
    </cfRule>
  </conditionalFormatting>
  <conditionalFormatting sqref="L471">
    <cfRule type="containsText" dxfId="5154" priority="209" operator="containsText" text="GOOD">
      <formula>NOT(ISERROR(SEARCH("GOOD",L471)))</formula>
    </cfRule>
  </conditionalFormatting>
  <conditionalFormatting sqref="Z471:AA471">
    <cfRule type="containsText" dxfId="5153" priority="208" operator="containsText" text="FAIL">
      <formula>NOT(ISERROR(SEARCH("FAIL",Z471)))</formula>
    </cfRule>
  </conditionalFormatting>
  <conditionalFormatting sqref="Z471:AA471">
    <cfRule type="containsText" dxfId="5152" priority="207" operator="containsText" text="GOOD">
      <formula>NOT(ISERROR(SEARCH("GOOD",Z471)))</formula>
    </cfRule>
  </conditionalFormatting>
  <conditionalFormatting sqref="L470">
    <cfRule type="containsText" dxfId="5151" priority="206" operator="containsText" text="FAIL">
      <formula>NOT(ISERROR(SEARCH("FAIL",L470)))</formula>
    </cfRule>
  </conditionalFormatting>
  <conditionalFormatting sqref="L470">
    <cfRule type="containsText" dxfId="5150" priority="205" operator="containsText" text="GOOD">
      <formula>NOT(ISERROR(SEARCH("GOOD",L470)))</formula>
    </cfRule>
  </conditionalFormatting>
  <conditionalFormatting sqref="Z470:AA470">
    <cfRule type="containsText" dxfId="5149" priority="204" operator="containsText" text="FAIL">
      <formula>NOT(ISERROR(SEARCH("FAIL",Z470)))</formula>
    </cfRule>
  </conditionalFormatting>
  <conditionalFormatting sqref="Z470:AA470">
    <cfRule type="containsText" dxfId="5148" priority="203" operator="containsText" text="GOOD">
      <formula>NOT(ISERROR(SEARCH("GOOD",Z470)))</formula>
    </cfRule>
  </conditionalFormatting>
  <conditionalFormatting sqref="L469">
    <cfRule type="containsText" dxfId="5147" priority="202" operator="containsText" text="FAIL">
      <formula>NOT(ISERROR(SEARCH("FAIL",L469)))</formula>
    </cfRule>
  </conditionalFormatting>
  <conditionalFormatting sqref="L469">
    <cfRule type="containsText" dxfId="5146" priority="201" operator="containsText" text="GOOD">
      <formula>NOT(ISERROR(SEARCH("GOOD",L469)))</formula>
    </cfRule>
  </conditionalFormatting>
  <conditionalFormatting sqref="Z469:AA469">
    <cfRule type="containsText" dxfId="5145" priority="200" operator="containsText" text="FAIL">
      <formula>NOT(ISERROR(SEARCH("FAIL",Z469)))</formula>
    </cfRule>
  </conditionalFormatting>
  <conditionalFormatting sqref="Z469:AA469">
    <cfRule type="containsText" dxfId="5144" priority="199" operator="containsText" text="GOOD">
      <formula>NOT(ISERROR(SEARCH("GOOD",Z469)))</formula>
    </cfRule>
  </conditionalFormatting>
  <conditionalFormatting sqref="L472">
    <cfRule type="containsText" dxfId="5143" priority="198" operator="containsText" text="FAIL">
      <formula>NOT(ISERROR(SEARCH("FAIL",L472)))</formula>
    </cfRule>
  </conditionalFormatting>
  <conditionalFormatting sqref="L472">
    <cfRule type="containsText" dxfId="5142" priority="197" operator="containsText" text="GOOD">
      <formula>NOT(ISERROR(SEARCH("GOOD",L472)))</formula>
    </cfRule>
  </conditionalFormatting>
  <conditionalFormatting sqref="Z472:AA472">
    <cfRule type="containsText" dxfId="5141" priority="196" operator="containsText" text="FAIL">
      <formula>NOT(ISERROR(SEARCH("FAIL",Z472)))</formula>
    </cfRule>
  </conditionalFormatting>
  <conditionalFormatting sqref="Z472:AA472">
    <cfRule type="containsText" dxfId="5140" priority="195" operator="containsText" text="GOOD">
      <formula>NOT(ISERROR(SEARCH("GOOD",Z472)))</formula>
    </cfRule>
  </conditionalFormatting>
  <conditionalFormatting sqref="Z473:AA473">
    <cfRule type="containsText" dxfId="5139" priority="192" operator="containsText" text="FAIL">
      <formula>NOT(ISERROR(SEARCH("FAIL",Z473)))</formula>
    </cfRule>
  </conditionalFormatting>
  <conditionalFormatting sqref="Z473:AA473">
    <cfRule type="containsText" dxfId="5138" priority="191" operator="containsText" text="GOOD">
      <formula>NOT(ISERROR(SEARCH("GOOD",Z473)))</formula>
    </cfRule>
  </conditionalFormatting>
  <conditionalFormatting sqref="Z474:AA474">
    <cfRule type="containsText" dxfId="5137" priority="187" operator="containsText" text="GOOD">
      <formula>NOT(ISERROR(SEARCH("GOOD",Z474)))</formula>
    </cfRule>
  </conditionalFormatting>
  <conditionalFormatting sqref="L474">
    <cfRule type="containsText" dxfId="5136" priority="190" operator="containsText" text="FAIL">
      <formula>NOT(ISERROR(SEARCH("FAIL",L474)))</formula>
    </cfRule>
  </conditionalFormatting>
  <conditionalFormatting sqref="L474">
    <cfRule type="containsText" dxfId="5135" priority="189" operator="containsText" text="GOOD">
      <formula>NOT(ISERROR(SEARCH("GOOD",L474)))</formula>
    </cfRule>
  </conditionalFormatting>
  <conditionalFormatting sqref="Z474:AA474">
    <cfRule type="containsText" dxfId="5134" priority="188" operator="containsText" text="FAIL">
      <formula>NOT(ISERROR(SEARCH("FAIL",Z474)))</formula>
    </cfRule>
  </conditionalFormatting>
  <conditionalFormatting sqref="L476">
    <cfRule type="containsText" dxfId="5133" priority="186" operator="containsText" text="FAIL">
      <formula>NOT(ISERROR(SEARCH("FAIL",L476)))</formula>
    </cfRule>
  </conditionalFormatting>
  <conditionalFormatting sqref="L476">
    <cfRule type="containsText" dxfId="5132" priority="185" operator="containsText" text="GOOD">
      <formula>NOT(ISERROR(SEARCH("GOOD",L476)))</formula>
    </cfRule>
  </conditionalFormatting>
  <conditionalFormatting sqref="Z476:AA476">
    <cfRule type="containsText" dxfId="5131" priority="184" operator="containsText" text="FAIL">
      <formula>NOT(ISERROR(SEARCH("FAIL",Z476)))</formula>
    </cfRule>
  </conditionalFormatting>
  <conditionalFormatting sqref="Z476:AA476">
    <cfRule type="containsText" dxfId="5130" priority="183" operator="containsText" text="GOOD">
      <formula>NOT(ISERROR(SEARCH("GOOD",Z476)))</formula>
    </cfRule>
  </conditionalFormatting>
  <conditionalFormatting sqref="L475">
    <cfRule type="containsText" dxfId="5129" priority="182" operator="containsText" text="FAIL">
      <formula>NOT(ISERROR(SEARCH("FAIL",L475)))</formula>
    </cfRule>
  </conditionalFormatting>
  <conditionalFormatting sqref="L475">
    <cfRule type="containsText" dxfId="5128" priority="181" operator="containsText" text="GOOD">
      <formula>NOT(ISERROR(SEARCH("GOOD",L475)))</formula>
    </cfRule>
  </conditionalFormatting>
  <conditionalFormatting sqref="Z475:AA475">
    <cfRule type="containsText" dxfId="5127" priority="180" operator="containsText" text="FAIL">
      <formula>NOT(ISERROR(SEARCH("FAIL",Z475)))</formula>
    </cfRule>
  </conditionalFormatting>
  <conditionalFormatting sqref="Z475:AA475">
    <cfRule type="containsText" dxfId="5126" priority="179" operator="containsText" text="GOOD">
      <formula>NOT(ISERROR(SEARCH("GOOD",Z475)))</formula>
    </cfRule>
  </conditionalFormatting>
  <conditionalFormatting sqref="L477">
    <cfRule type="containsText" dxfId="5125" priority="178" operator="containsText" text="FAIL">
      <formula>NOT(ISERROR(SEARCH("FAIL",L477)))</formula>
    </cfRule>
  </conditionalFormatting>
  <conditionalFormatting sqref="L477">
    <cfRule type="containsText" dxfId="5124" priority="177" operator="containsText" text="GOOD">
      <formula>NOT(ISERROR(SEARCH("GOOD",L477)))</formula>
    </cfRule>
  </conditionalFormatting>
  <conditionalFormatting sqref="Z477:AA477">
    <cfRule type="containsText" dxfId="5123" priority="176" operator="containsText" text="FAIL">
      <formula>NOT(ISERROR(SEARCH("FAIL",Z477)))</formula>
    </cfRule>
  </conditionalFormatting>
  <conditionalFormatting sqref="Z477:AA477">
    <cfRule type="containsText" dxfId="5122" priority="175" operator="containsText" text="GOOD">
      <formula>NOT(ISERROR(SEARCH("GOOD",Z477)))</formula>
    </cfRule>
  </conditionalFormatting>
  <conditionalFormatting sqref="L480">
    <cfRule type="containsText" dxfId="5121" priority="174" operator="containsText" text="FAIL">
      <formula>NOT(ISERROR(SEARCH("FAIL",L480)))</formula>
    </cfRule>
  </conditionalFormatting>
  <conditionalFormatting sqref="L480">
    <cfRule type="containsText" dxfId="5120" priority="173" operator="containsText" text="GOOD">
      <formula>NOT(ISERROR(SEARCH("GOOD",L480)))</formula>
    </cfRule>
  </conditionalFormatting>
  <conditionalFormatting sqref="Z480:AA480">
    <cfRule type="containsText" dxfId="5119" priority="172" operator="containsText" text="FAIL">
      <formula>NOT(ISERROR(SEARCH("FAIL",Z480)))</formula>
    </cfRule>
  </conditionalFormatting>
  <conditionalFormatting sqref="Z480:AA480">
    <cfRule type="containsText" dxfId="5118" priority="171" operator="containsText" text="GOOD">
      <formula>NOT(ISERROR(SEARCH("GOOD",Z480)))</formula>
    </cfRule>
  </conditionalFormatting>
  <conditionalFormatting sqref="B480">
    <cfRule type="containsText" dxfId="5117" priority="170" operator="containsText" text="FAIL">
      <formula>NOT(ISERROR(SEARCH("FAIL",B480)))</formula>
    </cfRule>
  </conditionalFormatting>
  <conditionalFormatting sqref="B480">
    <cfRule type="containsText" dxfId="5116" priority="169" operator="containsText" text="GOOD">
      <formula>NOT(ISERROR(SEARCH("GOOD",B480)))</formula>
    </cfRule>
  </conditionalFormatting>
  <conditionalFormatting sqref="L479">
    <cfRule type="containsText" dxfId="5115" priority="168" operator="containsText" text="FAIL">
      <formula>NOT(ISERROR(SEARCH("FAIL",L479)))</formula>
    </cfRule>
  </conditionalFormatting>
  <conditionalFormatting sqref="L479">
    <cfRule type="containsText" dxfId="5114" priority="167" operator="containsText" text="GOOD">
      <formula>NOT(ISERROR(SEARCH("GOOD",L479)))</formula>
    </cfRule>
  </conditionalFormatting>
  <conditionalFormatting sqref="Z479:AA479">
    <cfRule type="containsText" dxfId="5113" priority="166" operator="containsText" text="FAIL">
      <formula>NOT(ISERROR(SEARCH("FAIL",Z479)))</formula>
    </cfRule>
  </conditionalFormatting>
  <conditionalFormatting sqref="Z479:AA479">
    <cfRule type="containsText" dxfId="5112" priority="165" operator="containsText" text="GOOD">
      <formula>NOT(ISERROR(SEARCH("GOOD",Z479)))</formula>
    </cfRule>
  </conditionalFormatting>
  <conditionalFormatting sqref="L478">
    <cfRule type="containsText" dxfId="5111" priority="164" operator="containsText" text="FAIL">
      <formula>NOT(ISERROR(SEARCH("FAIL",L478)))</formula>
    </cfRule>
  </conditionalFormatting>
  <conditionalFormatting sqref="L478">
    <cfRule type="containsText" dxfId="5110" priority="163" operator="containsText" text="GOOD">
      <formula>NOT(ISERROR(SEARCH("GOOD",L478)))</formula>
    </cfRule>
  </conditionalFormatting>
  <conditionalFormatting sqref="Z478:AA478">
    <cfRule type="containsText" dxfId="5109" priority="162" operator="containsText" text="FAIL">
      <formula>NOT(ISERROR(SEARCH("FAIL",Z478)))</formula>
    </cfRule>
  </conditionalFormatting>
  <conditionalFormatting sqref="Z478:AA478">
    <cfRule type="containsText" dxfId="5108" priority="161" operator="containsText" text="GOOD">
      <formula>NOT(ISERROR(SEARCH("GOOD",Z478)))</formula>
    </cfRule>
  </conditionalFormatting>
  <conditionalFormatting sqref="L483">
    <cfRule type="containsText" dxfId="5107" priority="160" operator="containsText" text="FAIL">
      <formula>NOT(ISERROR(SEARCH("FAIL",L483)))</formula>
    </cfRule>
  </conditionalFormatting>
  <conditionalFormatting sqref="L483">
    <cfRule type="containsText" dxfId="5106" priority="159" operator="containsText" text="GOOD">
      <formula>NOT(ISERROR(SEARCH("GOOD",L483)))</formula>
    </cfRule>
  </conditionalFormatting>
  <conditionalFormatting sqref="Z483:AA483">
    <cfRule type="containsText" dxfId="5105" priority="158" operator="containsText" text="FAIL">
      <formula>NOT(ISERROR(SEARCH("FAIL",Z483)))</formula>
    </cfRule>
  </conditionalFormatting>
  <conditionalFormatting sqref="Z483:AA483">
    <cfRule type="containsText" dxfId="5104" priority="157" operator="containsText" text="GOOD">
      <formula>NOT(ISERROR(SEARCH("GOOD",Z483)))</formula>
    </cfRule>
  </conditionalFormatting>
  <conditionalFormatting sqref="L481:L482">
    <cfRule type="containsText" dxfId="5103" priority="156" operator="containsText" text="FAIL">
      <formula>NOT(ISERROR(SEARCH("FAIL",L481)))</formula>
    </cfRule>
  </conditionalFormatting>
  <conditionalFormatting sqref="L481:L482">
    <cfRule type="containsText" dxfId="5102" priority="155" operator="containsText" text="GOOD">
      <formula>NOT(ISERROR(SEARCH("GOOD",L481)))</formula>
    </cfRule>
  </conditionalFormatting>
  <conditionalFormatting sqref="Z481:AA482">
    <cfRule type="containsText" dxfId="5101" priority="154" operator="containsText" text="FAIL">
      <formula>NOT(ISERROR(SEARCH("FAIL",Z481)))</formula>
    </cfRule>
  </conditionalFormatting>
  <conditionalFormatting sqref="Z481:AA482">
    <cfRule type="containsText" dxfId="5100" priority="153" operator="containsText" text="GOOD">
      <formula>NOT(ISERROR(SEARCH("GOOD",Z481)))</formula>
    </cfRule>
  </conditionalFormatting>
  <conditionalFormatting sqref="L487">
    <cfRule type="containsText" dxfId="5099" priority="152" operator="containsText" text="FAIL">
      <formula>NOT(ISERROR(SEARCH("FAIL",L487)))</formula>
    </cfRule>
  </conditionalFormatting>
  <conditionalFormatting sqref="L487">
    <cfRule type="containsText" dxfId="5098" priority="151" operator="containsText" text="GOOD">
      <formula>NOT(ISERROR(SEARCH("GOOD",L487)))</formula>
    </cfRule>
  </conditionalFormatting>
  <conditionalFormatting sqref="Z487:AA489">
    <cfRule type="containsText" dxfId="5097" priority="150" operator="containsText" text="FAIL">
      <formula>NOT(ISERROR(SEARCH("FAIL",Z487)))</formula>
    </cfRule>
  </conditionalFormatting>
  <conditionalFormatting sqref="Z487:AA489">
    <cfRule type="containsText" dxfId="5096" priority="149" operator="containsText" text="GOOD">
      <formula>NOT(ISERROR(SEARCH("GOOD",Z487)))</formula>
    </cfRule>
  </conditionalFormatting>
  <conditionalFormatting sqref="L486">
    <cfRule type="containsText" dxfId="5095" priority="148" operator="containsText" text="FAIL">
      <formula>NOT(ISERROR(SEARCH("FAIL",L486)))</formula>
    </cfRule>
  </conditionalFormatting>
  <conditionalFormatting sqref="L486">
    <cfRule type="containsText" dxfId="5094" priority="147" operator="containsText" text="GOOD">
      <formula>NOT(ISERROR(SEARCH("GOOD",L486)))</formula>
    </cfRule>
  </conditionalFormatting>
  <conditionalFormatting sqref="Z486:AA486">
    <cfRule type="containsText" dxfId="5093" priority="146" operator="containsText" text="FAIL">
      <formula>NOT(ISERROR(SEARCH("FAIL",Z486)))</formula>
    </cfRule>
  </conditionalFormatting>
  <conditionalFormatting sqref="Z486:AA486">
    <cfRule type="containsText" dxfId="5092" priority="145" operator="containsText" text="GOOD">
      <formula>NOT(ISERROR(SEARCH("GOOD",Z486)))</formula>
    </cfRule>
  </conditionalFormatting>
  <conditionalFormatting sqref="L485">
    <cfRule type="containsText" dxfId="5091" priority="144" operator="containsText" text="FAIL">
      <formula>NOT(ISERROR(SEARCH("FAIL",L485)))</formula>
    </cfRule>
  </conditionalFormatting>
  <conditionalFormatting sqref="L485">
    <cfRule type="containsText" dxfId="5090" priority="143" operator="containsText" text="GOOD">
      <formula>NOT(ISERROR(SEARCH("GOOD",L485)))</formula>
    </cfRule>
  </conditionalFormatting>
  <conditionalFormatting sqref="Z485:AA485">
    <cfRule type="containsText" dxfId="5089" priority="142" operator="containsText" text="FAIL">
      <formula>NOT(ISERROR(SEARCH("FAIL",Z485)))</formula>
    </cfRule>
  </conditionalFormatting>
  <conditionalFormatting sqref="Z485:AA485">
    <cfRule type="containsText" dxfId="5088" priority="141" operator="containsText" text="GOOD">
      <formula>NOT(ISERROR(SEARCH("GOOD",Z485)))</formula>
    </cfRule>
  </conditionalFormatting>
  <conditionalFormatting sqref="L484">
    <cfRule type="containsText" dxfId="5087" priority="140" operator="containsText" text="FAIL">
      <formula>NOT(ISERROR(SEARCH("FAIL",L484)))</formula>
    </cfRule>
  </conditionalFormatting>
  <conditionalFormatting sqref="L484">
    <cfRule type="containsText" dxfId="5086" priority="139" operator="containsText" text="GOOD">
      <formula>NOT(ISERROR(SEARCH("GOOD",L484)))</formula>
    </cfRule>
  </conditionalFormatting>
  <conditionalFormatting sqref="Z484:AA484">
    <cfRule type="containsText" dxfId="5085" priority="138" operator="containsText" text="FAIL">
      <formula>NOT(ISERROR(SEARCH("FAIL",Z484)))</formula>
    </cfRule>
  </conditionalFormatting>
  <conditionalFormatting sqref="Z484:AA484">
    <cfRule type="containsText" dxfId="5084" priority="137" operator="containsText" text="GOOD">
      <formula>NOT(ISERROR(SEARCH("GOOD",Z484)))</formula>
    </cfRule>
  </conditionalFormatting>
  <conditionalFormatting sqref="L488">
    <cfRule type="containsText" dxfId="5083" priority="136" operator="containsText" text="FAIL">
      <formula>NOT(ISERROR(SEARCH("FAIL",L488)))</formula>
    </cfRule>
  </conditionalFormatting>
  <conditionalFormatting sqref="L488">
    <cfRule type="containsText" dxfId="5082" priority="135" operator="containsText" text="GOOD">
      <formula>NOT(ISERROR(SEARCH("GOOD",L488)))</formula>
    </cfRule>
  </conditionalFormatting>
  <conditionalFormatting sqref="L489">
    <cfRule type="containsText" dxfId="5081" priority="134" operator="containsText" text="FAIL">
      <formula>NOT(ISERROR(SEARCH("FAIL",L489)))</formula>
    </cfRule>
  </conditionalFormatting>
  <conditionalFormatting sqref="L489">
    <cfRule type="containsText" dxfId="5080" priority="133" operator="containsText" text="GOOD">
      <formula>NOT(ISERROR(SEARCH("GOOD",L489)))</formula>
    </cfRule>
  </conditionalFormatting>
  <conditionalFormatting sqref="L678">
    <cfRule type="containsText" dxfId="5079" priority="132" operator="containsText" text="FAIL">
      <formula>NOT(ISERROR(SEARCH("FAIL",L678)))</formula>
    </cfRule>
  </conditionalFormatting>
  <conditionalFormatting sqref="L678">
    <cfRule type="containsText" dxfId="5078" priority="131" operator="containsText" text="GOOD">
      <formula>NOT(ISERROR(SEARCH("GOOD",L678)))</formula>
    </cfRule>
  </conditionalFormatting>
  <conditionalFormatting sqref="Z678:AA678">
    <cfRule type="containsText" dxfId="5077" priority="130" operator="containsText" text="FAIL">
      <formula>NOT(ISERROR(SEARCH("FAIL",Z678)))</formula>
    </cfRule>
  </conditionalFormatting>
  <conditionalFormatting sqref="Z678:AA678">
    <cfRule type="containsText" dxfId="5076" priority="129" operator="containsText" text="GOOD">
      <formula>NOT(ISERROR(SEARCH("GOOD",Z678)))</formula>
    </cfRule>
  </conditionalFormatting>
  <conditionalFormatting sqref="L679">
    <cfRule type="containsText" dxfId="5075" priority="128" operator="containsText" text="FAIL">
      <formula>NOT(ISERROR(SEARCH("FAIL",L679)))</formula>
    </cfRule>
  </conditionalFormatting>
  <conditionalFormatting sqref="L679">
    <cfRule type="containsText" dxfId="5074" priority="127" operator="containsText" text="GOOD">
      <formula>NOT(ISERROR(SEARCH("GOOD",L679)))</formula>
    </cfRule>
  </conditionalFormatting>
  <conditionalFormatting sqref="Z679:AA679">
    <cfRule type="containsText" dxfId="5073" priority="126" operator="containsText" text="FAIL">
      <formula>NOT(ISERROR(SEARCH("FAIL",Z679)))</formula>
    </cfRule>
  </conditionalFormatting>
  <conditionalFormatting sqref="Z679:AA679">
    <cfRule type="containsText" dxfId="5072" priority="125" operator="containsText" text="GOOD">
      <formula>NOT(ISERROR(SEARCH("GOOD",Z679)))</formula>
    </cfRule>
  </conditionalFormatting>
  <conditionalFormatting sqref="B679">
    <cfRule type="containsText" dxfId="5071" priority="124" operator="containsText" text="FAIL">
      <formula>NOT(ISERROR(SEARCH("FAIL",B679)))</formula>
    </cfRule>
  </conditionalFormatting>
  <conditionalFormatting sqref="B679">
    <cfRule type="containsText" dxfId="5070" priority="123" operator="containsText" text="GOOD">
      <formula>NOT(ISERROR(SEARCH("GOOD",B679)))</formula>
    </cfRule>
  </conditionalFormatting>
  <conditionalFormatting sqref="L680">
    <cfRule type="containsText" dxfId="5069" priority="122" operator="containsText" text="FAIL">
      <formula>NOT(ISERROR(SEARCH("FAIL",L680)))</formula>
    </cfRule>
  </conditionalFormatting>
  <conditionalFormatting sqref="L680">
    <cfRule type="containsText" dxfId="5068" priority="121" operator="containsText" text="GOOD">
      <formula>NOT(ISERROR(SEARCH("GOOD",L680)))</formula>
    </cfRule>
  </conditionalFormatting>
  <conditionalFormatting sqref="Z680:AA680">
    <cfRule type="containsText" dxfId="5067" priority="120" operator="containsText" text="FAIL">
      <formula>NOT(ISERROR(SEARCH("FAIL",Z680)))</formula>
    </cfRule>
  </conditionalFormatting>
  <conditionalFormatting sqref="Z680:AA680">
    <cfRule type="containsText" dxfId="5066" priority="119" operator="containsText" text="GOOD">
      <formula>NOT(ISERROR(SEARCH("GOOD",Z680)))</formula>
    </cfRule>
  </conditionalFormatting>
  <conditionalFormatting sqref="L681">
    <cfRule type="containsText" dxfId="5065" priority="118" operator="containsText" text="FAIL">
      <formula>NOT(ISERROR(SEARCH("FAIL",L681)))</formula>
    </cfRule>
  </conditionalFormatting>
  <conditionalFormatting sqref="L681">
    <cfRule type="containsText" dxfId="5064" priority="117" operator="containsText" text="GOOD">
      <formula>NOT(ISERROR(SEARCH("GOOD",L681)))</formula>
    </cfRule>
  </conditionalFormatting>
  <conditionalFormatting sqref="Z681:AA681">
    <cfRule type="containsText" dxfId="5063" priority="115" operator="containsText" text="GOOD">
      <formula>NOT(ISERROR(SEARCH("GOOD",Z681)))</formula>
    </cfRule>
  </conditionalFormatting>
  <conditionalFormatting sqref="Z681:AA681">
    <cfRule type="containsText" dxfId="5062" priority="116" operator="containsText" text="FAIL">
      <formula>NOT(ISERROR(SEARCH("FAIL",Z681)))</formula>
    </cfRule>
  </conditionalFormatting>
  <conditionalFormatting sqref="B681">
    <cfRule type="containsText" dxfId="5061" priority="114" operator="containsText" text="FAIL">
      <formula>NOT(ISERROR(SEARCH("FAIL",B681)))</formula>
    </cfRule>
  </conditionalFormatting>
  <conditionalFormatting sqref="B681">
    <cfRule type="containsText" dxfId="5060" priority="113" operator="containsText" text="GOOD">
      <formula>NOT(ISERROR(SEARCH("GOOD",B681)))</formula>
    </cfRule>
  </conditionalFormatting>
  <conditionalFormatting sqref="L682">
    <cfRule type="containsText" dxfId="5059" priority="112" operator="containsText" text="FAIL">
      <formula>NOT(ISERROR(SEARCH("FAIL",L682)))</formula>
    </cfRule>
  </conditionalFormatting>
  <conditionalFormatting sqref="L682">
    <cfRule type="containsText" dxfId="5058" priority="111" operator="containsText" text="GOOD">
      <formula>NOT(ISERROR(SEARCH("GOOD",L682)))</formula>
    </cfRule>
  </conditionalFormatting>
  <conditionalFormatting sqref="Z682:AA682">
    <cfRule type="containsText" dxfId="5057" priority="110" operator="containsText" text="FAIL">
      <formula>NOT(ISERROR(SEARCH("FAIL",Z682)))</formula>
    </cfRule>
  </conditionalFormatting>
  <conditionalFormatting sqref="Z682:AA682">
    <cfRule type="containsText" dxfId="5056" priority="109" operator="containsText" text="GOOD">
      <formula>NOT(ISERROR(SEARCH("GOOD",Z682)))</formula>
    </cfRule>
  </conditionalFormatting>
  <conditionalFormatting sqref="L683">
    <cfRule type="containsText" dxfId="5055" priority="108" operator="containsText" text="FAIL">
      <formula>NOT(ISERROR(SEARCH("FAIL",L683)))</formula>
    </cfRule>
  </conditionalFormatting>
  <conditionalFormatting sqref="L683">
    <cfRule type="containsText" dxfId="5054" priority="107" operator="containsText" text="GOOD">
      <formula>NOT(ISERROR(SEARCH("GOOD",L683)))</formula>
    </cfRule>
  </conditionalFormatting>
  <conditionalFormatting sqref="Z683:AA683">
    <cfRule type="containsText" dxfId="5053" priority="106" operator="containsText" text="FAIL">
      <formula>NOT(ISERROR(SEARCH("FAIL",Z683)))</formula>
    </cfRule>
  </conditionalFormatting>
  <conditionalFormatting sqref="Z683:AA683">
    <cfRule type="containsText" dxfId="5052" priority="105" operator="containsText" text="GOOD">
      <formula>NOT(ISERROR(SEARCH("GOOD",Z683)))</formula>
    </cfRule>
  </conditionalFormatting>
  <conditionalFormatting sqref="Z684:AA684">
    <cfRule type="containsText" dxfId="5051" priority="101" operator="containsText" text="GOOD">
      <formula>NOT(ISERROR(SEARCH("GOOD",Z684)))</formula>
    </cfRule>
  </conditionalFormatting>
  <conditionalFormatting sqref="L684">
    <cfRule type="containsText" dxfId="5050" priority="104" operator="containsText" text="FAIL">
      <formula>NOT(ISERROR(SEARCH("FAIL",L684)))</formula>
    </cfRule>
  </conditionalFormatting>
  <conditionalFormatting sqref="L684">
    <cfRule type="containsText" dxfId="5049" priority="103" operator="containsText" text="GOOD">
      <formula>NOT(ISERROR(SEARCH("GOOD",L684)))</formula>
    </cfRule>
  </conditionalFormatting>
  <conditionalFormatting sqref="Z684:AA684">
    <cfRule type="containsText" dxfId="5048" priority="102" operator="containsText" text="FAIL">
      <formula>NOT(ISERROR(SEARCH("FAIL",Z684)))</formula>
    </cfRule>
  </conditionalFormatting>
  <conditionalFormatting sqref="L685">
    <cfRule type="containsText" dxfId="5047" priority="100" operator="containsText" text="FAIL">
      <formula>NOT(ISERROR(SEARCH("FAIL",L685)))</formula>
    </cfRule>
  </conditionalFormatting>
  <conditionalFormatting sqref="L685">
    <cfRule type="containsText" dxfId="5046" priority="99" operator="containsText" text="GOOD">
      <formula>NOT(ISERROR(SEARCH("GOOD",L685)))</formula>
    </cfRule>
  </conditionalFormatting>
  <conditionalFormatting sqref="Z685:AA685">
    <cfRule type="containsText" dxfId="5045" priority="98" operator="containsText" text="FAIL">
      <formula>NOT(ISERROR(SEARCH("FAIL",Z685)))</formula>
    </cfRule>
  </conditionalFormatting>
  <conditionalFormatting sqref="Z685:AA685">
    <cfRule type="containsText" dxfId="5044" priority="97" operator="containsText" text="GOOD">
      <formula>NOT(ISERROR(SEARCH("GOOD",Z685)))</formula>
    </cfRule>
  </conditionalFormatting>
  <conditionalFormatting sqref="L686">
    <cfRule type="containsText" dxfId="5043" priority="96" operator="containsText" text="FAIL">
      <formula>NOT(ISERROR(SEARCH("FAIL",L686)))</formula>
    </cfRule>
  </conditionalFormatting>
  <conditionalFormatting sqref="L686">
    <cfRule type="containsText" dxfId="5042" priority="95" operator="containsText" text="GOOD">
      <formula>NOT(ISERROR(SEARCH("GOOD",L686)))</formula>
    </cfRule>
  </conditionalFormatting>
  <conditionalFormatting sqref="Z686:AA686">
    <cfRule type="containsText" dxfId="5041" priority="94" operator="containsText" text="FAIL">
      <formula>NOT(ISERROR(SEARCH("FAIL",Z686)))</formula>
    </cfRule>
  </conditionalFormatting>
  <conditionalFormatting sqref="Z686:AA686">
    <cfRule type="containsText" dxfId="5040" priority="93" operator="containsText" text="GOOD">
      <formula>NOT(ISERROR(SEARCH("GOOD",Z686)))</formula>
    </cfRule>
  </conditionalFormatting>
  <conditionalFormatting sqref="L687">
    <cfRule type="containsText" dxfId="5039" priority="92" operator="containsText" text="FAIL">
      <formula>NOT(ISERROR(SEARCH("FAIL",L687)))</formula>
    </cfRule>
  </conditionalFormatting>
  <conditionalFormatting sqref="L687">
    <cfRule type="containsText" dxfId="5038" priority="91" operator="containsText" text="GOOD">
      <formula>NOT(ISERROR(SEARCH("GOOD",L687)))</formula>
    </cfRule>
  </conditionalFormatting>
  <conditionalFormatting sqref="Z687:AA687">
    <cfRule type="containsText" dxfId="5037" priority="90" operator="containsText" text="FAIL">
      <formula>NOT(ISERROR(SEARCH("FAIL",Z687)))</formula>
    </cfRule>
  </conditionalFormatting>
  <conditionalFormatting sqref="Z687:AA687">
    <cfRule type="containsText" dxfId="5036" priority="89" operator="containsText" text="GOOD">
      <formula>NOT(ISERROR(SEARCH("GOOD",Z687)))</formula>
    </cfRule>
  </conditionalFormatting>
  <conditionalFormatting sqref="L698">
    <cfRule type="containsText" dxfId="5035" priority="86" operator="containsText" text="FAIL">
      <formula>NOT(ISERROR(SEARCH("FAIL",L698)))</formula>
    </cfRule>
  </conditionalFormatting>
  <conditionalFormatting sqref="L698">
    <cfRule type="containsText" dxfId="5034" priority="85" operator="containsText" text="GOOD">
      <formula>NOT(ISERROR(SEARCH("GOOD",L698)))</formula>
    </cfRule>
  </conditionalFormatting>
  <conditionalFormatting sqref="Z698:AA698">
    <cfRule type="containsText" dxfId="5033" priority="84" operator="containsText" text="FAIL">
      <formula>NOT(ISERROR(SEARCH("FAIL",Z698)))</formula>
    </cfRule>
  </conditionalFormatting>
  <conditionalFormatting sqref="Z698:AA698">
    <cfRule type="containsText" dxfId="5032" priority="83" operator="containsText" text="GOOD">
      <formula>NOT(ISERROR(SEARCH("GOOD",Z698)))</formula>
    </cfRule>
  </conditionalFormatting>
  <conditionalFormatting sqref="B698">
    <cfRule type="containsText" dxfId="5031" priority="88" operator="containsText" text="FAIL">
      <formula>NOT(ISERROR(SEARCH("FAIL",B698)))</formula>
    </cfRule>
  </conditionalFormatting>
  <conditionalFormatting sqref="B698">
    <cfRule type="containsText" dxfId="5030" priority="87" operator="containsText" text="GOOD">
      <formula>NOT(ISERROR(SEARCH("GOOD",B698)))</formula>
    </cfRule>
  </conditionalFormatting>
  <conditionalFormatting sqref="Z699:AA699">
    <cfRule type="containsText" dxfId="5029" priority="78" operator="containsText" text="FAIL">
      <formula>NOT(ISERROR(SEARCH("FAIL",Z699)))</formula>
    </cfRule>
  </conditionalFormatting>
  <conditionalFormatting sqref="Z699:AA699">
    <cfRule type="containsText" dxfId="5028" priority="77" operator="containsText" text="GOOD">
      <formula>NOT(ISERROR(SEARCH("GOOD",Z699)))</formula>
    </cfRule>
  </conditionalFormatting>
  <conditionalFormatting sqref="B699">
    <cfRule type="containsText" dxfId="5027" priority="82" operator="containsText" text="FAIL">
      <formula>NOT(ISERROR(SEARCH("FAIL",B699)))</formula>
    </cfRule>
  </conditionalFormatting>
  <conditionalFormatting sqref="B699">
    <cfRule type="containsText" dxfId="5026" priority="81" operator="containsText" text="GOOD">
      <formula>NOT(ISERROR(SEARCH("GOOD",B699)))</formula>
    </cfRule>
  </conditionalFormatting>
  <conditionalFormatting sqref="L699">
    <cfRule type="containsText" dxfId="5025" priority="80" operator="containsText" text="FAIL">
      <formula>NOT(ISERROR(SEARCH("FAIL",L699)))</formula>
    </cfRule>
  </conditionalFormatting>
  <conditionalFormatting sqref="L699">
    <cfRule type="containsText" dxfId="5024" priority="79" operator="containsText" text="GOOD">
      <formula>NOT(ISERROR(SEARCH("GOOD",L699)))</formula>
    </cfRule>
  </conditionalFormatting>
  <conditionalFormatting sqref="B700">
    <cfRule type="containsText" dxfId="5023" priority="76" operator="containsText" text="FAIL">
      <formula>NOT(ISERROR(SEARCH("FAIL",B700)))</formula>
    </cfRule>
  </conditionalFormatting>
  <conditionalFormatting sqref="B700">
    <cfRule type="containsText" dxfId="5022" priority="75" operator="containsText" text="GOOD">
      <formula>NOT(ISERROR(SEARCH("GOOD",B700)))</formula>
    </cfRule>
  </conditionalFormatting>
  <conditionalFormatting sqref="L700">
    <cfRule type="containsText" dxfId="5021" priority="74" operator="containsText" text="FAIL">
      <formula>NOT(ISERROR(SEARCH("FAIL",L700)))</formula>
    </cfRule>
  </conditionalFormatting>
  <conditionalFormatting sqref="L700">
    <cfRule type="containsText" dxfId="5020" priority="73" operator="containsText" text="GOOD">
      <formula>NOT(ISERROR(SEARCH("GOOD",L700)))</formula>
    </cfRule>
  </conditionalFormatting>
  <conditionalFormatting sqref="Z700:AA700">
    <cfRule type="containsText" dxfId="5019" priority="72" operator="containsText" text="FAIL">
      <formula>NOT(ISERROR(SEARCH("FAIL",Z700)))</formula>
    </cfRule>
  </conditionalFormatting>
  <conditionalFormatting sqref="Z700:AA700">
    <cfRule type="containsText" dxfId="5018" priority="71" operator="containsText" text="GOOD">
      <formula>NOT(ISERROR(SEARCH("GOOD",Z700)))</formula>
    </cfRule>
  </conditionalFormatting>
  <conditionalFormatting sqref="L701">
    <cfRule type="containsText" dxfId="5017" priority="70" operator="containsText" text="FAIL">
      <formula>NOT(ISERROR(SEARCH("FAIL",L701)))</formula>
    </cfRule>
  </conditionalFormatting>
  <conditionalFormatting sqref="L701">
    <cfRule type="containsText" dxfId="5016" priority="69" operator="containsText" text="GOOD">
      <formula>NOT(ISERROR(SEARCH("GOOD",L701)))</formula>
    </cfRule>
  </conditionalFormatting>
  <conditionalFormatting sqref="Z701:AA701">
    <cfRule type="containsText" dxfId="5015" priority="68" operator="containsText" text="FAIL">
      <formula>NOT(ISERROR(SEARCH("FAIL",Z701)))</formula>
    </cfRule>
  </conditionalFormatting>
  <conditionalFormatting sqref="Z701:AA701">
    <cfRule type="containsText" dxfId="5014" priority="67" operator="containsText" text="GOOD">
      <formula>NOT(ISERROR(SEARCH("GOOD",Z701)))</formula>
    </cfRule>
  </conditionalFormatting>
  <conditionalFormatting sqref="B701">
    <cfRule type="containsText" dxfId="5013" priority="66" operator="containsText" text="FAIL">
      <formula>NOT(ISERROR(SEARCH("FAIL",B701)))</formula>
    </cfRule>
  </conditionalFormatting>
  <conditionalFormatting sqref="B701">
    <cfRule type="containsText" dxfId="5012" priority="65" operator="containsText" text="GOOD">
      <formula>NOT(ISERROR(SEARCH("GOOD",B701)))</formula>
    </cfRule>
  </conditionalFormatting>
  <conditionalFormatting sqref="L702">
    <cfRule type="containsText" dxfId="5011" priority="64" operator="containsText" text="FAIL">
      <formula>NOT(ISERROR(SEARCH("FAIL",L702)))</formula>
    </cfRule>
  </conditionalFormatting>
  <conditionalFormatting sqref="L702">
    <cfRule type="containsText" dxfId="5010" priority="63" operator="containsText" text="GOOD">
      <formula>NOT(ISERROR(SEARCH("GOOD",L702)))</formula>
    </cfRule>
  </conditionalFormatting>
  <conditionalFormatting sqref="Z702:AA702">
    <cfRule type="containsText" dxfId="5009" priority="62" operator="containsText" text="FAIL">
      <formula>NOT(ISERROR(SEARCH("FAIL",Z702)))</formula>
    </cfRule>
  </conditionalFormatting>
  <conditionalFormatting sqref="Z702:AA702">
    <cfRule type="containsText" dxfId="5008" priority="61" operator="containsText" text="GOOD">
      <formula>NOT(ISERROR(SEARCH("GOOD",Z702)))</formula>
    </cfRule>
  </conditionalFormatting>
  <conditionalFormatting sqref="L703">
    <cfRule type="containsText" dxfId="5007" priority="60" operator="containsText" text="FAIL">
      <formula>NOT(ISERROR(SEARCH("FAIL",L703)))</formula>
    </cfRule>
  </conditionalFormatting>
  <conditionalFormatting sqref="L703">
    <cfRule type="containsText" dxfId="5006" priority="59" operator="containsText" text="GOOD">
      <formula>NOT(ISERROR(SEARCH("GOOD",L703)))</formula>
    </cfRule>
  </conditionalFormatting>
  <conditionalFormatting sqref="Z703:AA703">
    <cfRule type="containsText" dxfId="5005" priority="58" operator="containsText" text="FAIL">
      <formula>NOT(ISERROR(SEARCH("FAIL",Z703)))</formula>
    </cfRule>
  </conditionalFormatting>
  <conditionalFormatting sqref="Z703:AA703">
    <cfRule type="containsText" dxfId="5004" priority="57" operator="containsText" text="GOOD">
      <formula>NOT(ISERROR(SEARCH("GOOD",Z703)))</formula>
    </cfRule>
  </conditionalFormatting>
  <conditionalFormatting sqref="L704">
    <cfRule type="containsText" dxfId="5003" priority="56" operator="containsText" text="FAIL">
      <formula>NOT(ISERROR(SEARCH("FAIL",L704)))</formula>
    </cfRule>
  </conditionalFormatting>
  <conditionalFormatting sqref="L704">
    <cfRule type="containsText" dxfId="5002" priority="55" operator="containsText" text="GOOD">
      <formula>NOT(ISERROR(SEARCH("GOOD",L704)))</formula>
    </cfRule>
  </conditionalFormatting>
  <conditionalFormatting sqref="Z704:AA704">
    <cfRule type="containsText" dxfId="5001" priority="54" operator="containsText" text="FAIL">
      <formula>NOT(ISERROR(SEARCH("FAIL",Z704)))</formula>
    </cfRule>
  </conditionalFormatting>
  <conditionalFormatting sqref="Z704:AA704">
    <cfRule type="containsText" dxfId="5000" priority="53" operator="containsText" text="GOOD">
      <formula>NOT(ISERROR(SEARCH("GOOD",Z704)))</formula>
    </cfRule>
  </conditionalFormatting>
  <conditionalFormatting sqref="B21">
    <cfRule type="containsText" dxfId="4999" priority="52" operator="containsText" text="FAIL">
      <formula>NOT(ISERROR(SEARCH("FAIL",B21)))</formula>
    </cfRule>
  </conditionalFormatting>
  <conditionalFormatting sqref="B21">
    <cfRule type="containsText" dxfId="4998" priority="51" operator="containsText" text="GOOD">
      <formula>NOT(ISERROR(SEARCH("GOOD",B21)))</formula>
    </cfRule>
  </conditionalFormatting>
  <conditionalFormatting sqref="L21">
    <cfRule type="containsText" dxfId="4997" priority="50" operator="containsText" text="FAIL">
      <formula>NOT(ISERROR(SEARCH("FAIL",L21)))</formula>
    </cfRule>
  </conditionalFormatting>
  <conditionalFormatting sqref="L21">
    <cfRule type="containsText" dxfId="4996" priority="49" operator="containsText" text="GOOD">
      <formula>NOT(ISERROR(SEARCH("GOOD",L21)))</formula>
    </cfRule>
  </conditionalFormatting>
  <conditionalFormatting sqref="Z21:AA21">
    <cfRule type="containsText" dxfId="4995" priority="48" operator="containsText" text="FAIL">
      <formula>NOT(ISERROR(SEARCH("FAIL",Z21)))</formula>
    </cfRule>
  </conditionalFormatting>
  <conditionalFormatting sqref="Z21:AA21">
    <cfRule type="containsText" dxfId="4994" priority="47" operator="containsText" text="GOOD">
      <formula>NOT(ISERROR(SEARCH("GOOD",Z21)))</formula>
    </cfRule>
  </conditionalFormatting>
  <conditionalFormatting sqref="L20">
    <cfRule type="containsText" dxfId="4993" priority="46" operator="containsText" text="FAIL">
      <formula>NOT(ISERROR(SEARCH("FAIL",L20)))</formula>
    </cfRule>
  </conditionalFormatting>
  <conditionalFormatting sqref="L20">
    <cfRule type="containsText" dxfId="4992" priority="45" operator="containsText" text="GOOD">
      <formula>NOT(ISERROR(SEARCH("GOOD",L20)))</formula>
    </cfRule>
  </conditionalFormatting>
  <conditionalFormatting sqref="Z20:AA20">
    <cfRule type="containsText" dxfId="4991" priority="44" operator="containsText" text="FAIL">
      <formula>NOT(ISERROR(SEARCH("FAIL",Z20)))</formula>
    </cfRule>
  </conditionalFormatting>
  <conditionalFormatting sqref="Z20:AA20">
    <cfRule type="containsText" dxfId="4990" priority="43" operator="containsText" text="GOOD">
      <formula>NOT(ISERROR(SEARCH("GOOD",Z20)))</formula>
    </cfRule>
  </conditionalFormatting>
  <conditionalFormatting sqref="AQ21">
    <cfRule type="containsText" dxfId="4989" priority="42" operator="containsText" text="FAIL">
      <formula>NOT(ISERROR(SEARCH("FAIL",AQ21)))</formula>
    </cfRule>
  </conditionalFormatting>
  <conditionalFormatting sqref="AQ21">
    <cfRule type="containsText" dxfId="4988" priority="41" operator="containsText" text="GOOD">
      <formula>NOT(ISERROR(SEARCH("GOOD",AQ21)))</formula>
    </cfRule>
  </conditionalFormatting>
  <conditionalFormatting sqref="L19">
    <cfRule type="containsText" dxfId="4987" priority="40" operator="containsText" text="FAIL">
      <formula>NOT(ISERROR(SEARCH("FAIL",L19)))</formula>
    </cfRule>
  </conditionalFormatting>
  <conditionalFormatting sqref="L19">
    <cfRule type="containsText" dxfId="4986" priority="39" operator="containsText" text="GOOD">
      <formula>NOT(ISERROR(SEARCH("GOOD",L19)))</formula>
    </cfRule>
  </conditionalFormatting>
  <conditionalFormatting sqref="Z19:AA19">
    <cfRule type="containsText" dxfId="4985" priority="38" operator="containsText" text="FAIL">
      <formula>NOT(ISERROR(SEARCH("FAIL",Z19)))</formula>
    </cfRule>
  </conditionalFormatting>
  <conditionalFormatting sqref="Z19:AA19">
    <cfRule type="containsText" dxfId="4984" priority="37" operator="containsText" text="GOOD">
      <formula>NOT(ISERROR(SEARCH("GOOD",Z19)))</formula>
    </cfRule>
  </conditionalFormatting>
  <conditionalFormatting sqref="L18">
    <cfRule type="containsText" dxfId="4983" priority="36" operator="containsText" text="FAIL">
      <formula>NOT(ISERROR(SEARCH("FAIL",L18)))</formula>
    </cfRule>
  </conditionalFormatting>
  <conditionalFormatting sqref="L18">
    <cfRule type="containsText" dxfId="4982" priority="35" operator="containsText" text="GOOD">
      <formula>NOT(ISERROR(SEARCH("GOOD",L18)))</formula>
    </cfRule>
  </conditionalFormatting>
  <conditionalFormatting sqref="Z18:AA18">
    <cfRule type="containsText" dxfId="4981" priority="34" operator="containsText" text="FAIL">
      <formula>NOT(ISERROR(SEARCH("FAIL",Z18)))</formula>
    </cfRule>
  </conditionalFormatting>
  <conditionalFormatting sqref="Z18:AA18">
    <cfRule type="containsText" dxfId="4980" priority="33" operator="containsText" text="GOOD">
      <formula>NOT(ISERROR(SEARCH("GOOD",Z18)))</formula>
    </cfRule>
  </conditionalFormatting>
  <conditionalFormatting sqref="L17">
    <cfRule type="containsText" dxfId="4979" priority="32" operator="containsText" text="FAIL">
      <formula>NOT(ISERROR(SEARCH("FAIL",L17)))</formula>
    </cfRule>
  </conditionalFormatting>
  <conditionalFormatting sqref="L17">
    <cfRule type="containsText" dxfId="4978" priority="31" operator="containsText" text="GOOD">
      <formula>NOT(ISERROR(SEARCH("GOOD",L17)))</formula>
    </cfRule>
  </conditionalFormatting>
  <conditionalFormatting sqref="Z17:AA17">
    <cfRule type="containsText" dxfId="4977" priority="30" operator="containsText" text="FAIL">
      <formula>NOT(ISERROR(SEARCH("FAIL",Z17)))</formula>
    </cfRule>
  </conditionalFormatting>
  <conditionalFormatting sqref="Z17:AA17">
    <cfRule type="containsText" dxfId="4976" priority="29" operator="containsText" text="GOOD">
      <formula>NOT(ISERROR(SEARCH("GOOD",Z17)))</formula>
    </cfRule>
  </conditionalFormatting>
  <conditionalFormatting sqref="L16">
    <cfRule type="containsText" dxfId="4975" priority="28" operator="containsText" text="FAIL">
      <formula>NOT(ISERROR(SEARCH("FAIL",L16)))</formula>
    </cfRule>
  </conditionalFormatting>
  <conditionalFormatting sqref="L16">
    <cfRule type="containsText" dxfId="4974" priority="27" operator="containsText" text="GOOD">
      <formula>NOT(ISERROR(SEARCH("GOOD",L16)))</formula>
    </cfRule>
  </conditionalFormatting>
  <conditionalFormatting sqref="Z16:AA16">
    <cfRule type="containsText" dxfId="4973" priority="26" operator="containsText" text="FAIL">
      <formula>NOT(ISERROR(SEARCH("FAIL",Z16)))</formula>
    </cfRule>
  </conditionalFormatting>
  <conditionalFormatting sqref="Z16:AA16">
    <cfRule type="containsText" dxfId="4972" priority="25" operator="containsText" text="GOOD">
      <formula>NOT(ISERROR(SEARCH("GOOD",Z16)))</formula>
    </cfRule>
  </conditionalFormatting>
  <conditionalFormatting sqref="L14:L15">
    <cfRule type="containsText" dxfId="4971" priority="24" operator="containsText" text="FAIL">
      <formula>NOT(ISERROR(SEARCH("FAIL",L14)))</formula>
    </cfRule>
  </conditionalFormatting>
  <conditionalFormatting sqref="L14:L15">
    <cfRule type="containsText" dxfId="4970" priority="23" operator="containsText" text="GOOD">
      <formula>NOT(ISERROR(SEARCH("GOOD",L14)))</formula>
    </cfRule>
  </conditionalFormatting>
  <conditionalFormatting sqref="Z14:AA15">
    <cfRule type="containsText" dxfId="4969" priority="22" operator="containsText" text="FAIL">
      <formula>NOT(ISERROR(SEARCH("FAIL",Z14)))</formula>
    </cfRule>
  </conditionalFormatting>
  <conditionalFormatting sqref="Z14:AA15">
    <cfRule type="containsText" dxfId="4968" priority="21" operator="containsText" text="GOOD">
      <formula>NOT(ISERROR(SEARCH("GOOD",Z14)))</formula>
    </cfRule>
  </conditionalFormatting>
  <conditionalFormatting sqref="L11:L13">
    <cfRule type="containsText" dxfId="4967" priority="20" operator="containsText" text="FAIL">
      <formula>NOT(ISERROR(SEARCH("FAIL",L11)))</formula>
    </cfRule>
  </conditionalFormatting>
  <conditionalFormatting sqref="L11:L13">
    <cfRule type="containsText" dxfId="4966" priority="19" operator="containsText" text="GOOD">
      <formula>NOT(ISERROR(SEARCH("GOOD",L11)))</formula>
    </cfRule>
  </conditionalFormatting>
  <conditionalFormatting sqref="Z11:AA13">
    <cfRule type="containsText" dxfId="4965" priority="18" operator="containsText" text="FAIL">
      <formula>NOT(ISERROR(SEARCH("FAIL",Z11)))</formula>
    </cfRule>
  </conditionalFormatting>
  <conditionalFormatting sqref="Z11:AA13">
    <cfRule type="containsText" dxfId="4964" priority="17" operator="containsText" text="GOOD">
      <formula>NOT(ISERROR(SEARCH("GOOD",Z11)))</formula>
    </cfRule>
  </conditionalFormatting>
  <conditionalFormatting sqref="L10">
    <cfRule type="containsText" dxfId="4963" priority="16" operator="containsText" text="FAIL">
      <formula>NOT(ISERROR(SEARCH("FAIL",L10)))</formula>
    </cfRule>
  </conditionalFormatting>
  <conditionalFormatting sqref="L10">
    <cfRule type="containsText" dxfId="4962" priority="15" operator="containsText" text="GOOD">
      <formula>NOT(ISERROR(SEARCH("GOOD",L10)))</formula>
    </cfRule>
  </conditionalFormatting>
  <conditionalFormatting sqref="Z10:AA10">
    <cfRule type="containsText" dxfId="4961" priority="14" operator="containsText" text="FAIL">
      <formula>NOT(ISERROR(SEARCH("FAIL",Z10)))</formula>
    </cfRule>
  </conditionalFormatting>
  <conditionalFormatting sqref="Z10:AA10">
    <cfRule type="containsText" dxfId="4960" priority="13" operator="containsText" text="GOOD">
      <formula>NOT(ISERROR(SEARCH("GOOD",Z10)))</formula>
    </cfRule>
  </conditionalFormatting>
  <conditionalFormatting sqref="L9">
    <cfRule type="containsText" dxfId="4959" priority="12" operator="containsText" text="FAIL">
      <formula>NOT(ISERROR(SEARCH("FAIL",L9)))</formula>
    </cfRule>
  </conditionalFormatting>
  <conditionalFormatting sqref="L9">
    <cfRule type="containsText" dxfId="4958" priority="11" operator="containsText" text="GOOD">
      <formula>NOT(ISERROR(SEARCH("GOOD",L9)))</formula>
    </cfRule>
  </conditionalFormatting>
  <conditionalFormatting sqref="Z9:AA9">
    <cfRule type="containsText" dxfId="4957" priority="10" operator="containsText" text="FAIL">
      <formula>NOT(ISERROR(SEARCH("FAIL",Z9)))</formula>
    </cfRule>
  </conditionalFormatting>
  <conditionalFormatting sqref="Z9:AA9">
    <cfRule type="containsText" dxfId="4956" priority="9" operator="containsText" text="GOOD">
      <formula>NOT(ISERROR(SEARCH("GOOD",Z9)))</formula>
    </cfRule>
  </conditionalFormatting>
  <conditionalFormatting sqref="L8">
    <cfRule type="containsText" dxfId="4955" priority="8" operator="containsText" text="FAIL">
      <formula>NOT(ISERROR(SEARCH("FAIL",L8)))</formula>
    </cfRule>
  </conditionalFormatting>
  <conditionalFormatting sqref="L8">
    <cfRule type="containsText" dxfId="4954" priority="7" operator="containsText" text="GOOD">
      <formula>NOT(ISERROR(SEARCH("GOOD",L8)))</formula>
    </cfRule>
  </conditionalFormatting>
  <conditionalFormatting sqref="Z8:AA8">
    <cfRule type="containsText" dxfId="4953" priority="6" operator="containsText" text="FAIL">
      <formula>NOT(ISERROR(SEARCH("FAIL",Z8)))</formula>
    </cfRule>
  </conditionalFormatting>
  <conditionalFormatting sqref="Z8:AA8">
    <cfRule type="containsText" dxfId="4952" priority="5" operator="containsText" text="GOOD">
      <formula>NOT(ISERROR(SEARCH("GOOD",Z8)))</formula>
    </cfRule>
  </conditionalFormatting>
  <conditionalFormatting sqref="L7">
    <cfRule type="containsText" dxfId="4951" priority="4" operator="containsText" text="FAIL">
      <formula>NOT(ISERROR(SEARCH("FAIL",L7)))</formula>
    </cfRule>
  </conditionalFormatting>
  <conditionalFormatting sqref="L7">
    <cfRule type="containsText" dxfId="4950" priority="3" operator="containsText" text="GOOD">
      <formula>NOT(ISERROR(SEARCH("GOOD",L7)))</formula>
    </cfRule>
  </conditionalFormatting>
  <conditionalFormatting sqref="Z7:AA7">
    <cfRule type="containsText" dxfId="4949" priority="2" operator="containsText" text="FAIL">
      <formula>NOT(ISERROR(SEARCH("FAIL",Z7)))</formula>
    </cfRule>
  </conditionalFormatting>
  <conditionalFormatting sqref="Z7:AA7">
    <cfRule type="containsText" dxfId="4948" priority="1" operator="containsText" text="GOOD">
      <formula>NOT(ISERROR(SEARCH("GOOD",Z7)))</formula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384" operator="containsText" text="FAIL" id="{2E311C36-F45C-4C95-9AB4-59DEFBE87475}">
            <xm:f>NOT(ISERROR(SEARCH("FAIL",SUMMARY!L497)))</xm:f>
            <x14:dxf>
              <font>
                <b/>
                <i/>
                <color theme="0"/>
              </font>
              <fill>
                <patternFill>
                  <bgColor rgb="FFFF0000"/>
                </patternFill>
              </fill>
            </x14:dxf>
          </x14:cfRule>
          <xm:sqref>L514</xm:sqref>
        </x14:conditionalFormatting>
        <x14:conditionalFormatting xmlns:xm="http://schemas.microsoft.com/office/excel/2006/main">
          <x14:cfRule type="containsText" priority="1383" operator="containsText" text="GOOD" id="{7C0C8990-8C22-4ED7-AF04-6815B1D25525}">
            <xm:f>NOT(ISERROR(SEARCH("GOOD",SUMMARY!L497)))</xm:f>
            <x14:dxf>
              <font>
                <b/>
                <i/>
                <color theme="0"/>
              </font>
              <fill>
                <patternFill>
                  <bgColor rgb="FF00B050"/>
                </patternFill>
              </fill>
            </x14:dxf>
          </x14:cfRule>
          <xm:sqref>L514</xm:sqref>
        </x14:conditionalFormatting>
        <x14:conditionalFormatting xmlns:xm="http://schemas.microsoft.com/office/excel/2006/main">
          <x14:cfRule type="containsText" priority="1387" operator="containsText" text="FAIL" id="{C46D5D5A-D408-4AAB-982F-C2784A7B4982}">
            <xm:f>NOT(ISERROR(SEARCH("FAIL",SUMMARY!L499)))</xm:f>
            <x14:dxf>
              <font>
                <b/>
                <i/>
                <color theme="0"/>
              </font>
              <fill>
                <patternFill>
                  <bgColor rgb="FFFF0000"/>
                </patternFill>
              </fill>
            </x14:dxf>
          </x14:cfRule>
          <xm:sqref>L515:L517</xm:sqref>
        </x14:conditionalFormatting>
        <x14:conditionalFormatting xmlns:xm="http://schemas.microsoft.com/office/excel/2006/main">
          <x14:cfRule type="containsText" priority="1388" operator="containsText" text="GOOD" id="{4D3BEA51-FC56-4FA2-9CC4-2591552D918C}">
            <xm:f>NOT(ISERROR(SEARCH("GOOD",SUMMARY!L499)))</xm:f>
            <x14:dxf>
              <font>
                <b/>
                <i/>
                <color theme="0"/>
              </font>
              <fill>
                <patternFill>
                  <bgColor rgb="FF00B050"/>
                </patternFill>
              </fill>
            </x14:dxf>
          </x14:cfRule>
          <xm:sqref>L515:L517</xm:sqref>
        </x14:conditionalFormatting>
        <x14:conditionalFormatting xmlns:xm="http://schemas.microsoft.com/office/excel/2006/main">
          <x14:cfRule type="containsText" priority="1389" operator="containsText" text="FAIL" id="{6CBFF838-C666-4453-9422-CC97AA59906B}">
            <xm:f>NOT(ISERROR(SEARCH("FAIL",SUMMARY!L503)))</xm:f>
            <x14:dxf>
              <font>
                <b/>
                <i/>
                <color theme="0"/>
              </font>
              <fill>
                <patternFill>
                  <bgColor rgb="FFFF0000"/>
                </patternFill>
              </fill>
            </x14:dxf>
          </x14:cfRule>
          <xm:sqref>L518:L520</xm:sqref>
        </x14:conditionalFormatting>
        <x14:conditionalFormatting xmlns:xm="http://schemas.microsoft.com/office/excel/2006/main">
          <x14:cfRule type="containsText" priority="1390" operator="containsText" text="GOOD" id="{C2FC967E-51C5-434F-9C14-23487F121D7F}">
            <xm:f>NOT(ISERROR(SEARCH("GOOD",SUMMARY!L503)))</xm:f>
            <x14:dxf>
              <font>
                <b/>
                <i/>
                <color theme="0"/>
              </font>
              <fill>
                <patternFill>
                  <bgColor rgb="FF00B050"/>
                </patternFill>
              </fill>
            </x14:dxf>
          </x14:cfRule>
          <xm:sqref>L518:L520</xm:sqref>
        </x14:conditionalFormatting>
        <x14:conditionalFormatting xmlns:xm="http://schemas.microsoft.com/office/excel/2006/main">
          <x14:cfRule type="containsText" priority="1391" operator="containsText" text="FAIL" id="{8B046536-CEFE-4DF0-9731-F1DA2222F574}">
            <xm:f>NOT(ISERROR(SEARCH("FAIL",SUMMARY!L510)))</xm:f>
            <x14:dxf>
              <font>
                <b/>
                <i/>
                <color theme="0"/>
              </font>
              <fill>
                <patternFill>
                  <bgColor rgb="FFFF0000"/>
                </patternFill>
              </fill>
            </x14:dxf>
          </x14:cfRule>
          <xm:sqref>L521:L522</xm:sqref>
        </x14:conditionalFormatting>
        <x14:conditionalFormatting xmlns:xm="http://schemas.microsoft.com/office/excel/2006/main">
          <x14:cfRule type="containsText" priority="1392" operator="containsText" text="GOOD" id="{A99562B8-A497-4F3F-A52B-660A2C943BCD}">
            <xm:f>NOT(ISERROR(SEARCH("GOOD",SUMMARY!L510)))</xm:f>
            <x14:dxf>
              <font>
                <b/>
                <i/>
                <color theme="0"/>
              </font>
              <fill>
                <patternFill>
                  <bgColor rgb="FF00B050"/>
                </patternFill>
              </fill>
            </x14:dxf>
          </x14:cfRule>
          <xm:sqref>L521:L522</xm:sqref>
        </x14:conditionalFormatting>
        <x14:conditionalFormatting xmlns:xm="http://schemas.microsoft.com/office/excel/2006/main">
          <x14:cfRule type="containsText" priority="1393" operator="containsText" text="FAIL" id="{3B920949-77E7-4FC8-8F0A-3A3121625725}">
            <xm:f>NOT(ISERROR(SEARCH("FAIL",SUMMARY!L513)))</xm:f>
            <x14:dxf>
              <font>
                <b/>
                <i/>
                <color theme="0"/>
              </font>
              <fill>
                <patternFill>
                  <bgColor rgb="FFFF0000"/>
                </patternFill>
              </fill>
            </x14:dxf>
          </x14:cfRule>
          <xm:sqref>L523:L525</xm:sqref>
        </x14:conditionalFormatting>
        <x14:conditionalFormatting xmlns:xm="http://schemas.microsoft.com/office/excel/2006/main">
          <x14:cfRule type="containsText" priority="1394" operator="containsText" text="GOOD" id="{D6897C5D-E95C-482C-B537-BC91F61D98EF}">
            <xm:f>NOT(ISERROR(SEARCH("GOOD",SUMMARY!L513)))</xm:f>
            <x14:dxf>
              <font>
                <b/>
                <i/>
                <color theme="0"/>
              </font>
              <fill>
                <patternFill>
                  <bgColor rgb="FF00B050"/>
                </patternFill>
              </fill>
            </x14:dxf>
          </x14:cfRule>
          <xm:sqref>L523:L525</xm:sqref>
        </x14:conditionalFormatting>
        <x14:conditionalFormatting xmlns:xm="http://schemas.microsoft.com/office/excel/2006/main">
          <x14:cfRule type="containsText" priority="1395" operator="containsText" text="FAIL" id="{FF1E7DE5-47EA-40AE-8D47-19534D639F1C}">
            <xm:f>NOT(ISERROR(SEARCH("FAIL",SUMMARY!L518)))</xm:f>
            <x14:dxf>
              <font>
                <b/>
                <i/>
                <color theme="0"/>
              </font>
              <fill>
                <patternFill>
                  <bgColor rgb="FFFF0000"/>
                </patternFill>
              </fill>
            </x14:dxf>
          </x14:cfRule>
          <xm:sqref>L526</xm:sqref>
        </x14:conditionalFormatting>
        <x14:conditionalFormatting xmlns:xm="http://schemas.microsoft.com/office/excel/2006/main">
          <x14:cfRule type="containsText" priority="1396" operator="containsText" text="GOOD" id="{3CC34625-811D-4ABC-BF5D-28198746C01B}">
            <xm:f>NOT(ISERROR(SEARCH("GOOD",SUMMARY!L518)))</xm:f>
            <x14:dxf>
              <font>
                <b/>
                <i/>
                <color theme="0"/>
              </font>
              <fill>
                <patternFill>
                  <bgColor rgb="FF00B050"/>
                </patternFill>
              </fill>
            </x14:dxf>
          </x14:cfRule>
          <xm:sqref>L526</xm:sqref>
        </x14:conditionalFormatting>
        <x14:conditionalFormatting xmlns:xm="http://schemas.microsoft.com/office/excel/2006/main">
          <x14:cfRule type="containsText" priority="1397" operator="containsText" text="FAIL" id="{2F6411DF-D88D-4884-AB9F-45C191EC56A1}">
            <xm:f>NOT(ISERROR(SEARCH("FAIL",SUMMARY!L523)))</xm:f>
            <x14:dxf>
              <font>
                <b/>
                <i/>
                <color theme="0"/>
              </font>
              <fill>
                <patternFill>
                  <bgColor rgb="FFFF0000"/>
                </patternFill>
              </fill>
            </x14:dxf>
          </x14:cfRule>
          <xm:sqref>L527</xm:sqref>
        </x14:conditionalFormatting>
        <x14:conditionalFormatting xmlns:xm="http://schemas.microsoft.com/office/excel/2006/main">
          <x14:cfRule type="containsText" priority="1398" operator="containsText" text="GOOD" id="{AABB113D-1690-4431-8D88-8B0A9391A61B}">
            <xm:f>NOT(ISERROR(SEARCH("GOOD",SUMMARY!L523)))</xm:f>
            <x14:dxf>
              <font>
                <b/>
                <i/>
                <color theme="0"/>
              </font>
              <fill>
                <patternFill>
                  <bgColor rgb="FF00B050"/>
                </patternFill>
              </fill>
            </x14:dxf>
          </x14:cfRule>
          <xm:sqref>L527</xm:sqref>
        </x14:conditionalFormatting>
        <x14:conditionalFormatting xmlns:xm="http://schemas.microsoft.com/office/excel/2006/main">
          <x14:cfRule type="containsText" priority="1399" operator="containsText" text="FAIL" id="{7324542F-D020-4B03-8587-476CA0F60DBF}">
            <xm:f>NOT(ISERROR(SEARCH("FAIL",SUMMARY!L527)))</xm:f>
            <x14:dxf>
              <font>
                <b/>
                <i/>
                <color theme="0"/>
              </font>
              <fill>
                <patternFill>
                  <bgColor rgb="FFFF0000"/>
                </patternFill>
              </fill>
            </x14:dxf>
          </x14:cfRule>
          <xm:sqref>L528</xm:sqref>
        </x14:conditionalFormatting>
        <x14:conditionalFormatting xmlns:xm="http://schemas.microsoft.com/office/excel/2006/main">
          <x14:cfRule type="containsText" priority="1400" operator="containsText" text="GOOD" id="{8CB622CA-EAB9-40DA-B107-F5153751D110}">
            <xm:f>NOT(ISERROR(SEARCH("GOOD",SUMMARY!L527)))</xm:f>
            <x14:dxf>
              <font>
                <b/>
                <i/>
                <color theme="0"/>
              </font>
              <fill>
                <patternFill>
                  <bgColor rgb="FF00B050"/>
                </patternFill>
              </fill>
            </x14:dxf>
          </x14:cfRule>
          <xm:sqref>L528</xm:sqref>
        </x14:conditionalFormatting>
        <x14:conditionalFormatting xmlns:xm="http://schemas.microsoft.com/office/excel/2006/main">
          <x14:cfRule type="containsText" priority="1401" operator="containsText" text="FAIL" id="{9277E913-BEAC-416E-851E-8C362A41DE8D}">
            <xm:f>NOT(ISERROR(SEARCH("FAIL",SUMMARY!L556)))</xm:f>
            <x14:dxf>
              <font>
                <b/>
                <i/>
                <color theme="0"/>
              </font>
              <fill>
                <patternFill>
                  <bgColor rgb="FFFF0000"/>
                </patternFill>
              </fill>
            </x14:dxf>
          </x14:cfRule>
          <xm:sqref>L549</xm:sqref>
        </x14:conditionalFormatting>
        <x14:conditionalFormatting xmlns:xm="http://schemas.microsoft.com/office/excel/2006/main">
          <x14:cfRule type="containsText" priority="1402" operator="containsText" text="GOOD" id="{C7F4C15F-B34D-47A9-B114-722B0AA539DA}">
            <xm:f>NOT(ISERROR(SEARCH("GOOD",SUMMARY!L556)))</xm:f>
            <x14:dxf>
              <font>
                <b/>
                <i/>
                <color theme="0"/>
              </font>
              <fill>
                <patternFill>
                  <bgColor rgb="FF00B050"/>
                </patternFill>
              </fill>
            </x14:dxf>
          </x14:cfRule>
          <xm:sqref>L549</xm:sqref>
        </x14:conditionalFormatting>
        <x14:conditionalFormatting xmlns:xm="http://schemas.microsoft.com/office/excel/2006/main">
          <x14:cfRule type="containsText" priority="1403" operator="containsText" text="FAIL" id="{DBB5F07D-FC01-4D74-8A42-41E4DC6E8BF0}">
            <xm:f>NOT(ISERROR(SEARCH("FAIL",SUMMARY!L561)))</xm:f>
            <x14:dxf>
              <font>
                <b/>
                <i/>
                <color theme="0"/>
              </font>
              <fill>
                <patternFill>
                  <bgColor rgb="FFFF0000"/>
                </patternFill>
              </fill>
            </x14:dxf>
          </x14:cfRule>
          <xm:sqref>L550:L551</xm:sqref>
        </x14:conditionalFormatting>
        <x14:conditionalFormatting xmlns:xm="http://schemas.microsoft.com/office/excel/2006/main">
          <x14:cfRule type="containsText" priority="1404" operator="containsText" text="GOOD" id="{EAD985B0-D9CE-4302-8A35-CE38B6429217}">
            <xm:f>NOT(ISERROR(SEARCH("GOOD",SUMMARY!L561)))</xm:f>
            <x14:dxf>
              <font>
                <b/>
                <i/>
                <color theme="0"/>
              </font>
              <fill>
                <patternFill>
                  <bgColor rgb="FF00B050"/>
                </patternFill>
              </fill>
            </x14:dxf>
          </x14:cfRule>
          <xm:sqref>L550:L551</xm:sqref>
        </x14:conditionalFormatting>
        <x14:conditionalFormatting xmlns:xm="http://schemas.microsoft.com/office/excel/2006/main">
          <x14:cfRule type="containsText" priority="1405" operator="containsText" text="FAIL" id="{69C18691-8B86-41BE-90CF-E7C77EB7D11C}">
            <xm:f>NOT(ISERROR(SEARCH("FAIL",SUMMARY!L570)))</xm:f>
            <x14:dxf>
              <font>
                <b/>
                <i/>
                <color theme="0"/>
              </font>
              <fill>
                <patternFill>
                  <bgColor rgb="FFFF0000"/>
                </patternFill>
              </fill>
            </x14:dxf>
          </x14:cfRule>
          <xm:sqref>L552</xm:sqref>
        </x14:conditionalFormatting>
        <x14:conditionalFormatting xmlns:xm="http://schemas.microsoft.com/office/excel/2006/main">
          <x14:cfRule type="containsText" priority="1406" operator="containsText" text="GOOD" id="{9308889E-2A65-48F8-93AB-BC76C52D6260}">
            <xm:f>NOT(ISERROR(SEARCH("GOOD",SUMMARY!L570)))</xm:f>
            <x14:dxf>
              <font>
                <b/>
                <i/>
                <color theme="0"/>
              </font>
              <fill>
                <patternFill>
                  <bgColor rgb="FF00B050"/>
                </patternFill>
              </fill>
            </x14:dxf>
          </x14:cfRule>
          <xm:sqref>L552</xm:sqref>
        </x14:conditionalFormatting>
        <x14:conditionalFormatting xmlns:xm="http://schemas.microsoft.com/office/excel/2006/main">
          <x14:cfRule type="containsText" priority="1407" operator="containsText" text="FAIL" id="{8950874A-593E-4052-999D-E00A791AE1C0}">
            <xm:f>NOT(ISERROR(SEARCH("FAIL",SUMMARY!L578)))</xm:f>
            <x14:dxf>
              <font>
                <b/>
                <i/>
                <color theme="0"/>
              </font>
              <fill>
                <patternFill>
                  <bgColor rgb="FFFF0000"/>
                </patternFill>
              </fill>
            </x14:dxf>
          </x14:cfRule>
          <xm:sqref>L553:L554</xm:sqref>
        </x14:conditionalFormatting>
        <x14:conditionalFormatting xmlns:xm="http://schemas.microsoft.com/office/excel/2006/main">
          <x14:cfRule type="containsText" priority="1408" operator="containsText" text="GOOD" id="{4393EB39-A3D2-4733-9581-0B897CE0656A}">
            <xm:f>NOT(ISERROR(SEARCH("GOOD",SUMMARY!L578)))</xm:f>
            <x14:dxf>
              <font>
                <b/>
                <i/>
                <color theme="0"/>
              </font>
              <fill>
                <patternFill>
                  <bgColor rgb="FF00B050"/>
                </patternFill>
              </fill>
            </x14:dxf>
          </x14:cfRule>
          <xm:sqref>L553:L554</xm:sqref>
        </x14:conditionalFormatting>
        <x14:conditionalFormatting xmlns:xm="http://schemas.microsoft.com/office/excel/2006/main">
          <x14:cfRule type="containsText" priority="1409" operator="containsText" text="FAIL" id="{810FD70B-8CD6-48B0-92F9-2F9708D5865D}">
            <xm:f>NOT(ISERROR(SEARCH("FAIL",SUMMARY!L582)))</xm:f>
            <x14:dxf>
              <font>
                <b/>
                <i/>
                <color theme="0"/>
              </font>
              <fill>
                <patternFill>
                  <bgColor rgb="FFFF0000"/>
                </patternFill>
              </fill>
            </x14:dxf>
          </x14:cfRule>
          <xm:sqref>L555:L556</xm:sqref>
        </x14:conditionalFormatting>
        <x14:conditionalFormatting xmlns:xm="http://schemas.microsoft.com/office/excel/2006/main">
          <x14:cfRule type="containsText" priority="1410" operator="containsText" text="GOOD" id="{0DCE96D1-3B8D-47D0-AB3F-31295FA67486}">
            <xm:f>NOT(ISERROR(SEARCH("GOOD",SUMMARY!L582)))</xm:f>
            <x14:dxf>
              <font>
                <b/>
                <i/>
                <color theme="0"/>
              </font>
              <fill>
                <patternFill>
                  <bgColor rgb="FF00B050"/>
                </patternFill>
              </fill>
            </x14:dxf>
          </x14:cfRule>
          <xm:sqref>L555:L556</xm:sqref>
        </x14:conditionalFormatting>
        <x14:conditionalFormatting xmlns:xm="http://schemas.microsoft.com/office/excel/2006/main">
          <x14:cfRule type="containsText" priority="1411" operator="containsText" text="FAIL" id="{E9D5F0F4-D577-4043-9904-65692F0BA7AB}">
            <xm:f>NOT(ISERROR(SEARCH("FAIL",SUMMARY!L615)))</xm:f>
            <x14:dxf>
              <font>
                <b/>
                <i/>
                <color theme="0"/>
              </font>
              <fill>
                <patternFill>
                  <bgColor rgb="FFFF0000"/>
                </patternFill>
              </fill>
            </x14:dxf>
          </x14:cfRule>
          <xm:sqref>L578</xm:sqref>
        </x14:conditionalFormatting>
        <x14:conditionalFormatting xmlns:xm="http://schemas.microsoft.com/office/excel/2006/main">
          <x14:cfRule type="containsText" priority="1412" operator="containsText" text="GOOD" id="{8D38E99D-BACE-4C9D-8DE3-799B060599FE}">
            <xm:f>NOT(ISERROR(SEARCH("GOOD",SUMMARY!L615)))</xm:f>
            <x14:dxf>
              <font>
                <b/>
                <i/>
                <color theme="0"/>
              </font>
              <fill>
                <patternFill>
                  <bgColor rgb="FF00B050"/>
                </patternFill>
              </fill>
            </x14:dxf>
          </x14:cfRule>
          <xm:sqref>L578</xm:sqref>
        </x14:conditionalFormatting>
        <x14:conditionalFormatting xmlns:xm="http://schemas.microsoft.com/office/excel/2006/main">
          <x14:cfRule type="containsText" priority="1413" operator="containsText" text="FAIL" id="{CA356AE5-8C1B-4845-A1ED-44C8EA8F9306}">
            <xm:f>NOT(ISERROR(SEARCH("FAIL",SUMMARY!L618)))</xm:f>
            <x14:dxf>
              <font>
                <b/>
                <i/>
                <color theme="0"/>
              </font>
              <fill>
                <patternFill>
                  <bgColor rgb="FFFF0000"/>
                </patternFill>
              </fill>
            </x14:dxf>
          </x14:cfRule>
          <xm:sqref>L579</xm:sqref>
        </x14:conditionalFormatting>
        <x14:conditionalFormatting xmlns:xm="http://schemas.microsoft.com/office/excel/2006/main">
          <x14:cfRule type="containsText" priority="1414" operator="containsText" text="GOOD" id="{1AAC8D36-1563-486B-98ED-391D20C3EDBE}">
            <xm:f>NOT(ISERROR(SEARCH("GOOD",SUMMARY!L618)))</xm:f>
            <x14:dxf>
              <font>
                <b/>
                <i/>
                <color theme="0"/>
              </font>
              <fill>
                <patternFill>
                  <bgColor rgb="FF00B050"/>
                </patternFill>
              </fill>
            </x14:dxf>
          </x14:cfRule>
          <xm:sqref>L579</xm:sqref>
        </x14:conditionalFormatting>
        <x14:conditionalFormatting xmlns:xm="http://schemas.microsoft.com/office/excel/2006/main">
          <x14:cfRule type="containsText" priority="1415" operator="containsText" text="FAIL" id="{93B90F90-1530-4815-88DD-7B0744E687F8}">
            <xm:f>NOT(ISERROR(SEARCH("FAIL",SUMMARY!L621)))</xm:f>
            <x14:dxf>
              <font>
                <b/>
                <i/>
                <color theme="0"/>
              </font>
              <fill>
                <patternFill>
                  <bgColor rgb="FFFF0000"/>
                </patternFill>
              </fill>
            </x14:dxf>
          </x14:cfRule>
          <xm:sqref>L580</xm:sqref>
        </x14:conditionalFormatting>
        <x14:conditionalFormatting xmlns:xm="http://schemas.microsoft.com/office/excel/2006/main">
          <x14:cfRule type="containsText" priority="1416" operator="containsText" text="GOOD" id="{4786354A-4D24-4756-BE71-665DA4FDD8E6}">
            <xm:f>NOT(ISERROR(SEARCH("GOOD",SUMMARY!L621)))</xm:f>
            <x14:dxf>
              <font>
                <b/>
                <i/>
                <color theme="0"/>
              </font>
              <fill>
                <patternFill>
                  <bgColor rgb="FF00B050"/>
                </patternFill>
              </fill>
            </x14:dxf>
          </x14:cfRule>
          <xm:sqref>L580</xm:sqref>
        </x14:conditionalFormatting>
        <x14:conditionalFormatting xmlns:xm="http://schemas.microsoft.com/office/excel/2006/main">
          <x14:cfRule type="containsText" priority="1417" operator="containsText" text="FAIL" id="{19E48A8D-2C6B-4424-ACE9-C8C4A5558EA9}">
            <xm:f>NOT(ISERROR(SEARCH("FAIL",SUMMARY!L628)))</xm:f>
            <x14:dxf>
              <font>
                <b/>
                <i/>
                <color theme="0"/>
              </font>
              <fill>
                <patternFill>
                  <bgColor rgb="FFFF0000"/>
                </patternFill>
              </fill>
            </x14:dxf>
          </x14:cfRule>
          <xm:sqref>L581</xm:sqref>
        </x14:conditionalFormatting>
        <x14:conditionalFormatting xmlns:xm="http://schemas.microsoft.com/office/excel/2006/main">
          <x14:cfRule type="containsText" priority="1418" operator="containsText" text="GOOD" id="{F38C59D8-8BAB-47CA-A1C9-A51C26CA6BB9}">
            <xm:f>NOT(ISERROR(SEARCH("GOOD",SUMMARY!L628)))</xm:f>
            <x14:dxf>
              <font>
                <b/>
                <i/>
                <color theme="0"/>
              </font>
              <fill>
                <patternFill>
                  <bgColor rgb="FF00B050"/>
                </patternFill>
              </fill>
            </x14:dxf>
          </x14:cfRule>
          <xm:sqref>L581</xm:sqref>
        </x14:conditionalFormatting>
        <x14:conditionalFormatting xmlns:xm="http://schemas.microsoft.com/office/excel/2006/main">
          <x14:cfRule type="containsText" priority="1419" operator="containsText" text="FAIL" id="{9B14A6EA-4DC7-4D52-BF90-D75C3807E2C9}">
            <xm:f>NOT(ISERROR(SEARCH("FAIL",SUMMARY!L630)))</xm:f>
            <x14:dxf>
              <font>
                <b/>
                <i/>
                <color theme="0"/>
              </font>
              <fill>
                <patternFill>
                  <bgColor rgb="FFFF0000"/>
                </patternFill>
              </fill>
            </x14:dxf>
          </x14:cfRule>
          <xm:sqref>L582</xm:sqref>
        </x14:conditionalFormatting>
        <x14:conditionalFormatting xmlns:xm="http://schemas.microsoft.com/office/excel/2006/main">
          <x14:cfRule type="containsText" priority="1420" operator="containsText" text="GOOD" id="{C5CDD42A-B63E-4F85-A25A-5A1304A13072}">
            <xm:f>NOT(ISERROR(SEARCH("GOOD",SUMMARY!L630)))</xm:f>
            <x14:dxf>
              <font>
                <b/>
                <i/>
                <color theme="0"/>
              </font>
              <fill>
                <patternFill>
                  <bgColor rgb="FF00B050"/>
                </patternFill>
              </fill>
            </x14:dxf>
          </x14:cfRule>
          <xm:sqref>L582</xm:sqref>
        </x14:conditionalFormatting>
        <x14:conditionalFormatting xmlns:xm="http://schemas.microsoft.com/office/excel/2006/main">
          <x14:cfRule type="containsText" priority="1421" operator="containsText" text="FAIL" id="{0BFF8389-29A4-453C-A09E-201BE725AB03}">
            <xm:f>NOT(ISERROR(SEARCH("FAIL",SUMMARY!L635)))</xm:f>
            <x14:dxf>
              <font>
                <b/>
                <i/>
                <color theme="0"/>
              </font>
              <fill>
                <patternFill>
                  <bgColor rgb="FFFF0000"/>
                </patternFill>
              </fill>
            </x14:dxf>
          </x14:cfRule>
          <xm:sqref>L583</xm:sqref>
        </x14:conditionalFormatting>
        <x14:conditionalFormatting xmlns:xm="http://schemas.microsoft.com/office/excel/2006/main">
          <x14:cfRule type="containsText" priority="1422" operator="containsText" text="GOOD" id="{A296CD36-4349-446C-83B8-3F3B5CDC43A8}">
            <xm:f>NOT(ISERROR(SEARCH("GOOD",SUMMARY!L635)))</xm:f>
            <x14:dxf>
              <font>
                <b/>
                <i/>
                <color theme="0"/>
              </font>
              <fill>
                <patternFill>
                  <bgColor rgb="FF00B050"/>
                </patternFill>
              </fill>
            </x14:dxf>
          </x14:cfRule>
          <xm:sqref>L583</xm:sqref>
        </x14:conditionalFormatting>
        <x14:conditionalFormatting xmlns:xm="http://schemas.microsoft.com/office/excel/2006/main">
          <x14:cfRule type="containsText" priority="1423" operator="containsText" text="FAIL" id="{38B1C5D7-C458-4ADC-B17E-743B9939CD91}">
            <xm:f>NOT(ISERROR(SEARCH("FAIL",SUMMARY!L681)))</xm:f>
            <x14:dxf>
              <font>
                <b/>
                <i/>
                <color theme="0"/>
              </font>
              <fill>
                <patternFill>
                  <bgColor rgb="FFFF0000"/>
                </patternFill>
              </fill>
            </x14:dxf>
          </x14:cfRule>
          <xm:sqref>L605</xm:sqref>
        </x14:conditionalFormatting>
        <x14:conditionalFormatting xmlns:xm="http://schemas.microsoft.com/office/excel/2006/main">
          <x14:cfRule type="containsText" priority="1424" operator="containsText" text="GOOD" id="{BE0F6538-92C7-4ECD-BBAE-5031895B02CF}">
            <xm:f>NOT(ISERROR(SEARCH("GOOD",SUMMARY!L681)))</xm:f>
            <x14:dxf>
              <font>
                <b/>
                <i/>
                <color theme="0"/>
              </font>
              <fill>
                <patternFill>
                  <bgColor rgb="FF00B050"/>
                </patternFill>
              </fill>
            </x14:dxf>
          </x14:cfRule>
          <xm:sqref>L605</xm:sqref>
        </x14:conditionalFormatting>
        <x14:conditionalFormatting xmlns:xm="http://schemas.microsoft.com/office/excel/2006/main">
          <x14:cfRule type="containsText" priority="1425" operator="containsText" text="FAIL" id="{4CD385EF-6BD0-4CA9-A63F-F6B926B8A427}">
            <xm:f>NOT(ISERROR(SEARCH("FAIL",SUMMARY!L686)))</xm:f>
            <x14:dxf>
              <font>
                <b/>
                <i/>
                <color theme="0"/>
              </font>
              <fill>
                <patternFill>
                  <bgColor rgb="FFFF0000"/>
                </patternFill>
              </fill>
            </x14:dxf>
          </x14:cfRule>
          <xm:sqref>L606</xm:sqref>
        </x14:conditionalFormatting>
        <x14:conditionalFormatting xmlns:xm="http://schemas.microsoft.com/office/excel/2006/main">
          <x14:cfRule type="containsText" priority="1426" operator="containsText" text="GOOD" id="{8EBAF1D3-A114-4967-8A27-BB6015F39547}">
            <xm:f>NOT(ISERROR(SEARCH("GOOD",SUMMARY!L686)))</xm:f>
            <x14:dxf>
              <font>
                <b/>
                <i/>
                <color theme="0"/>
              </font>
              <fill>
                <patternFill>
                  <bgColor rgb="FF00B050"/>
                </patternFill>
              </fill>
            </x14:dxf>
          </x14:cfRule>
          <xm:sqref>L606</xm:sqref>
        </x14:conditionalFormatting>
        <x14:conditionalFormatting xmlns:xm="http://schemas.microsoft.com/office/excel/2006/main">
          <x14:cfRule type="containsText" priority="1427" operator="containsText" text="FAIL" id="{5C5ACD90-EFB1-4428-9E1C-F1C3108A5637}">
            <xm:f>NOT(ISERROR(SEARCH("FAIL",SUMMARY!L482)))</xm:f>
            <x14:dxf>
              <font>
                <b/>
                <i/>
                <color theme="0"/>
              </font>
              <fill>
                <patternFill>
                  <bgColor rgb="FFFF0000"/>
                </patternFill>
              </fill>
            </x14:dxf>
          </x14:cfRule>
          <xm:sqref>L407</xm:sqref>
        </x14:conditionalFormatting>
        <x14:conditionalFormatting xmlns:xm="http://schemas.microsoft.com/office/excel/2006/main">
          <x14:cfRule type="containsText" priority="1428" operator="containsText" text="GOOD" id="{B2C0BDE7-BA48-4DAA-A738-77B268166428}">
            <xm:f>NOT(ISERROR(SEARCH("GOOD",SUMMARY!L482)))</xm:f>
            <x14:dxf>
              <font>
                <b/>
                <i/>
                <color theme="0"/>
              </font>
              <fill>
                <patternFill>
                  <bgColor rgb="FF00B050"/>
                </patternFill>
              </fill>
            </x14:dxf>
          </x14:cfRule>
          <xm:sqref>L407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0C0"/>
  </sheetPr>
  <dimension ref="C2:Q28"/>
  <sheetViews>
    <sheetView workbookViewId="0">
      <selection activeCell="H14" sqref="H14"/>
    </sheetView>
  </sheetViews>
  <sheetFormatPr defaultRowHeight="15" x14ac:dyDescent="0.25"/>
  <cols>
    <col min="2" max="2" width="2.85546875" customWidth="1"/>
    <col min="3" max="3" width="13.42578125" customWidth="1"/>
    <col min="4" max="4" width="51.5703125" customWidth="1"/>
    <col min="6" max="7" width="13.7109375" customWidth="1"/>
    <col min="8" max="8" width="9.5703125" customWidth="1"/>
    <col min="9" max="9" width="7" customWidth="1"/>
    <col min="10" max="10" width="6.42578125" customWidth="1"/>
    <col min="11" max="11" width="5.7109375" style="11" customWidth="1"/>
    <col min="13" max="13" width="44.7109375" customWidth="1"/>
  </cols>
  <sheetData>
    <row r="2" spans="3:17" ht="27.75" customHeight="1" x14ac:dyDescent="0.25">
      <c r="D2" s="15"/>
      <c r="E2" s="15" t="s">
        <v>32</v>
      </c>
      <c r="G2" s="15"/>
      <c r="I2" s="15" t="s">
        <v>33</v>
      </c>
    </row>
    <row r="3" spans="3:17" ht="18.75" x14ac:dyDescent="0.3">
      <c r="C3" s="3" t="s">
        <v>229</v>
      </c>
      <c r="H3" s="2"/>
      <c r="I3" s="23"/>
    </row>
    <row r="5" spans="3:17" x14ac:dyDescent="0.25">
      <c r="C5" s="28"/>
      <c r="D5" s="28"/>
      <c r="E5" s="28"/>
      <c r="F5" s="29"/>
      <c r="G5" s="29"/>
      <c r="H5" s="29"/>
      <c r="I5" s="28"/>
      <c r="J5" s="29"/>
      <c r="K5" s="34"/>
      <c r="L5" s="28"/>
      <c r="M5" s="28"/>
      <c r="N5" s="9"/>
      <c r="O5" s="9"/>
      <c r="P5" s="9"/>
      <c r="Q5" s="9"/>
    </row>
    <row r="6" spans="3:17" ht="7.5" customHeight="1" x14ac:dyDescent="0.25"/>
    <row r="7" spans="3:17" x14ac:dyDescent="0.25">
      <c r="C7" s="15"/>
      <c r="D7" s="24"/>
      <c r="E7" s="25"/>
      <c r="F7" s="27"/>
      <c r="G7" s="27"/>
      <c r="H7" s="26"/>
      <c r="I7" s="11"/>
      <c r="J7" s="15"/>
      <c r="K7" s="35"/>
      <c r="L7" s="15"/>
      <c r="M7" s="24"/>
      <c r="N7" s="15"/>
      <c r="O7" s="15"/>
      <c r="P7" s="15"/>
      <c r="Q7" s="15"/>
    </row>
    <row r="8" spans="3:17" x14ac:dyDescent="0.25">
      <c r="C8" s="15"/>
      <c r="D8" s="24"/>
      <c r="E8" s="25"/>
      <c r="F8" s="27"/>
      <c r="G8" s="27"/>
      <c r="H8" s="26"/>
      <c r="I8" s="11"/>
      <c r="J8" s="15"/>
      <c r="K8" s="35"/>
      <c r="L8" s="15"/>
      <c r="M8" s="24"/>
      <c r="N8" s="15"/>
      <c r="O8" s="15"/>
      <c r="P8" s="15"/>
      <c r="Q8" s="15"/>
    </row>
    <row r="9" spans="3:17" x14ac:dyDescent="0.25">
      <c r="C9" s="15"/>
      <c r="D9" s="24"/>
      <c r="E9" s="25"/>
      <c r="F9" s="27"/>
      <c r="G9" s="27"/>
      <c r="H9" s="26"/>
      <c r="I9" s="11"/>
      <c r="J9" s="15"/>
      <c r="K9" s="35"/>
      <c r="L9" s="15"/>
      <c r="M9" s="24"/>
      <c r="N9" s="15"/>
      <c r="O9" s="15"/>
      <c r="P9" s="15"/>
      <c r="Q9" s="15"/>
    </row>
    <row r="10" spans="3:17" x14ac:dyDescent="0.25">
      <c r="C10" s="15"/>
      <c r="D10" s="24"/>
      <c r="E10" s="25"/>
      <c r="F10" s="27"/>
      <c r="G10" s="27"/>
      <c r="H10" s="26"/>
      <c r="I10" s="11"/>
      <c r="J10" s="15"/>
      <c r="K10" s="35"/>
      <c r="L10" s="15"/>
      <c r="M10" s="24"/>
      <c r="N10" s="15"/>
      <c r="O10" s="15"/>
      <c r="P10" s="15"/>
      <c r="Q10" s="15"/>
    </row>
    <row r="11" spans="3:17" x14ac:dyDescent="0.25">
      <c r="C11" s="15"/>
      <c r="D11" s="24"/>
      <c r="E11" s="25"/>
      <c r="F11" s="27"/>
      <c r="G11" s="27"/>
      <c r="H11" s="26"/>
      <c r="I11" s="11"/>
      <c r="J11" s="15"/>
      <c r="K11" s="35"/>
      <c r="L11" s="15"/>
      <c r="M11" s="11"/>
      <c r="N11" s="15"/>
      <c r="O11" s="15"/>
      <c r="P11" s="15"/>
      <c r="Q11" s="15"/>
    </row>
    <row r="12" spans="3:17" x14ac:dyDescent="0.25">
      <c r="C12" s="15"/>
      <c r="D12" s="24"/>
      <c r="E12" s="25"/>
      <c r="F12" s="27"/>
      <c r="G12" s="27"/>
      <c r="H12" s="26"/>
      <c r="I12" s="11"/>
      <c r="J12" s="15"/>
      <c r="K12" s="35"/>
      <c r="L12" s="15"/>
      <c r="M12" s="24"/>
      <c r="N12" s="15"/>
      <c r="O12" s="15"/>
      <c r="P12" s="15"/>
      <c r="Q12" s="15"/>
    </row>
    <row r="13" spans="3:17" x14ac:dyDescent="0.25">
      <c r="C13" s="15"/>
      <c r="D13" s="24"/>
      <c r="E13" s="25"/>
      <c r="F13" s="27"/>
      <c r="G13" s="27"/>
      <c r="H13" s="26"/>
      <c r="I13" s="11"/>
      <c r="J13" s="15"/>
      <c r="K13" s="35"/>
      <c r="L13" s="15"/>
      <c r="M13" s="24"/>
      <c r="N13" s="15"/>
      <c r="O13" s="15"/>
      <c r="P13" s="15"/>
      <c r="Q13" s="15"/>
    </row>
    <row r="14" spans="3:17" x14ac:dyDescent="0.25">
      <c r="C14" s="15"/>
      <c r="D14" s="24"/>
      <c r="E14" s="25"/>
      <c r="F14" s="27"/>
      <c r="G14" s="27"/>
      <c r="H14" s="26"/>
      <c r="I14" s="11"/>
      <c r="J14" s="15"/>
      <c r="K14" s="35"/>
      <c r="L14" s="15"/>
      <c r="M14" s="24"/>
      <c r="N14" s="15"/>
      <c r="O14" s="15"/>
      <c r="P14" s="15"/>
      <c r="Q14" s="15"/>
    </row>
    <row r="15" spans="3:17" x14ac:dyDescent="0.25">
      <c r="C15" s="15"/>
      <c r="D15" s="24"/>
      <c r="E15" s="25"/>
      <c r="F15" s="27"/>
      <c r="G15" s="27"/>
      <c r="H15" s="26"/>
      <c r="I15" s="11"/>
      <c r="J15" s="15"/>
      <c r="K15" s="35"/>
      <c r="L15" s="15"/>
      <c r="M15" s="24"/>
      <c r="N15" s="15"/>
      <c r="O15" s="15"/>
      <c r="P15" s="15"/>
      <c r="Q15" s="15"/>
    </row>
    <row r="16" spans="3:17" x14ac:dyDescent="0.25">
      <c r="C16" s="15"/>
      <c r="D16" s="24"/>
      <c r="E16" s="25"/>
      <c r="F16" s="27"/>
      <c r="G16" s="27"/>
      <c r="H16" s="26"/>
      <c r="I16" s="11"/>
      <c r="J16" s="15"/>
      <c r="K16" s="35"/>
      <c r="L16" s="15"/>
      <c r="M16" s="24"/>
      <c r="N16" s="15"/>
      <c r="O16" s="15"/>
      <c r="P16" s="15"/>
      <c r="Q16" s="15"/>
    </row>
    <row r="17" spans="3:17" x14ac:dyDescent="0.25">
      <c r="C17" s="15"/>
      <c r="D17" s="24"/>
      <c r="E17" s="25"/>
      <c r="F17" s="27"/>
      <c r="G17" s="27"/>
      <c r="H17" s="26"/>
      <c r="I17" s="11"/>
      <c r="J17" s="15"/>
      <c r="K17" s="35"/>
      <c r="L17" s="15"/>
      <c r="M17" s="24"/>
      <c r="N17" s="15"/>
      <c r="O17" s="15"/>
      <c r="P17" s="15"/>
      <c r="Q17" s="15"/>
    </row>
    <row r="18" spans="3:17" x14ac:dyDescent="0.25">
      <c r="C18" s="15"/>
      <c r="D18" s="24"/>
      <c r="E18" s="25"/>
      <c r="F18" s="27"/>
      <c r="G18" s="27"/>
      <c r="H18" s="26"/>
      <c r="I18" s="11"/>
      <c r="J18" s="15"/>
      <c r="K18" s="35"/>
      <c r="L18" s="15"/>
      <c r="M18" s="24"/>
      <c r="N18" s="15"/>
      <c r="O18" s="15"/>
      <c r="P18" s="15"/>
      <c r="Q18" s="15"/>
    </row>
    <row r="19" spans="3:17" x14ac:dyDescent="0.25">
      <c r="C19" s="15"/>
      <c r="D19" s="24"/>
      <c r="E19" s="25"/>
      <c r="F19" s="27"/>
      <c r="G19" s="27"/>
      <c r="H19" s="26"/>
      <c r="I19" s="11"/>
      <c r="J19" s="15"/>
      <c r="K19" s="35"/>
      <c r="L19" s="15"/>
      <c r="M19" s="24"/>
      <c r="N19" s="15"/>
      <c r="O19" s="15"/>
      <c r="P19" s="15"/>
      <c r="Q19" s="15"/>
    </row>
    <row r="20" spans="3:17" x14ac:dyDescent="0.25">
      <c r="C20" s="15"/>
      <c r="D20" s="24"/>
      <c r="E20" s="25"/>
      <c r="F20" s="27"/>
      <c r="G20" s="27"/>
      <c r="H20" s="26"/>
      <c r="I20" s="11"/>
      <c r="J20" s="15"/>
      <c r="K20" s="35"/>
      <c r="L20" s="15"/>
      <c r="M20" s="24"/>
      <c r="N20" s="15"/>
      <c r="O20" s="15"/>
      <c r="P20" s="15"/>
      <c r="Q20" s="15"/>
    </row>
    <row r="21" spans="3:17" x14ac:dyDescent="0.25">
      <c r="C21" s="15"/>
      <c r="D21" s="24"/>
      <c r="E21" s="25"/>
      <c r="F21" s="27"/>
      <c r="G21" s="27"/>
      <c r="H21" s="26"/>
      <c r="I21" s="11"/>
      <c r="J21" s="15"/>
      <c r="K21" s="35"/>
      <c r="L21" s="15"/>
      <c r="M21" s="24"/>
      <c r="N21" s="15"/>
      <c r="O21" s="15"/>
      <c r="P21" s="15"/>
      <c r="Q21" s="15"/>
    </row>
    <row r="22" spans="3:17" x14ac:dyDescent="0.25">
      <c r="C22" s="15"/>
      <c r="D22" s="24"/>
      <c r="E22" s="25"/>
      <c r="F22" s="27"/>
      <c r="G22" s="27"/>
      <c r="H22" s="26"/>
      <c r="I22" s="11"/>
      <c r="J22" s="15"/>
      <c r="K22" s="35"/>
      <c r="L22" s="15"/>
      <c r="M22" s="24"/>
      <c r="N22" s="15"/>
      <c r="O22" s="15"/>
      <c r="P22" s="15"/>
      <c r="Q22" s="15"/>
    </row>
    <row r="23" spans="3:17" x14ac:dyDescent="0.25">
      <c r="C23" s="15"/>
      <c r="D23" s="24"/>
      <c r="E23" s="25"/>
      <c r="F23" s="27"/>
      <c r="G23" s="27"/>
      <c r="H23" s="26"/>
      <c r="I23" s="11"/>
      <c r="J23" s="15"/>
      <c r="K23" s="35"/>
      <c r="L23" s="15"/>
      <c r="M23" s="24"/>
      <c r="N23" s="15"/>
      <c r="O23" s="15"/>
      <c r="P23" s="15"/>
      <c r="Q23" s="15"/>
    </row>
    <row r="24" spans="3:17" x14ac:dyDescent="0.25">
      <c r="C24" s="15"/>
      <c r="D24" s="24"/>
      <c r="E24" s="25"/>
      <c r="F24" s="27"/>
      <c r="G24" s="27"/>
      <c r="H24" s="26"/>
      <c r="I24" s="11"/>
      <c r="J24" s="15"/>
      <c r="K24" s="35"/>
      <c r="L24" s="15"/>
      <c r="M24" s="15"/>
      <c r="N24" s="15"/>
      <c r="O24" s="15"/>
      <c r="P24" s="15"/>
      <c r="Q24" s="15"/>
    </row>
    <row r="25" spans="3:17" x14ac:dyDescent="0.25">
      <c r="C25" s="15"/>
      <c r="D25" s="24"/>
      <c r="E25" s="25"/>
      <c r="F25" s="27"/>
      <c r="G25" s="27"/>
      <c r="H25" s="26"/>
      <c r="I25" s="11"/>
      <c r="J25" s="15"/>
      <c r="K25" s="35"/>
      <c r="L25" s="15"/>
      <c r="M25" s="15"/>
      <c r="N25" s="15"/>
      <c r="O25" s="15"/>
      <c r="P25" s="15"/>
      <c r="Q25" s="15"/>
    </row>
    <row r="26" spans="3:17" x14ac:dyDescent="0.25">
      <c r="C26" s="15"/>
      <c r="D26" s="24"/>
      <c r="E26" s="25"/>
      <c r="F26" s="27"/>
      <c r="G26" s="27"/>
      <c r="H26" s="26"/>
      <c r="I26" s="11"/>
      <c r="J26" s="15"/>
      <c r="K26" s="35"/>
      <c r="L26" s="15"/>
      <c r="M26" s="15"/>
      <c r="N26" s="15"/>
      <c r="O26" s="15"/>
      <c r="P26" s="15"/>
      <c r="Q26" s="15"/>
    </row>
    <row r="27" spans="3:17" x14ac:dyDescent="0.25">
      <c r="C27" s="15"/>
      <c r="D27" s="24"/>
      <c r="E27" s="25"/>
      <c r="F27" s="27"/>
      <c r="G27" s="27"/>
      <c r="H27" s="26"/>
      <c r="I27" s="11"/>
    </row>
    <row r="28" spans="3:17" x14ac:dyDescent="0.25">
      <c r="C28" s="15"/>
      <c r="D28" s="24"/>
      <c r="E28" s="25"/>
      <c r="F28" s="27"/>
      <c r="G28" s="27"/>
      <c r="H28" s="26"/>
      <c r="I28" s="11"/>
    </row>
  </sheetData>
  <conditionalFormatting sqref="M11 I7:I28">
    <cfRule type="containsText" dxfId="7545" priority="2" operator="containsText" text="FAIL">
      <formula>NOT(ISERROR(SEARCH("FAIL",I7)))</formula>
    </cfRule>
  </conditionalFormatting>
  <conditionalFormatting sqref="M11 I7:I28">
    <cfRule type="containsText" dxfId="7544" priority="1" operator="containsText" text="GOOD">
      <formula>NOT(ISERROR(SEARCH("GOOD",I7)))</formula>
    </cfRule>
  </conditionalFormatting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MSPhotoEd.3" shapeId="4097" r:id="rId3">
          <objectPr defaultSize="0" autoPict="0" r:id="rId4">
            <anchor moveWithCells="1">
              <from>
                <xdr:col>2</xdr:col>
                <xdr:colOff>66675</xdr:colOff>
                <xdr:row>0</xdr:row>
                <xdr:rowOff>142875</xdr:rowOff>
              </from>
              <to>
                <xdr:col>3</xdr:col>
                <xdr:colOff>1809750</xdr:colOff>
                <xdr:row>2</xdr:row>
                <xdr:rowOff>0</xdr:rowOff>
              </to>
            </anchor>
          </objectPr>
        </oleObject>
      </mc:Choice>
      <mc:Fallback>
        <oleObject progId="MSPhotoEd.3" shapeId="4097" r:id="rId3"/>
      </mc:Fallback>
    </mc:AlternateContent>
  </oleObjects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sheetPr codeName="Sheet69"/>
  <dimension ref="A2:O56"/>
  <sheetViews>
    <sheetView zoomScaleNormal="100" workbookViewId="0">
      <selection activeCell="L31" sqref="L31"/>
    </sheetView>
  </sheetViews>
  <sheetFormatPr defaultRowHeight="15" x14ac:dyDescent="0.25"/>
  <cols>
    <col min="1" max="2" width="4.42578125" customWidth="1"/>
    <col min="3" max="3" width="3" customWidth="1"/>
    <col min="4" max="4" width="24.7109375" customWidth="1"/>
    <col min="5" max="5" width="3" customWidth="1"/>
    <col min="6" max="6" width="15.7109375" customWidth="1"/>
    <col min="7" max="7" width="8.5703125" customWidth="1"/>
    <col min="8" max="8" width="5.85546875" customWidth="1"/>
    <col min="9" max="15" width="15.7109375" customWidth="1"/>
  </cols>
  <sheetData>
    <row r="2" spans="1:11" x14ac:dyDescent="0.25">
      <c r="C2" s="15" t="s">
        <v>32</v>
      </c>
      <c r="E2" s="15"/>
      <c r="F2" s="15"/>
      <c r="G2" s="15" t="s">
        <v>33</v>
      </c>
      <c r="H2" s="15"/>
      <c r="I2" s="15"/>
      <c r="J2" s="15"/>
      <c r="K2" s="15"/>
    </row>
    <row r="3" spans="1:11" ht="18.75" x14ac:dyDescent="0.3">
      <c r="C3" s="3" t="s">
        <v>26</v>
      </c>
      <c r="J3" s="8" t="s">
        <v>47</v>
      </c>
    </row>
    <row r="4" spans="1:11" x14ac:dyDescent="0.25">
      <c r="D4" s="2" t="s">
        <v>0</v>
      </c>
      <c r="E4" s="1"/>
      <c r="F4" t="s">
        <v>914</v>
      </c>
      <c r="I4" s="2" t="s">
        <v>4</v>
      </c>
      <c r="J4" t="s">
        <v>784</v>
      </c>
    </row>
    <row r="5" spans="1:11" x14ac:dyDescent="0.25">
      <c r="D5" s="2" t="s">
        <v>1</v>
      </c>
      <c r="F5" t="s">
        <v>933</v>
      </c>
    </row>
    <row r="6" spans="1:11" x14ac:dyDescent="0.25">
      <c r="D6" s="2" t="s">
        <v>2</v>
      </c>
      <c r="F6" s="6">
        <v>42787</v>
      </c>
      <c r="H6" s="11"/>
    </row>
    <row r="7" spans="1:11" x14ac:dyDescent="0.25">
      <c r="D7" s="2" t="s">
        <v>3</v>
      </c>
      <c r="F7" s="5">
        <f>+I7+J7</f>
        <v>10393000</v>
      </c>
      <c r="G7" s="2" t="s">
        <v>190</v>
      </c>
      <c r="H7" s="11"/>
      <c r="I7" s="19">
        <v>2915168</v>
      </c>
      <c r="J7" s="19">
        <v>7477832</v>
      </c>
    </row>
    <row r="8" spans="1:11" x14ac:dyDescent="0.25">
      <c r="D8" s="2" t="s">
        <v>18</v>
      </c>
      <c r="F8" s="5">
        <f>MIN(K23:K43)</f>
        <v>7903950</v>
      </c>
      <c r="H8" s="11"/>
      <c r="I8" s="18" t="s">
        <v>43</v>
      </c>
      <c r="J8" s="18" t="s">
        <v>44</v>
      </c>
    </row>
    <row r="9" spans="1:11" x14ac:dyDescent="0.25">
      <c r="D9" s="2" t="s">
        <v>19</v>
      </c>
      <c r="F9" s="4">
        <f>+F8-F7</f>
        <v>-2489050</v>
      </c>
      <c r="G9" s="16">
        <f>+F9/F7</f>
        <v>-0.2394929279322621</v>
      </c>
      <c r="H9" s="12" t="s">
        <v>20</v>
      </c>
      <c r="I9" s="11" t="str">
        <f>(IF(G9&lt;-0.1,"FAIL",IF(G9&gt;0.05,"FAIL","GOOD")))</f>
        <v>FAIL</v>
      </c>
      <c r="J9" s="14" t="s">
        <v>72</v>
      </c>
    </row>
    <row r="10" spans="1:11" x14ac:dyDescent="0.25">
      <c r="D10" s="2" t="s">
        <v>68</v>
      </c>
      <c r="F10" s="4">
        <f>+F7-F12</f>
        <v>1478350</v>
      </c>
      <c r="H10" s="11"/>
    </row>
    <row r="11" spans="1:11" x14ac:dyDescent="0.25">
      <c r="A11" s="30"/>
      <c r="D11" s="2" t="s">
        <v>71</v>
      </c>
      <c r="F11" s="11" t="str">
        <f>(IF(F7&lt;J12,"FAIL",IF(F7&gt;J13,"FAIL","GOOD")))</f>
        <v>FAIL</v>
      </c>
      <c r="H11" s="11"/>
    </row>
    <row r="12" spans="1:11" x14ac:dyDescent="0.25">
      <c r="D12" s="2" t="s">
        <v>28</v>
      </c>
      <c r="F12" s="4">
        <f>SUM(K23:K43)/H12</f>
        <v>8914650</v>
      </c>
      <c r="G12" s="14"/>
      <c r="H12" s="11">
        <f>COUNT(K23:K43)</f>
        <v>3</v>
      </c>
      <c r="I12" s="1" t="s">
        <v>31</v>
      </c>
      <c r="J12" s="4">
        <f>+F8*0.9</f>
        <v>7113555</v>
      </c>
      <c r="K12" s="1" t="s">
        <v>69</v>
      </c>
    </row>
    <row r="13" spans="1:11" x14ac:dyDescent="0.25">
      <c r="D13" s="2" t="s">
        <v>29</v>
      </c>
      <c r="F13" s="4">
        <f>MAX(K23:K43)-MIN(K23:K43)</f>
        <v>1760050</v>
      </c>
      <c r="G13" s="399">
        <f>MEDIAN(K23:K43)</f>
        <v>9176000</v>
      </c>
      <c r="H13" s="400"/>
      <c r="I13" s="1" t="s">
        <v>30</v>
      </c>
      <c r="J13" s="4">
        <f>+F12*1.1</f>
        <v>9806115</v>
      </c>
      <c r="K13" s="1" t="s">
        <v>70</v>
      </c>
    </row>
    <row r="14" spans="1:11" x14ac:dyDescent="0.25">
      <c r="H14" s="11"/>
    </row>
    <row r="15" spans="1:11" hidden="1" x14ac:dyDescent="0.25">
      <c r="D15" s="2" t="s">
        <v>8</v>
      </c>
      <c r="F15" s="4">
        <v>30000000</v>
      </c>
      <c r="G15" s="1" t="s">
        <v>9</v>
      </c>
      <c r="H15" s="11"/>
      <c r="I15" t="s">
        <v>15</v>
      </c>
      <c r="J15" s="7">
        <f>+F16/F15</f>
        <v>0.93333333333333335</v>
      </c>
    </row>
    <row r="16" spans="1:11" hidden="1" x14ac:dyDescent="0.25">
      <c r="F16" s="4">
        <v>28000000</v>
      </c>
      <c r="G16" s="1" t="s">
        <v>10</v>
      </c>
      <c r="H16" s="11"/>
      <c r="I16" t="s">
        <v>14</v>
      </c>
      <c r="J16" s="7">
        <f>+F17/F16</f>
        <v>1.0535714285714286</v>
      </c>
    </row>
    <row r="17" spans="3:15" hidden="1" x14ac:dyDescent="0.25">
      <c r="F17" s="4">
        <v>29500000</v>
      </c>
      <c r="G17" s="1" t="s">
        <v>11</v>
      </c>
      <c r="H17" s="11"/>
      <c r="I17" t="s">
        <v>13</v>
      </c>
      <c r="J17" s="7">
        <f>+F18/F17</f>
        <v>0.35230508474576272</v>
      </c>
    </row>
    <row r="18" spans="3:15" hidden="1" x14ac:dyDescent="0.25">
      <c r="F18" s="4">
        <f>+F7</f>
        <v>10393000</v>
      </c>
      <c r="G18" s="1" t="s">
        <v>12</v>
      </c>
      <c r="H18" s="11"/>
      <c r="I18" t="s">
        <v>16</v>
      </c>
      <c r="J18" s="7">
        <f>+F8/F18</f>
        <v>0.76050707206773793</v>
      </c>
    </row>
    <row r="19" spans="3:15" hidden="1" x14ac:dyDescent="0.25">
      <c r="F19" s="2" t="s">
        <v>51</v>
      </c>
      <c r="G19">
        <v>0</v>
      </c>
      <c r="H19" s="11" t="s">
        <v>52</v>
      </c>
      <c r="I19" t="s">
        <v>41</v>
      </c>
      <c r="J19" s="7">
        <f>+F8/F15</f>
        <v>0.263465</v>
      </c>
    </row>
    <row r="20" spans="3:15" x14ac:dyDescent="0.25">
      <c r="H20" s="11"/>
      <c r="M20" s="21"/>
      <c r="N20" s="21"/>
      <c r="O20" s="21"/>
    </row>
    <row r="21" spans="3:15" x14ac:dyDescent="0.25">
      <c r="C21" s="9"/>
      <c r="D21" s="13" t="s">
        <v>21</v>
      </c>
      <c r="E21" s="9"/>
      <c r="F21" s="9" t="s">
        <v>22</v>
      </c>
      <c r="G21" s="9" t="s">
        <v>23</v>
      </c>
      <c r="H21" s="13" t="s">
        <v>27</v>
      </c>
      <c r="I21" s="10" t="s">
        <v>38</v>
      </c>
      <c r="J21" s="10" t="s">
        <v>37</v>
      </c>
      <c r="K21" s="10" t="s">
        <v>39</v>
      </c>
      <c r="L21" s="9"/>
      <c r="M21" s="21"/>
      <c r="N21" s="21"/>
      <c r="O21" s="21"/>
    </row>
    <row r="22" spans="3:15" ht="6" customHeight="1" x14ac:dyDescent="0.25">
      <c r="M22" s="21"/>
      <c r="N22" s="21"/>
      <c r="O22" s="21"/>
    </row>
    <row r="23" spans="3:15" x14ac:dyDescent="0.25">
      <c r="C23" s="33" t="str">
        <f>IF(H23=1,"u","")</f>
        <v>u</v>
      </c>
      <c r="D23" s="11" t="s">
        <v>541</v>
      </c>
      <c r="E23" s="33"/>
      <c r="F23" t="s">
        <v>159</v>
      </c>
      <c r="G23" t="s">
        <v>93</v>
      </c>
      <c r="H23">
        <f>RANK(K23,K$23:K$43,1)</f>
        <v>1</v>
      </c>
      <c r="I23" s="4">
        <v>2317950</v>
      </c>
      <c r="J23" s="4">
        <v>5586000</v>
      </c>
      <c r="K23" s="4">
        <f>+J23+I23</f>
        <v>7903950</v>
      </c>
      <c r="L23" s="4"/>
      <c r="M23" s="22"/>
      <c r="N23" s="22"/>
      <c r="O23" s="22"/>
    </row>
    <row r="24" spans="3:15" x14ac:dyDescent="0.25">
      <c r="C24" s="33" t="str">
        <f>IF(H24=1,"u","")</f>
        <v/>
      </c>
      <c r="D24" s="11" t="s">
        <v>665</v>
      </c>
      <c r="E24" s="33"/>
      <c r="F24" t="s">
        <v>413</v>
      </c>
      <c r="G24" t="s">
        <v>93</v>
      </c>
      <c r="H24">
        <f>RANK(K24,K$23:K$43,1)</f>
        <v>3</v>
      </c>
      <c r="I24" s="4">
        <v>2419750</v>
      </c>
      <c r="J24" s="4">
        <v>7244250</v>
      </c>
      <c r="K24" s="4">
        <f>+J24+I24</f>
        <v>9664000</v>
      </c>
      <c r="L24" s="4"/>
      <c r="M24" s="22"/>
      <c r="N24" s="22"/>
      <c r="O24" s="22"/>
    </row>
    <row r="25" spans="3:15" x14ac:dyDescent="0.25">
      <c r="C25" s="33" t="str">
        <f>IF(H25=1,"u","")</f>
        <v/>
      </c>
      <c r="D25" s="11" t="s">
        <v>915</v>
      </c>
      <c r="E25" s="33"/>
      <c r="F25" t="s">
        <v>195</v>
      </c>
      <c r="G25" t="s">
        <v>93</v>
      </c>
      <c r="H25">
        <f>RANK(K25,K$23:K$43,1)</f>
        <v>2</v>
      </c>
      <c r="I25" s="4">
        <v>3155250</v>
      </c>
      <c r="J25" s="4">
        <v>6020750</v>
      </c>
      <c r="K25" s="4">
        <f>+J25+I25</f>
        <v>9176000</v>
      </c>
      <c r="L25" s="4"/>
      <c r="M25" s="22"/>
      <c r="N25" s="22"/>
      <c r="O25" s="22"/>
    </row>
    <row r="26" spans="3:15" x14ac:dyDescent="0.25">
      <c r="C26" s="33" t="str">
        <f t="shared" ref="C26:C43" si="0">IF(H26=1,"u","")</f>
        <v/>
      </c>
      <c r="D26" s="11"/>
      <c r="E26" s="33"/>
      <c r="I26" s="4"/>
      <c r="J26" s="4"/>
      <c r="K26" s="4"/>
      <c r="L26" s="4"/>
      <c r="M26" s="22"/>
      <c r="N26" s="22"/>
      <c r="O26" s="22"/>
    </row>
    <row r="27" spans="3:15" x14ac:dyDescent="0.25">
      <c r="C27" s="33" t="str">
        <f t="shared" si="0"/>
        <v/>
      </c>
      <c r="D27" s="11"/>
      <c r="E27" s="33"/>
      <c r="I27" s="4"/>
      <c r="J27" s="4"/>
      <c r="K27" s="4"/>
      <c r="L27" s="4"/>
      <c r="M27" s="22"/>
      <c r="N27" s="22"/>
      <c r="O27" s="22"/>
    </row>
    <row r="28" spans="3:15" x14ac:dyDescent="0.25">
      <c r="C28" s="33" t="str">
        <f t="shared" si="0"/>
        <v/>
      </c>
      <c r="D28" s="11"/>
      <c r="E28" s="33"/>
      <c r="I28" s="4"/>
      <c r="J28" s="4"/>
      <c r="K28" s="4"/>
      <c r="L28" s="4"/>
      <c r="M28" s="22"/>
      <c r="N28" s="22"/>
      <c r="O28" s="22"/>
    </row>
    <row r="29" spans="3:15" x14ac:dyDescent="0.25">
      <c r="C29" s="33" t="str">
        <f t="shared" si="0"/>
        <v/>
      </c>
      <c r="D29" s="11"/>
      <c r="E29" s="33"/>
      <c r="I29" s="4"/>
      <c r="J29" s="4"/>
      <c r="K29" s="4"/>
      <c r="L29" s="4"/>
      <c r="M29" s="22"/>
      <c r="N29" s="22"/>
      <c r="O29" s="22"/>
    </row>
    <row r="30" spans="3:15" x14ac:dyDescent="0.25">
      <c r="C30" s="33" t="str">
        <f t="shared" si="0"/>
        <v/>
      </c>
      <c r="D30" s="11"/>
      <c r="E30" s="33"/>
      <c r="I30" s="4"/>
      <c r="J30" s="4"/>
      <c r="K30" s="4"/>
      <c r="L30" s="4"/>
      <c r="M30" s="22"/>
      <c r="N30" s="22"/>
      <c r="O30" s="22"/>
    </row>
    <row r="31" spans="3:15" x14ac:dyDescent="0.25">
      <c r="C31" s="33" t="str">
        <f t="shared" si="0"/>
        <v/>
      </c>
      <c r="D31" s="11"/>
      <c r="E31" s="33"/>
      <c r="I31" s="4"/>
      <c r="J31" s="4"/>
      <c r="K31" s="4"/>
      <c r="L31" s="4"/>
      <c r="M31" s="22"/>
      <c r="N31" s="22"/>
      <c r="O31" s="22"/>
    </row>
    <row r="32" spans="3:15" x14ac:dyDescent="0.25">
      <c r="C32" s="33" t="str">
        <f t="shared" si="0"/>
        <v/>
      </c>
      <c r="D32" s="11"/>
      <c r="E32" s="33"/>
      <c r="I32" s="4"/>
      <c r="J32" s="4"/>
      <c r="K32" s="4"/>
      <c r="L32" s="4"/>
      <c r="M32" s="22"/>
      <c r="N32" s="22"/>
      <c r="O32" s="22"/>
    </row>
    <row r="33" spans="3:15" x14ac:dyDescent="0.25">
      <c r="C33" s="33" t="str">
        <f t="shared" si="0"/>
        <v/>
      </c>
      <c r="D33" s="11"/>
      <c r="E33" s="33"/>
      <c r="I33" s="4"/>
      <c r="J33" s="4"/>
      <c r="K33" s="4"/>
      <c r="M33" s="21"/>
      <c r="N33" s="21"/>
      <c r="O33" s="21"/>
    </row>
    <row r="34" spans="3:15" x14ac:dyDescent="0.25">
      <c r="C34" s="33" t="str">
        <f>IF(H34=1,"u","")</f>
        <v/>
      </c>
      <c r="D34" s="11"/>
      <c r="E34" s="33"/>
      <c r="I34" s="4"/>
      <c r="J34" s="4"/>
      <c r="K34" s="4"/>
      <c r="M34" s="21"/>
      <c r="N34" s="21"/>
      <c r="O34" s="21"/>
    </row>
    <row r="35" spans="3:15" x14ac:dyDescent="0.25">
      <c r="C35" s="33" t="str">
        <f>IF(H35=1,"u","")</f>
        <v/>
      </c>
      <c r="D35" s="11"/>
      <c r="E35" s="33"/>
      <c r="I35" s="4"/>
      <c r="J35" s="4"/>
      <c r="K35" s="4"/>
      <c r="M35" s="21"/>
      <c r="N35" s="21"/>
      <c r="O35" s="21"/>
    </row>
    <row r="36" spans="3:15" x14ac:dyDescent="0.25">
      <c r="C36" s="33" t="str">
        <f>IF(H36=1,"u","")</f>
        <v/>
      </c>
      <c r="D36" s="11"/>
      <c r="E36" s="33"/>
      <c r="I36" s="4"/>
      <c r="J36" s="4"/>
      <c r="K36" s="4"/>
      <c r="M36" s="21"/>
      <c r="N36" s="21"/>
      <c r="O36" s="21"/>
    </row>
    <row r="37" spans="3:15" x14ac:dyDescent="0.25">
      <c r="C37" s="33" t="str">
        <f>IF(H37=1,"u","")</f>
        <v/>
      </c>
      <c r="D37" s="11"/>
      <c r="E37" s="33"/>
      <c r="I37" s="4"/>
      <c r="J37" s="4"/>
      <c r="K37" s="4"/>
      <c r="M37" s="21"/>
      <c r="N37" s="21"/>
      <c r="O37" s="21"/>
    </row>
    <row r="38" spans="3:15" x14ac:dyDescent="0.25">
      <c r="C38" s="33" t="str">
        <f>IF(H38=1,"u","")</f>
        <v/>
      </c>
      <c r="D38" s="11"/>
      <c r="E38" s="33"/>
      <c r="I38" s="4"/>
      <c r="J38" s="4"/>
      <c r="K38" s="4"/>
      <c r="M38" s="21"/>
      <c r="N38" s="21"/>
      <c r="O38" s="21"/>
    </row>
    <row r="39" spans="3:15" x14ac:dyDescent="0.25">
      <c r="C39" s="33" t="str">
        <f t="shared" si="0"/>
        <v/>
      </c>
      <c r="D39" s="11"/>
      <c r="E39" s="33" t="str">
        <f>IF(H39=1,"t","")</f>
        <v/>
      </c>
      <c r="K39" s="4"/>
      <c r="M39" s="21"/>
      <c r="N39" s="21"/>
      <c r="O39" s="21"/>
    </row>
    <row r="40" spans="3:15" x14ac:dyDescent="0.25">
      <c r="C40" s="33" t="str">
        <f t="shared" si="0"/>
        <v/>
      </c>
      <c r="D40" s="11"/>
      <c r="E40" s="33" t="str">
        <f>IF(H40=1,"t","")</f>
        <v/>
      </c>
      <c r="K40" s="4"/>
      <c r="M40" s="21"/>
      <c r="N40" s="21"/>
      <c r="O40" s="21"/>
    </row>
    <row r="41" spans="3:15" x14ac:dyDescent="0.25">
      <c r="C41" s="33" t="str">
        <f t="shared" si="0"/>
        <v/>
      </c>
      <c r="D41" s="11"/>
      <c r="E41" s="33" t="str">
        <f>IF(H41=1,"t","")</f>
        <v/>
      </c>
      <c r="K41" s="4"/>
      <c r="M41" s="21"/>
      <c r="N41" s="21"/>
      <c r="O41" s="21"/>
    </row>
    <row r="42" spans="3:15" x14ac:dyDescent="0.25">
      <c r="C42" s="33" t="str">
        <f t="shared" si="0"/>
        <v/>
      </c>
      <c r="D42" s="11"/>
      <c r="E42" s="33" t="str">
        <f>IF(H42=1,"t","")</f>
        <v/>
      </c>
      <c r="K42" s="4"/>
      <c r="M42" s="21"/>
      <c r="N42" s="21"/>
      <c r="O42" s="21"/>
    </row>
    <row r="43" spans="3:15" x14ac:dyDescent="0.25">
      <c r="C43" s="33" t="str">
        <f t="shared" si="0"/>
        <v/>
      </c>
      <c r="D43" s="11"/>
      <c r="E43" s="33" t="str">
        <f>IF(H43=1,"t","")</f>
        <v/>
      </c>
      <c r="K43" s="4"/>
      <c r="M43" s="21"/>
      <c r="N43" s="21"/>
      <c r="O43" s="21"/>
    </row>
    <row r="44" spans="3:15" ht="6" customHeight="1" x14ac:dyDescent="0.25">
      <c r="C44" s="9"/>
      <c r="D44" s="9"/>
      <c r="E44" s="9"/>
      <c r="F44" s="9"/>
      <c r="G44" s="9"/>
      <c r="H44" s="9"/>
      <c r="I44" s="9"/>
      <c r="J44" s="9"/>
      <c r="K44" s="9"/>
      <c r="L44" s="9"/>
      <c r="M44" s="21"/>
      <c r="N44" s="21"/>
      <c r="O44" s="21"/>
    </row>
    <row r="45" spans="3:15" ht="6" customHeight="1" x14ac:dyDescent="0.25">
      <c r="M45" s="21"/>
      <c r="N45" s="21"/>
      <c r="O45" s="21"/>
    </row>
    <row r="46" spans="3:15" x14ac:dyDescent="0.25">
      <c r="C46" s="15" t="s">
        <v>79</v>
      </c>
      <c r="M46" s="21"/>
      <c r="N46" s="21"/>
      <c r="O46" s="21"/>
    </row>
    <row r="47" spans="3:15" x14ac:dyDescent="0.25">
      <c r="C47" s="15" t="s">
        <v>78</v>
      </c>
    </row>
    <row r="49" spans="3:10" x14ac:dyDescent="0.25">
      <c r="C49" s="31" t="s">
        <v>948</v>
      </c>
      <c r="D49" s="31"/>
      <c r="H49" t="s">
        <v>949</v>
      </c>
      <c r="I49" t="s">
        <v>784</v>
      </c>
      <c r="J49" s="6">
        <v>42802</v>
      </c>
    </row>
    <row r="50" spans="3:10" ht="6" customHeight="1" x14ac:dyDescent="0.25"/>
    <row r="51" spans="3:10" x14ac:dyDescent="0.25">
      <c r="D51" s="93" t="s">
        <v>950</v>
      </c>
    </row>
    <row r="52" spans="3:10" x14ac:dyDescent="0.25">
      <c r="D52" s="93" t="s">
        <v>951</v>
      </c>
    </row>
    <row r="53" spans="3:10" x14ac:dyDescent="0.25">
      <c r="D53" s="93" t="s">
        <v>952</v>
      </c>
    </row>
    <row r="54" spans="3:10" x14ac:dyDescent="0.25">
      <c r="D54" s="93" t="s">
        <v>953</v>
      </c>
    </row>
    <row r="55" spans="3:10" x14ac:dyDescent="0.25">
      <c r="D55" s="93" t="s">
        <v>954</v>
      </c>
    </row>
    <row r="56" spans="3:10" x14ac:dyDescent="0.25">
      <c r="D56" s="93" t="s">
        <v>955</v>
      </c>
    </row>
  </sheetData>
  <mergeCells count="1">
    <mergeCell ref="G13:H13"/>
  </mergeCells>
  <conditionalFormatting sqref="I9">
    <cfRule type="containsText" dxfId="1392" priority="27" operator="containsText" text="FAIL">
      <formula>NOT(ISERROR(SEARCH("FAIL",I9)))</formula>
    </cfRule>
  </conditionalFormatting>
  <conditionalFormatting sqref="I9">
    <cfRule type="containsText" dxfId="1391" priority="26" operator="containsText" text="GOOD">
      <formula>NOT(ISERROR(SEARCH("GOOD",I9)))</formula>
    </cfRule>
  </conditionalFormatting>
  <conditionalFormatting sqref="I9">
    <cfRule type="containsText" dxfId="1390" priority="25" operator="containsText" text="FAIL">
      <formula>NOT(ISERROR(SEARCH("FAIL",I9)))</formula>
    </cfRule>
  </conditionalFormatting>
  <conditionalFormatting sqref="I9">
    <cfRule type="containsText" dxfId="1389" priority="24" operator="containsText" text="GOOD">
      <formula>NOT(ISERROR(SEARCH("GOOD",I9)))</formula>
    </cfRule>
  </conditionalFormatting>
  <conditionalFormatting sqref="I9">
    <cfRule type="containsText" dxfId="1388" priority="23" operator="containsText" text="FAIL">
      <formula>NOT(ISERROR(SEARCH("FAIL",I9)))</formula>
    </cfRule>
  </conditionalFormatting>
  <conditionalFormatting sqref="I9">
    <cfRule type="containsText" dxfId="1387" priority="22" operator="containsText" text="GOOD">
      <formula>NOT(ISERROR(SEARCH("GOOD",I9)))</formula>
    </cfRule>
  </conditionalFormatting>
  <conditionalFormatting sqref="F11">
    <cfRule type="containsText" dxfId="1386" priority="21" operator="containsText" text="FAIL">
      <formula>NOT(ISERROR(SEARCH("FAIL",F11)))</formula>
    </cfRule>
  </conditionalFormatting>
  <conditionalFormatting sqref="F11">
    <cfRule type="containsText" dxfId="1385" priority="20" operator="containsText" text="GOOD">
      <formula>NOT(ISERROR(SEARCH("GOOD",F11)))</formula>
    </cfRule>
  </conditionalFormatting>
  <conditionalFormatting sqref="I9">
    <cfRule type="containsText" dxfId="1384" priority="19" operator="containsText" text="FAIL">
      <formula>NOT(ISERROR(SEARCH("FAIL",I9)))</formula>
    </cfRule>
  </conditionalFormatting>
  <conditionalFormatting sqref="I9">
    <cfRule type="containsText" dxfId="1383" priority="18" operator="containsText" text="GOOD">
      <formula>NOT(ISERROR(SEARCH("GOOD",I9)))</formula>
    </cfRule>
  </conditionalFormatting>
  <conditionalFormatting sqref="F11">
    <cfRule type="containsText" dxfId="1382" priority="17" operator="containsText" text="FAIL">
      <formula>NOT(ISERROR(SEARCH("FAIL",F11)))</formula>
    </cfRule>
  </conditionalFormatting>
  <conditionalFormatting sqref="F11">
    <cfRule type="containsText" dxfId="1381" priority="16" operator="containsText" text="GOOD">
      <formula>NOT(ISERROR(SEARCH("GOOD",F11)))</formula>
    </cfRule>
  </conditionalFormatting>
  <conditionalFormatting sqref="D25">
    <cfRule type="expression" dxfId="1380" priority="15" stopIfTrue="1">
      <formula>IF($H$25=1,0)</formula>
    </cfRule>
  </conditionalFormatting>
  <conditionalFormatting sqref="D23:D33 D39:D43">
    <cfRule type="expression" dxfId="1379" priority="14">
      <formula>H23=1</formula>
    </cfRule>
  </conditionalFormatting>
  <conditionalFormatting sqref="C23:C33 C39:C43">
    <cfRule type="expression" dxfId="1378" priority="13">
      <formula>H23=1</formula>
    </cfRule>
  </conditionalFormatting>
  <conditionalFormatting sqref="E23:E33 E39:E43">
    <cfRule type="expression" dxfId="1377" priority="12">
      <formula>H23=1</formula>
    </cfRule>
  </conditionalFormatting>
  <conditionalFormatting sqref="E23:E33 E39:E43">
    <cfRule type="expression" dxfId="1376" priority="11">
      <formula>H23=1</formula>
    </cfRule>
  </conditionalFormatting>
  <conditionalFormatting sqref="F11">
    <cfRule type="containsText" dxfId="1375" priority="10" operator="containsText" text="FAIL">
      <formula>NOT(ISERROR(SEARCH("FAIL",F11)))</formula>
    </cfRule>
  </conditionalFormatting>
  <conditionalFormatting sqref="F11">
    <cfRule type="containsText" dxfId="1374" priority="9" operator="containsText" text="GOOD">
      <formula>NOT(ISERROR(SEARCH("GOOD",F11)))</formula>
    </cfRule>
  </conditionalFormatting>
  <conditionalFormatting sqref="D34:D37">
    <cfRule type="expression" dxfId="1373" priority="8">
      <formula>H34=1</formula>
    </cfRule>
  </conditionalFormatting>
  <conditionalFormatting sqref="C34:C37">
    <cfRule type="expression" dxfId="1372" priority="7">
      <formula>H34=1</formula>
    </cfRule>
  </conditionalFormatting>
  <conditionalFormatting sqref="E34:E37">
    <cfRule type="expression" dxfId="1371" priority="6">
      <formula>H34=1</formula>
    </cfRule>
  </conditionalFormatting>
  <conditionalFormatting sqref="E34:E37">
    <cfRule type="expression" dxfId="1370" priority="5">
      <formula>H34=1</formula>
    </cfRule>
  </conditionalFormatting>
  <conditionalFormatting sqref="D38">
    <cfRule type="expression" dxfId="1369" priority="4">
      <formula>H38=1</formula>
    </cfRule>
  </conditionalFormatting>
  <conditionalFormatting sqref="C38">
    <cfRule type="expression" dxfId="1368" priority="3">
      <formula>H38=1</formula>
    </cfRule>
  </conditionalFormatting>
  <conditionalFormatting sqref="E38">
    <cfRule type="expression" dxfId="1367" priority="2">
      <formula>H38=1</formula>
    </cfRule>
  </conditionalFormatting>
  <conditionalFormatting sqref="E38">
    <cfRule type="expression" dxfId="1366" priority="1">
      <formula>H38=1</formula>
    </cfRule>
  </conditionalFormatting>
  <pageMargins left="0.7" right="0.7" top="0.75" bottom="0.75" header="0.3" footer="0.3"/>
  <pageSetup scale="68" orientation="portrait" r:id="rId1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sheetPr codeName="Sheet65"/>
  <dimension ref="A2:O47"/>
  <sheetViews>
    <sheetView zoomScaleNormal="100" workbookViewId="0">
      <selection activeCell="B24" sqref="B24"/>
    </sheetView>
  </sheetViews>
  <sheetFormatPr defaultRowHeight="15" x14ac:dyDescent="0.25"/>
  <cols>
    <col min="1" max="2" width="4.42578125" customWidth="1"/>
    <col min="3" max="3" width="3" customWidth="1"/>
    <col min="4" max="4" width="24.85546875" customWidth="1"/>
    <col min="5" max="5" width="3" customWidth="1"/>
    <col min="6" max="6" width="15.7109375" customWidth="1"/>
    <col min="7" max="7" width="8.5703125" customWidth="1"/>
    <col min="8" max="8" width="5.85546875" customWidth="1"/>
    <col min="9" max="15" width="15.7109375" customWidth="1"/>
  </cols>
  <sheetData>
    <row r="2" spans="1:11" x14ac:dyDescent="0.25">
      <c r="C2" s="15" t="s">
        <v>32</v>
      </c>
      <c r="E2" s="15"/>
      <c r="F2" s="15"/>
      <c r="G2" s="15" t="s">
        <v>33</v>
      </c>
      <c r="H2" s="15"/>
      <c r="I2" s="15"/>
      <c r="J2" s="15"/>
      <c r="K2" s="15"/>
    </row>
    <row r="3" spans="1:11" ht="18.75" x14ac:dyDescent="0.3">
      <c r="C3" s="3" t="s">
        <v>26</v>
      </c>
      <c r="J3" s="8" t="s">
        <v>17</v>
      </c>
    </row>
    <row r="4" spans="1:11" x14ac:dyDescent="0.25">
      <c r="D4" s="2" t="s">
        <v>0</v>
      </c>
      <c r="E4" s="1"/>
      <c r="F4" t="s">
        <v>964</v>
      </c>
      <c r="I4" s="2" t="s">
        <v>4</v>
      </c>
      <c r="J4" t="s">
        <v>784</v>
      </c>
    </row>
    <row r="5" spans="1:11" x14ac:dyDescent="0.25">
      <c r="D5" s="2" t="s">
        <v>1</v>
      </c>
      <c r="F5" t="s">
        <v>965</v>
      </c>
    </row>
    <row r="6" spans="1:11" x14ac:dyDescent="0.25">
      <c r="D6" s="2" t="s">
        <v>2</v>
      </c>
      <c r="F6" s="6">
        <v>42815</v>
      </c>
      <c r="H6" s="11"/>
    </row>
    <row r="7" spans="1:11" x14ac:dyDescent="0.25">
      <c r="D7" s="2" t="s">
        <v>3</v>
      </c>
      <c r="F7" s="5">
        <v>3750000</v>
      </c>
      <c r="G7" s="2" t="s">
        <v>190</v>
      </c>
      <c r="H7" s="11"/>
    </row>
    <row r="8" spans="1:11" x14ac:dyDescent="0.25">
      <c r="D8" s="2" t="s">
        <v>18</v>
      </c>
      <c r="F8" s="5">
        <f>MIN(I23:I43)</f>
        <v>2468147</v>
      </c>
      <c r="H8" s="11"/>
    </row>
    <row r="9" spans="1:11" x14ac:dyDescent="0.25">
      <c r="D9" s="2" t="s">
        <v>67</v>
      </c>
      <c r="F9" s="4">
        <f>+F8-F7</f>
        <v>-1281853</v>
      </c>
      <c r="G9" s="16">
        <f>+F9/F7</f>
        <v>-0.34182746666666669</v>
      </c>
      <c r="H9" s="12" t="s">
        <v>20</v>
      </c>
      <c r="I9" s="11" t="str">
        <f>(IF(G9&lt;-0.1,"FAIL",IF(G9&gt;0.05,"FAIL","GOOD")))</f>
        <v>FAIL</v>
      </c>
      <c r="J9" s="14" t="s">
        <v>72</v>
      </c>
    </row>
    <row r="10" spans="1:11" x14ac:dyDescent="0.25">
      <c r="D10" s="2" t="s">
        <v>68</v>
      </c>
      <c r="F10" s="4">
        <f>+F7-F12</f>
        <v>1046126</v>
      </c>
      <c r="H10" s="11"/>
    </row>
    <row r="11" spans="1:11" x14ac:dyDescent="0.25">
      <c r="A11" s="52"/>
      <c r="D11" s="2" t="s">
        <v>71</v>
      </c>
      <c r="F11" s="11" t="str">
        <f>(IF(F7&lt;J12,"FAIL",IF(F7&gt;J13,"FAIL","GOOD")))</f>
        <v>FAIL</v>
      </c>
      <c r="H11" s="11"/>
    </row>
    <row r="12" spans="1:11" x14ac:dyDescent="0.25">
      <c r="D12" s="2" t="s">
        <v>28</v>
      </c>
      <c r="F12" s="4">
        <f>SUM(I23:I43)/H12</f>
        <v>2703874</v>
      </c>
      <c r="G12" s="14"/>
      <c r="H12" s="11">
        <f>COUNT(I23:I43)</f>
        <v>3</v>
      </c>
      <c r="I12" s="1" t="s">
        <v>31</v>
      </c>
      <c r="J12" s="4">
        <f>+F8*0.9</f>
        <v>2221332.3000000003</v>
      </c>
      <c r="K12" s="1" t="s">
        <v>69</v>
      </c>
    </row>
    <row r="13" spans="1:11" x14ac:dyDescent="0.25">
      <c r="D13" s="2" t="s">
        <v>29</v>
      </c>
      <c r="F13" s="4">
        <f>MAX(I23:I43)-MIN(I23:I43)</f>
        <v>699853</v>
      </c>
      <c r="G13" s="399">
        <f>MEDIAN(I23:I43)</f>
        <v>2475475</v>
      </c>
      <c r="H13" s="400"/>
      <c r="I13" s="1" t="s">
        <v>30</v>
      </c>
      <c r="J13" s="4">
        <f>+F12*1.1</f>
        <v>2974261.4000000004</v>
      </c>
      <c r="K13" s="1" t="s">
        <v>70</v>
      </c>
    </row>
    <row r="14" spans="1:11" x14ac:dyDescent="0.25">
      <c r="H14" s="11"/>
    </row>
    <row r="15" spans="1:11" x14ac:dyDescent="0.25">
      <c r="D15" s="2" t="s">
        <v>8</v>
      </c>
      <c r="F15" s="4"/>
      <c r="G15" s="1" t="s">
        <v>9</v>
      </c>
      <c r="H15" s="11"/>
      <c r="I15" t="s">
        <v>15</v>
      </c>
      <c r="J15" s="7" t="e">
        <f>+F16/F15</f>
        <v>#DIV/0!</v>
      </c>
    </row>
    <row r="16" spans="1:11" x14ac:dyDescent="0.25">
      <c r="F16" s="4"/>
      <c r="G16" s="1" t="s">
        <v>10</v>
      </c>
      <c r="H16" s="11"/>
      <c r="I16" t="s">
        <v>14</v>
      </c>
      <c r="J16" s="7" t="e">
        <f>+F17/F16</f>
        <v>#DIV/0!</v>
      </c>
    </row>
    <row r="17" spans="3:15" x14ac:dyDescent="0.25">
      <c r="F17" s="4"/>
      <c r="G17" s="1" t="s">
        <v>11</v>
      </c>
      <c r="H17" s="11"/>
      <c r="I17" t="s">
        <v>13</v>
      </c>
      <c r="J17" s="7" t="e">
        <f>+F18/F17</f>
        <v>#DIV/0!</v>
      </c>
      <c r="M17" s="21"/>
      <c r="N17" s="21"/>
      <c r="O17" s="21"/>
    </row>
    <row r="18" spans="3:15" x14ac:dyDescent="0.25">
      <c r="F18" s="4"/>
      <c r="G18" s="1" t="s">
        <v>12</v>
      </c>
      <c r="H18" s="11"/>
      <c r="I18" t="s">
        <v>16</v>
      </c>
      <c r="J18" s="7" t="e">
        <f>+F8/F18</f>
        <v>#DIV/0!</v>
      </c>
      <c r="M18" s="21"/>
      <c r="N18" s="21"/>
      <c r="O18" s="21"/>
    </row>
    <row r="19" spans="3:15" x14ac:dyDescent="0.25">
      <c r="F19" s="2" t="s">
        <v>51</v>
      </c>
      <c r="G19">
        <v>0</v>
      </c>
      <c r="H19" s="11" t="s">
        <v>52</v>
      </c>
      <c r="I19" t="s">
        <v>41</v>
      </c>
      <c r="J19" s="7" t="e">
        <f>+F8/F15</f>
        <v>#DIV/0!</v>
      </c>
      <c r="M19" s="21"/>
      <c r="N19" s="21"/>
      <c r="O19" s="21"/>
    </row>
    <row r="20" spans="3:15" x14ac:dyDescent="0.25">
      <c r="H20" s="11"/>
      <c r="M20" s="21"/>
      <c r="N20" s="21"/>
      <c r="O20" s="21"/>
    </row>
    <row r="21" spans="3:15" x14ac:dyDescent="0.25">
      <c r="C21" s="9"/>
      <c r="D21" s="13" t="s">
        <v>21</v>
      </c>
      <c r="E21" s="9"/>
      <c r="F21" s="9" t="s">
        <v>22</v>
      </c>
      <c r="G21" s="9" t="s">
        <v>23</v>
      </c>
      <c r="H21" s="13" t="s">
        <v>27</v>
      </c>
      <c r="I21" s="10" t="s">
        <v>24</v>
      </c>
      <c r="J21" s="9"/>
      <c r="K21" s="9"/>
      <c r="L21" s="9"/>
      <c r="M21" s="21"/>
      <c r="N21" s="21"/>
      <c r="O21" s="21"/>
    </row>
    <row r="22" spans="3:15" ht="6" customHeight="1" x14ac:dyDescent="0.25">
      <c r="M22" s="21"/>
      <c r="N22" s="21"/>
      <c r="O22" s="21"/>
    </row>
    <row r="23" spans="3:15" x14ac:dyDescent="0.25">
      <c r="C23" s="33" t="str">
        <f>IF(H23=1,"u","")</f>
        <v/>
      </c>
      <c r="D23" s="11" t="s">
        <v>540</v>
      </c>
      <c r="E23" s="33"/>
      <c r="F23" t="s">
        <v>195</v>
      </c>
      <c r="G23" t="s">
        <v>93</v>
      </c>
      <c r="H23">
        <f>RANK(I23,I$23:I$43,1)</f>
        <v>2</v>
      </c>
      <c r="I23" s="4">
        <v>2475475</v>
      </c>
      <c r="J23" s="4"/>
      <c r="K23" s="4"/>
      <c r="L23" s="4"/>
      <c r="M23" s="22"/>
      <c r="N23" s="22"/>
      <c r="O23" s="22"/>
    </row>
    <row r="24" spans="3:15" x14ac:dyDescent="0.25">
      <c r="C24" s="33" t="str">
        <f>IF(H24=1,"u","")</f>
        <v>u</v>
      </c>
      <c r="D24" s="11" t="s">
        <v>541</v>
      </c>
      <c r="E24" s="33"/>
      <c r="F24" t="s">
        <v>159</v>
      </c>
      <c r="G24" t="s">
        <v>93</v>
      </c>
      <c r="H24">
        <f>RANK(I24,I$23:I$43,1)</f>
        <v>1</v>
      </c>
      <c r="I24" s="4">
        <v>2468147</v>
      </c>
      <c r="J24" s="4"/>
      <c r="K24" s="4"/>
      <c r="L24" s="4"/>
      <c r="M24" s="22"/>
      <c r="N24" s="22"/>
      <c r="O24" s="22"/>
    </row>
    <row r="25" spans="3:15" x14ac:dyDescent="0.25">
      <c r="C25" s="33" t="str">
        <f>IF(H25=1,"u","")</f>
        <v/>
      </c>
      <c r="D25" s="11" t="s">
        <v>665</v>
      </c>
      <c r="E25" s="33"/>
      <c r="F25" t="s">
        <v>413</v>
      </c>
      <c r="G25" t="s">
        <v>93</v>
      </c>
      <c r="H25">
        <f>RANK(I25,I$23:I$43,1)</f>
        <v>3</v>
      </c>
      <c r="I25" s="4">
        <v>3168000</v>
      </c>
      <c r="J25" s="4"/>
      <c r="K25" s="4"/>
      <c r="L25" s="4"/>
      <c r="M25" s="22"/>
      <c r="N25" s="22"/>
      <c r="O25" s="22"/>
    </row>
    <row r="26" spans="3:15" x14ac:dyDescent="0.25">
      <c r="C26" s="33" t="str">
        <f t="shared" ref="C26:C43" si="0">IF(H26=1,"u","")</f>
        <v/>
      </c>
      <c r="D26" s="11"/>
      <c r="E26" s="33"/>
      <c r="I26" s="4"/>
      <c r="J26" s="4"/>
      <c r="K26" s="4"/>
      <c r="L26" s="4"/>
      <c r="M26" s="22"/>
      <c r="N26" s="22"/>
      <c r="O26" s="22"/>
    </row>
    <row r="27" spans="3:15" x14ac:dyDescent="0.25">
      <c r="C27" s="33" t="str">
        <f t="shared" si="0"/>
        <v/>
      </c>
      <c r="D27" s="11"/>
      <c r="E27" s="33"/>
      <c r="I27" s="4"/>
      <c r="J27" s="4"/>
      <c r="K27" s="4"/>
      <c r="L27" s="4"/>
      <c r="M27" s="22"/>
      <c r="N27" s="22"/>
      <c r="O27" s="22"/>
    </row>
    <row r="28" spans="3:15" x14ac:dyDescent="0.25">
      <c r="C28" s="33" t="str">
        <f t="shared" si="0"/>
        <v/>
      </c>
      <c r="D28" s="11"/>
      <c r="E28" s="33"/>
      <c r="I28" s="4"/>
      <c r="J28" s="4"/>
      <c r="K28" s="4"/>
      <c r="L28" s="4"/>
      <c r="M28" s="22"/>
      <c r="N28" s="22"/>
      <c r="O28" s="22"/>
    </row>
    <row r="29" spans="3:15" x14ac:dyDescent="0.25">
      <c r="C29" s="33" t="str">
        <f t="shared" si="0"/>
        <v/>
      </c>
      <c r="D29" s="11"/>
      <c r="E29" s="33"/>
      <c r="I29" s="4"/>
      <c r="J29" s="4"/>
      <c r="K29" s="4"/>
      <c r="L29" s="4"/>
      <c r="M29" s="22"/>
      <c r="N29" s="22"/>
      <c r="O29" s="22"/>
    </row>
    <row r="30" spans="3:15" x14ac:dyDescent="0.25">
      <c r="C30" s="33" t="str">
        <f t="shared" si="0"/>
        <v/>
      </c>
      <c r="D30" s="11"/>
      <c r="E30" s="33"/>
      <c r="I30" s="4"/>
      <c r="J30" s="4"/>
      <c r="K30" s="4"/>
      <c r="L30" s="4"/>
      <c r="M30" s="22"/>
      <c r="N30" s="22"/>
      <c r="O30" s="22"/>
    </row>
    <row r="31" spans="3:15" x14ac:dyDescent="0.25">
      <c r="C31" s="33" t="str">
        <f t="shared" si="0"/>
        <v/>
      </c>
      <c r="D31" s="11"/>
      <c r="E31" s="33"/>
      <c r="I31" s="4"/>
      <c r="J31" s="4"/>
      <c r="K31" s="4"/>
      <c r="L31" s="4"/>
      <c r="M31" s="22"/>
      <c r="N31" s="22"/>
      <c r="O31" s="22"/>
    </row>
    <row r="32" spans="3:15" x14ac:dyDescent="0.25">
      <c r="C32" s="33" t="str">
        <f t="shared" si="0"/>
        <v/>
      </c>
      <c r="D32" s="11"/>
      <c r="E32" s="33"/>
      <c r="I32" s="4"/>
      <c r="J32" s="4"/>
      <c r="K32" s="4"/>
      <c r="L32" s="4"/>
      <c r="M32" s="22"/>
      <c r="N32" s="22"/>
      <c r="O32" s="22"/>
    </row>
    <row r="33" spans="3:15" x14ac:dyDescent="0.25">
      <c r="C33" s="33" t="str">
        <f t="shared" si="0"/>
        <v/>
      </c>
      <c r="D33" s="11"/>
      <c r="E33" s="33"/>
      <c r="I33" s="4"/>
      <c r="M33" s="21"/>
      <c r="N33" s="21"/>
      <c r="O33" s="21"/>
    </row>
    <row r="34" spans="3:15" x14ac:dyDescent="0.25">
      <c r="C34" s="33" t="str">
        <f t="shared" si="0"/>
        <v/>
      </c>
      <c r="D34" s="11"/>
      <c r="E34" s="33"/>
      <c r="I34" s="4"/>
      <c r="M34" s="21"/>
      <c r="N34" s="21"/>
      <c r="O34" s="21"/>
    </row>
    <row r="35" spans="3:15" x14ac:dyDescent="0.25">
      <c r="C35" s="33" t="str">
        <f t="shared" si="0"/>
        <v/>
      </c>
      <c r="D35" s="11"/>
      <c r="E35" s="33"/>
      <c r="I35" s="4"/>
      <c r="M35" s="21"/>
      <c r="N35" s="21"/>
      <c r="O35" s="21"/>
    </row>
    <row r="36" spans="3:15" x14ac:dyDescent="0.25">
      <c r="C36" s="33" t="str">
        <f t="shared" si="0"/>
        <v/>
      </c>
      <c r="D36" s="11"/>
      <c r="E36" s="33"/>
      <c r="I36" s="4"/>
      <c r="M36" s="21"/>
      <c r="N36" s="21"/>
      <c r="O36" s="21"/>
    </row>
    <row r="37" spans="3:15" x14ac:dyDescent="0.25">
      <c r="C37" s="33" t="str">
        <f t="shared" si="0"/>
        <v/>
      </c>
      <c r="D37" s="11"/>
      <c r="E37" s="33" t="str">
        <f t="shared" ref="E37:E43" si="1">IF(H37=1,"t","")</f>
        <v/>
      </c>
      <c r="M37" s="21"/>
      <c r="N37" s="21"/>
      <c r="O37" s="21"/>
    </row>
    <row r="38" spans="3:15" x14ac:dyDescent="0.25">
      <c r="C38" s="33" t="str">
        <f t="shared" si="0"/>
        <v/>
      </c>
      <c r="D38" s="11"/>
      <c r="E38" s="33" t="str">
        <f t="shared" si="1"/>
        <v/>
      </c>
      <c r="M38" s="21"/>
      <c r="N38" s="21"/>
      <c r="O38" s="21"/>
    </row>
    <row r="39" spans="3:15" x14ac:dyDescent="0.25">
      <c r="C39" s="33" t="str">
        <f t="shared" si="0"/>
        <v/>
      </c>
      <c r="D39" s="11"/>
      <c r="E39" s="33" t="str">
        <f t="shared" si="1"/>
        <v/>
      </c>
      <c r="M39" s="21"/>
      <c r="N39" s="21"/>
      <c r="O39" s="21"/>
    </row>
    <row r="40" spans="3:15" x14ac:dyDescent="0.25">
      <c r="C40" s="33" t="str">
        <f t="shared" si="0"/>
        <v/>
      </c>
      <c r="D40" s="11"/>
      <c r="E40" s="33" t="str">
        <f t="shared" si="1"/>
        <v/>
      </c>
      <c r="M40" s="21"/>
      <c r="N40" s="21"/>
      <c r="O40" s="21"/>
    </row>
    <row r="41" spans="3:15" x14ac:dyDescent="0.25">
      <c r="C41" s="33" t="str">
        <f t="shared" si="0"/>
        <v/>
      </c>
      <c r="D41" s="11"/>
      <c r="E41" s="33" t="str">
        <f t="shared" si="1"/>
        <v/>
      </c>
      <c r="M41" s="21"/>
      <c r="N41" s="21"/>
      <c r="O41" s="21"/>
    </row>
    <row r="42" spans="3:15" x14ac:dyDescent="0.25">
      <c r="C42" s="33" t="str">
        <f t="shared" si="0"/>
        <v/>
      </c>
      <c r="D42" s="11"/>
      <c r="E42" s="33" t="str">
        <f t="shared" si="1"/>
        <v/>
      </c>
      <c r="M42" s="21"/>
      <c r="N42" s="21"/>
      <c r="O42" s="21"/>
    </row>
    <row r="43" spans="3:15" x14ac:dyDescent="0.25">
      <c r="C43" s="33" t="str">
        <f t="shared" si="0"/>
        <v/>
      </c>
      <c r="D43" s="11"/>
      <c r="E43" s="33" t="str">
        <f t="shared" si="1"/>
        <v/>
      </c>
      <c r="M43" s="21"/>
      <c r="N43" s="21"/>
      <c r="O43" s="21"/>
    </row>
    <row r="44" spans="3:15" ht="6" customHeight="1" x14ac:dyDescent="0.25">
      <c r="C44" s="9"/>
      <c r="D44" s="9"/>
      <c r="E44" s="9"/>
      <c r="F44" s="9"/>
      <c r="G44" s="9"/>
      <c r="H44" s="9"/>
      <c r="I44" s="9"/>
      <c r="J44" s="9"/>
      <c r="K44" s="9"/>
      <c r="L44" s="9"/>
      <c r="M44" s="21"/>
      <c r="N44" s="21"/>
      <c r="O44" s="21"/>
    </row>
    <row r="45" spans="3:15" ht="6" customHeight="1" x14ac:dyDescent="0.25">
      <c r="M45" s="21"/>
      <c r="N45" s="21"/>
      <c r="O45" s="21"/>
    </row>
    <row r="46" spans="3:15" x14ac:dyDescent="0.25">
      <c r="C46" s="15" t="s">
        <v>79</v>
      </c>
      <c r="M46" s="21"/>
      <c r="N46" s="21"/>
      <c r="O46" s="21"/>
    </row>
    <row r="47" spans="3:15" x14ac:dyDescent="0.25">
      <c r="C47" s="15" t="s">
        <v>78</v>
      </c>
    </row>
  </sheetData>
  <mergeCells count="1">
    <mergeCell ref="G13:H13"/>
  </mergeCells>
  <conditionalFormatting sqref="I9">
    <cfRule type="containsText" dxfId="1451" priority="17" operator="containsText" text="FAIL">
      <formula>NOT(ISERROR(SEARCH("FAIL",I9)))</formula>
    </cfRule>
  </conditionalFormatting>
  <conditionalFormatting sqref="I9">
    <cfRule type="containsText" dxfId="1450" priority="16" operator="containsText" text="GOOD">
      <formula>NOT(ISERROR(SEARCH("GOOD",I9)))</formula>
    </cfRule>
  </conditionalFormatting>
  <conditionalFormatting sqref="F11">
    <cfRule type="containsText" dxfId="1449" priority="15" operator="containsText" text="FAIL">
      <formula>NOT(ISERROR(SEARCH("FAIL",F11)))</formula>
    </cfRule>
  </conditionalFormatting>
  <conditionalFormatting sqref="F11">
    <cfRule type="containsText" dxfId="1448" priority="14" operator="containsText" text="GOOD">
      <formula>NOT(ISERROR(SEARCH("GOOD",F11)))</formula>
    </cfRule>
  </conditionalFormatting>
  <conditionalFormatting sqref="D25">
    <cfRule type="expression" dxfId="1447" priority="13" stopIfTrue="1">
      <formula>IF($H$25=1,0)</formula>
    </cfRule>
  </conditionalFormatting>
  <conditionalFormatting sqref="D23:D25 D32:D43">
    <cfRule type="expression" dxfId="1446" priority="12">
      <formula>H23=1</formula>
    </cfRule>
  </conditionalFormatting>
  <conditionalFormatting sqref="C23:C26 C32:C43">
    <cfRule type="expression" dxfId="1445" priority="11">
      <formula>H23=1</formula>
    </cfRule>
  </conditionalFormatting>
  <conditionalFormatting sqref="E23:E26 E32:E43">
    <cfRule type="expression" dxfId="1444" priority="10">
      <formula>H23=1</formula>
    </cfRule>
  </conditionalFormatting>
  <conditionalFormatting sqref="F11">
    <cfRule type="containsText" dxfId="1443" priority="9" operator="containsText" text="FAIL">
      <formula>NOT(ISERROR(SEARCH("FAIL",F11)))</formula>
    </cfRule>
  </conditionalFormatting>
  <conditionalFormatting sqref="F11">
    <cfRule type="containsText" dxfId="1442" priority="8" operator="containsText" text="GOOD">
      <formula>NOT(ISERROR(SEARCH("GOOD",F11)))</formula>
    </cfRule>
  </conditionalFormatting>
  <conditionalFormatting sqref="D27:D28">
    <cfRule type="expression" dxfId="1441" priority="7">
      <formula>H27=1</formula>
    </cfRule>
  </conditionalFormatting>
  <conditionalFormatting sqref="C27:C28">
    <cfRule type="expression" dxfId="1440" priority="6">
      <formula>H27=1</formula>
    </cfRule>
  </conditionalFormatting>
  <conditionalFormatting sqref="E27:E28">
    <cfRule type="expression" dxfId="1439" priority="5">
      <formula>H27=1</formula>
    </cfRule>
  </conditionalFormatting>
  <conditionalFormatting sqref="D26">
    <cfRule type="expression" dxfId="1438" priority="4">
      <formula>H26=1</formula>
    </cfRule>
  </conditionalFormatting>
  <conditionalFormatting sqref="D29:D31">
    <cfRule type="expression" dxfId="1437" priority="3">
      <formula>H29=1</formula>
    </cfRule>
  </conditionalFormatting>
  <conditionalFormatting sqref="C29:C31">
    <cfRule type="expression" dxfId="1436" priority="2">
      <formula>H29=1</formula>
    </cfRule>
  </conditionalFormatting>
  <conditionalFormatting sqref="E29:E31">
    <cfRule type="expression" dxfId="1435" priority="1">
      <formula>H29=1</formula>
    </cfRule>
  </conditionalFormatting>
  <pageMargins left="0.7" right="0.7" top="0.75" bottom="0.75" header="0.3" footer="0.3"/>
  <pageSetup scale="68" orientation="portrait" r:id="rId1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Sheet38"/>
  <dimension ref="A2:P47"/>
  <sheetViews>
    <sheetView zoomScaleNormal="100" workbookViewId="0">
      <selection activeCell="I3" sqref="I3"/>
    </sheetView>
  </sheetViews>
  <sheetFormatPr defaultRowHeight="15" x14ac:dyDescent="0.25"/>
  <cols>
    <col min="1" max="2" width="4.42578125" customWidth="1"/>
    <col min="3" max="3" width="3" customWidth="1"/>
    <col min="4" max="4" width="24.85546875" customWidth="1"/>
    <col min="5" max="5" width="3" customWidth="1"/>
    <col min="6" max="6" width="15.7109375" customWidth="1"/>
    <col min="7" max="7" width="8.5703125" customWidth="1"/>
    <col min="8" max="8" width="5.85546875" customWidth="1"/>
    <col min="9" max="15" width="15.7109375" customWidth="1"/>
  </cols>
  <sheetData>
    <row r="2" spans="1:16" x14ac:dyDescent="0.25">
      <c r="C2" s="15" t="s">
        <v>32</v>
      </c>
      <c r="E2" s="15"/>
      <c r="F2" s="15"/>
      <c r="G2" s="15" t="s">
        <v>33</v>
      </c>
      <c r="H2" s="15"/>
      <c r="I2" s="15"/>
      <c r="J2" s="15"/>
      <c r="K2" s="15"/>
    </row>
    <row r="3" spans="1:16" ht="18.75" x14ac:dyDescent="0.3">
      <c r="C3" s="3" t="s">
        <v>26</v>
      </c>
      <c r="J3" s="8" t="s">
        <v>17</v>
      </c>
      <c r="P3" s="100"/>
    </row>
    <row r="4" spans="1:16" x14ac:dyDescent="0.25">
      <c r="D4" s="2" t="s">
        <v>0</v>
      </c>
      <c r="E4" s="1"/>
      <c r="F4" t="s">
        <v>1063</v>
      </c>
      <c r="I4" s="2" t="s">
        <v>4</v>
      </c>
      <c r="J4" t="s">
        <v>784</v>
      </c>
    </row>
    <row r="5" spans="1:16" x14ac:dyDescent="0.25">
      <c r="D5" s="2" t="s">
        <v>1</v>
      </c>
      <c r="F5" t="s">
        <v>1064</v>
      </c>
    </row>
    <row r="6" spans="1:16" x14ac:dyDescent="0.25">
      <c r="D6" s="2" t="s">
        <v>2</v>
      </c>
      <c r="F6" s="6">
        <v>42951</v>
      </c>
      <c r="H6" s="11"/>
    </row>
    <row r="7" spans="1:16" x14ac:dyDescent="0.25">
      <c r="D7" s="2" t="s">
        <v>3</v>
      </c>
      <c r="F7" s="5">
        <v>6040000</v>
      </c>
      <c r="G7" s="2" t="s">
        <v>34</v>
      </c>
      <c r="H7" s="11"/>
    </row>
    <row r="8" spans="1:16" x14ac:dyDescent="0.25">
      <c r="D8" s="2" t="s">
        <v>18</v>
      </c>
      <c r="F8" s="5">
        <f>MIN(I23:I43)</f>
        <v>4845475</v>
      </c>
      <c r="H8" s="11"/>
    </row>
    <row r="9" spans="1:16" x14ac:dyDescent="0.25">
      <c r="D9" s="2" t="s">
        <v>67</v>
      </c>
      <c r="F9" s="4">
        <f>+F8-F7</f>
        <v>-1194525</v>
      </c>
      <c r="G9" s="16">
        <f>+F9/F7</f>
        <v>-0.19776903973509935</v>
      </c>
      <c r="H9" s="12" t="s">
        <v>20</v>
      </c>
      <c r="I9" s="11" t="str">
        <f>(IF(G9&lt;-0.1,"FAIL",IF(G9&gt;0.05,"FAIL","GOOD")))</f>
        <v>FAIL</v>
      </c>
      <c r="J9" s="14" t="s">
        <v>72</v>
      </c>
    </row>
    <row r="10" spans="1:16" x14ac:dyDescent="0.25">
      <c r="D10" s="2" t="s">
        <v>68</v>
      </c>
      <c r="F10" s="4">
        <f>+F7-F12</f>
        <v>-2114320.375</v>
      </c>
      <c r="H10" s="11"/>
    </row>
    <row r="11" spans="1:16" x14ac:dyDescent="0.25">
      <c r="A11" s="52"/>
      <c r="D11" s="2" t="s">
        <v>71</v>
      </c>
      <c r="F11" s="11" t="str">
        <f>(IF(F7&lt;J12,"FAIL",IF(F7&gt;J13,"FAIL","GOOD")))</f>
        <v>GOOD</v>
      </c>
      <c r="H11" s="11"/>
    </row>
    <row r="12" spans="1:16" x14ac:dyDescent="0.25">
      <c r="D12" s="2" t="s">
        <v>28</v>
      </c>
      <c r="F12" s="4">
        <f>SUM(I23:I43)/H12</f>
        <v>8154320.375</v>
      </c>
      <c r="G12" s="14"/>
      <c r="H12" s="11">
        <f>COUNT(I23:I43)</f>
        <v>8</v>
      </c>
      <c r="I12" s="1" t="s">
        <v>31</v>
      </c>
      <c r="J12" s="4">
        <f>+F8*0.9</f>
        <v>4360927.5</v>
      </c>
      <c r="K12" s="1" t="s">
        <v>69</v>
      </c>
    </row>
    <row r="13" spans="1:16" x14ac:dyDescent="0.25">
      <c r="D13" s="2" t="s">
        <v>29</v>
      </c>
      <c r="F13" s="4">
        <f>MAX(I23:I43)-MIN(I23:I43)</f>
        <v>7381590</v>
      </c>
      <c r="G13" s="399">
        <f>MEDIAN(I23:I43)</f>
        <v>8193400</v>
      </c>
      <c r="H13" s="400"/>
      <c r="I13" s="1" t="s">
        <v>30</v>
      </c>
      <c r="J13" s="4">
        <f>+F12*1.1</f>
        <v>8969752.4125000015</v>
      </c>
      <c r="K13" s="1" t="s">
        <v>70</v>
      </c>
    </row>
    <row r="14" spans="1:16" x14ac:dyDescent="0.25">
      <c r="H14" s="11"/>
    </row>
    <row r="15" spans="1:16" x14ac:dyDescent="0.25">
      <c r="D15" s="2" t="s">
        <v>8</v>
      </c>
      <c r="F15" s="4"/>
      <c r="G15" s="1" t="s">
        <v>9</v>
      </c>
      <c r="H15" s="11"/>
      <c r="I15" t="s">
        <v>15</v>
      </c>
      <c r="J15" s="7" t="e">
        <f>+F16/F15</f>
        <v>#DIV/0!</v>
      </c>
    </row>
    <row r="16" spans="1:16" x14ac:dyDescent="0.25">
      <c r="F16" s="4"/>
      <c r="G16" s="1" t="s">
        <v>10</v>
      </c>
      <c r="H16" s="11"/>
      <c r="I16" t="s">
        <v>14</v>
      </c>
      <c r="J16" s="7" t="e">
        <f>+F17/F16</f>
        <v>#DIV/0!</v>
      </c>
    </row>
    <row r="17" spans="3:15" x14ac:dyDescent="0.25">
      <c r="F17" s="4"/>
      <c r="G17" s="1" t="s">
        <v>11</v>
      </c>
      <c r="H17" s="11"/>
      <c r="I17" t="s">
        <v>13</v>
      </c>
      <c r="J17" s="7" t="e">
        <f>+F18/F17</f>
        <v>#DIV/0!</v>
      </c>
      <c r="M17" s="21"/>
      <c r="N17" s="21"/>
      <c r="O17" s="21"/>
    </row>
    <row r="18" spans="3:15" x14ac:dyDescent="0.25">
      <c r="F18" s="4"/>
      <c r="G18" s="1" t="s">
        <v>12</v>
      </c>
      <c r="H18" s="11"/>
      <c r="I18" t="s">
        <v>16</v>
      </c>
      <c r="J18" s="7" t="e">
        <f>+F8/F18</f>
        <v>#DIV/0!</v>
      </c>
      <c r="M18" s="21"/>
      <c r="N18" s="21"/>
      <c r="O18" s="21"/>
    </row>
    <row r="19" spans="3:15" x14ac:dyDescent="0.25">
      <c r="F19" s="2" t="s">
        <v>51</v>
      </c>
      <c r="G19">
        <v>0</v>
      </c>
      <c r="H19" s="11" t="s">
        <v>52</v>
      </c>
      <c r="I19" t="s">
        <v>41</v>
      </c>
      <c r="J19" s="7" t="e">
        <f>+F8/F15</f>
        <v>#DIV/0!</v>
      </c>
      <c r="M19" s="21"/>
      <c r="N19" s="21"/>
      <c r="O19" s="21"/>
    </row>
    <row r="20" spans="3:15" x14ac:dyDescent="0.25">
      <c r="H20" s="11"/>
      <c r="M20" s="21"/>
      <c r="N20" s="21"/>
      <c r="O20" s="21"/>
    </row>
    <row r="21" spans="3:15" x14ac:dyDescent="0.25">
      <c r="C21" s="9"/>
      <c r="D21" s="13" t="s">
        <v>21</v>
      </c>
      <c r="E21" s="9"/>
      <c r="F21" s="9" t="s">
        <v>22</v>
      </c>
      <c r="G21" s="9" t="s">
        <v>23</v>
      </c>
      <c r="H21" s="13" t="s">
        <v>27</v>
      </c>
      <c r="I21" s="10" t="s">
        <v>24</v>
      </c>
      <c r="J21" s="9"/>
      <c r="K21" s="9"/>
      <c r="L21" s="9"/>
      <c r="M21" s="21"/>
      <c r="N21" s="21"/>
      <c r="O21" s="21"/>
    </row>
    <row r="22" spans="3:15" ht="6" customHeight="1" x14ac:dyDescent="0.25">
      <c r="M22" s="21"/>
      <c r="N22" s="21"/>
      <c r="O22" s="21"/>
    </row>
    <row r="23" spans="3:15" x14ac:dyDescent="0.25">
      <c r="C23" s="33" t="str">
        <f>IF(H23=1,"u","")</f>
        <v/>
      </c>
      <c r="D23" s="11" t="s">
        <v>521</v>
      </c>
      <c r="E23" s="33"/>
      <c r="F23" t="s">
        <v>251</v>
      </c>
      <c r="G23" t="s">
        <v>25</v>
      </c>
      <c r="H23">
        <f>RANK(I23,I$23:I$43,1)</f>
        <v>2</v>
      </c>
      <c r="I23" s="4">
        <v>5177075</v>
      </c>
      <c r="J23" s="4"/>
      <c r="K23" s="4"/>
      <c r="L23" s="4"/>
      <c r="M23" s="22"/>
      <c r="N23" s="22"/>
      <c r="O23" s="22"/>
    </row>
    <row r="24" spans="3:15" x14ac:dyDescent="0.25">
      <c r="C24" s="33" t="str">
        <f>IF(H24=1,"u","")</f>
        <v/>
      </c>
      <c r="D24" s="11" t="s">
        <v>626</v>
      </c>
      <c r="E24" s="33"/>
      <c r="F24" t="s">
        <v>159</v>
      </c>
      <c r="G24" t="s">
        <v>93</v>
      </c>
      <c r="H24">
        <f t="shared" ref="H24:H30" si="0">RANK(I24,I$23:I$43,1)</f>
        <v>3</v>
      </c>
      <c r="I24" s="4">
        <v>7853865</v>
      </c>
      <c r="J24" s="4"/>
      <c r="K24" s="4"/>
      <c r="L24" s="4"/>
      <c r="M24" s="22"/>
      <c r="N24" s="22"/>
      <c r="O24" s="22"/>
    </row>
    <row r="25" spans="3:15" x14ac:dyDescent="0.25">
      <c r="C25" s="33" t="str">
        <f>IF(H25=1,"u","")</f>
        <v/>
      </c>
      <c r="D25" s="11" t="s">
        <v>1004</v>
      </c>
      <c r="E25" s="33"/>
      <c r="F25" t="s">
        <v>147</v>
      </c>
      <c r="G25" t="s">
        <v>93</v>
      </c>
      <c r="H25">
        <f t="shared" si="0"/>
        <v>7</v>
      </c>
      <c r="I25" s="4">
        <v>10385785</v>
      </c>
      <c r="J25" s="4"/>
      <c r="K25" s="4"/>
      <c r="L25" s="4"/>
      <c r="M25" s="22"/>
      <c r="N25" s="22"/>
      <c r="O25" s="22"/>
    </row>
    <row r="26" spans="3:15" x14ac:dyDescent="0.25">
      <c r="C26" s="33"/>
      <c r="D26" s="11" t="s">
        <v>657</v>
      </c>
      <c r="E26" s="33"/>
      <c r="F26" t="s">
        <v>658</v>
      </c>
      <c r="G26" t="s">
        <v>93</v>
      </c>
      <c r="H26">
        <f t="shared" si="0"/>
        <v>6</v>
      </c>
      <c r="I26" s="4">
        <v>8358498</v>
      </c>
      <c r="J26" s="4"/>
      <c r="K26" s="4"/>
      <c r="L26" s="4"/>
      <c r="M26" s="22"/>
      <c r="N26" s="22"/>
      <c r="O26" s="22"/>
    </row>
    <row r="27" spans="3:15" x14ac:dyDescent="0.25">
      <c r="C27" s="33"/>
      <c r="D27" s="11" t="s">
        <v>681</v>
      </c>
      <c r="E27" s="33"/>
      <c r="F27" t="s">
        <v>199</v>
      </c>
      <c r="G27" t="s">
        <v>93</v>
      </c>
      <c r="H27">
        <f t="shared" si="0"/>
        <v>1</v>
      </c>
      <c r="I27" s="4">
        <v>4845475</v>
      </c>
      <c r="J27" s="4"/>
      <c r="K27" s="4"/>
      <c r="L27" s="4"/>
      <c r="M27" s="22"/>
      <c r="N27" s="22"/>
      <c r="O27" s="22"/>
    </row>
    <row r="28" spans="3:15" x14ac:dyDescent="0.25">
      <c r="C28" s="33"/>
      <c r="D28" s="11" t="s">
        <v>1065</v>
      </c>
      <c r="E28" s="33"/>
      <c r="F28" t="s">
        <v>1066</v>
      </c>
      <c r="G28" t="s">
        <v>93</v>
      </c>
      <c r="H28">
        <f t="shared" si="0"/>
        <v>5</v>
      </c>
      <c r="I28" s="4">
        <v>8260000</v>
      </c>
      <c r="J28" s="4"/>
      <c r="K28" s="4"/>
      <c r="L28" s="4"/>
      <c r="M28" s="22"/>
      <c r="N28" s="22"/>
      <c r="O28" s="22"/>
    </row>
    <row r="29" spans="3:15" x14ac:dyDescent="0.25">
      <c r="C29" s="33" t="str">
        <f t="shared" ref="C29:C43" si="1">IF(H29=1,"u","")</f>
        <v/>
      </c>
      <c r="D29" s="11" t="s">
        <v>1067</v>
      </c>
      <c r="E29" s="33"/>
      <c r="F29" t="s">
        <v>302</v>
      </c>
      <c r="G29" t="s">
        <v>25</v>
      </c>
      <c r="H29">
        <f t="shared" si="0"/>
        <v>8</v>
      </c>
      <c r="I29" s="4">
        <v>12227065</v>
      </c>
      <c r="J29" s="4"/>
      <c r="K29" s="4"/>
      <c r="L29" s="4"/>
      <c r="M29" s="22"/>
      <c r="N29" s="22"/>
      <c r="O29" s="22"/>
    </row>
    <row r="30" spans="3:15" x14ac:dyDescent="0.25">
      <c r="C30" s="33" t="str">
        <f t="shared" si="1"/>
        <v/>
      </c>
      <c r="D30" s="11" t="s">
        <v>997</v>
      </c>
      <c r="E30" s="33"/>
      <c r="F30" t="s">
        <v>998</v>
      </c>
      <c r="G30" t="s">
        <v>25</v>
      </c>
      <c r="H30">
        <f t="shared" si="0"/>
        <v>4</v>
      </c>
      <c r="I30" s="4">
        <v>8126800</v>
      </c>
      <c r="J30" s="4"/>
      <c r="K30" s="4"/>
      <c r="L30" s="4"/>
      <c r="M30" s="22"/>
      <c r="N30" s="22"/>
      <c r="O30" s="22"/>
    </row>
    <row r="31" spans="3:15" x14ac:dyDescent="0.25">
      <c r="C31" s="33" t="str">
        <f t="shared" si="1"/>
        <v/>
      </c>
      <c r="D31" s="11"/>
      <c r="E31" s="33"/>
      <c r="I31" s="4"/>
      <c r="J31" s="4"/>
      <c r="K31" s="4"/>
      <c r="L31" s="4"/>
      <c r="M31" s="22"/>
      <c r="N31" s="22"/>
      <c r="O31" s="22"/>
    </row>
    <row r="32" spans="3:15" x14ac:dyDescent="0.25">
      <c r="C32" s="33" t="str">
        <f t="shared" si="1"/>
        <v/>
      </c>
      <c r="D32" s="11"/>
      <c r="E32" s="33"/>
      <c r="I32" s="4"/>
      <c r="J32" s="4"/>
      <c r="K32" s="4"/>
      <c r="L32" s="4"/>
      <c r="M32" s="22"/>
      <c r="N32" s="22"/>
      <c r="O32" s="22"/>
    </row>
    <row r="33" spans="3:15" x14ac:dyDescent="0.25">
      <c r="C33" s="33" t="str">
        <f t="shared" si="1"/>
        <v/>
      </c>
      <c r="D33" s="11"/>
      <c r="E33" s="33"/>
      <c r="I33" s="4"/>
      <c r="M33" s="21"/>
      <c r="N33" s="21"/>
      <c r="O33" s="21"/>
    </row>
    <row r="34" spans="3:15" x14ac:dyDescent="0.25">
      <c r="C34" s="33" t="str">
        <f t="shared" si="1"/>
        <v/>
      </c>
      <c r="D34" s="11"/>
      <c r="E34" s="33" t="str">
        <f t="shared" ref="E34:E43" si="2">IF(H34=1,"t","")</f>
        <v/>
      </c>
      <c r="M34" s="21"/>
      <c r="N34" s="21"/>
      <c r="O34" s="21"/>
    </row>
    <row r="35" spans="3:15" x14ac:dyDescent="0.25">
      <c r="C35" s="33" t="str">
        <f t="shared" si="1"/>
        <v/>
      </c>
      <c r="D35" s="11"/>
      <c r="E35" s="33" t="str">
        <f t="shared" si="2"/>
        <v/>
      </c>
      <c r="M35" s="21"/>
      <c r="N35" s="21"/>
      <c r="O35" s="21"/>
    </row>
    <row r="36" spans="3:15" x14ac:dyDescent="0.25">
      <c r="C36" s="33" t="str">
        <f t="shared" si="1"/>
        <v/>
      </c>
      <c r="D36" s="11"/>
      <c r="E36" s="33" t="str">
        <f t="shared" si="2"/>
        <v/>
      </c>
      <c r="M36" s="21"/>
      <c r="N36" s="21"/>
      <c r="O36" s="21"/>
    </row>
    <row r="37" spans="3:15" x14ac:dyDescent="0.25">
      <c r="C37" s="33" t="str">
        <f t="shared" si="1"/>
        <v/>
      </c>
      <c r="D37" s="11"/>
      <c r="E37" s="33" t="str">
        <f t="shared" si="2"/>
        <v/>
      </c>
      <c r="M37" s="21"/>
      <c r="N37" s="21"/>
      <c r="O37" s="21"/>
    </row>
    <row r="38" spans="3:15" x14ac:dyDescent="0.25">
      <c r="C38" s="33" t="str">
        <f t="shared" si="1"/>
        <v/>
      </c>
      <c r="D38" s="11"/>
      <c r="E38" s="33" t="str">
        <f t="shared" si="2"/>
        <v/>
      </c>
      <c r="M38" s="21"/>
      <c r="N38" s="21"/>
      <c r="O38" s="21"/>
    </row>
    <row r="39" spans="3:15" x14ac:dyDescent="0.25">
      <c r="C39" s="33" t="str">
        <f t="shared" si="1"/>
        <v/>
      </c>
      <c r="D39" s="11"/>
      <c r="E39" s="33" t="str">
        <f t="shared" si="2"/>
        <v/>
      </c>
      <c r="M39" s="21"/>
      <c r="N39" s="21"/>
      <c r="O39" s="21"/>
    </row>
    <row r="40" spans="3:15" x14ac:dyDescent="0.25">
      <c r="C40" s="33" t="str">
        <f t="shared" si="1"/>
        <v/>
      </c>
      <c r="D40" s="11"/>
      <c r="E40" s="33" t="str">
        <f t="shared" si="2"/>
        <v/>
      </c>
      <c r="M40" s="21"/>
      <c r="N40" s="21"/>
      <c r="O40" s="21"/>
    </row>
    <row r="41" spans="3:15" x14ac:dyDescent="0.25">
      <c r="C41" s="33" t="str">
        <f t="shared" si="1"/>
        <v/>
      </c>
      <c r="D41" s="11"/>
      <c r="E41" s="33" t="str">
        <f t="shared" si="2"/>
        <v/>
      </c>
      <c r="M41" s="21"/>
      <c r="N41" s="21"/>
      <c r="O41" s="21"/>
    </row>
    <row r="42" spans="3:15" x14ac:dyDescent="0.25">
      <c r="C42" s="33" t="str">
        <f t="shared" si="1"/>
        <v/>
      </c>
      <c r="D42" s="11"/>
      <c r="E42" s="33" t="str">
        <f t="shared" si="2"/>
        <v/>
      </c>
      <c r="M42" s="21"/>
      <c r="N42" s="21"/>
      <c r="O42" s="21"/>
    </row>
    <row r="43" spans="3:15" x14ac:dyDescent="0.25">
      <c r="C43" s="33" t="str">
        <f t="shared" si="1"/>
        <v/>
      </c>
      <c r="D43" s="11"/>
      <c r="E43" s="33" t="str">
        <f t="shared" si="2"/>
        <v/>
      </c>
      <c r="M43" s="21"/>
      <c r="N43" s="21"/>
      <c r="O43" s="21"/>
    </row>
    <row r="44" spans="3:15" ht="6" customHeight="1" x14ac:dyDescent="0.25">
      <c r="C44" s="9"/>
      <c r="D44" s="9"/>
      <c r="E44" s="9"/>
      <c r="F44" s="9"/>
      <c r="G44" s="9"/>
      <c r="H44" s="9"/>
      <c r="I44" s="9"/>
      <c r="J44" s="9"/>
      <c r="K44" s="9"/>
      <c r="L44" s="9"/>
      <c r="M44" s="21"/>
      <c r="N44" s="21"/>
      <c r="O44" s="21"/>
    </row>
    <row r="45" spans="3:15" ht="6" customHeight="1" x14ac:dyDescent="0.25">
      <c r="M45" s="21"/>
      <c r="N45" s="21"/>
      <c r="O45" s="21"/>
    </row>
    <row r="46" spans="3:15" x14ac:dyDescent="0.25">
      <c r="C46" s="15" t="s">
        <v>79</v>
      </c>
      <c r="M46" s="21"/>
      <c r="N46" s="21"/>
      <c r="O46" s="21"/>
    </row>
    <row r="47" spans="3:15" x14ac:dyDescent="0.25">
      <c r="C47" s="15" t="s">
        <v>78</v>
      </c>
    </row>
  </sheetData>
  <mergeCells count="1">
    <mergeCell ref="G13:H13"/>
  </mergeCells>
  <conditionalFormatting sqref="I9">
    <cfRule type="containsText" dxfId="1949" priority="16" operator="containsText" text="FAIL">
      <formula>NOT(ISERROR(SEARCH("FAIL",I9)))</formula>
    </cfRule>
  </conditionalFormatting>
  <conditionalFormatting sqref="I9">
    <cfRule type="containsText" dxfId="1948" priority="15" operator="containsText" text="GOOD">
      <formula>NOT(ISERROR(SEARCH("GOOD",I9)))</formula>
    </cfRule>
  </conditionalFormatting>
  <conditionalFormatting sqref="F11">
    <cfRule type="containsText" dxfId="1947" priority="14" operator="containsText" text="FAIL">
      <formula>NOT(ISERROR(SEARCH("FAIL",F11)))</formula>
    </cfRule>
  </conditionalFormatting>
  <conditionalFormatting sqref="F11">
    <cfRule type="containsText" dxfId="1946" priority="13" operator="containsText" text="GOOD">
      <formula>NOT(ISERROR(SEARCH("GOOD",F11)))</formula>
    </cfRule>
  </conditionalFormatting>
  <conditionalFormatting sqref="D25">
    <cfRule type="expression" dxfId="1945" priority="12" stopIfTrue="1">
      <formula>IF($H$25=1,0)</formula>
    </cfRule>
  </conditionalFormatting>
  <conditionalFormatting sqref="D23 D29:D43 D25:D26">
    <cfRule type="expression" dxfId="1944" priority="11">
      <formula>H23=1</formula>
    </cfRule>
  </conditionalFormatting>
  <conditionalFormatting sqref="C23:C26 C29:C43">
    <cfRule type="expression" dxfId="1943" priority="10">
      <formula>H23=1</formula>
    </cfRule>
  </conditionalFormatting>
  <conditionalFormatting sqref="E23 E29:E43 E25:E26">
    <cfRule type="expression" dxfId="1942" priority="9">
      <formula>H23=1</formula>
    </cfRule>
  </conditionalFormatting>
  <conditionalFormatting sqref="F11">
    <cfRule type="containsText" dxfId="1941" priority="8" operator="containsText" text="FAIL">
      <formula>NOT(ISERROR(SEARCH("FAIL",F11)))</formula>
    </cfRule>
  </conditionalFormatting>
  <conditionalFormatting sqref="F11">
    <cfRule type="containsText" dxfId="1940" priority="7" operator="containsText" text="GOOD">
      <formula>NOT(ISERROR(SEARCH("GOOD",F11)))</formula>
    </cfRule>
  </conditionalFormatting>
  <conditionalFormatting sqref="D27:D28">
    <cfRule type="expression" dxfId="1939" priority="6">
      <formula>H27=1</formula>
    </cfRule>
  </conditionalFormatting>
  <conditionalFormatting sqref="C27:C28">
    <cfRule type="expression" dxfId="1938" priority="5">
      <formula>H27=1</formula>
    </cfRule>
  </conditionalFormatting>
  <conditionalFormatting sqref="E27:E28">
    <cfRule type="expression" dxfId="1937" priority="4">
      <formula>H27=1</formula>
    </cfRule>
  </conditionalFormatting>
  <conditionalFormatting sqref="D24">
    <cfRule type="expression" dxfId="1936" priority="3" stopIfTrue="1">
      <formula>IF($H$25=1,0)</formula>
    </cfRule>
  </conditionalFormatting>
  <conditionalFormatting sqref="D24">
    <cfRule type="expression" dxfId="1935" priority="2">
      <formula>H24=1</formula>
    </cfRule>
  </conditionalFormatting>
  <conditionalFormatting sqref="E24">
    <cfRule type="expression" dxfId="1934" priority="1">
      <formula>H24=1</formula>
    </cfRule>
  </conditionalFormatting>
  <pageMargins left="0.7" right="0.7" top="0.75" bottom="0.75" header="0.3" footer="0.3"/>
  <pageSetup scale="68" orientation="portrait" r:id="rId1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200-000000000000}">
  <sheetPr codeName="Sheet164"/>
  <dimension ref="A2:O47"/>
  <sheetViews>
    <sheetView topLeftCell="A4" workbookViewId="0">
      <selection activeCell="I31" sqref="I31"/>
    </sheetView>
  </sheetViews>
  <sheetFormatPr defaultRowHeight="15" x14ac:dyDescent="0.25"/>
  <cols>
    <col min="1" max="2" width="4.42578125" customWidth="1"/>
    <col min="3" max="3" width="3" customWidth="1"/>
    <col min="4" max="4" width="24.85546875" customWidth="1"/>
    <col min="5" max="5" width="3" customWidth="1"/>
    <col min="6" max="6" width="15.7109375" customWidth="1"/>
    <col min="7" max="7" width="8.5703125" customWidth="1"/>
    <col min="8" max="8" width="5.85546875" customWidth="1"/>
    <col min="9" max="15" width="15.7109375" customWidth="1"/>
  </cols>
  <sheetData>
    <row r="2" spans="1:11" x14ac:dyDescent="0.25">
      <c r="C2" s="15" t="s">
        <v>32</v>
      </c>
      <c r="E2" s="15"/>
      <c r="F2" s="15"/>
      <c r="G2" s="15" t="s">
        <v>33</v>
      </c>
      <c r="H2" s="15"/>
      <c r="I2" s="15"/>
      <c r="J2" s="15"/>
      <c r="K2" s="15"/>
    </row>
    <row r="3" spans="1:11" ht="18.75" x14ac:dyDescent="0.3">
      <c r="C3" s="3" t="s">
        <v>26</v>
      </c>
      <c r="J3" s="8" t="s">
        <v>17</v>
      </c>
    </row>
    <row r="4" spans="1:11" x14ac:dyDescent="0.25">
      <c r="D4" s="2" t="s">
        <v>0</v>
      </c>
      <c r="E4" s="1"/>
      <c r="F4" t="s">
        <v>368</v>
      </c>
      <c r="I4" s="2" t="s">
        <v>4</v>
      </c>
    </row>
    <row r="5" spans="1:11" x14ac:dyDescent="0.25">
      <c r="D5" s="2" t="s">
        <v>1</v>
      </c>
      <c r="F5" t="s">
        <v>369</v>
      </c>
    </row>
    <row r="6" spans="1:11" x14ac:dyDescent="0.25">
      <c r="D6" s="2" t="s">
        <v>2</v>
      </c>
      <c r="F6" s="6">
        <v>42102</v>
      </c>
      <c r="H6" s="11"/>
    </row>
    <row r="7" spans="1:11" x14ac:dyDescent="0.25">
      <c r="D7" s="2" t="s">
        <v>3</v>
      </c>
      <c r="F7" s="5">
        <v>4900000</v>
      </c>
      <c r="G7" s="2" t="s">
        <v>34</v>
      </c>
      <c r="H7" s="11"/>
    </row>
    <row r="8" spans="1:11" x14ac:dyDescent="0.25">
      <c r="D8" s="2" t="s">
        <v>18</v>
      </c>
      <c r="F8" s="5">
        <f>MIN(I23:I43)</f>
        <v>3388390</v>
      </c>
      <c r="H8" s="11"/>
    </row>
    <row r="9" spans="1:11" x14ac:dyDescent="0.25">
      <c r="D9" s="2" t="s">
        <v>67</v>
      </c>
      <c r="F9" s="4">
        <f>+F8-F7</f>
        <v>-1511610</v>
      </c>
      <c r="G9" s="16">
        <f>+F9/F7</f>
        <v>-0.30849183673469388</v>
      </c>
      <c r="H9" s="12" t="s">
        <v>20</v>
      </c>
      <c r="I9" s="11" t="str">
        <f>(IF(G9&lt;-0.1,"FAIL",IF(G9&gt;0.05,"FAIL","GOOD")))</f>
        <v>FAIL</v>
      </c>
      <c r="J9" s="14" t="s">
        <v>72</v>
      </c>
    </row>
    <row r="10" spans="1:11" x14ac:dyDescent="0.25">
      <c r="D10" s="2" t="s">
        <v>68</v>
      </c>
      <c r="F10" s="4">
        <f>+F7-F12</f>
        <v>485704.66999999993</v>
      </c>
      <c r="H10" s="11"/>
    </row>
    <row r="11" spans="1:11" x14ac:dyDescent="0.25">
      <c r="A11" s="30"/>
      <c r="D11" s="2" t="s">
        <v>71</v>
      </c>
      <c r="F11" s="11" t="str">
        <f>(IF(F7&lt;J12,"FAIL",IF(F7&gt;J13,"FAIL","GOOD")))</f>
        <v>FAIL</v>
      </c>
      <c r="H11" s="11"/>
    </row>
    <row r="12" spans="1:11" x14ac:dyDescent="0.25">
      <c r="D12" s="2" t="s">
        <v>28</v>
      </c>
      <c r="F12" s="4">
        <f>SUM(I23:I43)/H12</f>
        <v>4414295.33</v>
      </c>
      <c r="G12" s="14"/>
      <c r="H12" s="11">
        <f>COUNT(I23:I43)</f>
        <v>9</v>
      </c>
      <c r="I12" s="1" t="s">
        <v>31</v>
      </c>
      <c r="J12" s="4">
        <f>+F8*0.9</f>
        <v>3049551</v>
      </c>
      <c r="K12" s="1" t="s">
        <v>69</v>
      </c>
    </row>
    <row r="13" spans="1:11" x14ac:dyDescent="0.25">
      <c r="D13" s="2" t="s">
        <v>29</v>
      </c>
      <c r="F13" s="4">
        <f>MAX(I23:I43)-MIN(I23:I43)</f>
        <v>2030090.0899999999</v>
      </c>
      <c r="G13" s="399">
        <f>MEDIAN(I23:I43)</f>
        <v>4647500</v>
      </c>
      <c r="H13" s="400"/>
      <c r="I13" s="1" t="s">
        <v>30</v>
      </c>
      <c r="J13" s="4">
        <f>+F12*1.1</f>
        <v>4855724.8630000008</v>
      </c>
      <c r="K13" s="1" t="s">
        <v>70</v>
      </c>
    </row>
    <row r="14" spans="1:11" x14ac:dyDescent="0.25">
      <c r="H14" s="11"/>
    </row>
    <row r="15" spans="1:11" x14ac:dyDescent="0.25">
      <c r="D15" s="2" t="s">
        <v>8</v>
      </c>
      <c r="F15" s="4"/>
      <c r="G15" s="1" t="s">
        <v>9</v>
      </c>
      <c r="H15" s="11"/>
      <c r="I15" t="s">
        <v>15</v>
      </c>
      <c r="J15" s="7" t="e">
        <f>+F16/F15</f>
        <v>#DIV/0!</v>
      </c>
    </row>
    <row r="16" spans="1:11" x14ac:dyDescent="0.25">
      <c r="F16" s="4"/>
      <c r="G16" s="1" t="s">
        <v>10</v>
      </c>
      <c r="H16" s="11"/>
      <c r="I16" t="s">
        <v>14</v>
      </c>
      <c r="J16" s="7" t="e">
        <f>+F17/F16</f>
        <v>#DIV/0!</v>
      </c>
    </row>
    <row r="17" spans="3:15" x14ac:dyDescent="0.25">
      <c r="F17" s="4"/>
      <c r="G17" s="1" t="s">
        <v>11</v>
      </c>
      <c r="H17" s="11"/>
      <c r="I17" t="s">
        <v>13</v>
      </c>
      <c r="J17" s="7" t="e">
        <f>+F18/F17</f>
        <v>#DIV/0!</v>
      </c>
      <c r="M17" s="21"/>
      <c r="N17" s="21"/>
      <c r="O17" s="21"/>
    </row>
    <row r="18" spans="3:15" x14ac:dyDescent="0.25">
      <c r="F18" s="4"/>
      <c r="G18" s="1" t="s">
        <v>12</v>
      </c>
      <c r="H18" s="11"/>
      <c r="I18" t="s">
        <v>16</v>
      </c>
      <c r="J18" s="7" t="e">
        <f>+F8/F18</f>
        <v>#DIV/0!</v>
      </c>
      <c r="M18" s="21"/>
      <c r="N18" s="21"/>
      <c r="O18" s="21"/>
    </row>
    <row r="19" spans="3:15" x14ac:dyDescent="0.25">
      <c r="F19" s="2" t="s">
        <v>51</v>
      </c>
      <c r="G19">
        <v>0</v>
      </c>
      <c r="H19" s="11" t="s">
        <v>52</v>
      </c>
      <c r="I19" t="s">
        <v>41</v>
      </c>
      <c r="J19" s="7" t="e">
        <f>+F8/F15</f>
        <v>#DIV/0!</v>
      </c>
      <c r="M19" s="21"/>
      <c r="N19" s="21"/>
      <c r="O19" s="21"/>
    </row>
    <row r="20" spans="3:15" x14ac:dyDescent="0.25">
      <c r="H20" s="11"/>
      <c r="M20" s="21"/>
      <c r="N20" s="21"/>
      <c r="O20" s="21"/>
    </row>
    <row r="21" spans="3:15" x14ac:dyDescent="0.25">
      <c r="C21" s="9"/>
      <c r="D21" s="13" t="s">
        <v>21</v>
      </c>
      <c r="E21" s="9"/>
      <c r="F21" s="9" t="s">
        <v>22</v>
      </c>
      <c r="G21" s="9" t="s">
        <v>23</v>
      </c>
      <c r="H21" s="13" t="s">
        <v>27</v>
      </c>
      <c r="I21" s="10" t="s">
        <v>24</v>
      </c>
      <c r="J21" s="9"/>
      <c r="K21" s="9"/>
      <c r="L21" s="9"/>
      <c r="M21" s="21"/>
      <c r="N21" s="21"/>
      <c r="O21" s="21"/>
    </row>
    <row r="22" spans="3:15" ht="6" customHeight="1" x14ac:dyDescent="0.25">
      <c r="M22" s="21"/>
      <c r="N22" s="21"/>
      <c r="O22" s="21"/>
    </row>
    <row r="23" spans="3:15" x14ac:dyDescent="0.25">
      <c r="C23" s="33" t="str">
        <f>IF(H23=1,"u","")</f>
        <v>u</v>
      </c>
      <c r="D23" s="23" t="s">
        <v>221</v>
      </c>
      <c r="E23" s="33"/>
      <c r="F23" t="s">
        <v>161</v>
      </c>
      <c r="G23" t="s">
        <v>93</v>
      </c>
      <c r="H23">
        <f>RANK(I23,I$23:I$43,1)</f>
        <v>1</v>
      </c>
      <c r="I23" s="4">
        <v>3388390</v>
      </c>
      <c r="J23" s="4"/>
      <c r="K23" s="4"/>
      <c r="L23" s="4"/>
      <c r="M23" s="22"/>
      <c r="N23" s="22"/>
      <c r="O23" s="22"/>
    </row>
    <row r="24" spans="3:15" x14ac:dyDescent="0.25">
      <c r="C24" s="33" t="str">
        <f>IF(H24=1,"u","")</f>
        <v/>
      </c>
      <c r="D24" s="23" t="s">
        <v>357</v>
      </c>
      <c r="E24" s="33"/>
      <c r="F24" t="s">
        <v>264</v>
      </c>
      <c r="G24" t="s">
        <v>93</v>
      </c>
      <c r="H24">
        <f t="shared" ref="H24:H31" si="0">RANK(I24,I$23:I$43,1)</f>
        <v>2</v>
      </c>
      <c r="I24" s="4">
        <v>3460545</v>
      </c>
      <c r="J24" s="4"/>
      <c r="K24" s="4"/>
      <c r="L24" s="4"/>
      <c r="M24" s="22"/>
      <c r="N24" s="22"/>
      <c r="O24" s="22"/>
    </row>
    <row r="25" spans="3:15" x14ac:dyDescent="0.25">
      <c r="C25" s="33" t="str">
        <f>IF(H25=1,"u","")</f>
        <v/>
      </c>
      <c r="D25" s="23" t="s">
        <v>99</v>
      </c>
      <c r="E25" s="33"/>
      <c r="F25" t="s">
        <v>100</v>
      </c>
      <c r="G25" t="s">
        <v>93</v>
      </c>
      <c r="H25">
        <f t="shared" si="0"/>
        <v>3</v>
      </c>
      <c r="I25" s="4">
        <v>3840139</v>
      </c>
      <c r="J25" s="4"/>
      <c r="K25" s="4"/>
      <c r="L25" s="4"/>
      <c r="M25" s="22"/>
      <c r="N25" s="22"/>
      <c r="O25" s="22"/>
    </row>
    <row r="26" spans="3:15" x14ac:dyDescent="0.25">
      <c r="C26" s="33" t="str">
        <f t="shared" ref="C26:C43" si="1">IF(H26=1,"u","")</f>
        <v/>
      </c>
      <c r="D26" s="23" t="s">
        <v>348</v>
      </c>
      <c r="E26" s="33"/>
      <c r="F26" t="s">
        <v>282</v>
      </c>
      <c r="G26" t="s">
        <v>93</v>
      </c>
      <c r="H26">
        <f t="shared" si="0"/>
        <v>4</v>
      </c>
      <c r="I26" s="4">
        <v>4084460</v>
      </c>
      <c r="J26" s="4"/>
      <c r="K26" s="4"/>
      <c r="L26" s="4"/>
      <c r="M26" s="22"/>
      <c r="N26" s="22"/>
      <c r="O26" s="22"/>
    </row>
    <row r="27" spans="3:15" x14ac:dyDescent="0.25">
      <c r="C27" s="33" t="str">
        <f t="shared" si="1"/>
        <v/>
      </c>
      <c r="D27" s="23" t="s">
        <v>370</v>
      </c>
      <c r="E27" s="33" t="str">
        <f t="shared" ref="E27:E43" si="2">IF(H27=1,"t","")</f>
        <v/>
      </c>
      <c r="F27" t="s">
        <v>354</v>
      </c>
      <c r="G27" t="s">
        <v>355</v>
      </c>
      <c r="H27">
        <f t="shared" si="0"/>
        <v>5</v>
      </c>
      <c r="I27" s="4">
        <v>4647500</v>
      </c>
      <c r="J27" s="4"/>
      <c r="K27" s="4"/>
      <c r="L27" s="4"/>
      <c r="M27" s="22"/>
      <c r="N27" s="22"/>
      <c r="O27" s="22"/>
    </row>
    <row r="28" spans="3:15" x14ac:dyDescent="0.25">
      <c r="C28" s="33" t="str">
        <f t="shared" si="1"/>
        <v/>
      </c>
      <c r="D28" s="23" t="s">
        <v>98</v>
      </c>
      <c r="E28" s="33" t="str">
        <f t="shared" si="2"/>
        <v/>
      </c>
      <c r="F28" t="s">
        <v>95</v>
      </c>
      <c r="G28" t="s">
        <v>93</v>
      </c>
      <c r="H28">
        <f t="shared" si="0"/>
        <v>6</v>
      </c>
      <c r="I28" s="4">
        <v>4757000</v>
      </c>
      <c r="J28" s="4"/>
      <c r="K28" s="4"/>
      <c r="L28" s="4"/>
      <c r="M28" s="22"/>
      <c r="N28" s="22"/>
      <c r="O28" s="22"/>
    </row>
    <row r="29" spans="3:15" x14ac:dyDescent="0.25">
      <c r="C29" s="33" t="str">
        <f t="shared" si="1"/>
        <v/>
      </c>
      <c r="D29" s="23" t="s">
        <v>347</v>
      </c>
      <c r="E29" s="33" t="str">
        <f t="shared" si="2"/>
        <v/>
      </c>
      <c r="F29" t="s">
        <v>147</v>
      </c>
      <c r="G29" t="s">
        <v>93</v>
      </c>
      <c r="H29">
        <f t="shared" si="0"/>
        <v>7</v>
      </c>
      <c r="I29" s="4">
        <v>4888888.88</v>
      </c>
      <c r="J29" s="4"/>
      <c r="K29" s="4"/>
      <c r="L29" s="4"/>
      <c r="M29" s="22"/>
      <c r="N29" s="22"/>
      <c r="O29" s="22"/>
    </row>
    <row r="30" spans="3:15" x14ac:dyDescent="0.25">
      <c r="C30" s="33" t="str">
        <f t="shared" si="1"/>
        <v/>
      </c>
      <c r="D30" s="23" t="s">
        <v>371</v>
      </c>
      <c r="E30" s="33"/>
      <c r="F30" t="s">
        <v>240</v>
      </c>
      <c r="G30" t="s">
        <v>93</v>
      </c>
      <c r="H30">
        <f t="shared" si="0"/>
        <v>8</v>
      </c>
      <c r="I30" s="4">
        <v>5243255</v>
      </c>
      <c r="J30" s="4"/>
      <c r="K30" s="4"/>
      <c r="L30" s="4"/>
      <c r="M30" s="22"/>
      <c r="N30" s="22"/>
      <c r="O30" s="22"/>
    </row>
    <row r="31" spans="3:15" x14ac:dyDescent="0.25">
      <c r="C31" s="33" t="str">
        <f t="shared" si="1"/>
        <v/>
      </c>
      <c r="D31" s="23" t="s">
        <v>349</v>
      </c>
      <c r="E31" s="33" t="str">
        <f t="shared" si="2"/>
        <v/>
      </c>
      <c r="F31" t="s">
        <v>350</v>
      </c>
      <c r="G31" t="s">
        <v>93</v>
      </c>
      <c r="H31">
        <f t="shared" si="0"/>
        <v>9</v>
      </c>
      <c r="I31" s="4">
        <v>5418480.0899999999</v>
      </c>
      <c r="J31" s="4"/>
      <c r="K31" s="4"/>
      <c r="L31" s="4"/>
      <c r="M31" s="22"/>
      <c r="N31" s="22"/>
      <c r="O31" s="22"/>
    </row>
    <row r="32" spans="3:15" x14ac:dyDescent="0.25">
      <c r="C32" s="33" t="str">
        <f t="shared" si="1"/>
        <v/>
      </c>
      <c r="D32" s="23"/>
      <c r="E32" s="33" t="str">
        <f t="shared" si="2"/>
        <v/>
      </c>
      <c r="I32" s="4"/>
      <c r="J32" s="4"/>
      <c r="K32" s="4"/>
      <c r="L32" s="4"/>
      <c r="M32" s="22"/>
      <c r="N32" s="22"/>
      <c r="O32" s="22"/>
    </row>
    <row r="33" spans="3:15" x14ac:dyDescent="0.25">
      <c r="C33" s="33" t="str">
        <f t="shared" si="1"/>
        <v/>
      </c>
      <c r="D33" s="23"/>
      <c r="E33" s="33" t="str">
        <f t="shared" si="2"/>
        <v/>
      </c>
      <c r="M33" s="21"/>
      <c r="N33" s="21"/>
      <c r="O33" s="21"/>
    </row>
    <row r="34" spans="3:15" x14ac:dyDescent="0.25">
      <c r="C34" s="33" t="str">
        <f t="shared" si="1"/>
        <v/>
      </c>
      <c r="D34" s="11"/>
      <c r="E34" s="33" t="str">
        <f t="shared" si="2"/>
        <v/>
      </c>
      <c r="M34" s="21"/>
      <c r="N34" s="21"/>
      <c r="O34" s="21"/>
    </row>
    <row r="35" spans="3:15" x14ac:dyDescent="0.25">
      <c r="C35" s="33" t="str">
        <f t="shared" si="1"/>
        <v/>
      </c>
      <c r="D35" s="11"/>
      <c r="E35" s="33" t="str">
        <f t="shared" si="2"/>
        <v/>
      </c>
      <c r="M35" s="21"/>
      <c r="N35" s="21"/>
      <c r="O35" s="21"/>
    </row>
    <row r="36" spans="3:15" x14ac:dyDescent="0.25">
      <c r="C36" s="33" t="str">
        <f t="shared" si="1"/>
        <v/>
      </c>
      <c r="D36" s="11"/>
      <c r="E36" s="33" t="str">
        <f t="shared" si="2"/>
        <v/>
      </c>
      <c r="M36" s="21"/>
      <c r="N36" s="21"/>
      <c r="O36" s="21"/>
    </row>
    <row r="37" spans="3:15" x14ac:dyDescent="0.25">
      <c r="C37" s="33" t="str">
        <f t="shared" si="1"/>
        <v/>
      </c>
      <c r="D37" s="11"/>
      <c r="E37" s="33" t="str">
        <f t="shared" si="2"/>
        <v/>
      </c>
      <c r="M37" s="21"/>
      <c r="N37" s="21"/>
      <c r="O37" s="21"/>
    </row>
    <row r="38" spans="3:15" x14ac:dyDescent="0.25">
      <c r="C38" s="33" t="str">
        <f t="shared" si="1"/>
        <v/>
      </c>
      <c r="D38" s="11"/>
      <c r="E38" s="33" t="str">
        <f t="shared" si="2"/>
        <v/>
      </c>
      <c r="M38" s="21"/>
      <c r="N38" s="21"/>
      <c r="O38" s="21"/>
    </row>
    <row r="39" spans="3:15" x14ac:dyDescent="0.25">
      <c r="C39" s="33" t="str">
        <f t="shared" si="1"/>
        <v/>
      </c>
      <c r="D39" s="11"/>
      <c r="E39" s="33" t="str">
        <f t="shared" si="2"/>
        <v/>
      </c>
      <c r="M39" s="21"/>
      <c r="N39" s="21"/>
      <c r="O39" s="21"/>
    </row>
    <row r="40" spans="3:15" x14ac:dyDescent="0.25">
      <c r="C40" s="33" t="str">
        <f t="shared" si="1"/>
        <v/>
      </c>
      <c r="D40" s="11"/>
      <c r="E40" s="33" t="str">
        <f t="shared" si="2"/>
        <v/>
      </c>
      <c r="M40" s="21"/>
      <c r="N40" s="21"/>
      <c r="O40" s="21"/>
    </row>
    <row r="41" spans="3:15" x14ac:dyDescent="0.25">
      <c r="C41" s="33" t="str">
        <f t="shared" si="1"/>
        <v/>
      </c>
      <c r="D41" s="11"/>
      <c r="E41" s="33" t="str">
        <f t="shared" si="2"/>
        <v/>
      </c>
      <c r="M41" s="21"/>
      <c r="N41" s="21"/>
      <c r="O41" s="21"/>
    </row>
    <row r="42" spans="3:15" x14ac:dyDescent="0.25">
      <c r="C42" s="33" t="str">
        <f t="shared" si="1"/>
        <v/>
      </c>
      <c r="D42" s="11"/>
      <c r="E42" s="33" t="str">
        <f t="shared" si="2"/>
        <v/>
      </c>
      <c r="M42" s="21"/>
      <c r="N42" s="21"/>
      <c r="O42" s="21"/>
    </row>
    <row r="43" spans="3:15" x14ac:dyDescent="0.25">
      <c r="C43" s="33" t="str">
        <f t="shared" si="1"/>
        <v/>
      </c>
      <c r="D43" s="11"/>
      <c r="E43" s="33" t="str">
        <f t="shared" si="2"/>
        <v/>
      </c>
      <c r="M43" s="21"/>
      <c r="N43" s="21"/>
      <c r="O43" s="21"/>
    </row>
    <row r="44" spans="3:15" ht="6" customHeight="1" x14ac:dyDescent="0.25">
      <c r="C44" s="9"/>
      <c r="D44" s="9"/>
      <c r="E44" s="9"/>
      <c r="F44" s="9"/>
      <c r="G44" s="9"/>
      <c r="H44" s="9"/>
      <c r="I44" s="9"/>
      <c r="J44" s="9"/>
      <c r="K44" s="9"/>
      <c r="L44" s="9"/>
      <c r="M44" s="21"/>
      <c r="N44" s="21"/>
      <c r="O44" s="21"/>
    </row>
    <row r="45" spans="3:15" ht="6" customHeight="1" x14ac:dyDescent="0.25">
      <c r="M45" s="21"/>
      <c r="N45" s="21"/>
      <c r="O45" s="21"/>
    </row>
    <row r="46" spans="3:15" x14ac:dyDescent="0.25">
      <c r="C46" s="15" t="s">
        <v>79</v>
      </c>
      <c r="M46" s="21"/>
      <c r="N46" s="21"/>
      <c r="O46" s="21"/>
    </row>
    <row r="47" spans="3:15" x14ac:dyDescent="0.25">
      <c r="C47" s="15" t="s">
        <v>78</v>
      </c>
    </row>
  </sheetData>
  <mergeCells count="1">
    <mergeCell ref="G13:H13"/>
  </mergeCells>
  <conditionalFormatting sqref="I9">
    <cfRule type="containsText" dxfId="136" priority="10" operator="containsText" text="FAIL">
      <formula>NOT(ISERROR(SEARCH("FAIL",I9)))</formula>
    </cfRule>
  </conditionalFormatting>
  <conditionalFormatting sqref="I9">
    <cfRule type="containsText" dxfId="135" priority="9" operator="containsText" text="GOOD">
      <formula>NOT(ISERROR(SEARCH("GOOD",I9)))</formula>
    </cfRule>
  </conditionalFormatting>
  <conditionalFormatting sqref="F11">
    <cfRule type="containsText" dxfId="134" priority="8" operator="containsText" text="FAIL">
      <formula>NOT(ISERROR(SEARCH("FAIL",F11)))</formula>
    </cfRule>
  </conditionalFormatting>
  <conditionalFormatting sqref="F11">
    <cfRule type="containsText" dxfId="133" priority="7" operator="containsText" text="GOOD">
      <formula>NOT(ISERROR(SEARCH("GOOD",F11)))</formula>
    </cfRule>
  </conditionalFormatting>
  <conditionalFormatting sqref="D25">
    <cfRule type="expression" dxfId="132" priority="6" stopIfTrue="1">
      <formula>IF($H$25=1,0)</formula>
    </cfRule>
  </conditionalFormatting>
  <conditionalFormatting sqref="D29:D43 D23:D27">
    <cfRule type="expression" dxfId="131" priority="5">
      <formula>H23=1</formula>
    </cfRule>
  </conditionalFormatting>
  <conditionalFormatting sqref="C23:C43">
    <cfRule type="expression" dxfId="130" priority="4">
      <formula>H23=1</formula>
    </cfRule>
  </conditionalFormatting>
  <conditionalFormatting sqref="E23:E43">
    <cfRule type="expression" dxfId="129" priority="3">
      <formula>H23=1</formula>
    </cfRule>
  </conditionalFormatting>
  <conditionalFormatting sqref="D28">
    <cfRule type="expression" dxfId="128" priority="17">
      <formula>H27=1</formula>
    </cfRule>
  </conditionalFormatting>
  <pageMargins left="0.7" right="0.7" top="0.75" bottom="0.75" header="0.3" footer="0.3"/>
  <pageSetup orientation="portrait" r:id="rId1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200-000000000000}">
  <sheetPr codeName="Sheet148"/>
  <dimension ref="A2:O47"/>
  <sheetViews>
    <sheetView topLeftCell="A4" workbookViewId="0">
      <selection activeCell="I29" sqref="I29"/>
    </sheetView>
  </sheetViews>
  <sheetFormatPr defaultRowHeight="15" x14ac:dyDescent="0.25"/>
  <cols>
    <col min="1" max="2" width="4.42578125" customWidth="1"/>
    <col min="3" max="3" width="3" customWidth="1"/>
    <col min="4" max="4" width="24.85546875" customWidth="1"/>
    <col min="5" max="5" width="3" customWidth="1"/>
    <col min="6" max="6" width="15.7109375" customWidth="1"/>
    <col min="7" max="7" width="8.5703125" customWidth="1"/>
    <col min="8" max="8" width="5.85546875" customWidth="1"/>
    <col min="9" max="15" width="15.7109375" customWidth="1"/>
  </cols>
  <sheetData>
    <row r="2" spans="1:11" x14ac:dyDescent="0.25">
      <c r="C2" s="15" t="s">
        <v>32</v>
      </c>
      <c r="E2" s="15"/>
      <c r="F2" s="15"/>
      <c r="G2" s="15" t="s">
        <v>33</v>
      </c>
      <c r="H2" s="15"/>
      <c r="I2" s="15"/>
      <c r="J2" s="15"/>
      <c r="K2" s="15"/>
    </row>
    <row r="3" spans="1:11" ht="18.75" x14ac:dyDescent="0.3">
      <c r="C3" s="3" t="s">
        <v>26</v>
      </c>
      <c r="J3" s="8" t="s">
        <v>17</v>
      </c>
    </row>
    <row r="4" spans="1:11" x14ac:dyDescent="0.25">
      <c r="D4" s="2" t="s">
        <v>0</v>
      </c>
      <c r="E4" s="1"/>
      <c r="F4" t="s">
        <v>258</v>
      </c>
      <c r="I4" s="2" t="s">
        <v>4</v>
      </c>
    </row>
    <row r="5" spans="1:11" x14ac:dyDescent="0.25">
      <c r="D5" s="2" t="s">
        <v>1</v>
      </c>
      <c r="F5" t="s">
        <v>259</v>
      </c>
    </row>
    <row r="6" spans="1:11" x14ac:dyDescent="0.25">
      <c r="D6" s="2" t="s">
        <v>2</v>
      </c>
      <c r="F6" s="6">
        <v>42209</v>
      </c>
      <c r="H6" s="11"/>
    </row>
    <row r="7" spans="1:11" x14ac:dyDescent="0.25">
      <c r="D7" s="2" t="s">
        <v>3</v>
      </c>
      <c r="F7" s="5">
        <v>4100000</v>
      </c>
      <c r="G7" s="2" t="s">
        <v>34</v>
      </c>
      <c r="H7" s="11"/>
    </row>
    <row r="8" spans="1:11" x14ac:dyDescent="0.25">
      <c r="D8" s="2" t="s">
        <v>18</v>
      </c>
      <c r="F8" s="5">
        <f>MIN(I23:I43)</f>
        <v>1775000</v>
      </c>
      <c r="H8" s="11"/>
    </row>
    <row r="9" spans="1:11" x14ac:dyDescent="0.25">
      <c r="D9" s="2" t="s">
        <v>67</v>
      </c>
      <c r="F9" s="4">
        <f>+F8-F7</f>
        <v>-2325000</v>
      </c>
      <c r="G9" s="16">
        <f>+F9/F7</f>
        <v>-0.56707317073170727</v>
      </c>
      <c r="H9" s="12" t="s">
        <v>20</v>
      </c>
      <c r="I9" s="11" t="str">
        <f>(IF(G9&lt;-0.1,"FAIL",IF(G9&gt;0.05,"FAIL","GOOD")))</f>
        <v>FAIL</v>
      </c>
      <c r="J9" s="14" t="s">
        <v>72</v>
      </c>
    </row>
    <row r="10" spans="1:11" x14ac:dyDescent="0.25">
      <c r="D10" s="2" t="s">
        <v>68</v>
      </c>
      <c r="F10" s="4">
        <f>+F7-F12</f>
        <v>897035.85714285728</v>
      </c>
      <c r="H10" s="11"/>
    </row>
    <row r="11" spans="1:11" x14ac:dyDescent="0.25">
      <c r="A11" s="30"/>
      <c r="D11" s="2" t="s">
        <v>71</v>
      </c>
      <c r="F11" s="11" t="str">
        <f>(IF(F7&lt;J12,"FAIL",IF(F7&gt;J13,"FAIL","GOOD")))</f>
        <v>FAIL</v>
      </c>
      <c r="H11" s="11"/>
    </row>
    <row r="12" spans="1:11" x14ac:dyDescent="0.25">
      <c r="D12" s="2" t="s">
        <v>28</v>
      </c>
      <c r="F12" s="4">
        <f>SUM(I23:I43)/H12</f>
        <v>3202964.1428571427</v>
      </c>
      <c r="G12" s="14"/>
      <c r="H12" s="11">
        <f>COUNT(I23:I43)</f>
        <v>7</v>
      </c>
      <c r="I12" s="1" t="s">
        <v>31</v>
      </c>
      <c r="J12" s="4">
        <f>+F8*0.9</f>
        <v>1597500</v>
      </c>
      <c r="K12" s="1" t="s">
        <v>69</v>
      </c>
    </row>
    <row r="13" spans="1:11" x14ac:dyDescent="0.25">
      <c r="D13" s="2" t="s">
        <v>29</v>
      </c>
      <c r="F13" s="4">
        <f>MAX(I23:I43)-MIN(I23:I43)</f>
        <v>2115650</v>
      </c>
      <c r="G13" s="399">
        <f>MEDIAN(I23:I43)</f>
        <v>3292634</v>
      </c>
      <c r="H13" s="400"/>
      <c r="I13" s="1" t="s">
        <v>30</v>
      </c>
      <c r="J13" s="4">
        <f>+F12*1.1</f>
        <v>3523260.5571428575</v>
      </c>
      <c r="K13" s="1" t="s">
        <v>70</v>
      </c>
    </row>
    <row r="14" spans="1:11" x14ac:dyDescent="0.25">
      <c r="H14" s="11"/>
    </row>
    <row r="15" spans="1:11" x14ac:dyDescent="0.25">
      <c r="D15" s="2" t="s">
        <v>8</v>
      </c>
      <c r="F15" s="4"/>
      <c r="G15" s="1" t="s">
        <v>9</v>
      </c>
      <c r="H15" s="11"/>
      <c r="I15" t="s">
        <v>15</v>
      </c>
      <c r="J15" s="7" t="e">
        <f>+F16/F15</f>
        <v>#DIV/0!</v>
      </c>
    </row>
    <row r="16" spans="1:11" x14ac:dyDescent="0.25">
      <c r="F16" s="4"/>
      <c r="G16" s="1" t="s">
        <v>10</v>
      </c>
      <c r="H16" s="11"/>
      <c r="I16" t="s">
        <v>14</v>
      </c>
      <c r="J16" s="7" t="e">
        <f>+F17/F16</f>
        <v>#DIV/0!</v>
      </c>
    </row>
    <row r="17" spans="3:15" x14ac:dyDescent="0.25">
      <c r="F17" s="4"/>
      <c r="G17" s="1" t="s">
        <v>11</v>
      </c>
      <c r="H17" s="11"/>
      <c r="I17" t="s">
        <v>13</v>
      </c>
      <c r="J17" s="7" t="e">
        <f>+F18/F17</f>
        <v>#DIV/0!</v>
      </c>
      <c r="M17" s="21"/>
      <c r="N17" s="21"/>
      <c r="O17" s="21"/>
    </row>
    <row r="18" spans="3:15" x14ac:dyDescent="0.25">
      <c r="F18" s="4"/>
      <c r="G18" s="1" t="s">
        <v>12</v>
      </c>
      <c r="H18" s="11"/>
      <c r="I18" t="s">
        <v>16</v>
      </c>
      <c r="J18" s="7" t="e">
        <f>+F8/F18</f>
        <v>#DIV/0!</v>
      </c>
      <c r="M18" s="21"/>
      <c r="N18" s="21"/>
      <c r="O18" s="21"/>
    </row>
    <row r="19" spans="3:15" x14ac:dyDescent="0.25">
      <c r="F19" s="2" t="s">
        <v>51</v>
      </c>
      <c r="G19">
        <v>0</v>
      </c>
      <c r="H19" s="11" t="s">
        <v>52</v>
      </c>
      <c r="I19" t="s">
        <v>41</v>
      </c>
      <c r="J19" s="7" t="e">
        <f>+F8/F15</f>
        <v>#DIV/0!</v>
      </c>
      <c r="M19" s="21"/>
      <c r="N19" s="21"/>
      <c r="O19" s="21"/>
    </row>
    <row r="20" spans="3:15" x14ac:dyDescent="0.25">
      <c r="H20" s="11"/>
      <c r="M20" s="21"/>
      <c r="N20" s="21"/>
      <c r="O20" s="21"/>
    </row>
    <row r="21" spans="3:15" x14ac:dyDescent="0.25">
      <c r="C21" s="9"/>
      <c r="D21" s="13" t="s">
        <v>21</v>
      </c>
      <c r="E21" s="9"/>
      <c r="F21" s="9" t="s">
        <v>22</v>
      </c>
      <c r="G21" s="9" t="s">
        <v>23</v>
      </c>
      <c r="H21" s="13" t="s">
        <v>27</v>
      </c>
      <c r="I21" s="10" t="s">
        <v>24</v>
      </c>
      <c r="J21" s="9"/>
      <c r="K21" s="9"/>
      <c r="L21" s="9"/>
      <c r="M21" s="21"/>
      <c r="N21" s="21"/>
      <c r="O21" s="21"/>
    </row>
    <row r="22" spans="3:15" ht="6" customHeight="1" x14ac:dyDescent="0.25">
      <c r="M22" s="21"/>
      <c r="N22" s="21"/>
      <c r="O22" s="21"/>
    </row>
    <row r="23" spans="3:15" x14ac:dyDescent="0.25">
      <c r="C23" s="33" t="str">
        <f>IF(H23=1,"u","")</f>
        <v>u</v>
      </c>
      <c r="D23" s="23" t="s">
        <v>91</v>
      </c>
      <c r="E23" s="33"/>
      <c r="F23" t="s">
        <v>92</v>
      </c>
      <c r="G23" t="s">
        <v>93</v>
      </c>
      <c r="H23">
        <f>RANK(I23,I$23:I$43,1)</f>
        <v>1</v>
      </c>
      <c r="I23" s="4">
        <v>1775000</v>
      </c>
      <c r="J23" s="4"/>
      <c r="K23" s="4"/>
      <c r="L23" s="4"/>
      <c r="M23" s="22"/>
      <c r="N23" s="22"/>
      <c r="O23" s="22"/>
    </row>
    <row r="24" spans="3:15" x14ac:dyDescent="0.25">
      <c r="C24" s="33" t="str">
        <f>IF(H24=1,"u","")</f>
        <v/>
      </c>
      <c r="D24" s="23" t="s">
        <v>99</v>
      </c>
      <c r="E24" s="33"/>
      <c r="F24" t="s">
        <v>100</v>
      </c>
      <c r="G24" t="s">
        <v>93</v>
      </c>
      <c r="H24">
        <f t="shared" ref="H24:H29" si="0">RANK(I24,I$23:I$43,1)</f>
        <v>2</v>
      </c>
      <c r="I24" s="4">
        <v>2994677</v>
      </c>
      <c r="J24" s="4"/>
      <c r="K24" s="4"/>
      <c r="L24" s="4"/>
      <c r="M24" s="22"/>
      <c r="N24" s="22"/>
      <c r="O24" s="22"/>
    </row>
    <row r="25" spans="3:15" x14ac:dyDescent="0.25">
      <c r="C25" s="33" t="str">
        <f>IF(H25=1,"u","")</f>
        <v/>
      </c>
      <c r="D25" s="23" t="s">
        <v>260</v>
      </c>
      <c r="E25" s="33"/>
      <c r="F25" t="s">
        <v>261</v>
      </c>
      <c r="G25" t="s">
        <v>93</v>
      </c>
      <c r="H25">
        <f t="shared" si="0"/>
        <v>3</v>
      </c>
      <c r="I25" s="4">
        <v>3287000</v>
      </c>
      <c r="J25" s="4"/>
      <c r="K25" s="4"/>
      <c r="L25" s="4"/>
      <c r="M25" s="22"/>
      <c r="N25" s="22"/>
      <c r="O25" s="22"/>
    </row>
    <row r="26" spans="3:15" x14ac:dyDescent="0.25">
      <c r="C26" s="33" t="str">
        <f t="shared" ref="C26:C43" si="1">IF(H26=1,"u","")</f>
        <v/>
      </c>
      <c r="D26" s="23" t="s">
        <v>262</v>
      </c>
      <c r="E26" s="33"/>
      <c r="F26" t="s">
        <v>161</v>
      </c>
      <c r="G26" t="s">
        <v>93</v>
      </c>
      <c r="H26">
        <f t="shared" si="0"/>
        <v>4</v>
      </c>
      <c r="I26" s="4">
        <v>3292634</v>
      </c>
      <c r="J26" s="4"/>
      <c r="K26" s="4"/>
      <c r="L26" s="4"/>
      <c r="M26" s="22"/>
      <c r="N26" s="22"/>
      <c r="O26" s="22"/>
    </row>
    <row r="27" spans="3:15" x14ac:dyDescent="0.25">
      <c r="C27" s="33" t="str">
        <f t="shared" si="1"/>
        <v/>
      </c>
      <c r="D27" s="23" t="s">
        <v>134</v>
      </c>
      <c r="E27" s="33" t="str">
        <f t="shared" ref="E27:E43" si="2">IF(H27=1,"t","")</f>
        <v/>
      </c>
      <c r="F27" t="s">
        <v>135</v>
      </c>
      <c r="G27" t="s">
        <v>25</v>
      </c>
      <c r="H27">
        <f t="shared" si="0"/>
        <v>5</v>
      </c>
      <c r="I27" s="4">
        <v>3362000</v>
      </c>
      <c r="J27" s="4"/>
      <c r="K27" s="4"/>
      <c r="L27" s="4"/>
      <c r="M27" s="22"/>
      <c r="N27" s="22"/>
      <c r="O27" s="22"/>
    </row>
    <row r="28" spans="3:15" x14ac:dyDescent="0.25">
      <c r="C28" s="33" t="str">
        <f t="shared" si="1"/>
        <v/>
      </c>
      <c r="D28" s="23" t="s">
        <v>263</v>
      </c>
      <c r="E28" s="33" t="str">
        <f t="shared" si="2"/>
        <v/>
      </c>
      <c r="F28" t="s">
        <v>264</v>
      </c>
      <c r="G28" t="s">
        <v>93</v>
      </c>
      <c r="H28">
        <f t="shared" si="0"/>
        <v>6</v>
      </c>
      <c r="I28" s="4">
        <v>3818788</v>
      </c>
      <c r="J28" s="4"/>
      <c r="K28" s="4"/>
      <c r="L28" s="4"/>
      <c r="M28" s="22"/>
      <c r="N28" s="22"/>
      <c r="O28" s="22"/>
    </row>
    <row r="29" spans="3:15" x14ac:dyDescent="0.25">
      <c r="C29" s="33" t="str">
        <f t="shared" si="1"/>
        <v/>
      </c>
      <c r="D29" s="23" t="s">
        <v>162</v>
      </c>
      <c r="E29" s="33" t="str">
        <f t="shared" si="2"/>
        <v/>
      </c>
      <c r="F29" t="s">
        <v>159</v>
      </c>
      <c r="G29" t="s">
        <v>93</v>
      </c>
      <c r="H29">
        <f t="shared" si="0"/>
        <v>7</v>
      </c>
      <c r="I29" s="4">
        <v>3890650</v>
      </c>
      <c r="J29" s="4"/>
      <c r="K29" s="4"/>
      <c r="L29" s="4"/>
      <c r="M29" s="22"/>
      <c r="N29" s="22"/>
      <c r="O29" s="22"/>
    </row>
    <row r="30" spans="3:15" x14ac:dyDescent="0.25">
      <c r="C30" s="33" t="str">
        <f t="shared" si="1"/>
        <v/>
      </c>
      <c r="D30" s="23"/>
      <c r="E30" s="33" t="str">
        <f t="shared" si="2"/>
        <v/>
      </c>
      <c r="I30" s="4"/>
      <c r="J30" s="4"/>
      <c r="K30" s="4"/>
      <c r="L30" s="4"/>
      <c r="M30" s="22"/>
      <c r="N30" s="22"/>
      <c r="O30" s="22"/>
    </row>
    <row r="31" spans="3:15" x14ac:dyDescent="0.25">
      <c r="C31" s="33" t="str">
        <f t="shared" si="1"/>
        <v/>
      </c>
      <c r="D31" s="23"/>
      <c r="E31" s="33" t="str">
        <f t="shared" si="2"/>
        <v/>
      </c>
      <c r="I31" s="4"/>
      <c r="J31" s="4"/>
      <c r="K31" s="4"/>
      <c r="L31" s="4"/>
      <c r="M31" s="22"/>
      <c r="N31" s="22"/>
      <c r="O31" s="22"/>
    </row>
    <row r="32" spans="3:15" x14ac:dyDescent="0.25">
      <c r="C32" s="33" t="str">
        <f t="shared" si="1"/>
        <v/>
      </c>
      <c r="D32" s="23"/>
      <c r="E32" s="33" t="str">
        <f t="shared" si="2"/>
        <v/>
      </c>
      <c r="I32" s="4"/>
      <c r="J32" s="4"/>
      <c r="K32" s="4"/>
      <c r="L32" s="4"/>
      <c r="M32" s="22"/>
      <c r="N32" s="22"/>
      <c r="O32" s="22"/>
    </row>
    <row r="33" spans="3:15" x14ac:dyDescent="0.25">
      <c r="C33" s="33" t="str">
        <f t="shared" si="1"/>
        <v/>
      </c>
      <c r="D33" s="23"/>
      <c r="E33" s="33" t="str">
        <f t="shared" si="2"/>
        <v/>
      </c>
      <c r="M33" s="21"/>
      <c r="N33" s="21"/>
      <c r="O33" s="21"/>
    </row>
    <row r="34" spans="3:15" x14ac:dyDescent="0.25">
      <c r="C34" s="33" t="str">
        <f t="shared" si="1"/>
        <v/>
      </c>
      <c r="D34" s="23"/>
      <c r="E34" s="33" t="str">
        <f t="shared" si="2"/>
        <v/>
      </c>
      <c r="M34" s="21"/>
      <c r="N34" s="21"/>
      <c r="O34" s="21"/>
    </row>
    <row r="35" spans="3:15" x14ac:dyDescent="0.25">
      <c r="C35" s="33" t="str">
        <f t="shared" si="1"/>
        <v/>
      </c>
      <c r="D35" s="23"/>
      <c r="E35" s="33" t="str">
        <f t="shared" si="2"/>
        <v/>
      </c>
      <c r="M35" s="21"/>
      <c r="N35" s="21"/>
      <c r="O35" s="21"/>
    </row>
    <row r="36" spans="3:15" x14ac:dyDescent="0.25">
      <c r="C36" s="33" t="str">
        <f t="shared" si="1"/>
        <v/>
      </c>
      <c r="D36" s="23"/>
      <c r="E36" s="33" t="str">
        <f t="shared" si="2"/>
        <v/>
      </c>
      <c r="M36" s="21"/>
      <c r="N36" s="21"/>
      <c r="O36" s="21"/>
    </row>
    <row r="37" spans="3:15" x14ac:dyDescent="0.25">
      <c r="C37" s="33" t="str">
        <f t="shared" si="1"/>
        <v/>
      </c>
      <c r="D37" s="23"/>
      <c r="E37" s="33" t="str">
        <f t="shared" si="2"/>
        <v/>
      </c>
      <c r="M37" s="21"/>
      <c r="N37" s="21"/>
      <c r="O37" s="21"/>
    </row>
    <row r="38" spans="3:15" x14ac:dyDescent="0.25">
      <c r="C38" s="33" t="str">
        <f t="shared" si="1"/>
        <v/>
      </c>
      <c r="D38" s="11"/>
      <c r="E38" s="33" t="str">
        <f t="shared" si="2"/>
        <v/>
      </c>
      <c r="M38" s="21"/>
      <c r="N38" s="21"/>
      <c r="O38" s="21"/>
    </row>
    <row r="39" spans="3:15" x14ac:dyDescent="0.25">
      <c r="C39" s="33" t="str">
        <f t="shared" si="1"/>
        <v/>
      </c>
      <c r="D39" s="11"/>
      <c r="E39" s="33" t="str">
        <f t="shared" si="2"/>
        <v/>
      </c>
      <c r="M39" s="21"/>
      <c r="N39" s="21"/>
      <c r="O39" s="21"/>
    </row>
    <row r="40" spans="3:15" x14ac:dyDescent="0.25">
      <c r="C40" s="33" t="str">
        <f t="shared" si="1"/>
        <v/>
      </c>
      <c r="D40" s="11"/>
      <c r="E40" s="33" t="str">
        <f t="shared" si="2"/>
        <v/>
      </c>
      <c r="M40" s="21"/>
      <c r="N40" s="21"/>
      <c r="O40" s="21"/>
    </row>
    <row r="41" spans="3:15" x14ac:dyDescent="0.25">
      <c r="C41" s="33" t="str">
        <f t="shared" si="1"/>
        <v/>
      </c>
      <c r="D41" s="11"/>
      <c r="E41" s="33" t="str">
        <f t="shared" si="2"/>
        <v/>
      </c>
      <c r="M41" s="21"/>
      <c r="N41" s="21"/>
      <c r="O41" s="21"/>
    </row>
    <row r="42" spans="3:15" x14ac:dyDescent="0.25">
      <c r="C42" s="33" t="str">
        <f t="shared" si="1"/>
        <v/>
      </c>
      <c r="D42" s="11"/>
      <c r="E42" s="33" t="str">
        <f t="shared" si="2"/>
        <v/>
      </c>
      <c r="M42" s="21"/>
      <c r="N42" s="21"/>
      <c r="O42" s="21"/>
    </row>
    <row r="43" spans="3:15" x14ac:dyDescent="0.25">
      <c r="C43" s="33" t="str">
        <f t="shared" si="1"/>
        <v/>
      </c>
      <c r="D43" s="11"/>
      <c r="E43" s="33" t="str">
        <f t="shared" si="2"/>
        <v/>
      </c>
      <c r="M43" s="21"/>
      <c r="N43" s="21"/>
      <c r="O43" s="21"/>
    </row>
    <row r="44" spans="3:15" ht="6" customHeight="1" x14ac:dyDescent="0.25">
      <c r="C44" s="9"/>
      <c r="D44" s="9"/>
      <c r="E44" s="9"/>
      <c r="F44" s="9"/>
      <c r="G44" s="9"/>
      <c r="H44" s="9"/>
      <c r="I44" s="9"/>
      <c r="J44" s="9"/>
      <c r="K44" s="9"/>
      <c r="L44" s="9"/>
      <c r="M44" s="21"/>
      <c r="N44" s="21"/>
      <c r="O44" s="21"/>
    </row>
    <row r="45" spans="3:15" ht="6" customHeight="1" x14ac:dyDescent="0.25">
      <c r="M45" s="21"/>
      <c r="N45" s="21"/>
      <c r="O45" s="21"/>
    </row>
    <row r="46" spans="3:15" x14ac:dyDescent="0.25">
      <c r="C46" s="15" t="s">
        <v>79</v>
      </c>
      <c r="M46" s="21"/>
      <c r="N46" s="21"/>
      <c r="O46" s="21"/>
    </row>
    <row r="47" spans="3:15" x14ac:dyDescent="0.25">
      <c r="C47" s="15" t="s">
        <v>78</v>
      </c>
    </row>
  </sheetData>
  <mergeCells count="1">
    <mergeCell ref="G13:H13"/>
  </mergeCells>
  <conditionalFormatting sqref="I9">
    <cfRule type="containsText" dxfId="330" priority="10" operator="containsText" text="FAIL">
      <formula>NOT(ISERROR(SEARCH("FAIL",I9)))</formula>
    </cfRule>
  </conditionalFormatting>
  <conditionalFormatting sqref="I9">
    <cfRule type="containsText" dxfId="329" priority="9" operator="containsText" text="GOOD">
      <formula>NOT(ISERROR(SEARCH("GOOD",I9)))</formula>
    </cfRule>
  </conditionalFormatting>
  <conditionalFormatting sqref="F11">
    <cfRule type="containsText" dxfId="328" priority="8" operator="containsText" text="FAIL">
      <formula>NOT(ISERROR(SEARCH("FAIL",F11)))</formula>
    </cfRule>
  </conditionalFormatting>
  <conditionalFormatting sqref="F11">
    <cfRule type="containsText" dxfId="327" priority="7" operator="containsText" text="GOOD">
      <formula>NOT(ISERROR(SEARCH("GOOD",F11)))</formula>
    </cfRule>
  </conditionalFormatting>
  <conditionalFormatting sqref="D25">
    <cfRule type="expression" dxfId="326" priority="6" stopIfTrue="1">
      <formula>IF($H$25=1,0)</formula>
    </cfRule>
  </conditionalFormatting>
  <conditionalFormatting sqref="D23:D43">
    <cfRule type="expression" dxfId="325" priority="5">
      <formula>H23=1</formula>
    </cfRule>
  </conditionalFormatting>
  <conditionalFormatting sqref="C23:C43">
    <cfRule type="expression" dxfId="324" priority="4">
      <formula>H23=1</formula>
    </cfRule>
  </conditionalFormatting>
  <conditionalFormatting sqref="E23:E43">
    <cfRule type="expression" dxfId="323" priority="3">
      <formula>H23=1</formula>
    </cfRule>
  </conditionalFormatting>
  <conditionalFormatting sqref="F11">
    <cfRule type="containsText" dxfId="322" priority="2" operator="containsText" text="FAIL">
      <formula>NOT(ISERROR(SEARCH("FAIL",F11)))</formula>
    </cfRule>
  </conditionalFormatting>
  <conditionalFormatting sqref="F11">
    <cfRule type="containsText" dxfId="321" priority="1" operator="containsText" text="GOOD">
      <formula>NOT(ISERROR(SEARCH("GOOD",F11)))</formula>
    </cfRule>
  </conditionalFormatting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700-000000000000}">
  <sheetPr codeName="Sheet121"/>
  <dimension ref="A2:O47"/>
  <sheetViews>
    <sheetView view="pageBreakPreview" zoomScale="60" zoomScaleNormal="100" workbookViewId="0">
      <selection activeCell="F6" sqref="F6"/>
    </sheetView>
  </sheetViews>
  <sheetFormatPr defaultRowHeight="15" x14ac:dyDescent="0.25"/>
  <cols>
    <col min="1" max="2" width="4.42578125" customWidth="1"/>
    <col min="3" max="3" width="3" customWidth="1"/>
    <col min="4" max="4" width="24.7109375" customWidth="1"/>
    <col min="5" max="5" width="3" customWidth="1"/>
    <col min="6" max="6" width="15.7109375" customWidth="1"/>
    <col min="7" max="7" width="8.5703125" customWidth="1"/>
    <col min="8" max="8" width="5.85546875" customWidth="1"/>
    <col min="9" max="15" width="15.7109375" customWidth="1"/>
  </cols>
  <sheetData>
    <row r="2" spans="1:11" x14ac:dyDescent="0.25">
      <c r="C2" s="15" t="s">
        <v>32</v>
      </c>
      <c r="E2" s="15"/>
      <c r="F2" s="15"/>
      <c r="G2" s="15" t="s">
        <v>33</v>
      </c>
      <c r="H2" s="15"/>
      <c r="I2" s="15"/>
      <c r="J2" s="15"/>
      <c r="K2" s="15"/>
    </row>
    <row r="3" spans="1:11" ht="18.75" x14ac:dyDescent="0.3">
      <c r="C3" s="3" t="s">
        <v>26</v>
      </c>
      <c r="J3" s="8" t="s">
        <v>47</v>
      </c>
    </row>
    <row r="4" spans="1:11" x14ac:dyDescent="0.25">
      <c r="D4" s="2" t="s">
        <v>0</v>
      </c>
      <c r="E4" s="1"/>
      <c r="F4" t="s">
        <v>520</v>
      </c>
      <c r="I4" s="2" t="s">
        <v>4</v>
      </c>
      <c r="J4" t="s">
        <v>494</v>
      </c>
    </row>
    <row r="5" spans="1:11" x14ac:dyDescent="0.25">
      <c r="D5" s="2" t="s">
        <v>1</v>
      </c>
      <c r="F5" t="s">
        <v>550</v>
      </c>
    </row>
    <row r="6" spans="1:11" x14ac:dyDescent="0.25">
      <c r="D6" s="2" t="s">
        <v>2</v>
      </c>
      <c r="F6" s="6">
        <v>42418</v>
      </c>
      <c r="H6" s="11"/>
    </row>
    <row r="7" spans="1:11" x14ac:dyDescent="0.25">
      <c r="D7" s="2" t="s">
        <v>3</v>
      </c>
      <c r="F7" s="5">
        <f>+I7+J7</f>
        <v>3250000</v>
      </c>
      <c r="G7" s="2" t="s">
        <v>34</v>
      </c>
      <c r="H7" s="11"/>
      <c r="I7" s="19">
        <v>170000</v>
      </c>
      <c r="J7" s="19">
        <v>3080000</v>
      </c>
    </row>
    <row r="8" spans="1:11" x14ac:dyDescent="0.25">
      <c r="D8" s="2" t="s">
        <v>18</v>
      </c>
      <c r="F8" s="5">
        <f>MIN(K23:K43)</f>
        <v>2849549</v>
      </c>
      <c r="H8" s="11"/>
      <c r="I8" s="18" t="s">
        <v>43</v>
      </c>
      <c r="J8" s="18" t="s">
        <v>44</v>
      </c>
    </row>
    <row r="9" spans="1:11" x14ac:dyDescent="0.25">
      <c r="D9" s="2" t="s">
        <v>19</v>
      </c>
      <c r="F9" s="4">
        <f>+F8-F7</f>
        <v>-400451</v>
      </c>
      <c r="G9" s="16">
        <f>+F9/F7</f>
        <v>-0.1232156923076923</v>
      </c>
      <c r="H9" s="12" t="s">
        <v>20</v>
      </c>
      <c r="I9" s="11" t="str">
        <f>(IF(G9&lt;-0.1,"FAIL",IF(G9&gt;0.05,"FAIL","GOOD")))</f>
        <v>FAIL</v>
      </c>
      <c r="J9" s="14" t="s">
        <v>72</v>
      </c>
    </row>
    <row r="10" spans="1:11" x14ac:dyDescent="0.25">
      <c r="D10" s="2" t="s">
        <v>68</v>
      </c>
      <c r="F10" s="4">
        <f>+F7-F12</f>
        <v>-947140.83333333302</v>
      </c>
      <c r="H10" s="11"/>
    </row>
    <row r="11" spans="1:11" x14ac:dyDescent="0.25">
      <c r="A11" s="30"/>
      <c r="D11" s="2" t="s">
        <v>71</v>
      </c>
      <c r="F11" s="11" t="str">
        <f>(IF(F7&lt;J12,"FAIL",IF(F7&gt;J13,"FAIL","GOOD")))</f>
        <v>GOOD</v>
      </c>
      <c r="H11" s="11"/>
    </row>
    <row r="12" spans="1:11" x14ac:dyDescent="0.25">
      <c r="D12" s="2" t="s">
        <v>28</v>
      </c>
      <c r="F12" s="4">
        <f>SUM(K23:K43)/H12</f>
        <v>4197140.833333333</v>
      </c>
      <c r="G12" s="14"/>
      <c r="H12" s="11">
        <f>COUNT(K23:K43)</f>
        <v>12</v>
      </c>
      <c r="I12" s="1" t="s">
        <v>31</v>
      </c>
      <c r="J12" s="4">
        <f>+F8*0.9</f>
        <v>2564594.1</v>
      </c>
      <c r="K12" s="1" t="s">
        <v>69</v>
      </c>
    </row>
    <row r="13" spans="1:11" x14ac:dyDescent="0.25">
      <c r="D13" s="2" t="s">
        <v>29</v>
      </c>
      <c r="F13" s="4">
        <f>MAX(K23:K43)-MIN(K23:K43)</f>
        <v>3264251</v>
      </c>
      <c r="G13" s="399">
        <f>MEDIAN(K23:K43)</f>
        <v>3882500</v>
      </c>
      <c r="H13" s="400"/>
      <c r="I13" s="1" t="s">
        <v>30</v>
      </c>
      <c r="J13" s="4">
        <f>+F12*1.1</f>
        <v>4616854.916666667</v>
      </c>
      <c r="K13" s="1" t="s">
        <v>70</v>
      </c>
    </row>
    <row r="14" spans="1:11" x14ac:dyDescent="0.25">
      <c r="H14" s="11"/>
    </row>
    <row r="15" spans="1:11" x14ac:dyDescent="0.25">
      <c r="D15" s="2" t="s">
        <v>8</v>
      </c>
      <c r="F15" s="4"/>
      <c r="G15" s="1" t="s">
        <v>9</v>
      </c>
      <c r="H15" s="11"/>
      <c r="I15" t="s">
        <v>15</v>
      </c>
      <c r="J15" s="7" t="e">
        <f>+F16/F15</f>
        <v>#DIV/0!</v>
      </c>
    </row>
    <row r="16" spans="1:11" x14ac:dyDescent="0.25">
      <c r="F16" s="4"/>
      <c r="G16" s="1" t="s">
        <v>10</v>
      </c>
      <c r="H16" s="11"/>
      <c r="I16" t="s">
        <v>14</v>
      </c>
      <c r="J16" s="7" t="e">
        <f>+F17/F16</f>
        <v>#DIV/0!</v>
      </c>
    </row>
    <row r="17" spans="3:15" x14ac:dyDescent="0.25">
      <c r="F17" s="4"/>
      <c r="G17" s="1" t="s">
        <v>11</v>
      </c>
      <c r="H17" s="11"/>
      <c r="I17" t="s">
        <v>13</v>
      </c>
      <c r="J17" s="7" t="e">
        <f>+F18/F17</f>
        <v>#DIV/0!</v>
      </c>
    </row>
    <row r="18" spans="3:15" x14ac:dyDescent="0.25">
      <c r="F18" s="4"/>
      <c r="G18" s="1" t="s">
        <v>12</v>
      </c>
      <c r="H18" s="11"/>
      <c r="I18" t="s">
        <v>16</v>
      </c>
      <c r="J18" s="7" t="e">
        <f>+F8/F18</f>
        <v>#DIV/0!</v>
      </c>
    </row>
    <row r="19" spans="3:15" x14ac:dyDescent="0.25">
      <c r="F19" s="2" t="s">
        <v>51</v>
      </c>
      <c r="G19">
        <v>0</v>
      </c>
      <c r="H19" s="11" t="s">
        <v>52</v>
      </c>
      <c r="I19" t="s">
        <v>41</v>
      </c>
      <c r="J19" s="7" t="e">
        <f>+F8/F15</f>
        <v>#DIV/0!</v>
      </c>
    </row>
    <row r="20" spans="3:15" x14ac:dyDescent="0.25">
      <c r="H20" s="11"/>
      <c r="M20" s="21"/>
      <c r="N20" s="21"/>
      <c r="O20" s="21"/>
    </row>
    <row r="21" spans="3:15" x14ac:dyDescent="0.25">
      <c r="C21" s="9"/>
      <c r="D21" s="13" t="s">
        <v>21</v>
      </c>
      <c r="E21" s="9"/>
      <c r="F21" s="9" t="s">
        <v>22</v>
      </c>
      <c r="G21" s="9" t="s">
        <v>23</v>
      </c>
      <c r="H21" s="13" t="s">
        <v>27</v>
      </c>
      <c r="I21" s="10" t="s">
        <v>38</v>
      </c>
      <c r="J21" s="10" t="s">
        <v>37</v>
      </c>
      <c r="K21" s="10" t="s">
        <v>39</v>
      </c>
      <c r="L21" s="9"/>
      <c r="M21" s="21"/>
      <c r="N21" s="21"/>
      <c r="O21" s="21"/>
    </row>
    <row r="22" spans="3:15" ht="6" customHeight="1" x14ac:dyDescent="0.25">
      <c r="M22" s="21"/>
      <c r="N22" s="21"/>
      <c r="O22" s="21"/>
    </row>
    <row r="23" spans="3:15" x14ac:dyDescent="0.25">
      <c r="C23" s="33" t="str">
        <f>IF(H23=1,"u","")</f>
        <v/>
      </c>
      <c r="D23" s="11" t="s">
        <v>521</v>
      </c>
      <c r="E23" s="33"/>
      <c r="F23" t="s">
        <v>251</v>
      </c>
      <c r="G23" t="s">
        <v>25</v>
      </c>
      <c r="H23">
        <f>RANK(K23,K$23:K$43,1)</f>
        <v>5</v>
      </c>
      <c r="I23" s="4">
        <v>96000</v>
      </c>
      <c r="J23" s="4">
        <v>3293000</v>
      </c>
      <c r="K23" s="4">
        <f>+J23+I23</f>
        <v>3389000</v>
      </c>
      <c r="L23" s="4"/>
      <c r="M23" s="22"/>
      <c r="N23" s="22"/>
      <c r="O23" s="22"/>
    </row>
    <row r="24" spans="3:15" x14ac:dyDescent="0.25">
      <c r="C24" s="33" t="str">
        <f>IF(H24=1,"u","")</f>
        <v/>
      </c>
      <c r="D24" s="11" t="s">
        <v>522</v>
      </c>
      <c r="E24" s="33"/>
      <c r="F24" t="s">
        <v>100</v>
      </c>
      <c r="G24" t="s">
        <v>93</v>
      </c>
      <c r="H24">
        <f t="shared" ref="H24:H33" si="0">RANK(K24,K$23:K$43,1)</f>
        <v>3</v>
      </c>
      <c r="I24" s="4">
        <v>144000</v>
      </c>
      <c r="J24" s="4">
        <v>3147455</v>
      </c>
      <c r="K24" s="4">
        <f t="shared" ref="K24:K33" si="1">+J24+I24</f>
        <v>3291455</v>
      </c>
      <c r="L24" s="4"/>
      <c r="M24" s="22"/>
      <c r="N24" s="22"/>
      <c r="O24" s="22"/>
    </row>
    <row r="25" spans="3:15" x14ac:dyDescent="0.25">
      <c r="C25" s="33" t="str">
        <f>IF(H25=1,"u","")</f>
        <v/>
      </c>
      <c r="D25" s="11" t="s">
        <v>523</v>
      </c>
      <c r="E25" s="33"/>
      <c r="F25" t="s">
        <v>253</v>
      </c>
      <c r="G25" t="s">
        <v>25</v>
      </c>
      <c r="H25">
        <f t="shared" si="0"/>
        <v>9</v>
      </c>
      <c r="I25" s="4">
        <v>360000</v>
      </c>
      <c r="J25" s="4">
        <v>4315000</v>
      </c>
      <c r="K25" s="4">
        <f t="shared" si="1"/>
        <v>4675000</v>
      </c>
      <c r="L25" s="4"/>
      <c r="M25" s="22"/>
      <c r="N25" s="22"/>
      <c r="O25" s="22"/>
    </row>
    <row r="26" spans="3:15" x14ac:dyDescent="0.25">
      <c r="C26" s="33" t="str">
        <f t="shared" ref="C26:C43" si="2">IF(H26=1,"u","")</f>
        <v/>
      </c>
      <c r="D26" s="11" t="s">
        <v>524</v>
      </c>
      <c r="E26" s="33"/>
      <c r="F26" t="s">
        <v>525</v>
      </c>
      <c r="G26" t="s">
        <v>93</v>
      </c>
      <c r="H26">
        <f t="shared" si="0"/>
        <v>12</v>
      </c>
      <c r="I26" s="4">
        <v>184800</v>
      </c>
      <c r="J26" s="4">
        <v>5929000</v>
      </c>
      <c r="K26" s="4">
        <f t="shared" si="1"/>
        <v>6113800</v>
      </c>
      <c r="L26" s="4"/>
      <c r="M26" s="22"/>
      <c r="N26" s="22"/>
      <c r="O26" s="22"/>
    </row>
    <row r="27" spans="3:15" x14ac:dyDescent="0.25">
      <c r="C27" s="33" t="str">
        <f t="shared" si="2"/>
        <v>u</v>
      </c>
      <c r="D27" s="11" t="s">
        <v>437</v>
      </c>
      <c r="E27" s="33"/>
      <c r="F27" t="s">
        <v>161</v>
      </c>
      <c r="G27" t="s">
        <v>93</v>
      </c>
      <c r="H27">
        <f t="shared" si="0"/>
        <v>1</v>
      </c>
      <c r="I27" s="4">
        <v>144000</v>
      </c>
      <c r="J27" s="4">
        <v>2705549</v>
      </c>
      <c r="K27" s="4">
        <f t="shared" si="1"/>
        <v>2849549</v>
      </c>
      <c r="L27" s="4"/>
      <c r="M27" s="22"/>
      <c r="N27" s="22"/>
      <c r="O27" s="22"/>
    </row>
    <row r="28" spans="3:15" x14ac:dyDescent="0.25">
      <c r="C28" s="33" t="str">
        <f t="shared" si="2"/>
        <v/>
      </c>
      <c r="D28" s="11" t="s">
        <v>526</v>
      </c>
      <c r="E28" s="33"/>
      <c r="F28" t="s">
        <v>159</v>
      </c>
      <c r="G28" t="s">
        <v>93</v>
      </c>
      <c r="H28">
        <f t="shared" si="0"/>
        <v>4</v>
      </c>
      <c r="I28" s="4">
        <v>268800</v>
      </c>
      <c r="J28" s="4">
        <v>3070157</v>
      </c>
      <c r="K28" s="4">
        <f t="shared" si="1"/>
        <v>3338957</v>
      </c>
      <c r="L28" s="4"/>
      <c r="M28" s="22"/>
      <c r="N28" s="22"/>
      <c r="O28" s="22"/>
    </row>
    <row r="29" spans="3:15" x14ac:dyDescent="0.25">
      <c r="C29" s="33" t="str">
        <f t="shared" si="2"/>
        <v/>
      </c>
      <c r="D29" s="11" t="s">
        <v>527</v>
      </c>
      <c r="E29" s="33"/>
      <c r="F29" t="s">
        <v>208</v>
      </c>
      <c r="G29" t="s">
        <v>93</v>
      </c>
      <c r="H29">
        <f t="shared" si="0"/>
        <v>2</v>
      </c>
      <c r="I29" s="4">
        <v>144000</v>
      </c>
      <c r="J29" s="4">
        <v>3023185</v>
      </c>
      <c r="K29" s="4">
        <f t="shared" si="1"/>
        <v>3167185</v>
      </c>
      <c r="L29" s="4"/>
      <c r="M29" s="22"/>
      <c r="N29" s="22"/>
      <c r="O29" s="22"/>
    </row>
    <row r="30" spans="3:15" x14ac:dyDescent="0.25">
      <c r="C30" s="33" t="str">
        <f t="shared" si="2"/>
        <v/>
      </c>
      <c r="D30" s="11" t="s">
        <v>528</v>
      </c>
      <c r="E30" s="33"/>
      <c r="F30" t="s">
        <v>159</v>
      </c>
      <c r="G30" t="s">
        <v>93</v>
      </c>
      <c r="H30">
        <f t="shared" si="0"/>
        <v>7</v>
      </c>
      <c r="I30" s="4">
        <v>192000</v>
      </c>
      <c r="J30" s="4">
        <v>3750000</v>
      </c>
      <c r="K30" s="4">
        <f t="shared" si="1"/>
        <v>3942000</v>
      </c>
      <c r="L30" s="4"/>
      <c r="M30" s="22"/>
      <c r="N30" s="22"/>
      <c r="O30" s="22"/>
    </row>
    <row r="31" spans="3:15" x14ac:dyDescent="0.25">
      <c r="C31" s="33" t="str">
        <f t="shared" si="2"/>
        <v/>
      </c>
      <c r="D31" s="11" t="s">
        <v>529</v>
      </c>
      <c r="E31" s="33"/>
      <c r="F31" t="s">
        <v>170</v>
      </c>
      <c r="G31" t="s">
        <v>93</v>
      </c>
      <c r="H31">
        <f t="shared" si="0"/>
        <v>10</v>
      </c>
      <c r="I31" s="4">
        <v>360000</v>
      </c>
      <c r="J31" s="4">
        <v>5204700</v>
      </c>
      <c r="K31" s="4">
        <f t="shared" si="1"/>
        <v>5564700</v>
      </c>
      <c r="L31" s="4"/>
      <c r="M31" s="22"/>
      <c r="N31" s="22"/>
      <c r="O31" s="22"/>
    </row>
    <row r="32" spans="3:15" x14ac:dyDescent="0.25">
      <c r="C32" s="33" t="str">
        <f t="shared" si="2"/>
        <v/>
      </c>
      <c r="D32" s="11" t="s">
        <v>530</v>
      </c>
      <c r="E32" s="33"/>
      <c r="F32" t="s">
        <v>95</v>
      </c>
      <c r="G32" t="s">
        <v>93</v>
      </c>
      <c r="H32">
        <f t="shared" si="0"/>
        <v>6</v>
      </c>
      <c r="I32" s="4">
        <v>240000</v>
      </c>
      <c r="J32" s="4">
        <v>3583000</v>
      </c>
      <c r="K32" s="4">
        <f t="shared" si="1"/>
        <v>3823000</v>
      </c>
      <c r="L32" s="4"/>
      <c r="M32" s="22"/>
      <c r="N32" s="22"/>
      <c r="O32" s="22"/>
    </row>
    <row r="33" spans="3:15" x14ac:dyDescent="0.25">
      <c r="C33" s="33" t="str">
        <f t="shared" si="2"/>
        <v/>
      </c>
      <c r="D33" s="11" t="s">
        <v>531</v>
      </c>
      <c r="E33" s="33"/>
      <c r="F33" t="s">
        <v>532</v>
      </c>
      <c r="G33" t="s">
        <v>93</v>
      </c>
      <c r="H33">
        <f t="shared" si="0"/>
        <v>11</v>
      </c>
      <c r="I33" s="4">
        <v>184800</v>
      </c>
      <c r="J33" s="4">
        <v>5803440</v>
      </c>
      <c r="K33" s="4">
        <f t="shared" si="1"/>
        <v>5988240</v>
      </c>
      <c r="M33" s="21"/>
      <c r="N33" s="21"/>
      <c r="O33" s="21"/>
    </row>
    <row r="34" spans="3:15" x14ac:dyDescent="0.25">
      <c r="C34" s="33" t="str">
        <f>IF(H34=1,"u","")</f>
        <v/>
      </c>
      <c r="D34" s="11" t="s">
        <v>533</v>
      </c>
      <c r="E34" s="33"/>
      <c r="F34" t="s">
        <v>92</v>
      </c>
      <c r="G34" t="s">
        <v>93</v>
      </c>
      <c r="H34">
        <f>RANK(K34,K$23:K$43,1)</f>
        <v>8</v>
      </c>
      <c r="I34" s="4">
        <v>300000</v>
      </c>
      <c r="J34" s="4">
        <v>3922804</v>
      </c>
      <c r="K34" s="4">
        <f>+J34+I34</f>
        <v>4222804</v>
      </c>
      <c r="M34" s="21"/>
      <c r="N34" s="21"/>
      <c r="O34" s="21"/>
    </row>
    <row r="35" spans="3:15" x14ac:dyDescent="0.25">
      <c r="C35" s="33" t="str">
        <f t="shared" si="2"/>
        <v/>
      </c>
      <c r="D35" s="11"/>
      <c r="E35" s="33" t="str">
        <f t="shared" ref="E35:E43" si="3">IF(H35=1,"t","")</f>
        <v/>
      </c>
      <c r="K35" s="4"/>
      <c r="M35" s="21"/>
      <c r="N35" s="21"/>
      <c r="O35" s="21"/>
    </row>
    <row r="36" spans="3:15" x14ac:dyDescent="0.25">
      <c r="C36" s="33" t="str">
        <f t="shared" si="2"/>
        <v/>
      </c>
      <c r="D36" s="11"/>
      <c r="E36" s="33" t="str">
        <f t="shared" si="3"/>
        <v/>
      </c>
      <c r="K36" s="4"/>
      <c r="M36" s="21"/>
      <c r="N36" s="21"/>
      <c r="O36" s="21"/>
    </row>
    <row r="37" spans="3:15" x14ac:dyDescent="0.25">
      <c r="C37" s="33" t="str">
        <f t="shared" si="2"/>
        <v/>
      </c>
      <c r="D37" s="11"/>
      <c r="E37" s="33" t="str">
        <f t="shared" si="3"/>
        <v/>
      </c>
      <c r="K37" s="4"/>
      <c r="M37" s="21"/>
      <c r="N37" s="21"/>
      <c r="O37" s="21"/>
    </row>
    <row r="38" spans="3:15" x14ac:dyDescent="0.25">
      <c r="C38" s="33" t="str">
        <f t="shared" si="2"/>
        <v/>
      </c>
      <c r="D38" s="11"/>
      <c r="E38" s="33" t="str">
        <f t="shared" si="3"/>
        <v/>
      </c>
      <c r="K38" s="4"/>
      <c r="M38" s="21"/>
      <c r="N38" s="21"/>
      <c r="O38" s="21"/>
    </row>
    <row r="39" spans="3:15" x14ac:dyDescent="0.25">
      <c r="C39" s="33" t="str">
        <f t="shared" si="2"/>
        <v/>
      </c>
      <c r="D39" s="11"/>
      <c r="E39" s="33" t="str">
        <f t="shared" si="3"/>
        <v/>
      </c>
      <c r="K39" s="4"/>
      <c r="M39" s="21"/>
      <c r="N39" s="21"/>
      <c r="O39" s="21"/>
    </row>
    <row r="40" spans="3:15" x14ac:dyDescent="0.25">
      <c r="C40" s="33" t="str">
        <f t="shared" si="2"/>
        <v/>
      </c>
      <c r="D40" s="11"/>
      <c r="E40" s="33" t="str">
        <f t="shared" si="3"/>
        <v/>
      </c>
      <c r="K40" s="4"/>
      <c r="M40" s="21"/>
      <c r="N40" s="21"/>
      <c r="O40" s="21"/>
    </row>
    <row r="41" spans="3:15" x14ac:dyDescent="0.25">
      <c r="C41" s="33" t="str">
        <f t="shared" si="2"/>
        <v/>
      </c>
      <c r="D41" s="11"/>
      <c r="E41" s="33" t="str">
        <f t="shared" si="3"/>
        <v/>
      </c>
      <c r="K41" s="4"/>
      <c r="M41" s="21"/>
      <c r="N41" s="21"/>
      <c r="O41" s="21"/>
    </row>
    <row r="42" spans="3:15" x14ac:dyDescent="0.25">
      <c r="C42" s="33" t="str">
        <f t="shared" si="2"/>
        <v/>
      </c>
      <c r="D42" s="11"/>
      <c r="E42" s="33" t="str">
        <f t="shared" si="3"/>
        <v/>
      </c>
      <c r="K42" s="4"/>
      <c r="M42" s="21"/>
      <c r="N42" s="21"/>
      <c r="O42" s="21"/>
    </row>
    <row r="43" spans="3:15" x14ac:dyDescent="0.25">
      <c r="C43" s="33" t="str">
        <f t="shared" si="2"/>
        <v/>
      </c>
      <c r="D43" s="11"/>
      <c r="E43" s="33" t="str">
        <f t="shared" si="3"/>
        <v/>
      </c>
      <c r="K43" s="4"/>
      <c r="M43" s="21"/>
      <c r="N43" s="21"/>
      <c r="O43" s="21"/>
    </row>
    <row r="44" spans="3:15" ht="6" customHeight="1" x14ac:dyDescent="0.25">
      <c r="C44" s="9"/>
      <c r="D44" s="9"/>
      <c r="E44" s="9"/>
      <c r="F44" s="9"/>
      <c r="G44" s="9"/>
      <c r="H44" s="9"/>
      <c r="I44" s="9"/>
      <c r="J44" s="9"/>
      <c r="K44" s="9"/>
      <c r="L44" s="9"/>
      <c r="M44" s="21"/>
      <c r="N44" s="21"/>
      <c r="O44" s="21"/>
    </row>
    <row r="45" spans="3:15" ht="6" customHeight="1" x14ac:dyDescent="0.25">
      <c r="M45" s="21"/>
      <c r="N45" s="21"/>
      <c r="O45" s="21"/>
    </row>
    <row r="46" spans="3:15" x14ac:dyDescent="0.25">
      <c r="C46" s="15" t="s">
        <v>79</v>
      </c>
      <c r="M46" s="21"/>
      <c r="N46" s="21"/>
      <c r="O46" s="21"/>
    </row>
    <row r="47" spans="3:15" x14ac:dyDescent="0.25">
      <c r="C47" s="15" t="s">
        <v>78</v>
      </c>
    </row>
  </sheetData>
  <mergeCells count="1">
    <mergeCell ref="G13:H13"/>
  </mergeCells>
  <conditionalFormatting sqref="I9">
    <cfRule type="containsText" dxfId="653" priority="23" operator="containsText" text="FAIL">
      <formula>NOT(ISERROR(SEARCH("FAIL",I9)))</formula>
    </cfRule>
  </conditionalFormatting>
  <conditionalFormatting sqref="I9">
    <cfRule type="containsText" dxfId="652" priority="22" operator="containsText" text="GOOD">
      <formula>NOT(ISERROR(SEARCH("GOOD",I9)))</formula>
    </cfRule>
  </conditionalFormatting>
  <conditionalFormatting sqref="I9">
    <cfRule type="containsText" dxfId="651" priority="21" operator="containsText" text="FAIL">
      <formula>NOT(ISERROR(SEARCH("FAIL",I9)))</formula>
    </cfRule>
  </conditionalFormatting>
  <conditionalFormatting sqref="I9">
    <cfRule type="containsText" dxfId="650" priority="20" operator="containsText" text="GOOD">
      <formula>NOT(ISERROR(SEARCH("GOOD",I9)))</formula>
    </cfRule>
  </conditionalFormatting>
  <conditionalFormatting sqref="I9">
    <cfRule type="containsText" dxfId="649" priority="19" operator="containsText" text="FAIL">
      <formula>NOT(ISERROR(SEARCH("FAIL",I9)))</formula>
    </cfRule>
  </conditionalFormatting>
  <conditionalFormatting sqref="I9">
    <cfRule type="containsText" dxfId="648" priority="18" operator="containsText" text="GOOD">
      <formula>NOT(ISERROR(SEARCH("GOOD",I9)))</formula>
    </cfRule>
  </conditionalFormatting>
  <conditionalFormatting sqref="F11">
    <cfRule type="containsText" dxfId="647" priority="17" operator="containsText" text="FAIL">
      <formula>NOT(ISERROR(SEARCH("FAIL",F11)))</formula>
    </cfRule>
  </conditionalFormatting>
  <conditionalFormatting sqref="F11">
    <cfRule type="containsText" dxfId="646" priority="16" operator="containsText" text="GOOD">
      <formula>NOT(ISERROR(SEARCH("GOOD",F11)))</formula>
    </cfRule>
  </conditionalFormatting>
  <conditionalFormatting sqref="I9">
    <cfRule type="containsText" dxfId="645" priority="15" operator="containsText" text="FAIL">
      <formula>NOT(ISERROR(SEARCH("FAIL",I9)))</formula>
    </cfRule>
  </conditionalFormatting>
  <conditionalFormatting sqref="I9">
    <cfRule type="containsText" dxfId="644" priority="14" operator="containsText" text="GOOD">
      <formula>NOT(ISERROR(SEARCH("GOOD",I9)))</formula>
    </cfRule>
  </conditionalFormatting>
  <conditionalFormatting sqref="F11">
    <cfRule type="containsText" dxfId="643" priority="13" operator="containsText" text="FAIL">
      <formula>NOT(ISERROR(SEARCH("FAIL",F11)))</formula>
    </cfRule>
  </conditionalFormatting>
  <conditionalFormatting sqref="F11">
    <cfRule type="containsText" dxfId="642" priority="12" operator="containsText" text="GOOD">
      <formula>NOT(ISERROR(SEARCH("GOOD",F11)))</formula>
    </cfRule>
  </conditionalFormatting>
  <conditionalFormatting sqref="D25">
    <cfRule type="expression" dxfId="641" priority="11" stopIfTrue="1">
      <formula>IF($H$25=1,0)</formula>
    </cfRule>
  </conditionalFormatting>
  <conditionalFormatting sqref="D23:D33 D35:D43">
    <cfRule type="expression" dxfId="640" priority="10">
      <formula>H23=1</formula>
    </cfRule>
  </conditionalFormatting>
  <conditionalFormatting sqref="C23:C33 C35:C43">
    <cfRule type="expression" dxfId="639" priority="9">
      <formula>H23=1</formula>
    </cfRule>
  </conditionalFormatting>
  <conditionalFormatting sqref="E23:E33 E35:E43">
    <cfRule type="expression" dxfId="638" priority="8">
      <formula>H23=1</formula>
    </cfRule>
  </conditionalFormatting>
  <conditionalFormatting sqref="E23:E33 E35:E43">
    <cfRule type="expression" dxfId="637" priority="7">
      <formula>H23=1</formula>
    </cfRule>
  </conditionalFormatting>
  <conditionalFormatting sqref="F11">
    <cfRule type="containsText" dxfId="636" priority="6" operator="containsText" text="FAIL">
      <formula>NOT(ISERROR(SEARCH("FAIL",F11)))</formula>
    </cfRule>
  </conditionalFormatting>
  <conditionalFormatting sqref="F11">
    <cfRule type="containsText" dxfId="635" priority="5" operator="containsText" text="GOOD">
      <formula>NOT(ISERROR(SEARCH("GOOD",F11)))</formula>
    </cfRule>
  </conditionalFormatting>
  <conditionalFormatting sqref="E34">
    <cfRule type="expression" dxfId="634" priority="1">
      <formula>H34=1</formula>
    </cfRule>
  </conditionalFormatting>
  <conditionalFormatting sqref="D34">
    <cfRule type="expression" dxfId="633" priority="4">
      <formula>H34=1</formula>
    </cfRule>
  </conditionalFormatting>
  <conditionalFormatting sqref="C34">
    <cfRule type="expression" dxfId="632" priority="3">
      <formula>H34=1</formula>
    </cfRule>
  </conditionalFormatting>
  <conditionalFormatting sqref="E34">
    <cfRule type="expression" dxfId="631" priority="2">
      <formula>H34=1</formula>
    </cfRule>
  </conditionalFormatting>
  <pageMargins left="0.7" right="0.7" top="0.75" bottom="0.75" header="0.3" footer="0.3"/>
  <pageSetup scale="68"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F00-000000000000}">
  <sheetPr codeName="Sheet161"/>
  <dimension ref="A2:O47"/>
  <sheetViews>
    <sheetView workbookViewId="0">
      <selection activeCell="K32" sqref="K32"/>
    </sheetView>
  </sheetViews>
  <sheetFormatPr defaultRowHeight="15" x14ac:dyDescent="0.25"/>
  <cols>
    <col min="1" max="2" width="4.42578125" customWidth="1"/>
    <col min="3" max="3" width="3" customWidth="1"/>
    <col min="4" max="4" width="24.7109375" customWidth="1"/>
    <col min="5" max="5" width="3" customWidth="1"/>
    <col min="6" max="6" width="15.7109375" customWidth="1"/>
    <col min="7" max="7" width="8.5703125" customWidth="1"/>
    <col min="8" max="8" width="5.85546875" customWidth="1"/>
    <col min="9" max="15" width="15.7109375" customWidth="1"/>
  </cols>
  <sheetData>
    <row r="2" spans="1:11" x14ac:dyDescent="0.25">
      <c r="C2" s="15" t="s">
        <v>32</v>
      </c>
      <c r="E2" s="15"/>
      <c r="F2" s="15"/>
      <c r="G2" s="15" t="s">
        <v>33</v>
      </c>
      <c r="H2" s="15"/>
      <c r="I2" s="15"/>
      <c r="J2" s="15"/>
      <c r="K2" s="15"/>
    </row>
    <row r="3" spans="1:11" ht="18.75" x14ac:dyDescent="0.3">
      <c r="C3" s="3" t="s">
        <v>26</v>
      </c>
      <c r="J3" s="8" t="s">
        <v>47</v>
      </c>
    </row>
    <row r="4" spans="1:11" x14ac:dyDescent="0.25">
      <c r="D4" s="2" t="s">
        <v>0</v>
      </c>
      <c r="E4" s="1"/>
      <c r="F4" t="s">
        <v>344</v>
      </c>
      <c r="I4" s="2" t="s">
        <v>4</v>
      </c>
    </row>
    <row r="5" spans="1:11" x14ac:dyDescent="0.25">
      <c r="D5" s="2" t="s">
        <v>1</v>
      </c>
      <c r="F5" t="s">
        <v>345</v>
      </c>
    </row>
    <row r="6" spans="1:11" x14ac:dyDescent="0.25">
      <c r="D6" s="2" t="s">
        <v>2</v>
      </c>
      <c r="F6" s="6">
        <v>42104</v>
      </c>
      <c r="H6" s="11"/>
    </row>
    <row r="7" spans="1:11" x14ac:dyDescent="0.25">
      <c r="D7" s="2" t="s">
        <v>3</v>
      </c>
      <c r="F7" s="5">
        <f>+I7+J7</f>
        <v>3760000</v>
      </c>
      <c r="G7" s="2" t="s">
        <v>34</v>
      </c>
      <c r="H7" s="11"/>
      <c r="I7" s="19">
        <v>177000</v>
      </c>
      <c r="J7" s="19">
        <v>3583000</v>
      </c>
    </row>
    <row r="8" spans="1:11" x14ac:dyDescent="0.25">
      <c r="D8" s="2" t="s">
        <v>18</v>
      </c>
      <c r="F8" s="5">
        <f>MIN(K23:K43)</f>
        <v>2999293</v>
      </c>
      <c r="H8" s="11"/>
      <c r="I8" s="18" t="s">
        <v>43</v>
      </c>
      <c r="J8" s="18" t="s">
        <v>44</v>
      </c>
    </row>
    <row r="9" spans="1:11" x14ac:dyDescent="0.25">
      <c r="D9" s="2" t="s">
        <v>19</v>
      </c>
      <c r="F9" s="4">
        <f>+F8-F7</f>
        <v>-760707</v>
      </c>
      <c r="G9" s="16">
        <f>+F9/F7</f>
        <v>-0.20231569148936171</v>
      </c>
      <c r="H9" s="12" t="s">
        <v>20</v>
      </c>
      <c r="I9" s="11" t="str">
        <f>(IF(G9&lt;-0.1,"FAIL",IF(G9&gt;0.05,"FAIL","GOOD")))</f>
        <v>FAIL</v>
      </c>
    </row>
    <row r="10" spans="1:11" x14ac:dyDescent="0.25">
      <c r="D10" s="2" t="s">
        <v>68</v>
      </c>
      <c r="F10" s="4">
        <f>+F7-F12</f>
        <v>-129035.29999999981</v>
      </c>
      <c r="H10" s="11"/>
    </row>
    <row r="11" spans="1:11" x14ac:dyDescent="0.25">
      <c r="A11" s="30"/>
      <c r="D11" s="2" t="s">
        <v>71</v>
      </c>
      <c r="F11" s="11" t="str">
        <f>(IF(F7&lt;J12,"FAIL",IF(F7&gt;J13,"FAIL","GOOD")))</f>
        <v>GOOD</v>
      </c>
      <c r="H11" s="11"/>
    </row>
    <row r="12" spans="1:11" x14ac:dyDescent="0.25">
      <c r="D12" s="2" t="s">
        <v>28</v>
      </c>
      <c r="F12" s="4">
        <f>SUM(K23:K43)/H12</f>
        <v>3889035.3</v>
      </c>
      <c r="G12" s="14"/>
      <c r="H12" s="11">
        <f>COUNT(K23:K43)</f>
        <v>10</v>
      </c>
      <c r="I12" s="1" t="s">
        <v>31</v>
      </c>
      <c r="J12" s="4">
        <f>+F8*0.9</f>
        <v>2699363.7</v>
      </c>
      <c r="K12" s="1" t="s">
        <v>69</v>
      </c>
    </row>
    <row r="13" spans="1:11" x14ac:dyDescent="0.25">
      <c r="D13" s="2" t="s">
        <v>29</v>
      </c>
      <c r="F13" s="4">
        <f>MAX(K23:K43)-MIN(K23:K43)</f>
        <v>2730707</v>
      </c>
      <c r="G13" s="399">
        <f>MEDIAN(K23:K43)</f>
        <v>3368414.5</v>
      </c>
      <c r="H13" s="400"/>
      <c r="I13" s="1" t="s">
        <v>30</v>
      </c>
      <c r="J13" s="4">
        <f>+F12*1.1</f>
        <v>4277938.83</v>
      </c>
      <c r="K13" s="1" t="s">
        <v>70</v>
      </c>
    </row>
    <row r="14" spans="1:11" x14ac:dyDescent="0.25">
      <c r="H14" s="11"/>
    </row>
    <row r="15" spans="1:11" x14ac:dyDescent="0.25">
      <c r="D15" s="2" t="s">
        <v>8</v>
      </c>
      <c r="F15" s="4"/>
      <c r="G15" s="1" t="s">
        <v>9</v>
      </c>
      <c r="H15" s="11"/>
      <c r="I15" t="s">
        <v>15</v>
      </c>
      <c r="J15" s="7" t="e">
        <f>+F16/F15</f>
        <v>#DIV/0!</v>
      </c>
    </row>
    <row r="16" spans="1:11" x14ac:dyDescent="0.25">
      <c r="F16" s="4"/>
      <c r="G16" s="1" t="s">
        <v>10</v>
      </c>
      <c r="H16" s="11"/>
      <c r="I16" t="s">
        <v>14</v>
      </c>
      <c r="J16" s="7" t="e">
        <f>+F17/F16</f>
        <v>#DIV/0!</v>
      </c>
    </row>
    <row r="17" spans="3:15" x14ac:dyDescent="0.25">
      <c r="F17" s="4"/>
      <c r="G17" s="1" t="s">
        <v>11</v>
      </c>
      <c r="H17" s="11"/>
      <c r="I17" t="s">
        <v>13</v>
      </c>
      <c r="J17" s="7" t="e">
        <f>+F18/F17</f>
        <v>#DIV/0!</v>
      </c>
    </row>
    <row r="18" spans="3:15" x14ac:dyDescent="0.25">
      <c r="F18" s="4"/>
      <c r="G18" s="1" t="s">
        <v>12</v>
      </c>
      <c r="H18" s="11"/>
      <c r="I18" t="s">
        <v>16</v>
      </c>
      <c r="J18" s="7" t="e">
        <f>+F8/F18</f>
        <v>#DIV/0!</v>
      </c>
    </row>
    <row r="19" spans="3:15" x14ac:dyDescent="0.25">
      <c r="F19" s="2" t="s">
        <v>51</v>
      </c>
      <c r="G19">
        <v>0</v>
      </c>
      <c r="H19" s="11" t="s">
        <v>52</v>
      </c>
      <c r="I19" t="s">
        <v>41</v>
      </c>
      <c r="J19" s="7" t="e">
        <f>+F8/F15</f>
        <v>#DIV/0!</v>
      </c>
    </row>
    <row r="20" spans="3:15" x14ac:dyDescent="0.25">
      <c r="H20" s="11"/>
      <c r="M20" s="21"/>
      <c r="N20" s="21"/>
      <c r="O20" s="21"/>
    </row>
    <row r="21" spans="3:15" x14ac:dyDescent="0.25">
      <c r="C21" s="9"/>
      <c r="D21" s="13" t="s">
        <v>21</v>
      </c>
      <c r="E21" s="9"/>
      <c r="F21" s="9" t="s">
        <v>22</v>
      </c>
      <c r="G21" s="9" t="s">
        <v>23</v>
      </c>
      <c r="H21" s="13" t="s">
        <v>27</v>
      </c>
      <c r="I21" s="10" t="s">
        <v>38</v>
      </c>
      <c r="J21" s="10" t="s">
        <v>37</v>
      </c>
      <c r="K21" s="10" t="s">
        <v>39</v>
      </c>
      <c r="L21" s="9"/>
      <c r="M21" s="21"/>
      <c r="N21" s="21"/>
      <c r="O21" s="21"/>
    </row>
    <row r="22" spans="3:15" ht="6" customHeight="1" x14ac:dyDescent="0.25">
      <c r="M22" s="21"/>
      <c r="N22" s="21"/>
      <c r="O22" s="21"/>
    </row>
    <row r="23" spans="3:15" x14ac:dyDescent="0.25">
      <c r="C23" s="33" t="str">
        <f>IF(H23=1,"u","")</f>
        <v>u</v>
      </c>
      <c r="D23" s="23" t="s">
        <v>262</v>
      </c>
      <c r="E23" s="33"/>
      <c r="F23" t="s">
        <v>161</v>
      </c>
      <c r="G23" t="s">
        <v>93</v>
      </c>
      <c r="H23">
        <f>RANK(K23,K$23:K$43,1)</f>
        <v>1</v>
      </c>
      <c r="I23" s="4">
        <v>187500</v>
      </c>
      <c r="J23" s="4">
        <v>2811793</v>
      </c>
      <c r="K23" s="4">
        <f>+J23+I23</f>
        <v>2999293</v>
      </c>
      <c r="L23" s="4"/>
      <c r="M23" s="22"/>
      <c r="N23" s="22"/>
      <c r="O23" s="22"/>
    </row>
    <row r="24" spans="3:15" x14ac:dyDescent="0.25">
      <c r="C24" s="33" t="str">
        <f>IF(H24=1,"u","")</f>
        <v/>
      </c>
      <c r="D24" s="23" t="s">
        <v>346</v>
      </c>
      <c r="E24" s="33"/>
      <c r="F24" t="s">
        <v>261</v>
      </c>
      <c r="G24" t="s">
        <v>93</v>
      </c>
      <c r="H24">
        <f t="shared" ref="H24:H32" si="0">RANK(K24,K$23:K$43,1)</f>
        <v>2</v>
      </c>
      <c r="I24" s="4">
        <v>200000</v>
      </c>
      <c r="J24" s="4">
        <v>2823651</v>
      </c>
      <c r="K24" s="4">
        <f t="shared" ref="K24:K32" si="1">+J24+I24</f>
        <v>3023651</v>
      </c>
      <c r="L24" s="4"/>
      <c r="M24" s="22"/>
      <c r="N24" s="22"/>
      <c r="O24" s="22"/>
    </row>
    <row r="25" spans="3:15" x14ac:dyDescent="0.25">
      <c r="C25" s="33" t="str">
        <f>IF(H25=1,"u","")</f>
        <v/>
      </c>
      <c r="D25" s="23" t="s">
        <v>347</v>
      </c>
      <c r="E25" s="33"/>
      <c r="F25" t="s">
        <v>147</v>
      </c>
      <c r="G25" t="s">
        <v>93</v>
      </c>
      <c r="H25">
        <f t="shared" si="0"/>
        <v>3</v>
      </c>
      <c r="I25" s="4">
        <v>200000</v>
      </c>
      <c r="J25" s="4">
        <v>2973135</v>
      </c>
      <c r="K25" s="4">
        <f t="shared" si="1"/>
        <v>3173135</v>
      </c>
      <c r="L25" s="4"/>
      <c r="M25" s="22"/>
      <c r="N25" s="22"/>
      <c r="O25" s="22"/>
    </row>
    <row r="26" spans="3:15" x14ac:dyDescent="0.25">
      <c r="C26" s="33" t="str">
        <f t="shared" ref="C26:C43" si="2">IF(H26=1,"u","")</f>
        <v/>
      </c>
      <c r="D26" s="23" t="s">
        <v>348</v>
      </c>
      <c r="E26" s="33"/>
      <c r="F26" t="s">
        <v>159</v>
      </c>
      <c r="G26" t="s">
        <v>93</v>
      </c>
      <c r="H26">
        <f t="shared" si="0"/>
        <v>4</v>
      </c>
      <c r="I26" s="4">
        <v>162500</v>
      </c>
      <c r="J26" s="4">
        <v>3100000</v>
      </c>
      <c r="K26" s="4">
        <f t="shared" si="1"/>
        <v>3262500</v>
      </c>
      <c r="L26" s="4"/>
      <c r="M26" s="22"/>
      <c r="N26" s="22"/>
      <c r="O26" s="22"/>
    </row>
    <row r="27" spans="3:15" x14ac:dyDescent="0.25">
      <c r="C27" s="33" t="str">
        <f t="shared" si="2"/>
        <v/>
      </c>
      <c r="D27" s="23" t="s">
        <v>207</v>
      </c>
      <c r="E27" s="33"/>
      <c r="F27" t="s">
        <v>208</v>
      </c>
      <c r="G27" t="s">
        <v>93</v>
      </c>
      <c r="H27">
        <f t="shared" si="0"/>
        <v>5</v>
      </c>
      <c r="I27" s="4">
        <v>142500</v>
      </c>
      <c r="J27" s="4">
        <v>3207329</v>
      </c>
      <c r="K27" s="4">
        <f t="shared" si="1"/>
        <v>3349829</v>
      </c>
      <c r="L27" s="4"/>
      <c r="M27" s="22"/>
      <c r="N27" s="22"/>
      <c r="O27" s="22"/>
    </row>
    <row r="28" spans="3:15" x14ac:dyDescent="0.25">
      <c r="C28" s="33" t="str">
        <f t="shared" si="2"/>
        <v/>
      </c>
      <c r="D28" s="23" t="s">
        <v>98</v>
      </c>
      <c r="E28" s="33"/>
      <c r="F28" t="s">
        <v>95</v>
      </c>
      <c r="G28" t="s">
        <v>93</v>
      </c>
      <c r="H28">
        <f t="shared" si="0"/>
        <v>6</v>
      </c>
      <c r="I28" s="4">
        <v>152500</v>
      </c>
      <c r="J28" s="4">
        <v>3234500</v>
      </c>
      <c r="K28" s="4">
        <f t="shared" si="1"/>
        <v>3387000</v>
      </c>
      <c r="L28" s="4"/>
      <c r="M28" s="22"/>
      <c r="N28" s="22"/>
      <c r="O28" s="22"/>
    </row>
    <row r="29" spans="3:15" x14ac:dyDescent="0.25">
      <c r="C29" s="33" t="str">
        <f t="shared" si="2"/>
        <v/>
      </c>
      <c r="D29" s="23" t="s">
        <v>99</v>
      </c>
      <c r="E29" s="33"/>
      <c r="F29" t="s">
        <v>100</v>
      </c>
      <c r="G29" t="s">
        <v>93</v>
      </c>
      <c r="H29">
        <f t="shared" si="0"/>
        <v>7</v>
      </c>
      <c r="I29" s="4">
        <v>187500</v>
      </c>
      <c r="J29" s="4">
        <v>3934150</v>
      </c>
      <c r="K29" s="4">
        <f t="shared" si="1"/>
        <v>4121650</v>
      </c>
      <c r="L29" s="4"/>
      <c r="M29" s="22"/>
      <c r="N29" s="22"/>
      <c r="O29" s="22"/>
    </row>
    <row r="30" spans="3:15" x14ac:dyDescent="0.25">
      <c r="C30" s="33" t="str">
        <f t="shared" si="2"/>
        <v/>
      </c>
      <c r="D30" s="23" t="s">
        <v>349</v>
      </c>
      <c r="E30" s="33"/>
      <c r="F30" t="s">
        <v>350</v>
      </c>
      <c r="G30" t="s">
        <v>93</v>
      </c>
      <c r="H30">
        <f t="shared" si="0"/>
        <v>8</v>
      </c>
      <c r="I30" s="4">
        <v>212500</v>
      </c>
      <c r="J30" s="4">
        <v>4185345</v>
      </c>
      <c r="K30" s="4">
        <f t="shared" si="1"/>
        <v>4397845</v>
      </c>
      <c r="L30" s="4"/>
      <c r="M30" s="22"/>
      <c r="N30" s="22"/>
      <c r="O30" s="22"/>
    </row>
    <row r="31" spans="3:15" x14ac:dyDescent="0.25">
      <c r="C31" s="33" t="str">
        <f t="shared" si="2"/>
        <v/>
      </c>
      <c r="D31" s="23" t="s">
        <v>351</v>
      </c>
      <c r="E31" s="33"/>
      <c r="F31" t="s">
        <v>264</v>
      </c>
      <c r="G31" t="s">
        <v>93</v>
      </c>
      <c r="H31">
        <f t="shared" si="0"/>
        <v>9</v>
      </c>
      <c r="I31" s="4">
        <v>300000</v>
      </c>
      <c r="J31" s="4">
        <v>5145450</v>
      </c>
      <c r="K31" s="4">
        <f t="shared" si="1"/>
        <v>5445450</v>
      </c>
      <c r="L31" s="4"/>
      <c r="M31" s="22"/>
      <c r="N31" s="22"/>
      <c r="O31" s="22"/>
    </row>
    <row r="32" spans="3:15" x14ac:dyDescent="0.25">
      <c r="C32" s="33" t="str">
        <f t="shared" si="2"/>
        <v/>
      </c>
      <c r="D32" s="23" t="s">
        <v>202</v>
      </c>
      <c r="E32" s="33"/>
      <c r="F32" t="s">
        <v>203</v>
      </c>
      <c r="G32" t="s">
        <v>204</v>
      </c>
      <c r="H32">
        <f t="shared" si="0"/>
        <v>10</v>
      </c>
      <c r="I32" s="4">
        <v>250000</v>
      </c>
      <c r="J32" s="4">
        <v>5480000</v>
      </c>
      <c r="K32" s="4">
        <f t="shared" si="1"/>
        <v>5730000</v>
      </c>
      <c r="L32" s="4"/>
      <c r="M32" s="22"/>
      <c r="N32" s="22"/>
      <c r="O32" s="22"/>
    </row>
    <row r="33" spans="3:15" x14ac:dyDescent="0.25">
      <c r="C33" s="33"/>
      <c r="D33" s="23"/>
      <c r="E33" s="33"/>
      <c r="I33" s="4"/>
      <c r="J33" s="4"/>
      <c r="K33" s="4"/>
      <c r="M33" s="21"/>
      <c r="N33" s="21"/>
      <c r="O33" s="21"/>
    </row>
    <row r="34" spans="3:15" x14ac:dyDescent="0.25">
      <c r="C34" s="33" t="str">
        <f t="shared" si="2"/>
        <v/>
      </c>
      <c r="D34" s="23"/>
      <c r="E34" s="33" t="str">
        <f t="shared" ref="E34:E43" si="3">IF(H34=1,"t","")</f>
        <v/>
      </c>
      <c r="K34" s="4"/>
      <c r="M34" s="21"/>
      <c r="N34" s="21"/>
      <c r="O34" s="21"/>
    </row>
    <row r="35" spans="3:15" x14ac:dyDescent="0.25">
      <c r="C35" s="33" t="str">
        <f t="shared" si="2"/>
        <v/>
      </c>
      <c r="D35" s="23"/>
      <c r="E35" s="33" t="str">
        <f t="shared" si="3"/>
        <v/>
      </c>
      <c r="K35" s="4"/>
      <c r="M35" s="21"/>
      <c r="N35" s="21"/>
      <c r="O35" s="21"/>
    </row>
    <row r="36" spans="3:15" x14ac:dyDescent="0.25">
      <c r="C36" s="33" t="str">
        <f t="shared" si="2"/>
        <v/>
      </c>
      <c r="D36" s="23"/>
      <c r="E36" s="33" t="str">
        <f t="shared" si="3"/>
        <v/>
      </c>
      <c r="K36" s="4"/>
      <c r="M36" s="21"/>
      <c r="N36" s="21"/>
      <c r="O36" s="21"/>
    </row>
    <row r="37" spans="3:15" x14ac:dyDescent="0.25">
      <c r="C37" s="33" t="str">
        <f t="shared" si="2"/>
        <v/>
      </c>
      <c r="D37" s="23"/>
      <c r="E37" s="33" t="str">
        <f t="shared" si="3"/>
        <v/>
      </c>
      <c r="K37" s="4"/>
      <c r="M37" s="21"/>
      <c r="N37" s="21"/>
      <c r="O37" s="21"/>
    </row>
    <row r="38" spans="3:15" x14ac:dyDescent="0.25">
      <c r="C38" s="33" t="str">
        <f t="shared" si="2"/>
        <v/>
      </c>
      <c r="D38" s="11"/>
      <c r="E38" s="33" t="str">
        <f t="shared" si="3"/>
        <v/>
      </c>
      <c r="K38" s="4"/>
      <c r="M38" s="21"/>
      <c r="N38" s="21"/>
      <c r="O38" s="21"/>
    </row>
    <row r="39" spans="3:15" x14ac:dyDescent="0.25">
      <c r="C39" s="33" t="str">
        <f t="shared" si="2"/>
        <v/>
      </c>
      <c r="D39" s="11"/>
      <c r="E39" s="33" t="str">
        <f t="shared" si="3"/>
        <v/>
      </c>
      <c r="K39" s="4"/>
      <c r="M39" s="21"/>
      <c r="N39" s="21"/>
      <c r="O39" s="21"/>
    </row>
    <row r="40" spans="3:15" x14ac:dyDescent="0.25">
      <c r="C40" s="33" t="str">
        <f t="shared" si="2"/>
        <v/>
      </c>
      <c r="D40" s="11"/>
      <c r="E40" s="33" t="str">
        <f t="shared" si="3"/>
        <v/>
      </c>
      <c r="K40" s="4"/>
      <c r="M40" s="21"/>
      <c r="N40" s="21"/>
      <c r="O40" s="21"/>
    </row>
    <row r="41" spans="3:15" x14ac:dyDescent="0.25">
      <c r="C41" s="33" t="str">
        <f t="shared" si="2"/>
        <v/>
      </c>
      <c r="D41" s="11"/>
      <c r="E41" s="33" t="str">
        <f t="shared" si="3"/>
        <v/>
      </c>
      <c r="K41" s="4"/>
      <c r="M41" s="21"/>
      <c r="N41" s="21"/>
      <c r="O41" s="21"/>
    </row>
    <row r="42" spans="3:15" x14ac:dyDescent="0.25">
      <c r="C42" s="33" t="str">
        <f t="shared" si="2"/>
        <v/>
      </c>
      <c r="D42" s="11"/>
      <c r="E42" s="33" t="str">
        <f t="shared" si="3"/>
        <v/>
      </c>
      <c r="K42" s="4"/>
      <c r="M42" s="21"/>
      <c r="N42" s="21"/>
      <c r="O42" s="21"/>
    </row>
    <row r="43" spans="3:15" x14ac:dyDescent="0.25">
      <c r="C43" s="33" t="str">
        <f t="shared" si="2"/>
        <v/>
      </c>
      <c r="D43" s="11"/>
      <c r="E43" s="33" t="str">
        <f t="shared" si="3"/>
        <v/>
      </c>
      <c r="K43" s="4"/>
      <c r="M43" s="21"/>
      <c r="N43" s="21"/>
      <c r="O43" s="21"/>
    </row>
    <row r="44" spans="3:15" ht="6" customHeight="1" x14ac:dyDescent="0.25">
      <c r="C44" s="9"/>
      <c r="D44" s="9"/>
      <c r="E44" s="9"/>
      <c r="F44" s="9"/>
      <c r="G44" s="9"/>
      <c r="H44" s="9"/>
      <c r="I44" s="9"/>
      <c r="J44" s="9"/>
      <c r="K44" s="9"/>
      <c r="L44" s="9"/>
      <c r="M44" s="21"/>
      <c r="N44" s="21"/>
      <c r="O44" s="21"/>
    </row>
    <row r="45" spans="3:15" ht="6" customHeight="1" x14ac:dyDescent="0.25">
      <c r="M45" s="21"/>
      <c r="N45" s="21"/>
      <c r="O45" s="21"/>
    </row>
    <row r="46" spans="3:15" x14ac:dyDescent="0.25">
      <c r="C46" s="15" t="s">
        <v>79</v>
      </c>
      <c r="M46" s="21"/>
      <c r="N46" s="21"/>
      <c r="O46" s="21"/>
    </row>
    <row r="47" spans="3:15" x14ac:dyDescent="0.25">
      <c r="C47" s="15" t="s">
        <v>78</v>
      </c>
    </row>
  </sheetData>
  <mergeCells count="1">
    <mergeCell ref="G13:H13"/>
  </mergeCells>
  <conditionalFormatting sqref="I9">
    <cfRule type="containsText" dxfId="184" priority="19" operator="containsText" text="FAIL">
      <formula>NOT(ISERROR(SEARCH("FAIL",I9)))</formula>
    </cfRule>
  </conditionalFormatting>
  <conditionalFormatting sqref="I9">
    <cfRule type="containsText" dxfId="183" priority="18" operator="containsText" text="GOOD">
      <formula>NOT(ISERROR(SEARCH("GOOD",I9)))</formula>
    </cfRule>
  </conditionalFormatting>
  <conditionalFormatting sqref="I9">
    <cfRule type="containsText" dxfId="182" priority="17" operator="containsText" text="FAIL">
      <formula>NOT(ISERROR(SEARCH("FAIL",I9)))</formula>
    </cfRule>
  </conditionalFormatting>
  <conditionalFormatting sqref="I9">
    <cfRule type="containsText" dxfId="181" priority="16" operator="containsText" text="GOOD">
      <formula>NOT(ISERROR(SEARCH("GOOD",I9)))</formula>
    </cfRule>
  </conditionalFormatting>
  <conditionalFormatting sqref="I9">
    <cfRule type="containsText" dxfId="180" priority="15" operator="containsText" text="FAIL">
      <formula>NOT(ISERROR(SEARCH("FAIL",I9)))</formula>
    </cfRule>
  </conditionalFormatting>
  <conditionalFormatting sqref="I9">
    <cfRule type="containsText" dxfId="179" priority="14" operator="containsText" text="GOOD">
      <formula>NOT(ISERROR(SEARCH("GOOD",I9)))</formula>
    </cfRule>
  </conditionalFormatting>
  <conditionalFormatting sqref="F11">
    <cfRule type="containsText" dxfId="178" priority="13" operator="containsText" text="FAIL">
      <formula>NOT(ISERROR(SEARCH("FAIL",F11)))</formula>
    </cfRule>
  </conditionalFormatting>
  <conditionalFormatting sqref="F11">
    <cfRule type="containsText" dxfId="177" priority="12" operator="containsText" text="GOOD">
      <formula>NOT(ISERROR(SEARCH("GOOD",F11)))</formula>
    </cfRule>
  </conditionalFormatting>
  <conditionalFormatting sqref="I9">
    <cfRule type="containsText" dxfId="176" priority="11" operator="containsText" text="FAIL">
      <formula>NOT(ISERROR(SEARCH("FAIL",I9)))</formula>
    </cfRule>
  </conditionalFormatting>
  <conditionalFormatting sqref="I9">
    <cfRule type="containsText" dxfId="175" priority="10" operator="containsText" text="GOOD">
      <formula>NOT(ISERROR(SEARCH("GOOD",I9)))</formula>
    </cfRule>
  </conditionalFormatting>
  <conditionalFormatting sqref="F11">
    <cfRule type="containsText" dxfId="174" priority="9" operator="containsText" text="FAIL">
      <formula>NOT(ISERROR(SEARCH("FAIL",F11)))</formula>
    </cfRule>
  </conditionalFormatting>
  <conditionalFormatting sqref="F11">
    <cfRule type="containsText" dxfId="173" priority="8" operator="containsText" text="GOOD">
      <formula>NOT(ISERROR(SEARCH("GOOD",F11)))</formula>
    </cfRule>
  </conditionalFormatting>
  <conditionalFormatting sqref="D25">
    <cfRule type="expression" dxfId="172" priority="7" stopIfTrue="1">
      <formula>IF($H$25=1,0)</formula>
    </cfRule>
  </conditionalFormatting>
  <conditionalFormatting sqref="D23:D43">
    <cfRule type="expression" dxfId="171" priority="6">
      <formula>H23=1</formula>
    </cfRule>
  </conditionalFormatting>
  <conditionalFormatting sqref="C23:C43">
    <cfRule type="expression" dxfId="170" priority="5">
      <formula>H23=1</formula>
    </cfRule>
  </conditionalFormatting>
  <conditionalFormatting sqref="E23:E43">
    <cfRule type="expression" dxfId="169" priority="4">
      <formula>H23=1</formula>
    </cfRule>
  </conditionalFormatting>
  <conditionalFormatting sqref="E23:E43">
    <cfRule type="expression" dxfId="168" priority="3">
      <formula>H23=1</formula>
    </cfRule>
  </conditionalFormatting>
  <conditionalFormatting sqref="F11">
    <cfRule type="containsText" dxfId="167" priority="2" operator="containsText" text="FAIL">
      <formula>NOT(ISERROR(SEARCH("FAIL",F11)))</formula>
    </cfRule>
  </conditionalFormatting>
  <conditionalFormatting sqref="F11">
    <cfRule type="containsText" dxfId="166" priority="1" operator="containsText" text="GOOD">
      <formula>NOT(ISERROR(SEARCH("GOOD",F11)))</formula>
    </cfRule>
  </conditionalFormatting>
  <pageMargins left="0.7" right="0.7" top="0.75" bottom="0.75" header="0.3" footer="0.3"/>
  <pageSetup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 codeName="Sheet47"/>
  <dimension ref="A2:O56"/>
  <sheetViews>
    <sheetView zoomScaleNormal="100" workbookViewId="0">
      <selection activeCell="L33" sqref="L33"/>
    </sheetView>
  </sheetViews>
  <sheetFormatPr defaultRowHeight="15" x14ac:dyDescent="0.25"/>
  <cols>
    <col min="1" max="2" width="4.42578125" customWidth="1"/>
    <col min="3" max="3" width="3" customWidth="1"/>
    <col min="4" max="4" width="24.7109375" customWidth="1"/>
    <col min="5" max="5" width="3" customWidth="1"/>
    <col min="6" max="6" width="15.7109375" customWidth="1"/>
    <col min="7" max="7" width="8.5703125" customWidth="1"/>
    <col min="8" max="8" width="5.85546875" customWidth="1"/>
    <col min="9" max="15" width="15.7109375" customWidth="1"/>
  </cols>
  <sheetData>
    <row r="2" spans="1:11" x14ac:dyDescent="0.25">
      <c r="C2" s="15" t="s">
        <v>32</v>
      </c>
      <c r="E2" s="15"/>
      <c r="F2" s="15"/>
      <c r="G2" s="15" t="s">
        <v>33</v>
      </c>
      <c r="H2" s="15"/>
      <c r="I2" s="15"/>
      <c r="J2" s="15"/>
      <c r="K2" s="15"/>
    </row>
    <row r="3" spans="1:11" ht="18.75" x14ac:dyDescent="0.3">
      <c r="C3" s="3" t="s">
        <v>26</v>
      </c>
      <c r="J3" s="8" t="s">
        <v>47</v>
      </c>
    </row>
    <row r="4" spans="1:11" x14ac:dyDescent="0.25">
      <c r="D4" s="2" t="s">
        <v>0</v>
      </c>
      <c r="E4" s="1"/>
      <c r="F4" t="s">
        <v>1028</v>
      </c>
      <c r="I4" s="2" t="s">
        <v>4</v>
      </c>
      <c r="J4" t="s">
        <v>784</v>
      </c>
    </row>
    <row r="5" spans="1:11" x14ac:dyDescent="0.25">
      <c r="D5" s="2" t="s">
        <v>1</v>
      </c>
      <c r="F5" t="s">
        <v>1029</v>
      </c>
    </row>
    <row r="6" spans="1:11" x14ac:dyDescent="0.25">
      <c r="D6" s="2" t="s">
        <v>2</v>
      </c>
      <c r="F6" s="6">
        <v>42894</v>
      </c>
      <c r="H6" s="11"/>
    </row>
    <row r="7" spans="1:11" x14ac:dyDescent="0.25">
      <c r="D7" s="2" t="s">
        <v>3</v>
      </c>
      <c r="F7" s="5">
        <f>+I7+J7</f>
        <v>6445000</v>
      </c>
      <c r="G7" s="2" t="s">
        <v>756</v>
      </c>
      <c r="H7" s="11"/>
      <c r="I7" s="19">
        <v>173243</v>
      </c>
      <c r="J7" s="19">
        <v>6271757</v>
      </c>
    </row>
    <row r="8" spans="1:11" x14ac:dyDescent="0.25">
      <c r="D8" s="2" t="s">
        <v>18</v>
      </c>
      <c r="F8" s="5">
        <f>MIN(K23:K43)</f>
        <v>7166666</v>
      </c>
      <c r="H8" s="11"/>
      <c r="I8" s="18" t="s">
        <v>43</v>
      </c>
      <c r="J8" s="18" t="s">
        <v>44</v>
      </c>
    </row>
    <row r="9" spans="1:11" x14ac:dyDescent="0.25">
      <c r="D9" s="2" t="s">
        <v>19</v>
      </c>
      <c r="F9" s="4">
        <f>+F8-F7</f>
        <v>721666</v>
      </c>
      <c r="G9" s="16">
        <f>+F9/F7</f>
        <v>0.11197300232738557</v>
      </c>
      <c r="H9" s="12" t="s">
        <v>20</v>
      </c>
      <c r="I9" s="11" t="str">
        <f>(IF(G9&lt;-0.1,"FAIL",IF(G9&gt;0.05,"FAIL","GOOD")))</f>
        <v>FAIL</v>
      </c>
      <c r="J9" s="14" t="s">
        <v>72</v>
      </c>
    </row>
    <row r="10" spans="1:11" x14ac:dyDescent="0.25">
      <c r="D10" s="2" t="s">
        <v>68</v>
      </c>
      <c r="F10" s="4">
        <f>+F7-F12</f>
        <v>-2857985.2727272734</v>
      </c>
      <c r="H10" s="11"/>
    </row>
    <row r="11" spans="1:11" x14ac:dyDescent="0.25">
      <c r="A11" s="30"/>
      <c r="D11" s="2" t="s">
        <v>71</v>
      </c>
      <c r="F11" s="11" t="str">
        <f>(IF(F7&lt;J12,"FAIL",IF(F7&gt;J13,"FAIL","GOOD")))</f>
        <v>FAIL</v>
      </c>
      <c r="H11" s="11"/>
    </row>
    <row r="12" spans="1:11" x14ac:dyDescent="0.25">
      <c r="D12" s="2" t="s">
        <v>28</v>
      </c>
      <c r="F12" s="4">
        <f>SUM(K23:K43)/H12</f>
        <v>9302985.2727272734</v>
      </c>
      <c r="G12" s="14"/>
      <c r="H12" s="11">
        <f>COUNT(K23:K43)</f>
        <v>11</v>
      </c>
      <c r="I12" s="1" t="s">
        <v>31</v>
      </c>
      <c r="J12" s="4">
        <f>+F8*0.9</f>
        <v>6449999.4000000004</v>
      </c>
      <c r="K12" s="1" t="s">
        <v>69</v>
      </c>
    </row>
    <row r="13" spans="1:11" x14ac:dyDescent="0.25">
      <c r="D13" s="2" t="s">
        <v>29</v>
      </c>
      <c r="F13" s="4">
        <f>MAX(K23:K43)-MIN(K23:K43)</f>
        <v>3828334</v>
      </c>
      <c r="G13" s="399">
        <f>MEDIAN(K23:K43)</f>
        <v>9489000</v>
      </c>
      <c r="H13" s="400"/>
      <c r="I13" s="1" t="s">
        <v>30</v>
      </c>
      <c r="J13" s="4">
        <f>+F12*1.1</f>
        <v>10233283.800000001</v>
      </c>
      <c r="K13" s="1" t="s">
        <v>70</v>
      </c>
    </row>
    <row r="14" spans="1:11" x14ac:dyDescent="0.25">
      <c r="H14" s="11"/>
    </row>
    <row r="15" spans="1:11" hidden="1" x14ac:dyDescent="0.25">
      <c r="D15" s="2" t="s">
        <v>8</v>
      </c>
      <c r="F15" s="4">
        <v>30000000</v>
      </c>
      <c r="G15" s="1" t="s">
        <v>9</v>
      </c>
      <c r="H15" s="11"/>
      <c r="I15" t="s">
        <v>15</v>
      </c>
      <c r="J15" s="7">
        <f>+F16/F15</f>
        <v>0.93333333333333335</v>
      </c>
    </row>
    <row r="16" spans="1:11" hidden="1" x14ac:dyDescent="0.25">
      <c r="F16" s="4">
        <v>28000000</v>
      </c>
      <c r="G16" s="1" t="s">
        <v>10</v>
      </c>
      <c r="H16" s="11"/>
      <c r="I16" t="s">
        <v>14</v>
      </c>
      <c r="J16" s="7">
        <f>+F17/F16</f>
        <v>1.0535714285714286</v>
      </c>
    </row>
    <row r="17" spans="3:15" hidden="1" x14ac:dyDescent="0.25">
      <c r="F17" s="4">
        <v>29500000</v>
      </c>
      <c r="G17" s="1" t="s">
        <v>11</v>
      </c>
      <c r="H17" s="11"/>
      <c r="I17" t="s">
        <v>13</v>
      </c>
      <c r="J17" s="7">
        <f>+F18/F17</f>
        <v>0.21847457627118644</v>
      </c>
    </row>
    <row r="18" spans="3:15" hidden="1" x14ac:dyDescent="0.25">
      <c r="F18" s="4">
        <f>+F7</f>
        <v>6445000</v>
      </c>
      <c r="G18" s="1" t="s">
        <v>12</v>
      </c>
      <c r="H18" s="11"/>
      <c r="I18" t="s">
        <v>16</v>
      </c>
      <c r="J18" s="7">
        <f>+F8/F18</f>
        <v>1.1119730023273855</v>
      </c>
    </row>
    <row r="19" spans="3:15" hidden="1" x14ac:dyDescent="0.25">
      <c r="F19" s="2" t="s">
        <v>51</v>
      </c>
      <c r="G19">
        <v>0</v>
      </c>
      <c r="H19" s="11" t="s">
        <v>52</v>
      </c>
      <c r="I19" t="s">
        <v>41</v>
      </c>
      <c r="J19" s="7">
        <f>+F8/F15</f>
        <v>0.23888886666666667</v>
      </c>
    </row>
    <row r="20" spans="3:15" x14ac:dyDescent="0.25">
      <c r="H20" s="11"/>
      <c r="M20" s="21"/>
      <c r="N20" s="21"/>
      <c r="O20" s="21"/>
    </row>
    <row r="21" spans="3:15" x14ac:dyDescent="0.25">
      <c r="C21" s="9"/>
      <c r="D21" s="13" t="s">
        <v>21</v>
      </c>
      <c r="E21" s="9"/>
      <c r="F21" s="9" t="s">
        <v>22</v>
      </c>
      <c r="G21" s="9" t="s">
        <v>23</v>
      </c>
      <c r="H21" s="13" t="s">
        <v>27</v>
      </c>
      <c r="I21" s="10" t="s">
        <v>38</v>
      </c>
      <c r="J21" s="10" t="s">
        <v>37</v>
      </c>
      <c r="K21" s="10" t="s">
        <v>39</v>
      </c>
      <c r="L21" s="9"/>
      <c r="M21" s="21"/>
      <c r="N21" s="21"/>
      <c r="O21" s="21"/>
    </row>
    <row r="22" spans="3:15" ht="6" customHeight="1" x14ac:dyDescent="0.25">
      <c r="M22" s="21"/>
      <c r="N22" s="21"/>
      <c r="O22" s="21"/>
    </row>
    <row r="23" spans="3:15" x14ac:dyDescent="0.25">
      <c r="C23" s="33" t="str">
        <f>IF(H23=1,"u","")</f>
        <v/>
      </c>
      <c r="D23" s="11" t="s">
        <v>1030</v>
      </c>
      <c r="E23" s="33"/>
      <c r="F23" t="s">
        <v>289</v>
      </c>
      <c r="G23" t="s">
        <v>93</v>
      </c>
      <c r="H23">
        <f>RANK(K23,K$23:K$43,1)</f>
        <v>11</v>
      </c>
      <c r="I23" s="4">
        <v>401900</v>
      </c>
      <c r="J23" s="4">
        <v>10593100</v>
      </c>
      <c r="K23" s="4">
        <f>+J23+I23</f>
        <v>10995000</v>
      </c>
      <c r="L23" s="4"/>
      <c r="M23" s="22"/>
      <c r="N23" s="22"/>
      <c r="O23" s="22"/>
    </row>
    <row r="24" spans="3:15" x14ac:dyDescent="0.25">
      <c r="C24" s="33" t="str">
        <f>IF(H24=1,"u","")</f>
        <v/>
      </c>
      <c r="D24" s="11" t="s">
        <v>541</v>
      </c>
      <c r="E24" s="33"/>
      <c r="F24" t="s">
        <v>159</v>
      </c>
      <c r="G24" t="s">
        <v>93</v>
      </c>
      <c r="H24">
        <f t="shared" ref="H24:H33" si="0">RANK(K24,K$23:K$43,1)</f>
        <v>9</v>
      </c>
      <c r="I24" s="4">
        <v>361750</v>
      </c>
      <c r="J24" s="4">
        <v>9888250</v>
      </c>
      <c r="K24" s="4">
        <f t="shared" ref="K24:K33" si="1">+J24+I24</f>
        <v>10250000</v>
      </c>
      <c r="L24" s="4"/>
      <c r="M24" s="22"/>
      <c r="N24" s="22"/>
      <c r="O24" s="22"/>
    </row>
    <row r="25" spans="3:15" x14ac:dyDescent="0.25">
      <c r="C25" s="33" t="str">
        <f>IF(H25=1,"u","")</f>
        <v/>
      </c>
      <c r="D25" s="11" t="s">
        <v>968</v>
      </c>
      <c r="E25" s="33"/>
      <c r="F25" t="s">
        <v>203</v>
      </c>
      <c r="G25" t="s">
        <v>204</v>
      </c>
      <c r="H25">
        <f t="shared" si="0"/>
        <v>2</v>
      </c>
      <c r="I25" s="4">
        <v>322300</v>
      </c>
      <c r="J25" s="4">
        <v>7214616</v>
      </c>
      <c r="K25" s="4">
        <f t="shared" si="1"/>
        <v>7536916</v>
      </c>
      <c r="L25" s="4"/>
      <c r="M25" s="22"/>
      <c r="N25" s="22"/>
      <c r="O25" s="22"/>
    </row>
    <row r="26" spans="3:15" x14ac:dyDescent="0.25">
      <c r="C26" s="33" t="str">
        <f t="shared" ref="C26:C43" si="2">IF(H26=1,"u","")</f>
        <v/>
      </c>
      <c r="D26" s="11" t="s">
        <v>606</v>
      </c>
      <c r="E26" s="33"/>
      <c r="F26" t="s">
        <v>100</v>
      </c>
      <c r="G26" t="s">
        <v>93</v>
      </c>
      <c r="H26">
        <f t="shared" si="0"/>
        <v>3</v>
      </c>
      <c r="I26" s="4">
        <v>191100</v>
      </c>
      <c r="J26" s="4">
        <v>7358000</v>
      </c>
      <c r="K26" s="4">
        <f t="shared" si="1"/>
        <v>7549100</v>
      </c>
      <c r="L26" s="4"/>
      <c r="M26" s="22"/>
      <c r="N26" s="22"/>
      <c r="O26" s="22"/>
    </row>
    <row r="27" spans="3:15" x14ac:dyDescent="0.25">
      <c r="C27" s="33" t="str">
        <f t="shared" si="2"/>
        <v/>
      </c>
      <c r="D27" s="11" t="s">
        <v>681</v>
      </c>
      <c r="E27" s="33"/>
      <c r="F27" t="s">
        <v>199</v>
      </c>
      <c r="G27" t="s">
        <v>93</v>
      </c>
      <c r="H27">
        <f t="shared" si="0"/>
        <v>10</v>
      </c>
      <c r="I27" s="4">
        <v>328025</v>
      </c>
      <c r="J27" s="4">
        <v>10500000</v>
      </c>
      <c r="K27" s="4">
        <f t="shared" si="1"/>
        <v>10828025</v>
      </c>
      <c r="L27" s="4"/>
      <c r="M27" s="22"/>
      <c r="N27" s="22"/>
      <c r="O27" s="22"/>
    </row>
    <row r="28" spans="3:15" x14ac:dyDescent="0.25">
      <c r="C28" s="33" t="str">
        <f t="shared" si="2"/>
        <v>u</v>
      </c>
      <c r="D28" s="11" t="s">
        <v>347</v>
      </c>
      <c r="E28" s="33"/>
      <c r="F28" t="s">
        <v>147</v>
      </c>
      <c r="G28" t="s">
        <v>93</v>
      </c>
      <c r="H28">
        <f t="shared" si="0"/>
        <v>1</v>
      </c>
      <c r="I28" s="4">
        <v>285500</v>
      </c>
      <c r="J28" s="4">
        <v>6881166</v>
      </c>
      <c r="K28" s="4">
        <f t="shared" si="1"/>
        <v>7166666</v>
      </c>
      <c r="L28" s="4"/>
      <c r="M28" s="22"/>
      <c r="N28" s="22"/>
      <c r="O28" s="22"/>
    </row>
    <row r="29" spans="3:15" x14ac:dyDescent="0.25">
      <c r="C29" s="33" t="str">
        <f t="shared" si="2"/>
        <v/>
      </c>
      <c r="D29" s="11" t="s">
        <v>1031</v>
      </c>
      <c r="E29" s="33"/>
      <c r="F29" t="s">
        <v>170</v>
      </c>
      <c r="G29" t="s">
        <v>93</v>
      </c>
      <c r="H29">
        <f t="shared" si="0"/>
        <v>7</v>
      </c>
      <c r="I29" s="4">
        <v>570000</v>
      </c>
      <c r="J29" s="4">
        <v>9251000</v>
      </c>
      <c r="K29" s="4">
        <f t="shared" si="1"/>
        <v>9821000</v>
      </c>
      <c r="L29" s="4"/>
      <c r="M29" s="22"/>
      <c r="N29" s="22"/>
      <c r="O29" s="22"/>
    </row>
    <row r="30" spans="3:15" x14ac:dyDescent="0.25">
      <c r="C30" s="33" t="str">
        <f t="shared" si="2"/>
        <v/>
      </c>
      <c r="D30" s="11" t="s">
        <v>1032</v>
      </c>
      <c r="E30" s="33"/>
      <c r="F30" t="s">
        <v>525</v>
      </c>
      <c r="G30" t="s">
        <v>93</v>
      </c>
      <c r="H30">
        <f t="shared" si="0"/>
        <v>5</v>
      </c>
      <c r="I30" s="4">
        <v>277809</v>
      </c>
      <c r="J30" s="4">
        <v>9171191</v>
      </c>
      <c r="K30" s="4">
        <f t="shared" si="1"/>
        <v>9449000</v>
      </c>
      <c r="L30" s="4"/>
      <c r="M30" s="22"/>
      <c r="N30" s="22"/>
      <c r="O30" s="22"/>
    </row>
    <row r="31" spans="3:15" x14ac:dyDescent="0.25">
      <c r="C31" s="33" t="str">
        <f t="shared" si="2"/>
        <v/>
      </c>
      <c r="D31" s="11" t="s">
        <v>1012</v>
      </c>
      <c r="E31" s="33"/>
      <c r="F31" t="s">
        <v>1033</v>
      </c>
      <c r="G31" t="s">
        <v>321</v>
      </c>
      <c r="H31">
        <f t="shared" si="0"/>
        <v>4</v>
      </c>
      <c r="I31" s="4">
        <v>408990</v>
      </c>
      <c r="J31" s="4">
        <v>8885285</v>
      </c>
      <c r="K31" s="4">
        <f t="shared" si="1"/>
        <v>9294275</v>
      </c>
      <c r="L31" s="4"/>
      <c r="M31" s="22"/>
      <c r="N31" s="22"/>
      <c r="O31" s="22"/>
    </row>
    <row r="32" spans="3:15" x14ac:dyDescent="0.25">
      <c r="C32" s="33" t="str">
        <f t="shared" si="2"/>
        <v/>
      </c>
      <c r="D32" s="11" t="s">
        <v>1034</v>
      </c>
      <c r="E32" s="33"/>
      <c r="F32" t="s">
        <v>413</v>
      </c>
      <c r="G32" t="s">
        <v>93</v>
      </c>
      <c r="H32">
        <f t="shared" si="0"/>
        <v>6</v>
      </c>
      <c r="I32" s="4">
        <v>371550</v>
      </c>
      <c r="J32" s="4">
        <v>9117450</v>
      </c>
      <c r="K32" s="4">
        <f t="shared" si="1"/>
        <v>9489000</v>
      </c>
      <c r="L32" s="4"/>
      <c r="M32" s="22"/>
      <c r="N32" s="22"/>
      <c r="O32" s="22"/>
    </row>
    <row r="33" spans="3:15" x14ac:dyDescent="0.25">
      <c r="C33" s="33" t="str">
        <f t="shared" si="2"/>
        <v/>
      </c>
      <c r="D33" s="11" t="s">
        <v>781</v>
      </c>
      <c r="E33" s="33"/>
      <c r="F33" t="s">
        <v>92</v>
      </c>
      <c r="G33" t="s">
        <v>93</v>
      </c>
      <c r="H33">
        <f t="shared" si="0"/>
        <v>8</v>
      </c>
      <c r="I33" s="4">
        <v>347370</v>
      </c>
      <c r="J33" s="4">
        <v>9606486</v>
      </c>
      <c r="K33" s="4">
        <f t="shared" si="1"/>
        <v>9953856</v>
      </c>
      <c r="M33" s="21"/>
      <c r="N33" s="21"/>
      <c r="O33" s="21"/>
    </row>
    <row r="34" spans="3:15" x14ac:dyDescent="0.25">
      <c r="C34" s="33" t="str">
        <f t="shared" si="2"/>
        <v/>
      </c>
      <c r="D34" s="11"/>
      <c r="E34" s="33"/>
      <c r="I34" s="4"/>
      <c r="J34" s="4"/>
      <c r="K34" s="4"/>
      <c r="M34" s="21"/>
      <c r="N34" s="21"/>
      <c r="O34" s="21"/>
    </row>
    <row r="35" spans="3:15" x14ac:dyDescent="0.25">
      <c r="C35" s="33" t="str">
        <f t="shared" si="2"/>
        <v/>
      </c>
      <c r="D35" s="11"/>
      <c r="E35" s="33"/>
      <c r="I35" s="4"/>
      <c r="J35" s="4"/>
      <c r="K35" s="4"/>
      <c r="M35" s="21"/>
      <c r="N35" s="21"/>
      <c r="O35" s="21"/>
    </row>
    <row r="36" spans="3:15" x14ac:dyDescent="0.25">
      <c r="C36" s="33" t="str">
        <f t="shared" si="2"/>
        <v/>
      </c>
      <c r="D36" s="11"/>
      <c r="E36" s="33"/>
      <c r="I36" s="4"/>
      <c r="J36" s="4"/>
      <c r="K36" s="4"/>
      <c r="M36" s="21"/>
      <c r="N36" s="21"/>
      <c r="O36" s="21"/>
    </row>
    <row r="37" spans="3:15" x14ac:dyDescent="0.25">
      <c r="C37" s="33" t="str">
        <f t="shared" si="2"/>
        <v/>
      </c>
      <c r="D37" s="11"/>
      <c r="E37" s="33"/>
      <c r="I37" s="4"/>
      <c r="J37" s="4"/>
      <c r="K37" s="4"/>
      <c r="M37" s="21"/>
      <c r="N37" s="21"/>
      <c r="O37" s="21"/>
    </row>
    <row r="38" spans="3:15" x14ac:dyDescent="0.25">
      <c r="C38" s="33" t="str">
        <f t="shared" si="2"/>
        <v/>
      </c>
      <c r="D38" s="11"/>
      <c r="E38" s="33"/>
      <c r="I38" s="4"/>
      <c r="J38" s="4"/>
      <c r="K38" s="4"/>
      <c r="M38" s="21"/>
      <c r="N38" s="21"/>
      <c r="O38" s="21"/>
    </row>
    <row r="39" spans="3:15" x14ac:dyDescent="0.25">
      <c r="C39" s="33" t="str">
        <f t="shared" si="2"/>
        <v/>
      </c>
      <c r="D39" s="11"/>
      <c r="E39" s="33" t="str">
        <f>IF(H39=1,"t","")</f>
        <v/>
      </c>
      <c r="K39" s="4"/>
      <c r="M39" s="21"/>
      <c r="N39" s="21"/>
      <c r="O39" s="21"/>
    </row>
    <row r="40" spans="3:15" x14ac:dyDescent="0.25">
      <c r="C40" s="33" t="str">
        <f t="shared" si="2"/>
        <v/>
      </c>
      <c r="D40" s="11"/>
      <c r="E40" s="33" t="str">
        <f>IF(H40=1,"t","")</f>
        <v/>
      </c>
      <c r="K40" s="4"/>
      <c r="M40" s="21"/>
      <c r="N40" s="21"/>
      <c r="O40" s="21"/>
    </row>
    <row r="41" spans="3:15" x14ac:dyDescent="0.25">
      <c r="C41" s="33" t="str">
        <f t="shared" si="2"/>
        <v/>
      </c>
      <c r="D41" s="11"/>
      <c r="E41" s="33" t="str">
        <f>IF(H41=1,"t","")</f>
        <v/>
      </c>
      <c r="K41" s="4"/>
      <c r="M41" s="21"/>
      <c r="N41" s="21"/>
      <c r="O41" s="21"/>
    </row>
    <row r="42" spans="3:15" x14ac:dyDescent="0.25">
      <c r="C42" s="33" t="str">
        <f t="shared" si="2"/>
        <v/>
      </c>
      <c r="D42" s="11"/>
      <c r="E42" s="33" t="str">
        <f>IF(H42=1,"t","")</f>
        <v/>
      </c>
      <c r="K42" s="4"/>
      <c r="M42" s="21"/>
      <c r="N42" s="21"/>
      <c r="O42" s="21"/>
    </row>
    <row r="43" spans="3:15" x14ac:dyDescent="0.25">
      <c r="C43" s="33" t="str">
        <f t="shared" si="2"/>
        <v/>
      </c>
      <c r="D43" s="11"/>
      <c r="E43" s="33" t="str">
        <f>IF(H43=1,"t","")</f>
        <v/>
      </c>
      <c r="K43" s="4"/>
      <c r="M43" s="21"/>
      <c r="N43" s="21"/>
      <c r="O43" s="21"/>
    </row>
    <row r="44" spans="3:15" ht="6" customHeight="1" x14ac:dyDescent="0.25">
      <c r="C44" s="9"/>
      <c r="D44" s="9"/>
      <c r="E44" s="9"/>
      <c r="F44" s="9"/>
      <c r="G44" s="9"/>
      <c r="H44" s="9"/>
      <c r="I44" s="9"/>
      <c r="J44" s="9"/>
      <c r="K44" s="9"/>
      <c r="L44" s="9"/>
      <c r="M44" s="21"/>
      <c r="N44" s="21"/>
      <c r="O44" s="21"/>
    </row>
    <row r="45" spans="3:15" ht="6" customHeight="1" x14ac:dyDescent="0.25">
      <c r="M45" s="21"/>
      <c r="N45" s="21"/>
      <c r="O45" s="21"/>
    </row>
    <row r="46" spans="3:15" x14ac:dyDescent="0.25">
      <c r="C46" s="15" t="s">
        <v>79</v>
      </c>
      <c r="M46" s="21"/>
      <c r="N46" s="21"/>
      <c r="O46" s="21"/>
    </row>
    <row r="47" spans="3:15" x14ac:dyDescent="0.25">
      <c r="C47" s="15" t="s">
        <v>78</v>
      </c>
    </row>
    <row r="49" spans="3:10" x14ac:dyDescent="0.25">
      <c r="C49" s="31" t="s">
        <v>948</v>
      </c>
      <c r="D49" s="31"/>
      <c r="H49" t="s">
        <v>949</v>
      </c>
      <c r="I49" t="s">
        <v>784</v>
      </c>
      <c r="J49" s="6">
        <v>42802</v>
      </c>
    </row>
    <row r="50" spans="3:10" ht="6" customHeight="1" x14ac:dyDescent="0.25"/>
    <row r="51" spans="3:10" x14ac:dyDescent="0.25">
      <c r="D51" s="93" t="s">
        <v>950</v>
      </c>
    </row>
    <row r="52" spans="3:10" x14ac:dyDescent="0.25">
      <c r="D52" s="93" t="s">
        <v>951</v>
      </c>
    </row>
    <row r="53" spans="3:10" x14ac:dyDescent="0.25">
      <c r="D53" s="93" t="s">
        <v>952</v>
      </c>
    </row>
    <row r="54" spans="3:10" x14ac:dyDescent="0.25">
      <c r="D54" s="93" t="s">
        <v>953</v>
      </c>
    </row>
    <row r="55" spans="3:10" x14ac:dyDescent="0.25">
      <c r="D55" s="93" t="s">
        <v>954</v>
      </c>
    </row>
    <row r="56" spans="3:10" x14ac:dyDescent="0.25">
      <c r="D56" s="93" t="s">
        <v>955</v>
      </c>
    </row>
  </sheetData>
  <mergeCells count="1">
    <mergeCell ref="G13:H13"/>
  </mergeCells>
  <conditionalFormatting sqref="I9">
    <cfRule type="containsText" dxfId="1805" priority="32" operator="containsText" text="FAIL">
      <formula>NOT(ISERROR(SEARCH("FAIL",I9)))</formula>
    </cfRule>
  </conditionalFormatting>
  <conditionalFormatting sqref="I9">
    <cfRule type="containsText" dxfId="1804" priority="31" operator="containsText" text="GOOD">
      <formula>NOT(ISERROR(SEARCH("GOOD",I9)))</formula>
    </cfRule>
  </conditionalFormatting>
  <conditionalFormatting sqref="I9">
    <cfRule type="containsText" dxfId="1803" priority="30" operator="containsText" text="FAIL">
      <formula>NOT(ISERROR(SEARCH("FAIL",I9)))</formula>
    </cfRule>
  </conditionalFormatting>
  <conditionalFormatting sqref="I9">
    <cfRule type="containsText" dxfId="1802" priority="29" operator="containsText" text="GOOD">
      <formula>NOT(ISERROR(SEARCH("GOOD",I9)))</formula>
    </cfRule>
  </conditionalFormatting>
  <conditionalFormatting sqref="I9">
    <cfRule type="containsText" dxfId="1801" priority="28" operator="containsText" text="FAIL">
      <formula>NOT(ISERROR(SEARCH("FAIL",I9)))</formula>
    </cfRule>
  </conditionalFormatting>
  <conditionalFormatting sqref="I9">
    <cfRule type="containsText" dxfId="1800" priority="27" operator="containsText" text="GOOD">
      <formula>NOT(ISERROR(SEARCH("GOOD",I9)))</formula>
    </cfRule>
  </conditionalFormatting>
  <conditionalFormatting sqref="F11">
    <cfRule type="containsText" dxfId="1799" priority="26" operator="containsText" text="FAIL">
      <formula>NOT(ISERROR(SEARCH("FAIL",F11)))</formula>
    </cfRule>
  </conditionalFormatting>
  <conditionalFormatting sqref="F11">
    <cfRule type="containsText" dxfId="1798" priority="25" operator="containsText" text="GOOD">
      <formula>NOT(ISERROR(SEARCH("GOOD",F11)))</formula>
    </cfRule>
  </conditionalFormatting>
  <conditionalFormatting sqref="I9">
    <cfRule type="containsText" dxfId="1797" priority="24" operator="containsText" text="FAIL">
      <formula>NOT(ISERROR(SEARCH("FAIL",I9)))</formula>
    </cfRule>
  </conditionalFormatting>
  <conditionalFormatting sqref="I9">
    <cfRule type="containsText" dxfId="1796" priority="23" operator="containsText" text="GOOD">
      <formula>NOT(ISERROR(SEARCH("GOOD",I9)))</formula>
    </cfRule>
  </conditionalFormatting>
  <conditionalFormatting sqref="F11">
    <cfRule type="containsText" dxfId="1795" priority="22" operator="containsText" text="FAIL">
      <formula>NOT(ISERROR(SEARCH("FAIL",F11)))</formula>
    </cfRule>
  </conditionalFormatting>
  <conditionalFormatting sqref="F11">
    <cfRule type="containsText" dxfId="1794" priority="21" operator="containsText" text="GOOD">
      <formula>NOT(ISERROR(SEARCH("GOOD",F11)))</formula>
    </cfRule>
  </conditionalFormatting>
  <conditionalFormatting sqref="D25">
    <cfRule type="expression" dxfId="1793" priority="20" stopIfTrue="1">
      <formula>IF($H$25=1,0)</formula>
    </cfRule>
  </conditionalFormatting>
  <conditionalFormatting sqref="D23 D39:D43 D25:D33">
    <cfRule type="expression" dxfId="1792" priority="19">
      <formula>H23=1</formula>
    </cfRule>
  </conditionalFormatting>
  <conditionalFormatting sqref="C23 C39:C43 C25:C33">
    <cfRule type="expression" dxfId="1791" priority="18">
      <formula>H23=1</formula>
    </cfRule>
  </conditionalFormatting>
  <conditionalFormatting sqref="E23 E39:E43 E25:E33">
    <cfRule type="expression" dxfId="1790" priority="17">
      <formula>H23=1</formula>
    </cfRule>
  </conditionalFormatting>
  <conditionalFormatting sqref="E23 E39:E43 E25:E33">
    <cfRule type="expression" dxfId="1789" priority="16">
      <formula>H23=1</formula>
    </cfRule>
  </conditionalFormatting>
  <conditionalFormatting sqref="F11">
    <cfRule type="containsText" dxfId="1788" priority="15" operator="containsText" text="FAIL">
      <formula>NOT(ISERROR(SEARCH("FAIL",F11)))</formula>
    </cfRule>
  </conditionalFormatting>
  <conditionalFormatting sqref="F11">
    <cfRule type="containsText" dxfId="1787" priority="14" operator="containsText" text="GOOD">
      <formula>NOT(ISERROR(SEARCH("GOOD",F11)))</formula>
    </cfRule>
  </conditionalFormatting>
  <conditionalFormatting sqref="D34:D37">
    <cfRule type="expression" dxfId="1786" priority="13">
      <formula>H34=1</formula>
    </cfRule>
  </conditionalFormatting>
  <conditionalFormatting sqref="C34:C37">
    <cfRule type="expression" dxfId="1785" priority="12">
      <formula>H34=1</formula>
    </cfRule>
  </conditionalFormatting>
  <conditionalFormatting sqref="E34:E37">
    <cfRule type="expression" dxfId="1784" priority="11">
      <formula>H34=1</formula>
    </cfRule>
  </conditionalFormatting>
  <conditionalFormatting sqref="E34:E37">
    <cfRule type="expression" dxfId="1783" priority="10">
      <formula>H34=1</formula>
    </cfRule>
  </conditionalFormatting>
  <conditionalFormatting sqref="D38">
    <cfRule type="expression" dxfId="1782" priority="9">
      <formula>H38=1</formula>
    </cfRule>
  </conditionalFormatting>
  <conditionalFormatting sqref="C38">
    <cfRule type="expression" dxfId="1781" priority="8">
      <formula>H38=1</formula>
    </cfRule>
  </conditionalFormatting>
  <conditionalFormatting sqref="E38">
    <cfRule type="expression" dxfId="1780" priority="7">
      <formula>H38=1</formula>
    </cfRule>
  </conditionalFormatting>
  <conditionalFormatting sqref="E38">
    <cfRule type="expression" dxfId="1779" priority="6">
      <formula>H38=1</formula>
    </cfRule>
  </conditionalFormatting>
  <conditionalFormatting sqref="E24">
    <cfRule type="expression" dxfId="1778" priority="1">
      <formula>H24=1</formula>
    </cfRule>
  </conditionalFormatting>
  <conditionalFormatting sqref="D24">
    <cfRule type="expression" dxfId="1777" priority="5" stopIfTrue="1">
      <formula>IF($H$25=1,0)</formula>
    </cfRule>
  </conditionalFormatting>
  <conditionalFormatting sqref="D24">
    <cfRule type="expression" dxfId="1776" priority="4">
      <formula>H24=1</formula>
    </cfRule>
  </conditionalFormatting>
  <conditionalFormatting sqref="C24">
    <cfRule type="expression" dxfId="1775" priority="3">
      <formula>H24=1</formula>
    </cfRule>
  </conditionalFormatting>
  <conditionalFormatting sqref="E24">
    <cfRule type="expression" dxfId="1774" priority="2">
      <formula>H24=1</formula>
    </cfRule>
  </conditionalFormatting>
  <pageMargins left="0.7" right="0.7" top="0.75" bottom="0.75" header="0.3" footer="0.3"/>
  <pageSetup scale="68"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000-000000000000}">
  <sheetPr codeName="Sheet162"/>
  <dimension ref="A2:O47"/>
  <sheetViews>
    <sheetView workbookViewId="0">
      <selection activeCell="F5" sqref="F5"/>
    </sheetView>
  </sheetViews>
  <sheetFormatPr defaultRowHeight="15" x14ac:dyDescent="0.25"/>
  <cols>
    <col min="1" max="2" width="4.42578125" customWidth="1"/>
    <col min="3" max="3" width="3" customWidth="1"/>
    <col min="4" max="4" width="24.7109375" customWidth="1"/>
    <col min="5" max="5" width="3" customWidth="1"/>
    <col min="6" max="6" width="15.7109375" customWidth="1"/>
    <col min="7" max="7" width="8.5703125" customWidth="1"/>
    <col min="8" max="8" width="5.85546875" customWidth="1"/>
    <col min="9" max="15" width="15.7109375" customWidth="1"/>
  </cols>
  <sheetData>
    <row r="2" spans="1:11" x14ac:dyDescent="0.25">
      <c r="C2" s="15" t="s">
        <v>32</v>
      </c>
      <c r="E2" s="15"/>
      <c r="F2" s="15"/>
      <c r="G2" s="15" t="s">
        <v>33</v>
      </c>
      <c r="H2" s="15"/>
      <c r="I2" s="15"/>
      <c r="J2" s="15"/>
      <c r="K2" s="15"/>
    </row>
    <row r="3" spans="1:11" ht="18.75" x14ac:dyDescent="0.3">
      <c r="C3" s="3" t="s">
        <v>26</v>
      </c>
      <c r="J3" s="8" t="s">
        <v>47</v>
      </c>
    </row>
    <row r="4" spans="1:11" x14ac:dyDescent="0.25">
      <c r="D4" s="2" t="s">
        <v>0</v>
      </c>
      <c r="E4" s="1"/>
      <c r="F4" t="s">
        <v>421</v>
      </c>
      <c r="I4" s="2" t="s">
        <v>4</v>
      </c>
    </row>
    <row r="5" spans="1:11" x14ac:dyDescent="0.25">
      <c r="D5" s="2" t="s">
        <v>1</v>
      </c>
      <c r="F5" t="s">
        <v>352</v>
      </c>
    </row>
    <row r="6" spans="1:11" x14ac:dyDescent="0.25">
      <c r="D6" s="2" t="s">
        <v>2</v>
      </c>
      <c r="F6" s="6">
        <v>42104</v>
      </c>
      <c r="H6" s="11"/>
    </row>
    <row r="7" spans="1:11" x14ac:dyDescent="0.25">
      <c r="D7" s="2" t="s">
        <v>3</v>
      </c>
      <c r="F7" s="5">
        <f>+I7+J7</f>
        <v>1770000</v>
      </c>
      <c r="G7" s="2" t="s">
        <v>34</v>
      </c>
      <c r="H7" s="11"/>
      <c r="I7" s="19">
        <v>49000</v>
      </c>
      <c r="J7" s="19">
        <v>1721000</v>
      </c>
    </row>
    <row r="8" spans="1:11" x14ac:dyDescent="0.25">
      <c r="D8" s="2" t="s">
        <v>18</v>
      </c>
      <c r="F8" s="5">
        <f>MIN(K23:K43)</f>
        <v>1397380</v>
      </c>
      <c r="H8" s="11"/>
      <c r="I8" s="18" t="s">
        <v>43</v>
      </c>
      <c r="J8" s="18" t="s">
        <v>44</v>
      </c>
    </row>
    <row r="9" spans="1:11" x14ac:dyDescent="0.25">
      <c r="D9" s="2" t="s">
        <v>19</v>
      </c>
      <c r="F9" s="4">
        <f>+F8-F7</f>
        <v>-372620</v>
      </c>
      <c r="G9" s="16">
        <f>+F9/F7</f>
        <v>-0.21051977401129943</v>
      </c>
      <c r="H9" s="12" t="s">
        <v>20</v>
      </c>
      <c r="I9" s="11" t="str">
        <f>(IF(G9&lt;-0.1,"FAIL",IF(G9&gt;0.05,"FAIL","GOOD")))</f>
        <v>FAIL</v>
      </c>
    </row>
    <row r="10" spans="1:11" x14ac:dyDescent="0.25">
      <c r="D10" s="2" t="s">
        <v>68</v>
      </c>
      <c r="F10" s="4">
        <f>+F7-F12</f>
        <v>-278375.49099999992</v>
      </c>
      <c r="H10" s="11"/>
    </row>
    <row r="11" spans="1:11" x14ac:dyDescent="0.25">
      <c r="A11" s="30"/>
      <c r="D11" s="2" t="s">
        <v>71</v>
      </c>
      <c r="F11" s="11" t="str">
        <f>(IF(F7&lt;J12,"FAIL",IF(F7&gt;J13,"FAIL","GOOD")))</f>
        <v>GOOD</v>
      </c>
      <c r="H11" s="11"/>
    </row>
    <row r="12" spans="1:11" x14ac:dyDescent="0.25">
      <c r="D12" s="2" t="s">
        <v>28</v>
      </c>
      <c r="F12" s="4">
        <f>SUM(K23:K43)/H12</f>
        <v>2048375.4909999999</v>
      </c>
      <c r="G12" s="14"/>
      <c r="H12" s="11">
        <f>COUNT(K23:K43)</f>
        <v>10</v>
      </c>
      <c r="I12" s="1" t="s">
        <v>31</v>
      </c>
      <c r="J12" s="4">
        <f>+F8*0.9</f>
        <v>1257642</v>
      </c>
      <c r="K12" s="1" t="s">
        <v>69</v>
      </c>
    </row>
    <row r="13" spans="1:11" x14ac:dyDescent="0.25">
      <c r="D13" s="2" t="s">
        <v>29</v>
      </c>
      <c r="F13" s="4">
        <f>MAX(K23:K43)-MIN(K23:K43)</f>
        <v>2147620</v>
      </c>
      <c r="G13" s="399">
        <f>MEDIAN(K23:K43)</f>
        <v>1848970.9550000001</v>
      </c>
      <c r="H13" s="400"/>
      <c r="I13" s="1" t="s">
        <v>30</v>
      </c>
      <c r="J13" s="4">
        <f>+F12*1.1</f>
        <v>2253213.0400999999</v>
      </c>
      <c r="K13" s="1" t="s">
        <v>70</v>
      </c>
    </row>
    <row r="14" spans="1:11" x14ac:dyDescent="0.25">
      <c r="H14" s="11"/>
    </row>
    <row r="15" spans="1:11" x14ac:dyDescent="0.25">
      <c r="D15" s="2" t="s">
        <v>8</v>
      </c>
      <c r="F15" s="4"/>
      <c r="G15" s="1" t="s">
        <v>9</v>
      </c>
      <c r="H15" s="11"/>
      <c r="I15" t="s">
        <v>15</v>
      </c>
      <c r="J15" s="7" t="e">
        <f>+F16/F15</f>
        <v>#DIV/0!</v>
      </c>
    </row>
    <row r="16" spans="1:11" x14ac:dyDescent="0.25">
      <c r="F16" s="4"/>
      <c r="G16" s="1" t="s">
        <v>10</v>
      </c>
      <c r="H16" s="11"/>
      <c r="I16" t="s">
        <v>14</v>
      </c>
      <c r="J16" s="7" t="e">
        <f>+F17/F16</f>
        <v>#DIV/0!</v>
      </c>
    </row>
    <row r="17" spans="3:15" x14ac:dyDescent="0.25">
      <c r="F17" s="4"/>
      <c r="G17" s="1" t="s">
        <v>11</v>
      </c>
      <c r="H17" s="11"/>
      <c r="I17" t="s">
        <v>13</v>
      </c>
      <c r="J17" s="7" t="e">
        <f>+F18/F17</f>
        <v>#DIV/0!</v>
      </c>
    </row>
    <row r="18" spans="3:15" x14ac:dyDescent="0.25">
      <c r="F18" s="4"/>
      <c r="G18" s="1" t="s">
        <v>12</v>
      </c>
      <c r="H18" s="11"/>
      <c r="I18" t="s">
        <v>16</v>
      </c>
      <c r="J18" s="7" t="e">
        <f>+F8/F18</f>
        <v>#DIV/0!</v>
      </c>
    </row>
    <row r="19" spans="3:15" x14ac:dyDescent="0.25">
      <c r="F19" s="2" t="s">
        <v>51</v>
      </c>
      <c r="G19">
        <v>0</v>
      </c>
      <c r="H19" s="11" t="s">
        <v>52</v>
      </c>
      <c r="I19" t="s">
        <v>41</v>
      </c>
      <c r="J19" s="7" t="e">
        <f>+F8/F15</f>
        <v>#DIV/0!</v>
      </c>
    </row>
    <row r="20" spans="3:15" x14ac:dyDescent="0.25">
      <c r="H20" s="11"/>
      <c r="M20" s="21"/>
      <c r="N20" s="21"/>
      <c r="O20" s="21"/>
    </row>
    <row r="21" spans="3:15" x14ac:dyDescent="0.25">
      <c r="C21" s="9"/>
      <c r="D21" s="13" t="s">
        <v>21</v>
      </c>
      <c r="E21" s="9"/>
      <c r="F21" s="9" t="s">
        <v>22</v>
      </c>
      <c r="G21" s="9" t="s">
        <v>23</v>
      </c>
      <c r="H21" s="13" t="s">
        <v>27</v>
      </c>
      <c r="I21" s="10" t="s">
        <v>38</v>
      </c>
      <c r="J21" s="10" t="s">
        <v>37</v>
      </c>
      <c r="K21" s="10" t="s">
        <v>39</v>
      </c>
      <c r="L21" s="9"/>
      <c r="M21" s="21"/>
      <c r="N21" s="21"/>
      <c r="O21" s="21"/>
    </row>
    <row r="22" spans="3:15" ht="6" customHeight="1" x14ac:dyDescent="0.25">
      <c r="M22" s="21"/>
      <c r="N22" s="21"/>
      <c r="O22" s="21"/>
    </row>
    <row r="23" spans="3:15" x14ac:dyDescent="0.25">
      <c r="C23" s="33" t="str">
        <f>IF(H23=1,"u","")</f>
        <v>u</v>
      </c>
      <c r="D23" s="23" t="s">
        <v>260</v>
      </c>
      <c r="E23" s="33"/>
      <c r="F23" t="s">
        <v>261</v>
      </c>
      <c r="G23" t="s">
        <v>93</v>
      </c>
      <c r="H23">
        <f>RANK(K23,K$23:K$43,1)</f>
        <v>1</v>
      </c>
      <c r="I23" s="4">
        <v>71250</v>
      </c>
      <c r="J23" s="4">
        <v>1326130</v>
      </c>
      <c r="K23" s="4">
        <f>+J23+I23</f>
        <v>1397380</v>
      </c>
      <c r="L23" s="4"/>
      <c r="M23" s="22"/>
      <c r="N23" s="22"/>
      <c r="O23" s="22"/>
    </row>
    <row r="24" spans="3:15" x14ac:dyDescent="0.25">
      <c r="C24" s="33" t="str">
        <f>IF(H24=1,"u","")</f>
        <v/>
      </c>
      <c r="D24" s="23" t="s">
        <v>262</v>
      </c>
      <c r="E24" s="33"/>
      <c r="F24" t="s">
        <v>161</v>
      </c>
      <c r="G24" t="s">
        <v>93</v>
      </c>
      <c r="H24">
        <f t="shared" ref="H24:H32" si="0">RANK(K24,K$23:K$43,1)</f>
        <v>2</v>
      </c>
      <c r="I24" s="4">
        <v>56250</v>
      </c>
      <c r="J24" s="4">
        <v>1477865</v>
      </c>
      <c r="K24" s="4">
        <f t="shared" ref="K24:K32" si="1">+J24+I24</f>
        <v>1534115</v>
      </c>
      <c r="L24" s="4"/>
      <c r="M24" s="22"/>
      <c r="N24" s="22"/>
      <c r="O24" s="22"/>
    </row>
    <row r="25" spans="3:15" x14ac:dyDescent="0.25">
      <c r="C25" s="33" t="str">
        <f>IF(H25=1,"u","")</f>
        <v/>
      </c>
      <c r="D25" s="23" t="s">
        <v>99</v>
      </c>
      <c r="E25" s="33"/>
      <c r="F25" t="s">
        <v>100</v>
      </c>
      <c r="G25" t="s">
        <v>93</v>
      </c>
      <c r="H25">
        <f t="shared" si="0"/>
        <v>3</v>
      </c>
      <c r="I25" s="4">
        <v>75000</v>
      </c>
      <c r="J25" s="4">
        <v>1594730</v>
      </c>
      <c r="K25" s="4">
        <f t="shared" si="1"/>
        <v>1669730</v>
      </c>
      <c r="L25" s="4"/>
      <c r="M25" s="22"/>
      <c r="N25" s="22"/>
      <c r="O25" s="22"/>
    </row>
    <row r="26" spans="3:15" x14ac:dyDescent="0.25">
      <c r="C26" s="33" t="str">
        <f t="shared" ref="C26:C43" si="2">IF(H26=1,"u","")</f>
        <v/>
      </c>
      <c r="D26" s="23" t="s">
        <v>207</v>
      </c>
      <c r="E26" s="33"/>
      <c r="F26" t="s">
        <v>208</v>
      </c>
      <c r="G26" t="s">
        <v>93</v>
      </c>
      <c r="H26">
        <f t="shared" si="0"/>
        <v>4</v>
      </c>
      <c r="I26" s="4">
        <v>42750</v>
      </c>
      <c r="J26" s="4">
        <v>1647477</v>
      </c>
      <c r="K26" s="4">
        <f t="shared" si="1"/>
        <v>1690227</v>
      </c>
      <c r="L26" s="4"/>
      <c r="M26" s="22"/>
      <c r="N26" s="22"/>
      <c r="O26" s="22"/>
    </row>
    <row r="27" spans="3:15" x14ac:dyDescent="0.25">
      <c r="C27" s="33" t="str">
        <f t="shared" si="2"/>
        <v/>
      </c>
      <c r="D27" s="23" t="s">
        <v>353</v>
      </c>
      <c r="E27" s="33"/>
      <c r="F27" t="s">
        <v>282</v>
      </c>
      <c r="G27" t="s">
        <v>93</v>
      </c>
      <c r="H27">
        <f t="shared" si="0"/>
        <v>5</v>
      </c>
      <c r="I27" s="4">
        <v>48750</v>
      </c>
      <c r="J27" s="4">
        <v>1730000</v>
      </c>
      <c r="K27" s="4">
        <f t="shared" si="1"/>
        <v>1778750</v>
      </c>
      <c r="L27" s="4"/>
      <c r="M27" s="22"/>
      <c r="N27" s="22"/>
      <c r="O27" s="22"/>
    </row>
    <row r="28" spans="3:15" x14ac:dyDescent="0.25">
      <c r="C28" s="33" t="str">
        <f t="shared" si="2"/>
        <v/>
      </c>
      <c r="D28" s="23" t="s">
        <v>146</v>
      </c>
      <c r="E28" s="33"/>
      <c r="F28" t="s">
        <v>354</v>
      </c>
      <c r="G28" t="s">
        <v>355</v>
      </c>
      <c r="H28">
        <f t="shared" si="0"/>
        <v>6</v>
      </c>
      <c r="I28" s="4">
        <v>1844191.91</v>
      </c>
      <c r="J28" s="4">
        <v>75000</v>
      </c>
      <c r="K28" s="4">
        <f t="shared" si="1"/>
        <v>1919191.91</v>
      </c>
      <c r="L28" s="4"/>
      <c r="M28" s="22"/>
      <c r="N28" s="22"/>
      <c r="O28" s="22"/>
    </row>
    <row r="29" spans="3:15" x14ac:dyDescent="0.25">
      <c r="C29" s="33" t="str">
        <f t="shared" si="2"/>
        <v/>
      </c>
      <c r="D29" s="23" t="s">
        <v>356</v>
      </c>
      <c r="E29" s="33"/>
      <c r="F29" t="s">
        <v>203</v>
      </c>
      <c r="G29" t="s">
        <v>204</v>
      </c>
      <c r="H29">
        <f t="shared" si="0"/>
        <v>7</v>
      </c>
      <c r="I29" s="4">
        <v>45750</v>
      </c>
      <c r="J29" s="4">
        <v>1901250</v>
      </c>
      <c r="K29" s="4">
        <f t="shared" si="1"/>
        <v>1947000</v>
      </c>
      <c r="L29" s="4"/>
      <c r="M29" s="22"/>
      <c r="N29" s="22"/>
      <c r="O29" s="22"/>
    </row>
    <row r="30" spans="3:15" x14ac:dyDescent="0.25">
      <c r="C30" s="33" t="str">
        <f t="shared" si="2"/>
        <v/>
      </c>
      <c r="D30" s="23" t="s">
        <v>357</v>
      </c>
      <c r="E30" s="33"/>
      <c r="F30" t="s">
        <v>264</v>
      </c>
      <c r="G30" t="s">
        <v>93</v>
      </c>
      <c r="H30">
        <f t="shared" si="0"/>
        <v>8</v>
      </c>
      <c r="I30" s="4">
        <v>2384680</v>
      </c>
      <c r="J30" s="4">
        <v>90000</v>
      </c>
      <c r="K30" s="4">
        <f t="shared" si="1"/>
        <v>2474680</v>
      </c>
      <c r="L30" s="4"/>
      <c r="M30" s="22"/>
      <c r="N30" s="22"/>
      <c r="O30" s="22"/>
    </row>
    <row r="31" spans="3:15" x14ac:dyDescent="0.25">
      <c r="C31" s="33" t="str">
        <f t="shared" si="2"/>
        <v/>
      </c>
      <c r="D31" s="23" t="s">
        <v>205</v>
      </c>
      <c r="E31" s="33"/>
      <c r="F31" t="s">
        <v>161</v>
      </c>
      <c r="G31" t="s">
        <v>93</v>
      </c>
      <c r="H31">
        <f t="shared" si="0"/>
        <v>9</v>
      </c>
      <c r="I31" s="4">
        <v>60000</v>
      </c>
      <c r="J31" s="4">
        <v>2467681</v>
      </c>
      <c r="K31" s="4">
        <f t="shared" si="1"/>
        <v>2527681</v>
      </c>
      <c r="L31" s="4"/>
      <c r="M31" s="22"/>
      <c r="N31" s="22"/>
      <c r="O31" s="22"/>
    </row>
    <row r="32" spans="3:15" x14ac:dyDescent="0.25">
      <c r="C32" s="33" t="str">
        <f t="shared" si="2"/>
        <v/>
      </c>
      <c r="D32" s="23" t="s">
        <v>202</v>
      </c>
      <c r="E32" s="33"/>
      <c r="F32" t="s">
        <v>203</v>
      </c>
      <c r="G32" t="s">
        <v>204</v>
      </c>
      <c r="H32">
        <f t="shared" si="0"/>
        <v>10</v>
      </c>
      <c r="I32" s="4">
        <v>75000</v>
      </c>
      <c r="J32" s="4">
        <v>3470000</v>
      </c>
      <c r="K32" s="4">
        <f t="shared" si="1"/>
        <v>3545000</v>
      </c>
      <c r="L32" s="4"/>
      <c r="M32" s="22"/>
      <c r="N32" s="22"/>
      <c r="O32" s="22"/>
    </row>
    <row r="33" spans="3:15" x14ac:dyDescent="0.25">
      <c r="C33" s="33"/>
      <c r="D33" s="23"/>
      <c r="E33" s="33"/>
      <c r="I33" s="4"/>
      <c r="J33" s="4"/>
      <c r="K33" s="4"/>
      <c r="M33" s="21"/>
      <c r="N33" s="21"/>
      <c r="O33" s="21"/>
    </row>
    <row r="34" spans="3:15" x14ac:dyDescent="0.25">
      <c r="C34" s="33" t="str">
        <f t="shared" si="2"/>
        <v/>
      </c>
      <c r="D34" s="23"/>
      <c r="E34" s="33" t="str">
        <f t="shared" ref="E34:E43" si="3">IF(H34=1,"t","")</f>
        <v/>
      </c>
      <c r="K34" s="4"/>
      <c r="M34" s="21"/>
      <c r="N34" s="21"/>
      <c r="O34" s="21"/>
    </row>
    <row r="35" spans="3:15" x14ac:dyDescent="0.25">
      <c r="C35" s="33" t="str">
        <f t="shared" si="2"/>
        <v/>
      </c>
      <c r="D35" s="23"/>
      <c r="E35" s="33" t="str">
        <f t="shared" si="3"/>
        <v/>
      </c>
      <c r="K35" s="4"/>
      <c r="M35" s="21"/>
      <c r="N35" s="21"/>
      <c r="O35" s="21"/>
    </row>
    <row r="36" spans="3:15" x14ac:dyDescent="0.25">
      <c r="C36" s="33" t="str">
        <f t="shared" si="2"/>
        <v/>
      </c>
      <c r="D36" s="23"/>
      <c r="E36" s="33" t="str">
        <f t="shared" si="3"/>
        <v/>
      </c>
      <c r="K36" s="4"/>
      <c r="M36" s="21"/>
      <c r="N36" s="21"/>
      <c r="O36" s="21"/>
    </row>
    <row r="37" spans="3:15" x14ac:dyDescent="0.25">
      <c r="C37" s="33" t="str">
        <f t="shared" si="2"/>
        <v/>
      </c>
      <c r="D37" s="23"/>
      <c r="E37" s="33" t="str">
        <f t="shared" si="3"/>
        <v/>
      </c>
      <c r="K37" s="4"/>
      <c r="M37" s="21"/>
      <c r="N37" s="21"/>
      <c r="O37" s="21"/>
    </row>
    <row r="38" spans="3:15" x14ac:dyDescent="0.25">
      <c r="C38" s="33" t="str">
        <f t="shared" si="2"/>
        <v/>
      </c>
      <c r="D38" s="11"/>
      <c r="E38" s="33" t="str">
        <f t="shared" si="3"/>
        <v/>
      </c>
      <c r="K38" s="4"/>
      <c r="M38" s="21"/>
      <c r="N38" s="21"/>
      <c r="O38" s="21"/>
    </row>
    <row r="39" spans="3:15" x14ac:dyDescent="0.25">
      <c r="C39" s="33" t="str">
        <f t="shared" si="2"/>
        <v/>
      </c>
      <c r="D39" s="11"/>
      <c r="E39" s="33" t="str">
        <f t="shared" si="3"/>
        <v/>
      </c>
      <c r="K39" s="4"/>
      <c r="M39" s="21"/>
      <c r="N39" s="21"/>
      <c r="O39" s="21"/>
    </row>
    <row r="40" spans="3:15" x14ac:dyDescent="0.25">
      <c r="C40" s="33" t="str">
        <f t="shared" si="2"/>
        <v/>
      </c>
      <c r="D40" s="11"/>
      <c r="E40" s="33" t="str">
        <f t="shared" si="3"/>
        <v/>
      </c>
      <c r="K40" s="4"/>
      <c r="M40" s="21"/>
      <c r="N40" s="21"/>
      <c r="O40" s="21"/>
    </row>
    <row r="41" spans="3:15" x14ac:dyDescent="0.25">
      <c r="C41" s="33" t="str">
        <f t="shared" si="2"/>
        <v/>
      </c>
      <c r="D41" s="11"/>
      <c r="E41" s="33" t="str">
        <f t="shared" si="3"/>
        <v/>
      </c>
      <c r="K41" s="4"/>
      <c r="M41" s="21"/>
      <c r="N41" s="21"/>
      <c r="O41" s="21"/>
    </row>
    <row r="42" spans="3:15" x14ac:dyDescent="0.25">
      <c r="C42" s="33" t="str">
        <f t="shared" si="2"/>
        <v/>
      </c>
      <c r="D42" s="11"/>
      <c r="E42" s="33" t="str">
        <f t="shared" si="3"/>
        <v/>
      </c>
      <c r="K42" s="4"/>
      <c r="M42" s="21"/>
      <c r="N42" s="21"/>
      <c r="O42" s="21"/>
    </row>
    <row r="43" spans="3:15" x14ac:dyDescent="0.25">
      <c r="C43" s="33" t="str">
        <f t="shared" si="2"/>
        <v/>
      </c>
      <c r="D43" s="11"/>
      <c r="E43" s="33" t="str">
        <f t="shared" si="3"/>
        <v/>
      </c>
      <c r="K43" s="4"/>
      <c r="M43" s="21"/>
      <c r="N43" s="21"/>
      <c r="O43" s="21"/>
    </row>
    <row r="44" spans="3:15" ht="6" customHeight="1" x14ac:dyDescent="0.25">
      <c r="C44" s="9"/>
      <c r="D44" s="9"/>
      <c r="E44" s="9"/>
      <c r="F44" s="9"/>
      <c r="G44" s="9"/>
      <c r="H44" s="9"/>
      <c r="I44" s="9"/>
      <c r="J44" s="9"/>
      <c r="K44" s="9"/>
      <c r="L44" s="9"/>
      <c r="M44" s="21"/>
      <c r="N44" s="21"/>
      <c r="O44" s="21"/>
    </row>
    <row r="45" spans="3:15" ht="6" customHeight="1" x14ac:dyDescent="0.25">
      <c r="M45" s="21"/>
      <c r="N45" s="21"/>
      <c r="O45" s="21"/>
    </row>
    <row r="46" spans="3:15" x14ac:dyDescent="0.25">
      <c r="C46" s="15" t="s">
        <v>79</v>
      </c>
      <c r="M46" s="21"/>
      <c r="N46" s="21"/>
      <c r="O46" s="21"/>
    </row>
    <row r="47" spans="3:15" x14ac:dyDescent="0.25">
      <c r="C47" s="15" t="s">
        <v>78</v>
      </c>
    </row>
  </sheetData>
  <mergeCells count="1">
    <mergeCell ref="G13:H13"/>
  </mergeCells>
  <conditionalFormatting sqref="I9">
    <cfRule type="containsText" dxfId="165" priority="19" operator="containsText" text="FAIL">
      <formula>NOT(ISERROR(SEARCH("FAIL",I9)))</formula>
    </cfRule>
  </conditionalFormatting>
  <conditionalFormatting sqref="I9">
    <cfRule type="containsText" dxfId="164" priority="18" operator="containsText" text="GOOD">
      <formula>NOT(ISERROR(SEARCH("GOOD",I9)))</formula>
    </cfRule>
  </conditionalFormatting>
  <conditionalFormatting sqref="I9">
    <cfRule type="containsText" dxfId="163" priority="17" operator="containsText" text="FAIL">
      <formula>NOT(ISERROR(SEARCH("FAIL",I9)))</formula>
    </cfRule>
  </conditionalFormatting>
  <conditionalFormatting sqref="I9">
    <cfRule type="containsText" dxfId="162" priority="16" operator="containsText" text="GOOD">
      <formula>NOT(ISERROR(SEARCH("GOOD",I9)))</formula>
    </cfRule>
  </conditionalFormatting>
  <conditionalFormatting sqref="I9">
    <cfRule type="containsText" dxfId="161" priority="15" operator="containsText" text="FAIL">
      <formula>NOT(ISERROR(SEARCH("FAIL",I9)))</formula>
    </cfRule>
  </conditionalFormatting>
  <conditionalFormatting sqref="I9">
    <cfRule type="containsText" dxfId="160" priority="14" operator="containsText" text="GOOD">
      <formula>NOT(ISERROR(SEARCH("GOOD",I9)))</formula>
    </cfRule>
  </conditionalFormatting>
  <conditionalFormatting sqref="F11">
    <cfRule type="containsText" dxfId="159" priority="13" operator="containsText" text="FAIL">
      <formula>NOT(ISERROR(SEARCH("FAIL",F11)))</formula>
    </cfRule>
  </conditionalFormatting>
  <conditionalFormatting sqref="F11">
    <cfRule type="containsText" dxfId="158" priority="12" operator="containsText" text="GOOD">
      <formula>NOT(ISERROR(SEARCH("GOOD",F11)))</formula>
    </cfRule>
  </conditionalFormatting>
  <conditionalFormatting sqref="I9">
    <cfRule type="containsText" dxfId="157" priority="11" operator="containsText" text="FAIL">
      <formula>NOT(ISERROR(SEARCH("FAIL",I9)))</formula>
    </cfRule>
  </conditionalFormatting>
  <conditionalFormatting sqref="I9">
    <cfRule type="containsText" dxfId="156" priority="10" operator="containsText" text="GOOD">
      <formula>NOT(ISERROR(SEARCH("GOOD",I9)))</formula>
    </cfRule>
  </conditionalFormatting>
  <conditionalFormatting sqref="F11">
    <cfRule type="containsText" dxfId="155" priority="9" operator="containsText" text="FAIL">
      <formula>NOT(ISERROR(SEARCH("FAIL",F11)))</formula>
    </cfRule>
  </conditionalFormatting>
  <conditionalFormatting sqref="F11">
    <cfRule type="containsText" dxfId="154" priority="8" operator="containsText" text="GOOD">
      <formula>NOT(ISERROR(SEARCH("GOOD",F11)))</formula>
    </cfRule>
  </conditionalFormatting>
  <conditionalFormatting sqref="D25">
    <cfRule type="expression" dxfId="153" priority="7" stopIfTrue="1">
      <formula>IF($H$25=1,0)</formula>
    </cfRule>
  </conditionalFormatting>
  <conditionalFormatting sqref="D23:D43">
    <cfRule type="expression" dxfId="152" priority="6">
      <formula>H23=1</formula>
    </cfRule>
  </conditionalFormatting>
  <conditionalFormatting sqref="C23:C43">
    <cfRule type="expression" dxfId="151" priority="5">
      <formula>H23=1</formula>
    </cfRule>
  </conditionalFormatting>
  <conditionalFormatting sqref="E23:E43">
    <cfRule type="expression" dxfId="150" priority="4">
      <formula>H23=1</formula>
    </cfRule>
  </conditionalFormatting>
  <conditionalFormatting sqref="E23:E43">
    <cfRule type="expression" dxfId="149" priority="3">
      <formula>H23=1</formula>
    </cfRule>
  </conditionalFormatting>
  <conditionalFormatting sqref="F11">
    <cfRule type="containsText" dxfId="148" priority="2" operator="containsText" text="FAIL">
      <formula>NOT(ISERROR(SEARCH("FAIL",F11)))</formula>
    </cfRule>
  </conditionalFormatting>
  <conditionalFormatting sqref="F11">
    <cfRule type="containsText" dxfId="147" priority="1" operator="containsText" text="GOOD">
      <formula>NOT(ISERROR(SEARCH("GOOD",F11)))</formula>
    </cfRule>
  </conditionalFormatting>
  <pageMargins left="0.7" right="0.7" top="0.75" bottom="0.75" header="0.3" footer="0.3"/>
  <pageSetup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8"/>
  <dimension ref="A2:P47"/>
  <sheetViews>
    <sheetView zoomScaleNormal="100" workbookViewId="0">
      <selection activeCell="F30" sqref="F30"/>
    </sheetView>
  </sheetViews>
  <sheetFormatPr defaultRowHeight="15" x14ac:dyDescent="0.25"/>
  <cols>
    <col min="1" max="2" width="4.42578125" customWidth="1"/>
    <col min="3" max="3" width="3" customWidth="1"/>
    <col min="4" max="4" width="24.85546875" customWidth="1"/>
    <col min="5" max="5" width="3" customWidth="1"/>
    <col min="6" max="6" width="15.7109375" customWidth="1"/>
    <col min="7" max="7" width="8.5703125" customWidth="1"/>
    <col min="8" max="8" width="5.85546875" customWidth="1"/>
    <col min="9" max="15" width="15.7109375" customWidth="1"/>
  </cols>
  <sheetData>
    <row r="2" spans="1:16" x14ac:dyDescent="0.25">
      <c r="C2" s="15" t="s">
        <v>32</v>
      </c>
      <c r="E2" s="15"/>
      <c r="F2" s="15"/>
      <c r="G2" s="15" t="s">
        <v>33</v>
      </c>
      <c r="H2" s="15"/>
      <c r="I2" s="15"/>
      <c r="J2" s="15"/>
      <c r="K2" s="15"/>
    </row>
    <row r="3" spans="1:16" ht="18.75" x14ac:dyDescent="0.3">
      <c r="C3" s="3" t="s">
        <v>26</v>
      </c>
      <c r="J3" s="8" t="s">
        <v>17</v>
      </c>
      <c r="P3" s="100"/>
    </row>
    <row r="4" spans="1:16" x14ac:dyDescent="0.25">
      <c r="D4" s="2" t="s">
        <v>0</v>
      </c>
      <c r="E4" s="1"/>
      <c r="F4" t="s">
        <v>1145</v>
      </c>
      <c r="I4" s="2" t="s">
        <v>4</v>
      </c>
      <c r="J4" t="s">
        <v>784</v>
      </c>
    </row>
    <row r="5" spans="1:16" x14ac:dyDescent="0.25">
      <c r="D5" s="2" t="s">
        <v>1</v>
      </c>
      <c r="F5" t="s">
        <v>1146</v>
      </c>
    </row>
    <row r="6" spans="1:16" x14ac:dyDescent="0.25">
      <c r="D6" s="2" t="s">
        <v>2</v>
      </c>
      <c r="F6" s="6">
        <v>43083</v>
      </c>
      <c r="H6" s="11"/>
    </row>
    <row r="7" spans="1:16" x14ac:dyDescent="0.25">
      <c r="D7" s="2" t="s">
        <v>3</v>
      </c>
      <c r="F7" s="5">
        <v>4872000</v>
      </c>
      <c r="G7" s="2" t="s">
        <v>190</v>
      </c>
      <c r="H7" s="11"/>
    </row>
    <row r="8" spans="1:16" x14ac:dyDescent="0.25">
      <c r="D8" s="2" t="s">
        <v>18</v>
      </c>
      <c r="F8" s="5">
        <f>MIN(I23:I43)</f>
        <v>3997350</v>
      </c>
      <c r="H8" s="11"/>
    </row>
    <row r="9" spans="1:16" x14ac:dyDescent="0.25">
      <c r="D9" s="2" t="s">
        <v>67</v>
      </c>
      <c r="F9" s="4">
        <f>+F8-F7</f>
        <v>-874650</v>
      </c>
      <c r="G9" s="16">
        <f>+F9/F7</f>
        <v>-0.17952586206896551</v>
      </c>
      <c r="H9" s="12" t="s">
        <v>20</v>
      </c>
      <c r="I9" s="11" t="str">
        <f>(IF(G9&lt;-0.1,"FAIL",IF(G9&gt;0.05,"FAIL","GOOD")))</f>
        <v>FAIL</v>
      </c>
      <c r="J9" s="14" t="s">
        <v>72</v>
      </c>
    </row>
    <row r="10" spans="1:16" x14ac:dyDescent="0.25">
      <c r="D10" s="2" t="s">
        <v>68</v>
      </c>
      <c r="F10" s="4">
        <f>+F7-F12</f>
        <v>-1142201</v>
      </c>
      <c r="H10" s="11"/>
    </row>
    <row r="11" spans="1:16" x14ac:dyDescent="0.25">
      <c r="A11" s="52"/>
      <c r="D11" s="2" t="s">
        <v>71</v>
      </c>
      <c r="F11" s="11" t="str">
        <f>(IF(F7&lt;J12,"FAIL",IF(F7&gt;J13,"FAIL","GOOD")))</f>
        <v>GOOD</v>
      </c>
      <c r="H11" s="11"/>
    </row>
    <row r="12" spans="1:16" x14ac:dyDescent="0.25">
      <c r="D12" s="2" t="s">
        <v>28</v>
      </c>
      <c r="F12" s="4">
        <f>SUM(I23:I43)/H12</f>
        <v>6014201</v>
      </c>
      <c r="G12" s="14"/>
      <c r="H12" s="11">
        <f>COUNT(I23:I43)</f>
        <v>5</v>
      </c>
      <c r="I12" s="1" t="s">
        <v>31</v>
      </c>
      <c r="J12" s="4">
        <f>+F8*0.9</f>
        <v>3597615</v>
      </c>
      <c r="K12" s="1" t="s">
        <v>69</v>
      </c>
    </row>
    <row r="13" spans="1:16" x14ac:dyDescent="0.25">
      <c r="D13" s="2" t="s">
        <v>29</v>
      </c>
      <c r="F13" s="4">
        <f>MAX(I23:I43)-MIN(I23:I43)</f>
        <v>4467855</v>
      </c>
      <c r="G13" s="399">
        <f>MEDIAN(I23:I43)</f>
        <v>6349200</v>
      </c>
      <c r="H13" s="400"/>
      <c r="I13" s="1" t="s">
        <v>30</v>
      </c>
      <c r="J13" s="4">
        <f>+F12*1.1</f>
        <v>6615621.1000000006</v>
      </c>
      <c r="K13" s="1" t="s">
        <v>70</v>
      </c>
    </row>
    <row r="14" spans="1:16" x14ac:dyDescent="0.25">
      <c r="H14" s="11"/>
    </row>
    <row r="15" spans="1:16" x14ac:dyDescent="0.25">
      <c r="D15" s="2" t="s">
        <v>8</v>
      </c>
      <c r="F15" s="4"/>
      <c r="G15" s="1" t="s">
        <v>9</v>
      </c>
      <c r="H15" s="11"/>
      <c r="I15" t="s">
        <v>15</v>
      </c>
      <c r="J15" s="7" t="e">
        <f>+F16/F15</f>
        <v>#DIV/0!</v>
      </c>
    </row>
    <row r="16" spans="1:16" x14ac:dyDescent="0.25">
      <c r="F16" s="4"/>
      <c r="G16" s="1" t="s">
        <v>10</v>
      </c>
      <c r="H16" s="11"/>
      <c r="I16" t="s">
        <v>14</v>
      </c>
      <c r="J16" s="7" t="e">
        <f>+F17/F16</f>
        <v>#DIV/0!</v>
      </c>
    </row>
    <row r="17" spans="3:15" x14ac:dyDescent="0.25">
      <c r="F17" s="4"/>
      <c r="G17" s="1" t="s">
        <v>11</v>
      </c>
      <c r="H17" s="11"/>
      <c r="I17" t="s">
        <v>13</v>
      </c>
      <c r="J17" s="7" t="e">
        <f>+F18/F17</f>
        <v>#DIV/0!</v>
      </c>
      <c r="M17" s="21"/>
      <c r="N17" s="21"/>
      <c r="O17" s="21"/>
    </row>
    <row r="18" spans="3:15" x14ac:dyDescent="0.25">
      <c r="F18" s="4"/>
      <c r="G18" s="1" t="s">
        <v>12</v>
      </c>
      <c r="H18" s="11"/>
      <c r="I18" t="s">
        <v>16</v>
      </c>
      <c r="J18" s="7" t="e">
        <f>+F8/F18</f>
        <v>#DIV/0!</v>
      </c>
      <c r="M18" s="21"/>
      <c r="N18" s="21"/>
      <c r="O18" s="21"/>
    </row>
    <row r="19" spans="3:15" x14ac:dyDescent="0.25">
      <c r="F19" s="2" t="s">
        <v>51</v>
      </c>
      <c r="G19">
        <v>0</v>
      </c>
      <c r="H19" s="11" t="s">
        <v>52</v>
      </c>
      <c r="I19" t="s">
        <v>41</v>
      </c>
      <c r="J19" s="7" t="e">
        <f>+F8/F15</f>
        <v>#DIV/0!</v>
      </c>
      <c r="M19" s="21"/>
      <c r="N19" s="21"/>
      <c r="O19" s="21"/>
    </row>
    <row r="20" spans="3:15" x14ac:dyDescent="0.25">
      <c r="H20" s="11"/>
      <c r="M20" s="21"/>
      <c r="N20" s="21"/>
      <c r="O20" s="21"/>
    </row>
    <row r="21" spans="3:15" x14ac:dyDescent="0.25">
      <c r="C21" s="9"/>
      <c r="D21" s="13" t="s">
        <v>21</v>
      </c>
      <c r="E21" s="9"/>
      <c r="F21" s="9" t="s">
        <v>22</v>
      </c>
      <c r="G21" s="9" t="s">
        <v>23</v>
      </c>
      <c r="H21" s="13" t="s">
        <v>27</v>
      </c>
      <c r="I21" s="10" t="s">
        <v>24</v>
      </c>
      <c r="J21" s="9"/>
      <c r="K21" s="9"/>
      <c r="L21" s="9"/>
      <c r="M21" s="21"/>
      <c r="N21" s="21"/>
      <c r="O21" s="21"/>
    </row>
    <row r="22" spans="3:15" ht="6" customHeight="1" x14ac:dyDescent="0.25">
      <c r="M22" s="21"/>
      <c r="N22" s="21"/>
      <c r="O22" s="21"/>
    </row>
    <row r="23" spans="3:15" x14ac:dyDescent="0.25">
      <c r="C23" s="33" t="str">
        <f>IF(H23=1,"u","")</f>
        <v/>
      </c>
      <c r="D23" s="11" t="s">
        <v>440</v>
      </c>
      <c r="E23" s="33"/>
      <c r="F23" t="s">
        <v>193</v>
      </c>
      <c r="G23" t="s">
        <v>25</v>
      </c>
      <c r="H23">
        <f>RANK(I23,I$23:I$43,1)</f>
        <v>5</v>
      </c>
      <c r="I23" s="4">
        <v>8465205</v>
      </c>
      <c r="J23" s="4"/>
      <c r="K23" s="4"/>
      <c r="L23" s="4"/>
      <c r="M23" s="22"/>
      <c r="N23" s="22"/>
      <c r="O23" s="22"/>
    </row>
    <row r="24" spans="3:15" x14ac:dyDescent="0.25">
      <c r="C24" s="33" t="str">
        <f>IF(H24=1,"u","")</f>
        <v/>
      </c>
      <c r="D24" s="11" t="s">
        <v>541</v>
      </c>
      <c r="E24" s="33"/>
      <c r="F24" t="s">
        <v>159</v>
      </c>
      <c r="G24" t="s">
        <v>93</v>
      </c>
      <c r="H24">
        <f>RANK(I24,I$23:I$43,1)</f>
        <v>3</v>
      </c>
      <c r="I24" s="4">
        <v>6349200</v>
      </c>
      <c r="J24" s="4"/>
      <c r="K24" s="4"/>
      <c r="L24" s="4"/>
      <c r="M24" s="22"/>
      <c r="N24" s="22"/>
      <c r="O24" s="22"/>
    </row>
    <row r="25" spans="3:15" x14ac:dyDescent="0.25">
      <c r="C25" s="33" t="str">
        <f>IF(H25=1,"u","")</f>
        <v/>
      </c>
      <c r="D25" s="11" t="s">
        <v>665</v>
      </c>
      <c r="E25" s="33"/>
      <c r="F25" t="s">
        <v>413</v>
      </c>
      <c r="G25" t="s">
        <v>93</v>
      </c>
      <c r="H25">
        <f>RANK(I25,I$23:I$43,1)</f>
        <v>2</v>
      </c>
      <c r="I25" s="4">
        <v>4763300</v>
      </c>
      <c r="J25" s="4"/>
      <c r="K25" s="4"/>
      <c r="L25" s="4"/>
      <c r="M25" s="22"/>
      <c r="N25" s="22"/>
      <c r="O25" s="22"/>
    </row>
    <row r="26" spans="3:15" x14ac:dyDescent="0.25">
      <c r="C26" s="33"/>
      <c r="D26" s="11" t="s">
        <v>540</v>
      </c>
      <c r="E26" s="33"/>
      <c r="F26" t="s">
        <v>131</v>
      </c>
      <c r="G26" t="s">
        <v>25</v>
      </c>
      <c r="H26">
        <f>RANK(I26,I$23:I$43,1)</f>
        <v>1</v>
      </c>
      <c r="I26" s="4">
        <v>3997350</v>
      </c>
      <c r="J26" s="4"/>
      <c r="K26" s="4"/>
      <c r="L26" s="4"/>
      <c r="M26" s="22"/>
      <c r="N26" s="22"/>
      <c r="O26" s="22"/>
    </row>
    <row r="27" spans="3:15" x14ac:dyDescent="0.25">
      <c r="C27" s="33"/>
      <c r="D27" s="11" t="s">
        <v>542</v>
      </c>
      <c r="E27" s="33"/>
      <c r="F27" t="s">
        <v>161</v>
      </c>
      <c r="G27" t="s">
        <v>93</v>
      </c>
      <c r="H27">
        <f>RANK(I27,I$23:I$43,1)</f>
        <v>4</v>
      </c>
      <c r="I27" s="4">
        <v>6495950</v>
      </c>
      <c r="J27" s="4"/>
      <c r="K27" s="4"/>
      <c r="L27" s="4"/>
      <c r="M27" s="22"/>
      <c r="N27" s="22"/>
      <c r="O27" s="22"/>
    </row>
    <row r="28" spans="3:15" x14ac:dyDescent="0.25">
      <c r="C28" s="33"/>
      <c r="D28" s="11"/>
      <c r="E28" s="33"/>
      <c r="I28" s="4"/>
      <c r="J28" s="4"/>
      <c r="K28" s="4"/>
      <c r="L28" s="4"/>
      <c r="M28" s="22"/>
      <c r="N28" s="22"/>
      <c r="O28" s="22"/>
    </row>
    <row r="29" spans="3:15" x14ac:dyDescent="0.25">
      <c r="C29" s="33" t="str">
        <f t="shared" ref="C29:C43" si="0">IF(H29=1,"u","")</f>
        <v/>
      </c>
      <c r="D29" s="11"/>
      <c r="E29" s="33"/>
      <c r="I29" s="4"/>
      <c r="J29" s="4"/>
      <c r="K29" s="4"/>
      <c r="L29" s="4"/>
      <c r="M29" s="22"/>
      <c r="N29" s="22"/>
      <c r="O29" s="22"/>
    </row>
    <row r="30" spans="3:15" x14ac:dyDescent="0.25">
      <c r="C30" s="33" t="str">
        <f t="shared" si="0"/>
        <v/>
      </c>
      <c r="D30" s="11"/>
      <c r="E30" s="33"/>
      <c r="I30" s="4"/>
      <c r="J30" s="4"/>
      <c r="K30" s="4"/>
      <c r="L30" s="4"/>
      <c r="M30" s="22"/>
      <c r="N30" s="22"/>
      <c r="O30" s="22"/>
    </row>
    <row r="31" spans="3:15" x14ac:dyDescent="0.25">
      <c r="C31" s="33" t="str">
        <f t="shared" si="0"/>
        <v/>
      </c>
      <c r="D31" s="11"/>
      <c r="E31" s="33"/>
      <c r="I31" s="4"/>
      <c r="J31" s="4"/>
      <c r="K31" s="4"/>
      <c r="L31" s="4"/>
      <c r="M31" s="22"/>
      <c r="N31" s="22"/>
      <c r="O31" s="22"/>
    </row>
    <row r="32" spans="3:15" x14ac:dyDescent="0.25">
      <c r="C32" s="33" t="str">
        <f t="shared" si="0"/>
        <v/>
      </c>
      <c r="D32" s="11"/>
      <c r="E32" s="33"/>
      <c r="I32" s="4"/>
      <c r="J32" s="4"/>
      <c r="K32" s="4"/>
      <c r="L32" s="4"/>
      <c r="M32" s="22"/>
      <c r="N32" s="22"/>
      <c r="O32" s="22"/>
    </row>
    <row r="33" spans="3:15" x14ac:dyDescent="0.25">
      <c r="C33" s="33" t="str">
        <f t="shared" si="0"/>
        <v/>
      </c>
      <c r="D33" s="11"/>
      <c r="E33" s="33"/>
      <c r="I33" s="4"/>
      <c r="M33" s="21"/>
      <c r="N33" s="21"/>
      <c r="O33" s="21"/>
    </row>
    <row r="34" spans="3:15" x14ac:dyDescent="0.25">
      <c r="C34" s="33" t="str">
        <f t="shared" si="0"/>
        <v/>
      </c>
      <c r="D34" s="11"/>
      <c r="E34" s="33"/>
      <c r="I34" s="4"/>
      <c r="M34" s="21"/>
      <c r="N34" s="21"/>
      <c r="O34" s="21"/>
    </row>
    <row r="35" spans="3:15" x14ac:dyDescent="0.25">
      <c r="C35" s="33" t="str">
        <f t="shared" si="0"/>
        <v/>
      </c>
      <c r="D35" s="11"/>
      <c r="E35" s="33"/>
      <c r="I35" s="4"/>
      <c r="M35" s="21"/>
      <c r="N35" s="21"/>
      <c r="O35" s="21"/>
    </row>
    <row r="36" spans="3:15" x14ac:dyDescent="0.25">
      <c r="C36" s="33" t="str">
        <f t="shared" si="0"/>
        <v/>
      </c>
      <c r="D36" s="11"/>
      <c r="E36" s="33" t="str">
        <f t="shared" ref="E36:E43" si="1">IF(H36=1,"t","")</f>
        <v/>
      </c>
      <c r="M36" s="21"/>
      <c r="N36" s="21"/>
      <c r="O36" s="21"/>
    </row>
    <row r="37" spans="3:15" x14ac:dyDescent="0.25">
      <c r="C37" s="33" t="str">
        <f t="shared" si="0"/>
        <v/>
      </c>
      <c r="D37" s="11"/>
      <c r="E37" s="33" t="str">
        <f t="shared" si="1"/>
        <v/>
      </c>
      <c r="M37" s="21"/>
      <c r="N37" s="21"/>
      <c r="O37" s="21"/>
    </row>
    <row r="38" spans="3:15" x14ac:dyDescent="0.25">
      <c r="C38" s="33" t="str">
        <f t="shared" si="0"/>
        <v/>
      </c>
      <c r="D38" s="11"/>
      <c r="E38" s="33" t="str">
        <f t="shared" si="1"/>
        <v/>
      </c>
      <c r="M38" s="21"/>
      <c r="N38" s="21"/>
      <c r="O38" s="21"/>
    </row>
    <row r="39" spans="3:15" x14ac:dyDescent="0.25">
      <c r="C39" s="33" t="str">
        <f t="shared" si="0"/>
        <v/>
      </c>
      <c r="D39" s="11"/>
      <c r="E39" s="33" t="str">
        <f t="shared" si="1"/>
        <v/>
      </c>
      <c r="M39" s="21"/>
      <c r="N39" s="21"/>
      <c r="O39" s="21"/>
    </row>
    <row r="40" spans="3:15" x14ac:dyDescent="0.25">
      <c r="C40" s="33" t="str">
        <f t="shared" si="0"/>
        <v/>
      </c>
      <c r="D40" s="11"/>
      <c r="E40" s="33" t="str">
        <f t="shared" si="1"/>
        <v/>
      </c>
      <c r="M40" s="21"/>
      <c r="N40" s="21"/>
      <c r="O40" s="21"/>
    </row>
    <row r="41" spans="3:15" x14ac:dyDescent="0.25">
      <c r="C41" s="33" t="str">
        <f t="shared" si="0"/>
        <v/>
      </c>
      <c r="D41" s="11"/>
      <c r="E41" s="33" t="str">
        <f t="shared" si="1"/>
        <v/>
      </c>
      <c r="M41" s="21"/>
      <c r="N41" s="21"/>
      <c r="O41" s="21"/>
    </row>
    <row r="42" spans="3:15" x14ac:dyDescent="0.25">
      <c r="C42" s="33" t="str">
        <f t="shared" si="0"/>
        <v/>
      </c>
      <c r="D42" s="11"/>
      <c r="E42" s="33" t="str">
        <f t="shared" si="1"/>
        <v/>
      </c>
      <c r="M42" s="21"/>
      <c r="N42" s="21"/>
      <c r="O42" s="21"/>
    </row>
    <row r="43" spans="3:15" x14ac:dyDescent="0.25">
      <c r="C43" s="33" t="str">
        <f t="shared" si="0"/>
        <v/>
      </c>
      <c r="D43" s="11"/>
      <c r="E43" s="33" t="str">
        <f t="shared" si="1"/>
        <v/>
      </c>
      <c r="M43" s="21"/>
      <c r="N43" s="21"/>
      <c r="O43" s="21"/>
    </row>
    <row r="44" spans="3:15" ht="6" customHeight="1" x14ac:dyDescent="0.25">
      <c r="C44" s="9"/>
      <c r="D44" s="9"/>
      <c r="E44" s="9"/>
      <c r="F44" s="9"/>
      <c r="G44" s="9"/>
      <c r="H44" s="9"/>
      <c r="I44" s="9"/>
      <c r="J44" s="9"/>
      <c r="K44" s="9"/>
      <c r="L44" s="9"/>
      <c r="M44" s="21"/>
      <c r="N44" s="21"/>
      <c r="O44" s="21"/>
    </row>
    <row r="45" spans="3:15" ht="6" customHeight="1" x14ac:dyDescent="0.25">
      <c r="M45" s="21"/>
      <c r="N45" s="21"/>
      <c r="O45" s="21"/>
    </row>
    <row r="46" spans="3:15" x14ac:dyDescent="0.25">
      <c r="C46" s="15" t="s">
        <v>79</v>
      </c>
      <c r="M46" s="21"/>
      <c r="N46" s="21"/>
      <c r="O46" s="21"/>
    </row>
    <row r="47" spans="3:15" x14ac:dyDescent="0.25">
      <c r="C47" s="15" t="s">
        <v>78</v>
      </c>
    </row>
  </sheetData>
  <mergeCells count="1">
    <mergeCell ref="G13:H13"/>
  </mergeCells>
  <conditionalFormatting sqref="I9">
    <cfRule type="containsText" dxfId="2391" priority="18" operator="containsText" text="FAIL">
      <formula>NOT(ISERROR(SEARCH("FAIL",I9)))</formula>
    </cfRule>
  </conditionalFormatting>
  <conditionalFormatting sqref="I9">
    <cfRule type="containsText" dxfId="2390" priority="17" operator="containsText" text="GOOD">
      <formula>NOT(ISERROR(SEARCH("GOOD",I9)))</formula>
    </cfRule>
  </conditionalFormatting>
  <conditionalFormatting sqref="F11">
    <cfRule type="containsText" dxfId="2389" priority="16" operator="containsText" text="FAIL">
      <formula>NOT(ISERROR(SEARCH("FAIL",F11)))</formula>
    </cfRule>
  </conditionalFormatting>
  <conditionalFormatting sqref="F11">
    <cfRule type="containsText" dxfId="2388" priority="15" operator="containsText" text="GOOD">
      <formula>NOT(ISERROR(SEARCH("GOOD",F11)))</formula>
    </cfRule>
  </conditionalFormatting>
  <conditionalFormatting sqref="D25">
    <cfRule type="expression" dxfId="2387" priority="14" stopIfTrue="1">
      <formula>IF($H$25=1,0)</formula>
    </cfRule>
  </conditionalFormatting>
  <conditionalFormatting sqref="D23 D29:D43 D25">
    <cfRule type="expression" dxfId="2386" priority="13">
      <formula>H23=1</formula>
    </cfRule>
  </conditionalFormatting>
  <conditionalFormatting sqref="C23:C26 C29:C43">
    <cfRule type="expression" dxfId="2385" priority="12">
      <formula>H23=1</formula>
    </cfRule>
  </conditionalFormatting>
  <conditionalFormatting sqref="E23 E29:E43 E25">
    <cfRule type="expression" dxfId="2384" priority="11">
      <formula>H23=1</formula>
    </cfRule>
  </conditionalFormatting>
  <conditionalFormatting sqref="F11">
    <cfRule type="containsText" dxfId="2383" priority="10" operator="containsText" text="FAIL">
      <formula>NOT(ISERROR(SEARCH("FAIL",F11)))</formula>
    </cfRule>
  </conditionalFormatting>
  <conditionalFormatting sqref="F11">
    <cfRule type="containsText" dxfId="2382" priority="9" operator="containsText" text="GOOD">
      <formula>NOT(ISERROR(SEARCH("GOOD",F11)))</formula>
    </cfRule>
  </conditionalFormatting>
  <conditionalFormatting sqref="D27:D28">
    <cfRule type="expression" dxfId="2381" priority="8">
      <formula>H27=1</formula>
    </cfRule>
  </conditionalFormatting>
  <conditionalFormatting sqref="C27:C28">
    <cfRule type="expression" dxfId="2380" priority="7">
      <formula>H27=1</formula>
    </cfRule>
  </conditionalFormatting>
  <conditionalFormatting sqref="E27:E28">
    <cfRule type="expression" dxfId="2379" priority="6">
      <formula>H27=1</formula>
    </cfRule>
  </conditionalFormatting>
  <conditionalFormatting sqref="D24">
    <cfRule type="expression" dxfId="2378" priority="5" stopIfTrue="1">
      <formula>IF($H$25=1,0)</formula>
    </cfRule>
  </conditionalFormatting>
  <conditionalFormatting sqref="D24">
    <cfRule type="expression" dxfId="2377" priority="4">
      <formula>H24=1</formula>
    </cfRule>
  </conditionalFormatting>
  <conditionalFormatting sqref="E24">
    <cfRule type="expression" dxfId="2376" priority="3">
      <formula>H24=1</formula>
    </cfRule>
  </conditionalFormatting>
  <conditionalFormatting sqref="D26">
    <cfRule type="expression" dxfId="2375" priority="2">
      <formula>H26=1</formula>
    </cfRule>
  </conditionalFormatting>
  <conditionalFormatting sqref="E26">
    <cfRule type="expression" dxfId="2374" priority="1">
      <formula>H26=1</formula>
    </cfRule>
  </conditionalFormatting>
  <pageMargins left="0.7" right="0.7" top="0.75" bottom="0.75" header="0.3" footer="0.3"/>
  <pageSetup scale="68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theme="1"/>
    <pageSetUpPr fitToPage="1"/>
  </sheetPr>
  <dimension ref="B2:AT142"/>
  <sheetViews>
    <sheetView zoomScale="90" zoomScaleNormal="90" workbookViewId="0">
      <selection activeCell="H14" sqref="H14"/>
    </sheetView>
  </sheetViews>
  <sheetFormatPr defaultRowHeight="15" x14ac:dyDescent="0.25"/>
  <cols>
    <col min="3" max="3" width="6.5703125" customWidth="1"/>
    <col min="4" max="4" width="13.42578125" customWidth="1"/>
    <col min="5" max="5" width="44.28515625" customWidth="1"/>
    <col min="6" max="6" width="10.7109375" customWidth="1"/>
    <col min="7" max="7" width="9.5703125" customWidth="1"/>
    <col min="8" max="10" width="12.42578125" customWidth="1"/>
    <col min="11" max="11" width="6.85546875" customWidth="1"/>
    <col min="12" max="12" width="7.5703125" customWidth="1"/>
    <col min="13" max="13" width="9.140625" customWidth="1"/>
    <col min="14" max="14" width="7.42578125" style="11" customWidth="1"/>
    <col min="15" max="15" width="5.42578125" customWidth="1"/>
    <col min="16" max="16" width="4.42578125" customWidth="1"/>
    <col min="17" max="17" width="3.42578125" customWidth="1"/>
    <col min="18" max="18" width="9.140625" customWidth="1"/>
    <col min="19" max="19" width="10.7109375" customWidth="1"/>
    <col min="21" max="21" width="10.85546875" style="4" bestFit="1" customWidth="1"/>
    <col min="22" max="22" width="11.5703125" style="4" customWidth="1"/>
    <col min="23" max="23" width="10.7109375" style="4" bestFit="1" customWidth="1"/>
    <col min="24" max="24" width="9.85546875" style="4" bestFit="1" customWidth="1"/>
    <col min="25" max="25" width="10.7109375" style="4" bestFit="1" customWidth="1"/>
    <col min="26" max="27" width="9.85546875" style="4" bestFit="1" customWidth="1"/>
    <col min="28" max="28" width="9.28515625" style="4" bestFit="1" customWidth="1"/>
  </cols>
  <sheetData>
    <row r="2" spans="2:41" ht="27.75" customHeight="1" x14ac:dyDescent="0.25">
      <c r="E2" s="15"/>
      <c r="F2" s="15" t="s">
        <v>32</v>
      </c>
      <c r="H2" s="15"/>
      <c r="J2" s="15" t="s">
        <v>1161</v>
      </c>
      <c r="P2" s="15" t="s">
        <v>5</v>
      </c>
      <c r="Q2" s="15"/>
      <c r="R2" s="25">
        <v>43844</v>
      </c>
    </row>
    <row r="3" spans="2:41" ht="18.75" x14ac:dyDescent="0.3">
      <c r="D3" s="3"/>
      <c r="I3" s="2"/>
      <c r="J3" s="2"/>
      <c r="K3" s="23"/>
    </row>
    <row r="4" spans="2:41" x14ac:dyDescent="0.25">
      <c r="C4" s="28"/>
      <c r="D4" s="28"/>
      <c r="E4" s="28"/>
      <c r="F4" s="28"/>
      <c r="G4" s="29"/>
      <c r="H4" s="29"/>
      <c r="I4" s="29"/>
      <c r="J4" s="29"/>
      <c r="K4" s="28"/>
      <c r="L4" s="29"/>
      <c r="M4" s="29"/>
      <c r="N4" s="34"/>
      <c r="O4" s="28"/>
      <c r="P4" s="28"/>
      <c r="Q4" s="9"/>
      <c r="R4" s="9"/>
      <c r="S4" s="9"/>
      <c r="T4" s="9"/>
    </row>
    <row r="5" spans="2:41" ht="7.5" customHeight="1" x14ac:dyDescent="0.25"/>
    <row r="6" spans="2:41" ht="30.75" customHeight="1" x14ac:dyDescent="0.25">
      <c r="C6" s="31" t="s">
        <v>423</v>
      </c>
      <c r="D6" s="31" t="s">
        <v>1208</v>
      </c>
      <c r="E6" s="31" t="s">
        <v>1209</v>
      </c>
      <c r="F6" s="36" t="s">
        <v>57</v>
      </c>
      <c r="G6" s="201" t="s">
        <v>1210</v>
      </c>
      <c r="H6" s="197" t="s">
        <v>1218</v>
      </c>
      <c r="I6" s="36" t="s">
        <v>59</v>
      </c>
      <c r="J6" s="36" t="s">
        <v>1213</v>
      </c>
      <c r="K6" s="197" t="s">
        <v>1211</v>
      </c>
      <c r="L6" s="197" t="s">
        <v>1216</v>
      </c>
      <c r="M6" s="197" t="s">
        <v>1217</v>
      </c>
      <c r="N6" s="90" t="s">
        <v>61</v>
      </c>
      <c r="O6" s="344" t="s">
        <v>62</v>
      </c>
      <c r="P6" s="31" t="s">
        <v>225</v>
      </c>
      <c r="Q6" s="36" t="s">
        <v>1212</v>
      </c>
      <c r="R6" s="90" t="s">
        <v>454</v>
      </c>
      <c r="S6" s="31" t="s">
        <v>1369</v>
      </c>
      <c r="T6" s="31"/>
      <c r="U6" s="5" t="s">
        <v>1214</v>
      </c>
    </row>
    <row r="7" spans="2:41" x14ac:dyDescent="0.25">
      <c r="D7" s="15"/>
      <c r="E7" s="24"/>
      <c r="F7" s="25"/>
      <c r="G7" s="27"/>
      <c r="H7" s="27"/>
      <c r="I7" s="26"/>
      <c r="J7" s="26"/>
      <c r="K7" s="11"/>
      <c r="L7" s="15"/>
      <c r="M7" s="15"/>
      <c r="N7" s="35"/>
      <c r="O7" s="15"/>
      <c r="P7" s="24"/>
      <c r="Q7" s="15"/>
      <c r="R7" s="15"/>
      <c r="S7" s="15"/>
      <c r="T7" s="15"/>
    </row>
    <row r="8" spans="2:41" ht="18.75" x14ac:dyDescent="0.3">
      <c r="C8" s="3" t="s">
        <v>1585</v>
      </c>
      <c r="D8" s="15"/>
      <c r="E8" s="24"/>
      <c r="F8" s="25"/>
      <c r="G8" s="27"/>
      <c r="H8" s="27"/>
      <c r="I8" s="26"/>
      <c r="J8" s="26"/>
      <c r="K8" s="11"/>
      <c r="L8" s="15"/>
      <c r="M8" s="15"/>
      <c r="N8" s="35"/>
      <c r="O8" s="15"/>
      <c r="P8" s="24"/>
      <c r="Q8" s="15">
        <v>0</v>
      </c>
      <c r="R8" s="15"/>
      <c r="S8" s="15"/>
      <c r="T8" s="15"/>
    </row>
    <row r="9" spans="2:41" x14ac:dyDescent="0.25">
      <c r="C9" s="176"/>
      <c r="D9" s="15"/>
      <c r="E9" s="24"/>
      <c r="F9" s="25"/>
      <c r="G9" s="27"/>
      <c r="H9" s="27"/>
      <c r="I9" s="26"/>
      <c r="J9" s="26"/>
      <c r="K9" s="11"/>
      <c r="L9" s="15"/>
      <c r="M9" s="15"/>
      <c r="N9" s="35"/>
      <c r="O9" s="15"/>
      <c r="P9" s="24"/>
      <c r="Q9" s="15"/>
      <c r="R9" s="15"/>
      <c r="S9" s="15"/>
      <c r="T9" s="15"/>
    </row>
    <row r="10" spans="2:41" x14ac:dyDescent="0.25">
      <c r="B10" s="224"/>
      <c r="C10" s="177">
        <v>2019</v>
      </c>
      <c r="D10" s="62" t="s">
        <v>1513</v>
      </c>
      <c r="E10" s="63" t="s">
        <v>1514</v>
      </c>
      <c r="F10" s="64">
        <v>43818</v>
      </c>
      <c r="G10" s="65" t="s">
        <v>1225</v>
      </c>
      <c r="H10" s="94">
        <v>1600000</v>
      </c>
      <c r="I10" s="94">
        <v>1065100</v>
      </c>
      <c r="J10" s="27">
        <f>+V10</f>
        <v>2296250</v>
      </c>
      <c r="K10" s="179">
        <v>0.35</v>
      </c>
      <c r="L10" s="230">
        <f t="shared" ref="L10" si="0">+(I10-H10)/H10</f>
        <v>-0.33431250000000001</v>
      </c>
      <c r="M10" s="26">
        <f t="shared" ref="M10" si="1">+J10/I10</f>
        <v>2.1559008543798703</v>
      </c>
      <c r="N10" s="11" t="s">
        <v>464</v>
      </c>
      <c r="O10" s="15">
        <v>6</v>
      </c>
      <c r="P10" s="35" t="s">
        <v>226</v>
      </c>
      <c r="Q10" s="15">
        <v>4</v>
      </c>
      <c r="R10" s="35" t="s">
        <v>457</v>
      </c>
      <c r="S10" s="62"/>
      <c r="T10" s="35"/>
      <c r="U10" s="4">
        <f>+I10</f>
        <v>1065100</v>
      </c>
      <c r="V10" s="4">
        <v>2296250</v>
      </c>
      <c r="W10" s="27"/>
      <c r="X10" s="27"/>
      <c r="Y10" s="27"/>
      <c r="Z10" s="27"/>
      <c r="AA10" s="94"/>
      <c r="AB10" s="94"/>
      <c r="AC10" s="94"/>
      <c r="AD10" s="94"/>
      <c r="AE10" s="94"/>
      <c r="AF10" s="94"/>
      <c r="AG10" s="4"/>
      <c r="AH10" s="4"/>
      <c r="AI10" s="225"/>
      <c r="AJ10" s="226"/>
      <c r="AK10" s="227"/>
      <c r="AL10" s="227"/>
      <c r="AM10" s="225"/>
      <c r="AN10" s="226"/>
      <c r="AO10" s="228"/>
    </row>
    <row r="11" spans="2:41" x14ac:dyDescent="0.25">
      <c r="B11" s="224"/>
      <c r="C11" s="177">
        <v>2019</v>
      </c>
      <c r="D11" s="62" t="s">
        <v>1479</v>
      </c>
      <c r="E11" s="63" t="s">
        <v>1480</v>
      </c>
      <c r="F11" s="64">
        <v>43817</v>
      </c>
      <c r="G11" s="65" t="s">
        <v>1225</v>
      </c>
      <c r="H11" s="94">
        <v>700000</v>
      </c>
      <c r="I11" s="94">
        <v>784102</v>
      </c>
      <c r="J11" s="27">
        <f t="shared" ref="J11:J25" si="2">+V11</f>
        <v>1364708</v>
      </c>
      <c r="K11" s="179">
        <v>0.35</v>
      </c>
      <c r="L11" s="230">
        <f t="shared" ref="L11:L25" si="3">+(I11-H11)/H11</f>
        <v>0.12014571428571429</v>
      </c>
      <c r="M11" s="26">
        <f t="shared" ref="M11:M25" si="4">+J11/I11</f>
        <v>1.7404725405623247</v>
      </c>
      <c r="N11" s="11" t="s">
        <v>465</v>
      </c>
      <c r="O11" s="15">
        <v>5</v>
      </c>
      <c r="P11" s="35" t="s">
        <v>25</v>
      </c>
      <c r="Q11" s="15">
        <v>4</v>
      </c>
      <c r="R11" s="35" t="s">
        <v>457</v>
      </c>
      <c r="S11" s="62"/>
      <c r="T11" s="35"/>
      <c r="U11" s="4">
        <f t="shared" ref="U11:U25" si="5">+I11</f>
        <v>784102</v>
      </c>
      <c r="V11" s="27">
        <v>1364708</v>
      </c>
      <c r="W11" s="27"/>
      <c r="X11" s="27"/>
      <c r="Y11" s="27"/>
      <c r="Z11" s="27"/>
      <c r="AA11" s="94"/>
      <c r="AB11" s="94"/>
      <c r="AC11" s="94"/>
      <c r="AD11" s="94"/>
      <c r="AE11" s="94"/>
      <c r="AF11" s="94"/>
      <c r="AG11" s="4"/>
      <c r="AH11" s="4"/>
      <c r="AI11" s="225"/>
      <c r="AJ11" s="226"/>
      <c r="AK11" s="227"/>
      <c r="AL11" s="227"/>
      <c r="AM11" s="225"/>
      <c r="AN11" s="226"/>
      <c r="AO11" s="228"/>
    </row>
    <row r="12" spans="2:41" x14ac:dyDescent="0.25">
      <c r="B12" s="224"/>
      <c r="C12" s="177">
        <v>2019</v>
      </c>
      <c r="D12" s="62" t="s">
        <v>1481</v>
      </c>
      <c r="E12" s="63" t="s">
        <v>1482</v>
      </c>
      <c r="F12" s="64">
        <v>43775</v>
      </c>
      <c r="G12" s="65" t="s">
        <v>1225</v>
      </c>
      <c r="H12" s="94">
        <v>1200000</v>
      </c>
      <c r="I12" s="94">
        <v>1452000</v>
      </c>
      <c r="J12" s="27">
        <f t="shared" si="2"/>
        <v>4981000</v>
      </c>
      <c r="K12" s="179">
        <v>0.35</v>
      </c>
      <c r="L12" s="230">
        <f t="shared" si="3"/>
        <v>0.21</v>
      </c>
      <c r="M12" s="26">
        <f t="shared" si="4"/>
        <v>3.4304407713498621</v>
      </c>
      <c r="N12" s="11" t="s">
        <v>465</v>
      </c>
      <c r="O12" s="15">
        <v>4</v>
      </c>
      <c r="P12" s="35" t="s">
        <v>25</v>
      </c>
      <c r="Q12" s="15">
        <v>4</v>
      </c>
      <c r="R12" s="35" t="s">
        <v>457</v>
      </c>
      <c r="S12" s="62"/>
      <c r="T12" s="35"/>
      <c r="U12" s="4">
        <f t="shared" si="5"/>
        <v>1452000</v>
      </c>
      <c r="V12" s="27">
        <v>4981000</v>
      </c>
      <c r="W12" s="27"/>
      <c r="X12" s="27"/>
      <c r="Y12" s="27"/>
      <c r="Z12" s="27"/>
      <c r="AA12" s="94"/>
      <c r="AB12" s="94"/>
      <c r="AC12" s="94"/>
      <c r="AD12" s="94"/>
      <c r="AE12" s="94"/>
      <c r="AF12" s="94"/>
      <c r="AG12" s="4"/>
      <c r="AH12" s="4"/>
      <c r="AI12" s="225"/>
      <c r="AJ12" s="226"/>
      <c r="AK12" s="227"/>
      <c r="AL12" s="227"/>
      <c r="AM12" s="225"/>
      <c r="AN12" s="226"/>
      <c r="AO12" s="228"/>
    </row>
    <row r="13" spans="2:41" x14ac:dyDescent="0.25">
      <c r="B13" s="224"/>
      <c r="C13" s="177">
        <v>2019</v>
      </c>
      <c r="D13" s="62" t="s">
        <v>1500</v>
      </c>
      <c r="E13" s="63" t="s">
        <v>1501</v>
      </c>
      <c r="F13" s="64">
        <v>43774</v>
      </c>
      <c r="G13" s="65" t="s">
        <v>1225</v>
      </c>
      <c r="H13" s="94">
        <v>300000</v>
      </c>
      <c r="I13" s="94">
        <v>350400</v>
      </c>
      <c r="J13" s="27">
        <f t="shared" si="2"/>
        <v>621000</v>
      </c>
      <c r="K13" s="179">
        <v>0.35</v>
      </c>
      <c r="L13" s="230">
        <f t="shared" si="3"/>
        <v>0.16800000000000001</v>
      </c>
      <c r="M13" s="26">
        <f t="shared" si="4"/>
        <v>1.7722602739726028</v>
      </c>
      <c r="N13" s="11" t="s">
        <v>465</v>
      </c>
      <c r="O13" s="15">
        <v>5</v>
      </c>
      <c r="P13" s="35" t="s">
        <v>93</v>
      </c>
      <c r="Q13" s="15">
        <v>4</v>
      </c>
      <c r="R13" s="35" t="s">
        <v>457</v>
      </c>
      <c r="S13" s="62"/>
      <c r="T13" s="35"/>
      <c r="U13" s="4">
        <f t="shared" si="5"/>
        <v>350400</v>
      </c>
      <c r="V13" s="27">
        <v>621000</v>
      </c>
      <c r="W13" s="27"/>
      <c r="X13" s="27"/>
      <c r="Y13" s="27"/>
      <c r="Z13" s="27"/>
      <c r="AA13" s="94"/>
      <c r="AB13" s="94"/>
      <c r="AC13" s="94"/>
      <c r="AD13" s="94"/>
      <c r="AE13" s="94"/>
      <c r="AF13" s="94"/>
      <c r="AG13" s="4"/>
      <c r="AH13" s="4"/>
      <c r="AI13" s="225"/>
      <c r="AJ13" s="226"/>
      <c r="AK13" s="227"/>
      <c r="AL13" s="227"/>
      <c r="AM13" s="225"/>
      <c r="AN13" s="226"/>
      <c r="AO13" s="228"/>
    </row>
    <row r="14" spans="2:41" x14ac:dyDescent="0.25">
      <c r="B14" s="224"/>
      <c r="C14" s="177">
        <v>2019</v>
      </c>
      <c r="D14" s="62" t="s">
        <v>1483</v>
      </c>
      <c r="E14" s="63" t="s">
        <v>1484</v>
      </c>
      <c r="F14" s="64">
        <v>43767</v>
      </c>
      <c r="G14" s="65" t="s">
        <v>1225</v>
      </c>
      <c r="H14" s="94">
        <v>1196000</v>
      </c>
      <c r="I14" s="94">
        <v>1241000</v>
      </c>
      <c r="J14" s="27">
        <f t="shared" si="2"/>
        <v>4200999</v>
      </c>
      <c r="K14" s="179">
        <v>0.35</v>
      </c>
      <c r="L14" s="230">
        <f t="shared" si="3"/>
        <v>3.7625418060200672E-2</v>
      </c>
      <c r="M14" s="26">
        <f t="shared" si="4"/>
        <v>3.3851724415793716</v>
      </c>
      <c r="N14" s="11" t="s">
        <v>464</v>
      </c>
      <c r="O14" s="15">
        <v>3</v>
      </c>
      <c r="P14" s="35" t="s">
        <v>25</v>
      </c>
      <c r="Q14" s="15">
        <v>4</v>
      </c>
      <c r="R14" s="35" t="s">
        <v>458</v>
      </c>
      <c r="S14" s="62"/>
      <c r="T14" s="35"/>
      <c r="U14" s="4">
        <f t="shared" si="5"/>
        <v>1241000</v>
      </c>
      <c r="V14" s="27">
        <v>4200999</v>
      </c>
      <c r="W14" s="27"/>
      <c r="X14" s="27"/>
      <c r="Y14" s="27"/>
      <c r="Z14" s="27"/>
      <c r="AA14" s="94"/>
      <c r="AB14" s="94"/>
      <c r="AC14" s="94"/>
      <c r="AD14" s="94"/>
      <c r="AE14" s="94"/>
      <c r="AF14" s="94"/>
      <c r="AG14" s="4"/>
      <c r="AH14" s="4"/>
      <c r="AI14" s="225"/>
      <c r="AJ14" s="226"/>
      <c r="AK14" s="227"/>
      <c r="AL14" s="227"/>
      <c r="AM14" s="225"/>
      <c r="AN14" s="226"/>
      <c r="AO14" s="228"/>
    </row>
    <row r="15" spans="2:41" x14ac:dyDescent="0.25">
      <c r="B15" s="224"/>
      <c r="C15" s="177">
        <v>2019</v>
      </c>
      <c r="D15" s="62" t="s">
        <v>1516</v>
      </c>
      <c r="E15" s="63" t="s">
        <v>1517</v>
      </c>
      <c r="F15" s="64">
        <v>43740</v>
      </c>
      <c r="G15" s="65" t="s">
        <v>1225</v>
      </c>
      <c r="H15" s="94">
        <v>1260000</v>
      </c>
      <c r="I15" s="94">
        <v>1350135</v>
      </c>
      <c r="J15" s="27">
        <f t="shared" si="2"/>
        <v>2421000</v>
      </c>
      <c r="K15" s="179">
        <v>0.35</v>
      </c>
      <c r="L15" s="230">
        <f t="shared" si="3"/>
        <v>7.1535714285714286E-2</v>
      </c>
      <c r="M15" s="26">
        <f t="shared" si="4"/>
        <v>1.7931540179315402</v>
      </c>
      <c r="N15" s="11" t="s">
        <v>464</v>
      </c>
      <c r="O15" s="15">
        <v>3</v>
      </c>
      <c r="P15" s="35" t="s">
        <v>226</v>
      </c>
      <c r="Q15" s="15">
        <v>4</v>
      </c>
      <c r="R15" s="35" t="s">
        <v>457</v>
      </c>
      <c r="S15" s="62"/>
      <c r="T15" s="35"/>
      <c r="U15" s="4">
        <f t="shared" si="5"/>
        <v>1350135</v>
      </c>
      <c r="V15" s="27">
        <v>2421000</v>
      </c>
      <c r="W15" s="27"/>
      <c r="X15" s="27"/>
      <c r="Y15" s="27"/>
      <c r="Z15" s="27"/>
      <c r="AA15" s="94"/>
      <c r="AB15" s="94"/>
      <c r="AC15" s="94"/>
      <c r="AD15" s="94"/>
      <c r="AE15" s="94"/>
      <c r="AF15" s="94"/>
      <c r="AG15" s="4"/>
      <c r="AH15" s="4"/>
      <c r="AI15" s="225"/>
      <c r="AJ15" s="226"/>
      <c r="AK15" s="227"/>
      <c r="AL15" s="227"/>
      <c r="AM15" s="225"/>
      <c r="AN15" s="226"/>
      <c r="AO15" s="228"/>
    </row>
    <row r="16" spans="2:41" x14ac:dyDescent="0.25">
      <c r="B16" s="224"/>
      <c r="C16" s="177">
        <v>2019</v>
      </c>
      <c r="D16" s="62" t="s">
        <v>1485</v>
      </c>
      <c r="E16" s="63" t="s">
        <v>1486</v>
      </c>
      <c r="F16" s="64">
        <v>43720</v>
      </c>
      <c r="G16" s="65" t="s">
        <v>1225</v>
      </c>
      <c r="H16" s="94">
        <v>1360000</v>
      </c>
      <c r="I16" s="94">
        <v>1843700</v>
      </c>
      <c r="J16" s="27">
        <f t="shared" si="2"/>
        <v>3561600</v>
      </c>
      <c r="K16" s="179">
        <v>0.35</v>
      </c>
      <c r="L16" s="230">
        <f t="shared" si="3"/>
        <v>0.35566176470588234</v>
      </c>
      <c r="M16" s="26">
        <f t="shared" si="4"/>
        <v>1.9317676411563705</v>
      </c>
      <c r="N16" s="11" t="s">
        <v>465</v>
      </c>
      <c r="O16" s="15">
        <v>5</v>
      </c>
      <c r="P16" s="35" t="s">
        <v>25</v>
      </c>
      <c r="Q16" s="15">
        <v>3</v>
      </c>
      <c r="R16" s="35" t="s">
        <v>457</v>
      </c>
      <c r="S16" s="62"/>
      <c r="T16" s="35"/>
      <c r="U16" s="4">
        <f t="shared" si="5"/>
        <v>1843700</v>
      </c>
      <c r="V16" s="27">
        <v>3561600</v>
      </c>
      <c r="W16" s="27"/>
      <c r="X16" s="27"/>
      <c r="Y16" s="27"/>
      <c r="Z16" s="27"/>
      <c r="AA16" s="94"/>
      <c r="AB16" s="94"/>
      <c r="AC16" s="94"/>
      <c r="AD16" s="94"/>
      <c r="AE16" s="94"/>
      <c r="AF16" s="94"/>
      <c r="AG16" s="4"/>
      <c r="AH16" s="4"/>
      <c r="AI16" s="225"/>
      <c r="AJ16" s="226"/>
      <c r="AK16" s="227"/>
      <c r="AL16" s="227"/>
      <c r="AM16" s="225"/>
      <c r="AN16" s="226"/>
      <c r="AO16" s="228"/>
    </row>
    <row r="17" spans="2:43" x14ac:dyDescent="0.25">
      <c r="B17" s="224"/>
      <c r="C17" s="177">
        <v>2019</v>
      </c>
      <c r="D17" s="62" t="s">
        <v>1507</v>
      </c>
      <c r="E17" s="63" t="s">
        <v>1508</v>
      </c>
      <c r="F17" s="64">
        <v>43713</v>
      </c>
      <c r="G17" s="65" t="s">
        <v>1225</v>
      </c>
      <c r="H17" s="94">
        <v>2030000</v>
      </c>
      <c r="I17" s="94">
        <v>1887810</v>
      </c>
      <c r="J17" s="27">
        <f t="shared" si="2"/>
        <v>3074125</v>
      </c>
      <c r="K17" s="179">
        <v>0.35</v>
      </c>
      <c r="L17" s="230">
        <f t="shared" si="3"/>
        <v>-7.0044334975369452E-2</v>
      </c>
      <c r="M17" s="26">
        <f t="shared" si="4"/>
        <v>1.6284080495388837</v>
      </c>
      <c r="N17" s="11" t="s">
        <v>464</v>
      </c>
      <c r="O17" s="15">
        <v>4</v>
      </c>
      <c r="P17" s="35" t="s">
        <v>93</v>
      </c>
      <c r="Q17" s="15">
        <v>3</v>
      </c>
      <c r="R17" s="35" t="s">
        <v>458</v>
      </c>
      <c r="S17" s="62"/>
      <c r="T17" s="35"/>
      <c r="U17" s="4">
        <f t="shared" si="5"/>
        <v>1887810</v>
      </c>
      <c r="V17" s="27">
        <v>3074125</v>
      </c>
      <c r="W17" s="27"/>
      <c r="X17" s="27"/>
      <c r="Y17" s="27"/>
      <c r="Z17" s="27"/>
      <c r="AA17" s="94"/>
      <c r="AB17" s="94"/>
      <c r="AC17" s="94"/>
      <c r="AD17" s="94"/>
      <c r="AE17" s="94"/>
      <c r="AF17" s="94"/>
      <c r="AG17" s="4"/>
      <c r="AH17" s="4"/>
      <c r="AI17" s="225"/>
      <c r="AJ17" s="226"/>
      <c r="AK17" s="227"/>
      <c r="AL17" s="227"/>
      <c r="AM17" s="225"/>
      <c r="AN17" s="226"/>
      <c r="AO17" s="228"/>
    </row>
    <row r="18" spans="2:43" x14ac:dyDescent="0.25">
      <c r="B18" s="224"/>
      <c r="C18" s="177">
        <v>2019</v>
      </c>
      <c r="D18" s="62" t="s">
        <v>1487</v>
      </c>
      <c r="E18" s="63" t="s">
        <v>1488</v>
      </c>
      <c r="F18" s="64">
        <v>43704</v>
      </c>
      <c r="G18" s="65" t="s">
        <v>1225</v>
      </c>
      <c r="H18" s="94">
        <v>1260000</v>
      </c>
      <c r="I18" s="94">
        <v>1201422</v>
      </c>
      <c r="J18" s="27">
        <f t="shared" si="2"/>
        <v>3240000</v>
      </c>
      <c r="K18" s="179">
        <v>0.35</v>
      </c>
      <c r="L18" s="230">
        <f t="shared" si="3"/>
        <v>-4.6490476190476193E-2</v>
      </c>
      <c r="M18" s="26">
        <f t="shared" si="4"/>
        <v>2.69680428692</v>
      </c>
      <c r="N18" s="11" t="s">
        <v>464</v>
      </c>
      <c r="O18" s="15">
        <v>6</v>
      </c>
      <c r="P18" s="35" t="s">
        <v>25</v>
      </c>
      <c r="Q18" s="15">
        <v>3</v>
      </c>
      <c r="R18" s="35" t="s">
        <v>492</v>
      </c>
      <c r="S18" s="62"/>
      <c r="T18" s="35"/>
      <c r="U18" s="4">
        <f t="shared" si="5"/>
        <v>1201422</v>
      </c>
      <c r="V18" s="27">
        <v>3240000</v>
      </c>
      <c r="W18" s="27"/>
      <c r="X18" s="27"/>
      <c r="Y18" s="27"/>
      <c r="Z18" s="27"/>
      <c r="AA18" s="94"/>
      <c r="AB18" s="94"/>
      <c r="AC18" s="94"/>
      <c r="AD18" s="94"/>
      <c r="AE18" s="94"/>
      <c r="AF18" s="94"/>
      <c r="AG18" s="4"/>
      <c r="AH18" s="4"/>
      <c r="AI18" s="225"/>
      <c r="AJ18" s="226"/>
      <c r="AK18" s="227"/>
      <c r="AL18" s="227"/>
      <c r="AM18" s="225"/>
      <c r="AN18" s="226"/>
      <c r="AO18" s="228"/>
    </row>
    <row r="19" spans="2:43" x14ac:dyDescent="0.25">
      <c r="B19" s="224"/>
      <c r="C19" s="177">
        <v>2019</v>
      </c>
      <c r="D19" s="62" t="s">
        <v>1495</v>
      </c>
      <c r="E19" s="63" t="s">
        <v>1496</v>
      </c>
      <c r="F19" s="64">
        <v>43662</v>
      </c>
      <c r="G19" s="65" t="s">
        <v>1225</v>
      </c>
      <c r="H19" s="94">
        <v>2060000</v>
      </c>
      <c r="I19" s="94">
        <v>2899873</v>
      </c>
      <c r="J19" s="27">
        <f t="shared" si="2"/>
        <v>6789900</v>
      </c>
      <c r="K19" s="179">
        <v>0.35</v>
      </c>
      <c r="L19" s="230">
        <f t="shared" si="3"/>
        <v>0.40770533980582524</v>
      </c>
      <c r="M19" s="26">
        <f t="shared" si="4"/>
        <v>2.3414473668329614</v>
      </c>
      <c r="N19" s="11" t="s">
        <v>465</v>
      </c>
      <c r="O19" s="15">
        <v>4</v>
      </c>
      <c r="P19" s="35" t="s">
        <v>25</v>
      </c>
      <c r="Q19" s="15">
        <v>3</v>
      </c>
      <c r="R19" s="35" t="s">
        <v>457</v>
      </c>
      <c r="S19" s="62"/>
      <c r="T19" s="35"/>
      <c r="U19" s="4">
        <f t="shared" si="5"/>
        <v>2899873</v>
      </c>
      <c r="V19" s="27">
        <v>6789900</v>
      </c>
      <c r="W19" s="27"/>
      <c r="X19" s="27"/>
      <c r="Y19" s="27"/>
      <c r="Z19" s="27"/>
      <c r="AA19" s="94"/>
      <c r="AB19" s="94"/>
      <c r="AC19" s="94"/>
      <c r="AD19" s="94"/>
      <c r="AE19" s="94"/>
      <c r="AF19" s="94"/>
      <c r="AG19" s="4"/>
      <c r="AH19" s="4"/>
      <c r="AI19" s="225"/>
      <c r="AJ19" s="226"/>
      <c r="AK19" s="227"/>
      <c r="AL19" s="227"/>
      <c r="AM19" s="225"/>
      <c r="AN19" s="226"/>
      <c r="AO19" s="228"/>
    </row>
    <row r="20" spans="2:43" x14ac:dyDescent="0.25">
      <c r="B20" s="224"/>
      <c r="C20" s="177">
        <v>2019</v>
      </c>
      <c r="D20" s="62" t="s">
        <v>1511</v>
      </c>
      <c r="E20" s="63" t="s">
        <v>1512</v>
      </c>
      <c r="F20" s="64">
        <v>43655</v>
      </c>
      <c r="G20" s="65" t="s">
        <v>1225</v>
      </c>
      <c r="H20" s="94">
        <v>400000</v>
      </c>
      <c r="I20" s="94">
        <v>396784</v>
      </c>
      <c r="J20" s="27">
        <f t="shared" si="2"/>
        <v>833234</v>
      </c>
      <c r="K20" s="179">
        <v>0.35</v>
      </c>
      <c r="L20" s="230">
        <f t="shared" si="3"/>
        <v>-8.0400000000000003E-3</v>
      </c>
      <c r="M20" s="26">
        <f t="shared" si="4"/>
        <v>2.0999687487398684</v>
      </c>
      <c r="N20" s="11" t="s">
        <v>464</v>
      </c>
      <c r="O20" s="15">
        <v>6</v>
      </c>
      <c r="P20" s="35" t="s">
        <v>93</v>
      </c>
      <c r="Q20" s="15">
        <v>3</v>
      </c>
      <c r="R20" s="35" t="s">
        <v>457</v>
      </c>
      <c r="S20" s="62"/>
      <c r="T20" s="35"/>
      <c r="U20" s="4">
        <f t="shared" si="5"/>
        <v>396784</v>
      </c>
      <c r="V20" s="27">
        <v>833234</v>
      </c>
      <c r="W20" s="27"/>
      <c r="X20" s="27"/>
      <c r="Y20" s="27"/>
      <c r="Z20" s="27"/>
      <c r="AA20" s="94"/>
      <c r="AB20" s="94"/>
      <c r="AC20" s="94"/>
      <c r="AD20" s="94"/>
      <c r="AE20" s="94"/>
      <c r="AF20" s="94"/>
      <c r="AG20" s="4"/>
      <c r="AH20" s="4"/>
      <c r="AI20" s="225"/>
      <c r="AJ20" s="226"/>
      <c r="AK20" s="227"/>
      <c r="AL20" s="227"/>
      <c r="AM20" s="225"/>
      <c r="AN20" s="226"/>
      <c r="AO20" s="228"/>
    </row>
    <row r="21" spans="2:43" x14ac:dyDescent="0.25">
      <c r="B21" s="224"/>
      <c r="C21" s="177">
        <v>2019</v>
      </c>
      <c r="D21" s="62" t="s">
        <v>1394</v>
      </c>
      <c r="E21" s="63" t="s">
        <v>1395</v>
      </c>
      <c r="F21" s="64">
        <v>43567</v>
      </c>
      <c r="G21" s="65" t="s">
        <v>1225</v>
      </c>
      <c r="H21" s="94">
        <v>1216000</v>
      </c>
      <c r="I21" s="94">
        <v>1300529</v>
      </c>
      <c r="J21" s="27">
        <f t="shared" si="2"/>
        <v>4188017</v>
      </c>
      <c r="K21" s="179">
        <v>0.35</v>
      </c>
      <c r="L21" s="230">
        <f t="shared" si="3"/>
        <v>6.9513980263157901E-2</v>
      </c>
      <c r="M21" s="26">
        <f t="shared" si="4"/>
        <v>3.2202411480251496</v>
      </c>
      <c r="N21" s="11" t="s">
        <v>464</v>
      </c>
      <c r="O21" s="15">
        <v>4</v>
      </c>
      <c r="P21" s="35" t="s">
        <v>25</v>
      </c>
      <c r="Q21" s="15">
        <v>2</v>
      </c>
      <c r="R21" s="35" t="s">
        <v>459</v>
      </c>
      <c r="S21" s="62"/>
      <c r="T21" s="35"/>
      <c r="U21" s="4">
        <f t="shared" si="5"/>
        <v>1300529</v>
      </c>
      <c r="V21" s="27">
        <v>4188017</v>
      </c>
      <c r="W21" s="27"/>
      <c r="X21" s="27"/>
      <c r="Y21" s="27"/>
      <c r="Z21" s="27"/>
      <c r="AA21" s="94"/>
      <c r="AB21" s="94"/>
      <c r="AC21" s="94"/>
      <c r="AD21" s="94"/>
      <c r="AE21" s="94"/>
      <c r="AF21" s="94"/>
      <c r="AG21" s="4"/>
      <c r="AH21" s="4"/>
      <c r="AI21" s="225"/>
      <c r="AJ21" s="226"/>
      <c r="AK21" s="227"/>
      <c r="AL21" s="227"/>
      <c r="AM21" s="225"/>
      <c r="AN21" s="226"/>
      <c r="AO21" s="228"/>
    </row>
    <row r="22" spans="2:43" x14ac:dyDescent="0.25">
      <c r="B22" s="224"/>
      <c r="C22" s="177">
        <v>2019</v>
      </c>
      <c r="D22" s="62" t="s">
        <v>1497</v>
      </c>
      <c r="E22" s="63" t="s">
        <v>1396</v>
      </c>
      <c r="F22" s="64">
        <v>43545</v>
      </c>
      <c r="G22" s="65" t="s">
        <v>1225</v>
      </c>
      <c r="H22" s="94">
        <v>1151000</v>
      </c>
      <c r="I22" s="94">
        <v>1762891</v>
      </c>
      <c r="J22" s="27">
        <f t="shared" si="2"/>
        <v>2845250</v>
      </c>
      <c r="K22" s="179">
        <v>0.35</v>
      </c>
      <c r="L22" s="230">
        <f t="shared" si="3"/>
        <v>0.53161685490877497</v>
      </c>
      <c r="M22" s="26">
        <f t="shared" si="4"/>
        <v>1.6139681920209474</v>
      </c>
      <c r="N22" s="11" t="s">
        <v>465</v>
      </c>
      <c r="O22" s="15">
        <v>4</v>
      </c>
      <c r="P22" s="35" t="s">
        <v>25</v>
      </c>
      <c r="Q22" s="15">
        <v>1</v>
      </c>
      <c r="R22" s="35" t="s">
        <v>457</v>
      </c>
      <c r="S22" s="62"/>
      <c r="T22" s="35"/>
      <c r="U22" s="4">
        <f t="shared" si="5"/>
        <v>1762891</v>
      </c>
      <c r="V22" s="27">
        <v>2845250</v>
      </c>
      <c r="W22" s="27"/>
      <c r="X22" s="27"/>
      <c r="Y22" s="27"/>
      <c r="Z22" s="27"/>
      <c r="AA22" s="94"/>
      <c r="AB22" s="94"/>
      <c r="AC22" s="94"/>
      <c r="AD22" s="94"/>
      <c r="AE22" s="94"/>
      <c r="AF22" s="94"/>
      <c r="AG22" s="4"/>
      <c r="AH22" s="4"/>
      <c r="AI22" s="225"/>
      <c r="AJ22" s="226"/>
      <c r="AK22" s="227"/>
      <c r="AL22" s="227"/>
      <c r="AM22" s="225"/>
      <c r="AN22" s="226"/>
      <c r="AO22" s="228"/>
    </row>
    <row r="23" spans="2:43" x14ac:dyDescent="0.25">
      <c r="B23" s="224"/>
      <c r="C23" s="177">
        <v>2019</v>
      </c>
      <c r="D23" s="62" t="s">
        <v>1397</v>
      </c>
      <c r="E23" s="63" t="s">
        <v>1398</v>
      </c>
      <c r="F23" s="64">
        <v>43531</v>
      </c>
      <c r="G23" s="65" t="s">
        <v>1225</v>
      </c>
      <c r="H23" s="94">
        <v>2460000</v>
      </c>
      <c r="I23" s="94">
        <v>2542676</v>
      </c>
      <c r="J23" s="27">
        <f t="shared" si="2"/>
        <v>3164700</v>
      </c>
      <c r="K23" s="179">
        <v>0.35</v>
      </c>
      <c r="L23" s="230">
        <f t="shared" si="3"/>
        <v>3.3608130081300813E-2</v>
      </c>
      <c r="M23" s="26">
        <f t="shared" si="4"/>
        <v>1.2446336064838777</v>
      </c>
      <c r="N23" s="11" t="s">
        <v>464</v>
      </c>
      <c r="O23" s="15">
        <v>4</v>
      </c>
      <c r="P23" s="35" t="s">
        <v>93</v>
      </c>
      <c r="Q23" s="15">
        <v>1</v>
      </c>
      <c r="R23" s="35" t="s">
        <v>458</v>
      </c>
      <c r="S23" s="62"/>
      <c r="T23" s="35"/>
      <c r="U23" s="4">
        <f t="shared" si="5"/>
        <v>2542676</v>
      </c>
      <c r="V23" s="27">
        <v>3164700</v>
      </c>
      <c r="W23" s="27"/>
      <c r="X23" s="27"/>
      <c r="Y23" s="27"/>
      <c r="Z23" s="27"/>
      <c r="AA23" s="94"/>
      <c r="AB23" s="94"/>
      <c r="AC23" s="94"/>
      <c r="AD23" s="94"/>
      <c r="AE23" s="94"/>
      <c r="AF23" s="94"/>
      <c r="AG23" s="4"/>
      <c r="AH23" s="4"/>
      <c r="AI23" s="225"/>
      <c r="AJ23" s="226"/>
      <c r="AK23" s="227"/>
      <c r="AL23" s="227"/>
      <c r="AM23" s="225"/>
      <c r="AN23" s="226"/>
      <c r="AO23" s="228"/>
    </row>
    <row r="24" spans="2:43" x14ac:dyDescent="0.25">
      <c r="B24" s="224"/>
      <c r="C24" s="177">
        <v>2019</v>
      </c>
      <c r="D24" s="62" t="s">
        <v>1399</v>
      </c>
      <c r="E24" s="63" t="s">
        <v>1400</v>
      </c>
      <c r="F24" s="64">
        <v>43503</v>
      </c>
      <c r="G24" s="65" t="s">
        <v>1225</v>
      </c>
      <c r="H24" s="94">
        <v>1130000</v>
      </c>
      <c r="I24" s="94">
        <v>1686000</v>
      </c>
      <c r="J24" s="27">
        <f t="shared" si="2"/>
        <v>2181000</v>
      </c>
      <c r="K24" s="179">
        <v>0.35</v>
      </c>
      <c r="L24" s="230">
        <f t="shared" si="3"/>
        <v>0.49203539823008852</v>
      </c>
      <c r="M24" s="26">
        <f t="shared" si="4"/>
        <v>1.2935943060498221</v>
      </c>
      <c r="N24" s="11" t="s">
        <v>465</v>
      </c>
      <c r="O24" s="15">
        <v>2</v>
      </c>
      <c r="P24" s="35" t="s">
        <v>25</v>
      </c>
      <c r="Q24" s="15">
        <v>1</v>
      </c>
      <c r="R24" s="35" t="s">
        <v>457</v>
      </c>
      <c r="S24" s="62"/>
      <c r="T24" s="35"/>
      <c r="U24" s="4">
        <f t="shared" si="5"/>
        <v>1686000</v>
      </c>
      <c r="V24" s="27">
        <v>2181000</v>
      </c>
      <c r="W24" s="27"/>
      <c r="X24" s="27"/>
      <c r="Y24" s="27"/>
      <c r="Z24" s="27"/>
      <c r="AA24" s="94"/>
      <c r="AB24" s="94"/>
      <c r="AC24" s="94"/>
      <c r="AD24" s="94"/>
      <c r="AE24" s="94"/>
      <c r="AF24" s="94"/>
      <c r="AG24" s="4"/>
      <c r="AH24" s="4"/>
      <c r="AI24" s="225"/>
      <c r="AJ24" s="226"/>
      <c r="AK24" s="227"/>
      <c r="AL24" s="227"/>
      <c r="AM24" s="225"/>
      <c r="AN24" s="226"/>
      <c r="AO24" s="228"/>
    </row>
    <row r="25" spans="2:43" x14ac:dyDescent="0.25">
      <c r="B25" s="224"/>
      <c r="C25" s="180">
        <v>2019</v>
      </c>
      <c r="D25" s="181" t="s">
        <v>1401</v>
      </c>
      <c r="E25" s="182" t="s">
        <v>1402</v>
      </c>
      <c r="F25" s="183">
        <v>43503</v>
      </c>
      <c r="G25" s="184" t="s">
        <v>1225</v>
      </c>
      <c r="H25" s="185">
        <v>684000</v>
      </c>
      <c r="I25" s="185">
        <v>615000</v>
      </c>
      <c r="J25" s="186">
        <f t="shared" si="2"/>
        <v>1748000</v>
      </c>
      <c r="K25" s="187">
        <v>0.35</v>
      </c>
      <c r="L25" s="231">
        <f t="shared" si="3"/>
        <v>-0.10087719298245613</v>
      </c>
      <c r="M25" s="188">
        <f t="shared" si="4"/>
        <v>2.8422764227642277</v>
      </c>
      <c r="N25" s="342" t="s">
        <v>464</v>
      </c>
      <c r="O25" s="181">
        <v>5</v>
      </c>
      <c r="P25" s="343" t="s">
        <v>93</v>
      </c>
      <c r="Q25" s="181">
        <v>1</v>
      </c>
      <c r="R25" s="343" t="s">
        <v>458</v>
      </c>
      <c r="S25" s="181"/>
      <c r="T25" s="35"/>
      <c r="U25" s="4">
        <f t="shared" si="5"/>
        <v>615000</v>
      </c>
      <c r="V25" s="27">
        <v>1748000</v>
      </c>
      <c r="W25" s="27"/>
      <c r="X25" s="27"/>
      <c r="Y25" s="27"/>
      <c r="Z25" s="27"/>
      <c r="AA25" s="94"/>
      <c r="AB25" s="94"/>
      <c r="AC25" s="94"/>
      <c r="AD25" s="94"/>
      <c r="AE25" s="94"/>
      <c r="AF25" s="94"/>
      <c r="AG25" s="4"/>
      <c r="AH25" s="4"/>
      <c r="AI25" s="225"/>
      <c r="AJ25" s="226"/>
      <c r="AK25" s="227"/>
      <c r="AL25" s="227"/>
      <c r="AM25" s="225"/>
      <c r="AN25" s="226"/>
      <c r="AO25" s="228"/>
    </row>
    <row r="26" spans="2:43" x14ac:dyDescent="0.25">
      <c r="C26" s="196">
        <v>2019</v>
      </c>
      <c r="E26" s="193" t="s">
        <v>1215</v>
      </c>
      <c r="G26" s="198">
        <f>COUNTA(G9:G25)</f>
        <v>16</v>
      </c>
      <c r="H26" s="191">
        <f>SUM(H9:H25)</f>
        <v>20007000</v>
      </c>
      <c r="I26" s="191">
        <f>SUM(I9:I25)</f>
        <v>22379422</v>
      </c>
      <c r="J26" s="191">
        <f>SUM(J9:J25)</f>
        <v>47510783</v>
      </c>
      <c r="K26" s="194">
        <f>AVERAGE(K9:K25)</f>
        <v>0.34999999999999992</v>
      </c>
      <c r="L26" s="83"/>
      <c r="M26" s="83"/>
      <c r="N26" s="195">
        <f>(COUNTIF(N9:N25,"G*")/COUNTA(N9:N25))</f>
        <v>0.5625</v>
      </c>
      <c r="O26" s="202">
        <f>AVERAGE(O9:O25)</f>
        <v>4.375</v>
      </c>
      <c r="P26" s="192"/>
      <c r="Q26" s="83"/>
      <c r="R26" s="83"/>
    </row>
    <row r="27" spans="2:43" x14ac:dyDescent="0.25">
      <c r="C27" s="176"/>
      <c r="D27" s="15"/>
      <c r="E27" s="24"/>
      <c r="F27" s="25"/>
      <c r="G27" s="27"/>
      <c r="H27" s="27"/>
      <c r="I27" s="26"/>
      <c r="J27" s="26"/>
      <c r="K27" s="11"/>
      <c r="L27" s="15"/>
      <c r="M27" s="15"/>
      <c r="N27" s="35"/>
      <c r="O27" s="15"/>
      <c r="P27" s="24"/>
      <c r="Q27" s="15"/>
      <c r="R27" s="15"/>
      <c r="S27" s="15"/>
      <c r="T27" s="15"/>
    </row>
    <row r="28" spans="2:43" x14ac:dyDescent="0.25">
      <c r="C28" s="176"/>
      <c r="D28" s="15"/>
      <c r="E28" s="24"/>
      <c r="F28" s="25"/>
      <c r="G28" s="27"/>
      <c r="H28" s="27"/>
      <c r="I28" s="26"/>
      <c r="J28" s="26"/>
      <c r="K28" s="11"/>
      <c r="L28" s="15"/>
      <c r="M28" s="15"/>
      <c r="N28" s="35"/>
      <c r="O28" s="15"/>
      <c r="P28" s="24"/>
      <c r="Q28" s="15"/>
      <c r="R28" s="15"/>
      <c r="S28" s="15"/>
      <c r="T28" s="15"/>
    </row>
    <row r="29" spans="2:43" x14ac:dyDescent="0.25">
      <c r="B29" s="224"/>
      <c r="C29" s="177">
        <v>2018</v>
      </c>
      <c r="D29" s="62" t="str">
        <f>+'[1]PAT-214.013'!$F$4</f>
        <v>PAT-214.013</v>
      </c>
      <c r="E29" s="63" t="str">
        <f>+'[1]PAT-214.013'!$F$5</f>
        <v>JSQ - Public Restroom Rehabilitation</v>
      </c>
      <c r="F29" s="64">
        <f>+'[1]PAT-214.013'!$F$6</f>
        <v>43440</v>
      </c>
      <c r="G29" s="65" t="str">
        <f>+'[1]PAT-214.013'!$G$7</f>
        <v>SBE</v>
      </c>
      <c r="H29" s="94">
        <f>+'[1]PAT-214.013'!$F$7</f>
        <v>1500000</v>
      </c>
      <c r="I29" s="94">
        <f>+'[1]PAT-214.013'!$F$8</f>
        <v>2546000</v>
      </c>
      <c r="J29" s="27">
        <f t="shared" ref="J29:J31" si="6">MAXA(U29:AD29)</f>
        <v>5942450</v>
      </c>
      <c r="K29" s="179">
        <v>0.3</v>
      </c>
      <c r="L29" s="230">
        <f t="shared" ref="L29:L31" si="7">+(I29-H29)/H29</f>
        <v>0.69733333333333336</v>
      </c>
      <c r="M29" s="26">
        <f t="shared" ref="M29" si="8">+J29/I29</f>
        <v>2.3340337784760408</v>
      </c>
      <c r="N29" s="11" t="s">
        <v>465</v>
      </c>
      <c r="O29" s="15">
        <v>3</v>
      </c>
      <c r="P29" s="35" t="s">
        <v>25</v>
      </c>
      <c r="Q29" s="15">
        <v>4</v>
      </c>
      <c r="R29" s="35" t="s">
        <v>459</v>
      </c>
      <c r="S29" s="62"/>
      <c r="T29" s="35"/>
      <c r="U29" s="27">
        <v>2546000</v>
      </c>
      <c r="V29" s="27">
        <v>5942450</v>
      </c>
      <c r="W29" s="27">
        <v>4300000</v>
      </c>
      <c r="X29" s="27"/>
      <c r="Y29" s="27"/>
      <c r="Z29" s="27"/>
      <c r="AA29" s="94"/>
      <c r="AB29" s="94"/>
      <c r="AC29" s="94"/>
      <c r="AD29" s="94"/>
      <c r="AE29" s="94"/>
      <c r="AF29" s="94"/>
      <c r="AG29" s="4"/>
      <c r="AH29" s="4"/>
      <c r="AI29" s="225"/>
      <c r="AJ29" s="226"/>
      <c r="AK29" s="227"/>
      <c r="AL29" s="227"/>
      <c r="AM29" s="225"/>
      <c r="AN29" s="226"/>
      <c r="AO29" s="228"/>
    </row>
    <row r="30" spans="2:43" x14ac:dyDescent="0.25">
      <c r="B30" s="224"/>
      <c r="C30" s="177">
        <v>2018</v>
      </c>
      <c r="D30" s="62" t="s">
        <v>1312</v>
      </c>
      <c r="E30" s="63" t="s">
        <v>1313</v>
      </c>
      <c r="F30" s="64">
        <v>43438</v>
      </c>
      <c r="G30" s="65" t="s">
        <v>1225</v>
      </c>
      <c r="H30" s="94">
        <v>448000</v>
      </c>
      <c r="I30" s="94">
        <v>432222</v>
      </c>
      <c r="J30" s="27">
        <f t="shared" si="6"/>
        <v>1298000</v>
      </c>
      <c r="K30" s="179">
        <v>0.3</v>
      </c>
      <c r="L30" s="230">
        <f t="shared" si="7"/>
        <v>-3.521875E-2</v>
      </c>
      <c r="M30" s="26">
        <f t="shared" ref="M30:M31" si="9">+J30/I30</f>
        <v>3.003086376908163</v>
      </c>
      <c r="N30" s="11" t="s">
        <v>464</v>
      </c>
      <c r="O30" s="15">
        <v>6</v>
      </c>
      <c r="P30" s="35" t="s">
        <v>93</v>
      </c>
      <c r="Q30" s="15">
        <v>4</v>
      </c>
      <c r="R30" s="35" t="s">
        <v>458</v>
      </c>
      <c r="S30" s="381"/>
      <c r="T30" s="35"/>
      <c r="U30" s="27">
        <v>1298000</v>
      </c>
      <c r="V30" s="27">
        <v>512625</v>
      </c>
      <c r="W30" s="27">
        <v>630965</v>
      </c>
      <c r="X30" s="27">
        <v>432222</v>
      </c>
      <c r="Y30" s="27">
        <v>890790</v>
      </c>
      <c r="Z30" s="27">
        <v>989000</v>
      </c>
      <c r="AA30" s="94"/>
      <c r="AB30" s="94"/>
      <c r="AC30" s="94"/>
      <c r="AD30" s="94"/>
      <c r="AE30" s="94"/>
      <c r="AF30" s="94"/>
      <c r="AG30" s="4"/>
      <c r="AH30" s="4"/>
      <c r="AI30" s="225"/>
      <c r="AJ30" s="226"/>
      <c r="AK30" s="227"/>
      <c r="AL30" s="227"/>
      <c r="AM30" s="225"/>
      <c r="AN30" s="226"/>
      <c r="AO30" s="228"/>
    </row>
    <row r="31" spans="2:43" x14ac:dyDescent="0.25">
      <c r="B31" s="224"/>
      <c r="C31" s="177">
        <v>2018</v>
      </c>
      <c r="D31" s="62" t="s">
        <v>1314</v>
      </c>
      <c r="E31" s="63" t="s">
        <v>1315</v>
      </c>
      <c r="F31" s="64">
        <v>43433</v>
      </c>
      <c r="G31" s="65" t="s">
        <v>1225</v>
      </c>
      <c r="H31" s="94">
        <v>287000</v>
      </c>
      <c r="I31" s="94">
        <v>369034</v>
      </c>
      <c r="J31" s="27">
        <f t="shared" si="6"/>
        <v>851000</v>
      </c>
      <c r="K31" s="179">
        <v>0.3</v>
      </c>
      <c r="L31" s="230">
        <f t="shared" si="7"/>
        <v>0.28583275261324043</v>
      </c>
      <c r="M31" s="26">
        <f t="shared" si="9"/>
        <v>2.306020583469274</v>
      </c>
      <c r="N31" s="11" t="s">
        <v>465</v>
      </c>
      <c r="O31" s="15">
        <v>5</v>
      </c>
      <c r="P31" s="35" t="s">
        <v>93</v>
      </c>
      <c r="Q31" s="15">
        <v>4</v>
      </c>
      <c r="R31" s="35" t="s">
        <v>458</v>
      </c>
      <c r="S31" s="382"/>
      <c r="T31" s="62"/>
      <c r="U31" s="94">
        <v>851000</v>
      </c>
      <c r="V31" s="94">
        <v>399566</v>
      </c>
      <c r="W31" s="94">
        <v>369034</v>
      </c>
      <c r="X31" s="94">
        <v>398950</v>
      </c>
      <c r="Y31" s="94">
        <v>497990</v>
      </c>
      <c r="Z31" s="94"/>
      <c r="AA31" s="94"/>
      <c r="AB31" s="94"/>
      <c r="AC31" s="94"/>
      <c r="AD31" s="94"/>
      <c r="AE31" s="94"/>
      <c r="AF31" s="94"/>
      <c r="AG31" s="4"/>
      <c r="AH31" s="4"/>
      <c r="AI31" s="225"/>
      <c r="AJ31" s="226"/>
      <c r="AK31" s="227"/>
      <c r="AL31" s="227"/>
      <c r="AM31" s="225"/>
      <c r="AN31" s="226"/>
      <c r="AO31" s="228"/>
    </row>
    <row r="32" spans="2:43" x14ac:dyDescent="0.25">
      <c r="B32" s="224"/>
      <c r="C32" s="177">
        <v>2018</v>
      </c>
      <c r="D32" s="62" t="s">
        <v>1316</v>
      </c>
      <c r="E32" s="63" t="s">
        <v>1317</v>
      </c>
      <c r="F32" s="64">
        <v>43411</v>
      </c>
      <c r="G32" s="65"/>
      <c r="H32" s="94"/>
      <c r="I32" s="94"/>
      <c r="J32" s="94"/>
      <c r="K32" s="179"/>
      <c r="L32" s="230"/>
      <c r="M32" s="26"/>
      <c r="O32" s="15"/>
      <c r="P32" s="35"/>
      <c r="Q32" s="15"/>
      <c r="R32" s="35"/>
      <c r="S32" s="383" t="s">
        <v>1531</v>
      </c>
      <c r="T32" s="35"/>
      <c r="U32" s="94"/>
      <c r="V32" s="94"/>
      <c r="W32" s="94"/>
      <c r="X32" s="94"/>
      <c r="Y32" s="94"/>
      <c r="Z32" s="94"/>
      <c r="AA32" s="94"/>
      <c r="AB32" s="94"/>
      <c r="AC32" s="11"/>
      <c r="AD32" s="15"/>
      <c r="AE32" s="54"/>
      <c r="AF32" s="54"/>
      <c r="AG32" s="54"/>
      <c r="AI32" s="4"/>
      <c r="AJ32" s="4"/>
      <c r="AK32" s="225"/>
      <c r="AL32" s="226"/>
      <c r="AM32" s="227"/>
      <c r="AN32" s="227"/>
      <c r="AO32" s="225"/>
      <c r="AP32" s="226"/>
      <c r="AQ32" s="228"/>
    </row>
    <row r="33" spans="2:46" x14ac:dyDescent="0.25">
      <c r="B33" s="224"/>
      <c r="C33" s="177">
        <v>2018</v>
      </c>
      <c r="D33" s="62" t="s">
        <v>1318</v>
      </c>
      <c r="E33" s="63" t="s">
        <v>1319</v>
      </c>
      <c r="F33" s="64">
        <v>43410</v>
      </c>
      <c r="G33" s="65" t="s">
        <v>1225</v>
      </c>
      <c r="H33" s="94">
        <v>2215000</v>
      </c>
      <c r="I33" s="94">
        <v>1984098</v>
      </c>
      <c r="J33" s="94">
        <v>4200000</v>
      </c>
      <c r="K33" s="179">
        <v>0.3</v>
      </c>
      <c r="L33" s="230">
        <f t="shared" ref="L33:L42" si="10">+(I33-H33)/H33</f>
        <v>-0.10424469525959368</v>
      </c>
      <c r="M33" s="26">
        <f t="shared" ref="M33:M37" si="11">+J33/I33</f>
        <v>2.1168309226661184</v>
      </c>
      <c r="N33" s="11" t="s">
        <v>464</v>
      </c>
      <c r="O33" s="15">
        <v>4</v>
      </c>
      <c r="P33" s="35" t="s">
        <v>93</v>
      </c>
      <c r="Q33" s="15">
        <v>4</v>
      </c>
      <c r="R33" s="35" t="s">
        <v>457</v>
      </c>
      <c r="S33" s="382"/>
      <c r="T33" s="15"/>
      <c r="U33" s="94"/>
      <c r="V33" s="94"/>
      <c r="W33" s="94"/>
      <c r="X33" s="94"/>
      <c r="Y33" s="94"/>
      <c r="Z33" s="94"/>
      <c r="AA33" s="94"/>
      <c r="AB33" s="94"/>
      <c r="AC33" s="11"/>
      <c r="AD33" s="15"/>
      <c r="AE33" s="54"/>
      <c r="AF33" s="54"/>
      <c r="AG33" s="54"/>
      <c r="AI33" s="4"/>
      <c r="AJ33" s="4"/>
      <c r="AK33" s="225"/>
      <c r="AL33" s="226"/>
      <c r="AM33" s="227"/>
      <c r="AN33" s="227"/>
      <c r="AO33" s="225"/>
      <c r="AP33" s="226"/>
      <c r="AQ33" s="228"/>
    </row>
    <row r="34" spans="2:46" x14ac:dyDescent="0.25">
      <c r="B34" s="224"/>
      <c r="C34" s="177">
        <v>2018</v>
      </c>
      <c r="D34" s="62" t="s">
        <v>1320</v>
      </c>
      <c r="E34" s="63" t="s">
        <v>717</v>
      </c>
      <c r="F34" s="64">
        <v>43383</v>
      </c>
      <c r="G34" s="65" t="s">
        <v>1225</v>
      </c>
      <c r="H34" s="94">
        <v>1790000</v>
      </c>
      <c r="I34" s="94">
        <v>2498500</v>
      </c>
      <c r="J34" s="94">
        <v>2498500</v>
      </c>
      <c r="K34" s="179">
        <v>0.1</v>
      </c>
      <c r="L34" s="230">
        <f t="shared" si="10"/>
        <v>0.39581005586592177</v>
      </c>
      <c r="M34" s="26">
        <f t="shared" si="11"/>
        <v>1</v>
      </c>
      <c r="N34" s="11" t="s">
        <v>465</v>
      </c>
      <c r="O34" s="15">
        <v>1</v>
      </c>
      <c r="P34" s="35" t="s">
        <v>226</v>
      </c>
      <c r="Q34" s="15">
        <v>4</v>
      </c>
      <c r="R34" s="35" t="s">
        <v>457</v>
      </c>
      <c r="S34" s="382"/>
      <c r="T34" s="15"/>
      <c r="U34" s="94"/>
      <c r="V34" s="94"/>
      <c r="W34" s="94"/>
      <c r="X34" s="94"/>
      <c r="Y34" s="94"/>
      <c r="Z34" s="94"/>
      <c r="AA34" s="94"/>
      <c r="AB34" s="94"/>
      <c r="AC34" s="11"/>
      <c r="AD34" s="15"/>
      <c r="AE34" s="54"/>
      <c r="AF34" s="54"/>
      <c r="AG34" s="54"/>
      <c r="AI34" s="4"/>
      <c r="AJ34" s="4"/>
      <c r="AK34" s="225"/>
      <c r="AL34" s="226"/>
      <c r="AM34" s="227"/>
      <c r="AN34" s="227"/>
      <c r="AO34" s="225"/>
      <c r="AP34" s="226"/>
      <c r="AQ34" s="228"/>
    </row>
    <row r="35" spans="2:46" x14ac:dyDescent="0.25">
      <c r="B35" s="224"/>
      <c r="C35" s="177">
        <v>2018</v>
      </c>
      <c r="D35" s="62" t="s">
        <v>1321</v>
      </c>
      <c r="E35" s="63" t="s">
        <v>1322</v>
      </c>
      <c r="F35" s="64">
        <v>43382</v>
      </c>
      <c r="G35" s="65"/>
      <c r="H35" s="94"/>
      <c r="I35" s="94"/>
      <c r="J35" s="94"/>
      <c r="K35" s="179"/>
      <c r="L35" s="230"/>
      <c r="M35" s="26"/>
      <c r="O35" s="15"/>
      <c r="P35" s="35"/>
      <c r="Q35" s="15"/>
      <c r="R35" s="35"/>
      <c r="S35" s="383" t="s">
        <v>1531</v>
      </c>
      <c r="T35" s="15"/>
      <c r="U35" s="94"/>
      <c r="V35" s="94"/>
      <c r="W35" s="94"/>
      <c r="X35" s="94"/>
      <c r="Y35" s="94"/>
      <c r="Z35" s="94"/>
      <c r="AA35" s="94"/>
      <c r="AB35" s="94"/>
      <c r="AC35" s="94"/>
      <c r="AD35" s="94"/>
      <c r="AE35" s="94"/>
      <c r="AF35" s="54"/>
      <c r="AG35" s="54"/>
      <c r="AI35" s="4"/>
      <c r="AJ35" s="4"/>
      <c r="AK35" s="225"/>
      <c r="AL35" s="226"/>
      <c r="AM35" s="227"/>
      <c r="AN35" s="227"/>
      <c r="AO35" s="225"/>
      <c r="AP35" s="226"/>
      <c r="AQ35" s="228"/>
    </row>
    <row r="36" spans="2:46" x14ac:dyDescent="0.25">
      <c r="C36" s="177">
        <v>2018</v>
      </c>
      <c r="D36" s="62" t="s">
        <v>1269</v>
      </c>
      <c r="E36" s="63" t="s">
        <v>1270</v>
      </c>
      <c r="F36" s="64">
        <v>43368</v>
      </c>
      <c r="G36" s="65" t="s">
        <v>1225</v>
      </c>
      <c r="H36" s="94">
        <v>760000</v>
      </c>
      <c r="I36" s="94">
        <v>994150</v>
      </c>
      <c r="J36" s="27">
        <v>3900000</v>
      </c>
      <c r="K36" s="179">
        <v>0.2</v>
      </c>
      <c r="L36" s="230">
        <f t="shared" si="10"/>
        <v>0.30809210526315789</v>
      </c>
      <c r="M36" s="26">
        <f t="shared" si="11"/>
        <v>3.9229492531308154</v>
      </c>
      <c r="N36" s="11" t="s">
        <v>465</v>
      </c>
      <c r="O36" s="15">
        <v>3</v>
      </c>
      <c r="P36" s="35" t="s">
        <v>25</v>
      </c>
      <c r="Q36" s="15">
        <v>3</v>
      </c>
      <c r="R36" s="35" t="s">
        <v>458</v>
      </c>
      <c r="S36" s="382"/>
      <c r="T36" s="15"/>
      <c r="U36" s="94"/>
      <c r="V36" s="94"/>
      <c r="W36" s="94"/>
      <c r="X36" s="94"/>
      <c r="Y36" s="94"/>
      <c r="Z36" s="94"/>
      <c r="AA36" s="94"/>
      <c r="AB36" s="94"/>
      <c r="AC36" s="11"/>
      <c r="AD36" s="15"/>
      <c r="AE36" s="54"/>
      <c r="AF36" s="54"/>
      <c r="AG36" s="54"/>
    </row>
    <row r="37" spans="2:46" x14ac:dyDescent="0.25">
      <c r="C37" s="177">
        <v>2018</v>
      </c>
      <c r="D37" s="62" t="s">
        <v>1295</v>
      </c>
      <c r="E37" s="63" t="s">
        <v>1296</v>
      </c>
      <c r="F37" s="64">
        <v>43363</v>
      </c>
      <c r="G37" s="65" t="s">
        <v>1225</v>
      </c>
      <c r="H37" s="94">
        <v>1700000</v>
      </c>
      <c r="I37" s="94">
        <v>1560315</v>
      </c>
      <c r="J37" s="27">
        <v>3851000</v>
      </c>
      <c r="K37" s="179">
        <v>0.35</v>
      </c>
      <c r="L37" s="230">
        <f t="shared" si="10"/>
        <v>-8.2167647058823526E-2</v>
      </c>
      <c r="M37" s="26">
        <f t="shared" si="11"/>
        <v>2.4680913789843717</v>
      </c>
      <c r="N37" s="11" t="s">
        <v>464</v>
      </c>
      <c r="O37" s="15">
        <v>2</v>
      </c>
      <c r="P37" s="35" t="s">
        <v>25</v>
      </c>
      <c r="Q37" s="15">
        <v>3</v>
      </c>
      <c r="R37" s="35" t="s">
        <v>459</v>
      </c>
      <c r="S37" s="382"/>
      <c r="T37" s="15"/>
      <c r="U37" s="94"/>
      <c r="V37" s="94"/>
      <c r="W37" s="94"/>
      <c r="X37" s="94"/>
      <c r="Y37" s="94"/>
      <c r="Z37" s="94"/>
      <c r="AA37" s="94"/>
      <c r="AB37" s="94"/>
      <c r="AC37" s="11"/>
      <c r="AD37" s="15"/>
      <c r="AE37" s="54"/>
      <c r="AF37" s="54"/>
      <c r="AG37" s="54"/>
    </row>
    <row r="38" spans="2:46" x14ac:dyDescent="0.25">
      <c r="C38" s="177">
        <v>2018</v>
      </c>
      <c r="D38" s="62" t="s">
        <v>1227</v>
      </c>
      <c r="E38" s="63" t="s">
        <v>1228</v>
      </c>
      <c r="F38" s="64">
        <v>43326</v>
      </c>
      <c r="G38" s="65" t="s">
        <v>1225</v>
      </c>
      <c r="H38" s="94">
        <v>1300000</v>
      </c>
      <c r="I38" s="94">
        <v>695800</v>
      </c>
      <c r="J38" s="27">
        <v>1419200</v>
      </c>
      <c r="K38" s="179">
        <v>0.25</v>
      </c>
      <c r="L38" s="230">
        <f t="shared" si="10"/>
        <v>-0.46476923076923077</v>
      </c>
      <c r="M38" s="26">
        <f t="shared" ref="M38:M42" si="12">+J38/I38</f>
        <v>2.0396665708536936</v>
      </c>
      <c r="N38" s="11" t="s">
        <v>465</v>
      </c>
      <c r="O38" s="15">
        <v>2</v>
      </c>
      <c r="P38" s="35" t="s">
        <v>226</v>
      </c>
      <c r="Q38" s="15">
        <v>3</v>
      </c>
      <c r="R38" s="35" t="s">
        <v>457</v>
      </c>
      <c r="S38" s="35"/>
      <c r="T38" s="15"/>
      <c r="U38" s="94"/>
      <c r="V38" s="94"/>
      <c r="W38" s="94"/>
      <c r="X38" s="94"/>
      <c r="Y38" s="94"/>
      <c r="Z38" s="94"/>
      <c r="AA38" s="94"/>
      <c r="AB38" s="94"/>
      <c r="AH38" s="24"/>
      <c r="AI38" s="62"/>
      <c r="AJ38" s="62"/>
      <c r="AK38" s="94"/>
      <c r="AL38" s="199"/>
      <c r="AM38" s="15"/>
      <c r="AN38" s="200"/>
      <c r="AO38" s="11"/>
      <c r="AP38" s="11"/>
      <c r="AQ38" s="15"/>
      <c r="AR38" s="54"/>
      <c r="AS38" s="54"/>
      <c r="AT38" s="54"/>
    </row>
    <row r="39" spans="2:46" x14ac:dyDescent="0.25">
      <c r="C39" s="177">
        <v>2018</v>
      </c>
      <c r="D39" s="62" t="s">
        <v>1229</v>
      </c>
      <c r="E39" s="63" t="s">
        <v>1230</v>
      </c>
      <c r="F39" s="64">
        <v>43314</v>
      </c>
      <c r="G39" s="65" t="s">
        <v>1225</v>
      </c>
      <c r="H39" s="94">
        <v>1980000</v>
      </c>
      <c r="I39" s="94">
        <v>2882170</v>
      </c>
      <c r="J39" s="27">
        <v>6417450</v>
      </c>
      <c r="K39" s="179">
        <v>0.2</v>
      </c>
      <c r="L39" s="230">
        <f t="shared" si="10"/>
        <v>0.45564141414141413</v>
      </c>
      <c r="M39" s="26">
        <f t="shared" si="12"/>
        <v>2.2266035660630705</v>
      </c>
      <c r="N39" s="11" t="s">
        <v>465</v>
      </c>
      <c r="O39" s="15">
        <v>6</v>
      </c>
      <c r="P39" s="35" t="s">
        <v>25</v>
      </c>
      <c r="Q39" s="15">
        <v>3</v>
      </c>
      <c r="R39" s="35" t="s">
        <v>492</v>
      </c>
      <c r="S39" s="35"/>
      <c r="T39" s="15"/>
      <c r="U39" s="94"/>
      <c r="V39" s="94"/>
      <c r="W39" s="94"/>
      <c r="X39" s="94"/>
      <c r="Y39" s="94"/>
      <c r="Z39" s="94"/>
      <c r="AA39" s="94"/>
      <c r="AB39" s="94"/>
      <c r="AH39" s="24"/>
      <c r="AI39" s="62"/>
      <c r="AJ39" s="62"/>
      <c r="AK39" s="94"/>
      <c r="AL39" s="199"/>
      <c r="AM39" s="15"/>
      <c r="AN39" s="200"/>
      <c r="AO39" s="11"/>
      <c r="AP39" s="11"/>
      <c r="AQ39" s="15"/>
      <c r="AR39" s="54"/>
      <c r="AS39" s="54"/>
      <c r="AT39" s="54"/>
    </row>
    <row r="40" spans="2:46" x14ac:dyDescent="0.25">
      <c r="C40" s="177">
        <v>2018</v>
      </c>
      <c r="D40" s="62" t="s">
        <v>1231</v>
      </c>
      <c r="E40" s="63" t="s">
        <v>1232</v>
      </c>
      <c r="F40" s="64">
        <v>43221</v>
      </c>
      <c r="G40" s="65" t="s">
        <v>1225</v>
      </c>
      <c r="H40" s="94">
        <v>960000</v>
      </c>
      <c r="I40" s="94">
        <v>413834</v>
      </c>
      <c r="J40" s="27">
        <v>1200000</v>
      </c>
      <c r="K40" s="179">
        <v>0.4</v>
      </c>
      <c r="L40" s="230">
        <f t="shared" si="10"/>
        <v>-0.56892291666666661</v>
      </c>
      <c r="M40" s="26">
        <f t="shared" si="12"/>
        <v>2.8997134116578143</v>
      </c>
      <c r="N40" s="11" t="s">
        <v>465</v>
      </c>
      <c r="O40" s="15">
        <v>5</v>
      </c>
      <c r="P40" s="35" t="s">
        <v>93</v>
      </c>
      <c r="Q40" s="15">
        <v>2</v>
      </c>
      <c r="R40" s="35" t="s">
        <v>457</v>
      </c>
      <c r="S40" s="35"/>
      <c r="T40" s="15"/>
      <c r="U40" s="94"/>
      <c r="V40" s="94"/>
      <c r="W40" s="94"/>
      <c r="X40" s="94"/>
      <c r="Y40" s="94"/>
      <c r="Z40" s="94"/>
      <c r="AA40" s="94"/>
      <c r="AB40" s="94"/>
      <c r="AH40" s="24"/>
      <c r="AI40" s="62"/>
      <c r="AJ40" s="62"/>
      <c r="AK40" s="94"/>
      <c r="AL40" s="199"/>
      <c r="AM40" s="15"/>
      <c r="AN40" s="200"/>
      <c r="AO40" s="11"/>
      <c r="AP40" s="11"/>
      <c r="AQ40" s="15"/>
      <c r="AR40" s="54"/>
      <c r="AS40" s="54"/>
      <c r="AT40" s="54"/>
    </row>
    <row r="41" spans="2:46" x14ac:dyDescent="0.25">
      <c r="C41" s="177">
        <v>2018</v>
      </c>
      <c r="D41" s="62" t="s">
        <v>1233</v>
      </c>
      <c r="E41" s="63" t="s">
        <v>1234</v>
      </c>
      <c r="F41" s="64">
        <v>43173</v>
      </c>
      <c r="G41" s="250" t="s">
        <v>693</v>
      </c>
      <c r="H41" s="94">
        <v>600000</v>
      </c>
      <c r="I41" s="94">
        <v>749000</v>
      </c>
      <c r="J41" s="27">
        <v>1347205</v>
      </c>
      <c r="K41" s="179">
        <v>0.35</v>
      </c>
      <c r="L41" s="230">
        <f t="shared" si="10"/>
        <v>0.24833333333333332</v>
      </c>
      <c r="M41" s="26">
        <f t="shared" si="12"/>
        <v>1.7986715620827771</v>
      </c>
      <c r="N41" s="11" t="s">
        <v>465</v>
      </c>
      <c r="O41" s="15">
        <v>3</v>
      </c>
      <c r="P41" s="35" t="s">
        <v>25</v>
      </c>
      <c r="Q41" s="15">
        <v>1</v>
      </c>
      <c r="R41" s="35" t="s">
        <v>457</v>
      </c>
      <c r="S41" s="35"/>
      <c r="T41" s="15"/>
      <c r="U41" s="94"/>
      <c r="V41" s="94"/>
      <c r="W41" s="94"/>
      <c r="X41" s="94"/>
      <c r="Y41" s="94"/>
      <c r="Z41" s="94"/>
      <c r="AA41" s="94"/>
      <c r="AB41" s="94"/>
      <c r="AH41" s="24"/>
      <c r="AI41" s="62"/>
      <c r="AJ41" s="62"/>
      <c r="AK41" s="94"/>
      <c r="AL41" s="199"/>
      <c r="AM41" s="15"/>
      <c r="AN41" s="200"/>
      <c r="AO41" s="11"/>
      <c r="AP41" s="11"/>
      <c r="AQ41" s="15"/>
      <c r="AR41" s="54"/>
      <c r="AS41" s="54"/>
      <c r="AT41" s="54"/>
    </row>
    <row r="42" spans="2:46" x14ac:dyDescent="0.25">
      <c r="C42" s="180">
        <v>2018</v>
      </c>
      <c r="D42" s="181" t="s">
        <v>1236</v>
      </c>
      <c r="E42" s="182" t="s">
        <v>1237</v>
      </c>
      <c r="F42" s="183">
        <v>43138</v>
      </c>
      <c r="G42" s="251" t="s">
        <v>693</v>
      </c>
      <c r="H42" s="185">
        <v>1056000</v>
      </c>
      <c r="I42" s="185">
        <v>619790</v>
      </c>
      <c r="J42" s="186">
        <v>6186149</v>
      </c>
      <c r="K42" s="187">
        <v>0.35</v>
      </c>
      <c r="L42" s="231">
        <f t="shared" si="10"/>
        <v>-0.41307765151515152</v>
      </c>
      <c r="M42" s="188">
        <f t="shared" si="12"/>
        <v>9.981040352377418</v>
      </c>
      <c r="N42" s="13" t="s">
        <v>464</v>
      </c>
      <c r="O42" s="28">
        <v>6</v>
      </c>
      <c r="P42" s="34" t="s">
        <v>25</v>
      </c>
      <c r="Q42" s="28">
        <v>1</v>
      </c>
      <c r="R42" s="34" t="s">
        <v>457</v>
      </c>
      <c r="S42" s="34"/>
      <c r="T42" s="15"/>
      <c r="U42" s="94"/>
      <c r="V42" s="94"/>
      <c r="W42" s="94"/>
      <c r="X42" s="94"/>
      <c r="Y42" s="94"/>
      <c r="Z42" s="94"/>
      <c r="AA42" s="94"/>
      <c r="AB42" s="94"/>
      <c r="AH42" s="24"/>
      <c r="AI42" s="62"/>
      <c r="AJ42" s="62"/>
      <c r="AK42" s="94"/>
      <c r="AL42" s="199"/>
      <c r="AM42" s="15"/>
      <c r="AN42" s="200"/>
      <c r="AO42" s="11"/>
      <c r="AP42" s="11"/>
      <c r="AQ42" s="15"/>
      <c r="AR42" s="54"/>
      <c r="AS42" s="54"/>
      <c r="AT42" s="54"/>
    </row>
    <row r="43" spans="2:46" x14ac:dyDescent="0.25">
      <c r="C43" s="196">
        <v>2018</v>
      </c>
      <c r="E43" s="193" t="s">
        <v>1215</v>
      </c>
      <c r="G43" s="198">
        <f>COUNTA(G28:G42)</f>
        <v>12</v>
      </c>
      <c r="H43" s="191">
        <f>SUM(H28:H42)</f>
        <v>14596000</v>
      </c>
      <c r="I43" s="191">
        <f>SUM(I28:I42)</f>
        <v>15744913</v>
      </c>
      <c r="J43" s="191">
        <f>SUM(J28:J42)</f>
        <v>39110954</v>
      </c>
      <c r="K43" s="194">
        <f>AVERAGE(K28:K42)</f>
        <v>0.28333333333333338</v>
      </c>
      <c r="L43" s="83"/>
      <c r="M43" s="83"/>
      <c r="N43" s="195">
        <f>(COUNTIF(N28:N42,"G*")/COUNTA(N28:N42))</f>
        <v>0.33333333333333331</v>
      </c>
      <c r="O43" s="202">
        <f>AVERAGE(O29:O42)</f>
        <v>3.8333333333333335</v>
      </c>
      <c r="P43" s="192"/>
      <c r="Q43" s="83"/>
      <c r="R43" s="83"/>
    </row>
    <row r="44" spans="2:46" x14ac:dyDescent="0.25">
      <c r="C44" s="176"/>
      <c r="D44" s="15"/>
      <c r="E44" s="24"/>
      <c r="F44" s="25"/>
      <c r="G44" s="27"/>
      <c r="H44" s="27"/>
      <c r="I44" s="26"/>
      <c r="J44" s="26"/>
      <c r="K44" s="11"/>
      <c r="L44" s="15"/>
      <c r="M44" s="15"/>
      <c r="N44" s="35"/>
      <c r="O44" s="15"/>
      <c r="P44" s="24"/>
      <c r="Q44" s="15"/>
      <c r="R44" s="15"/>
      <c r="S44" s="15"/>
      <c r="T44" s="15"/>
    </row>
    <row r="45" spans="2:46" x14ac:dyDescent="0.25">
      <c r="C45" s="176"/>
      <c r="D45" s="15"/>
      <c r="E45" s="24"/>
      <c r="F45" s="25"/>
      <c r="G45" s="27"/>
      <c r="H45" s="27"/>
      <c r="I45" s="26"/>
      <c r="J45" s="26"/>
      <c r="K45" s="11"/>
      <c r="L45" s="15"/>
      <c r="M45" s="15"/>
      <c r="N45" s="35"/>
      <c r="O45" s="15"/>
      <c r="P45" s="24"/>
      <c r="Q45" s="15"/>
      <c r="R45" s="15"/>
      <c r="S45" s="15"/>
      <c r="T45" s="15"/>
    </row>
    <row r="46" spans="2:46" x14ac:dyDescent="0.25">
      <c r="C46" s="177">
        <v>2017</v>
      </c>
      <c r="D46" s="102" t="s">
        <v>1159</v>
      </c>
      <c r="E46" s="63" t="s">
        <v>1154</v>
      </c>
      <c r="F46" s="64">
        <v>43088</v>
      </c>
      <c r="G46" s="250" t="s">
        <v>693</v>
      </c>
      <c r="H46" s="94">
        <v>795000</v>
      </c>
      <c r="I46" s="27">
        <v>353700</v>
      </c>
      <c r="J46" s="27">
        <f>MAXA(U46:AD46)</f>
        <v>1280000</v>
      </c>
      <c r="K46" s="179">
        <v>0.25</v>
      </c>
      <c r="L46" s="26">
        <v>-0.55509433962264154</v>
      </c>
      <c r="M46" s="26">
        <f>+J46/I46</f>
        <v>3.6188860616341532</v>
      </c>
      <c r="N46" s="11" t="s">
        <v>464</v>
      </c>
      <c r="O46" s="15">
        <v>8</v>
      </c>
      <c r="P46" s="35" t="s">
        <v>226</v>
      </c>
      <c r="Q46" s="15">
        <v>4</v>
      </c>
      <c r="R46" s="35" t="s">
        <v>457</v>
      </c>
      <c r="S46" s="15"/>
      <c r="T46" s="24"/>
      <c r="U46" s="94">
        <f>+'GWB-244.261'!I$23</f>
        <v>1280000</v>
      </c>
      <c r="V46" s="94">
        <f>+'GWB-244.261'!I$24</f>
        <v>1173320</v>
      </c>
      <c r="W46" s="94">
        <f>+'GWB-244.261'!I$25</f>
        <v>678178</v>
      </c>
      <c r="X46" s="94">
        <f>+'GWB-244.261'!I$26</f>
        <v>353700</v>
      </c>
      <c r="Y46" s="94">
        <f>+'GWB-244.261'!I$27</f>
        <v>920000</v>
      </c>
      <c r="Z46" s="94">
        <f>+'GWB-244.261'!I$28</f>
        <v>949984</v>
      </c>
      <c r="AA46" s="94">
        <f>+'GWB-244.261'!I$29</f>
        <v>568000</v>
      </c>
      <c r="AB46" s="94">
        <f>+'GWB-244.261'!I$30</f>
        <v>787500</v>
      </c>
    </row>
    <row r="47" spans="2:46" x14ac:dyDescent="0.25">
      <c r="C47" s="177">
        <v>2017</v>
      </c>
      <c r="D47" s="102" t="s">
        <v>1150</v>
      </c>
      <c r="E47" s="63" t="s">
        <v>1151</v>
      </c>
      <c r="F47" s="64">
        <v>43083</v>
      </c>
      <c r="G47" s="250" t="s">
        <v>693</v>
      </c>
      <c r="H47" s="94">
        <v>979000</v>
      </c>
      <c r="I47" s="27">
        <v>1168000</v>
      </c>
      <c r="J47" s="27">
        <f t="shared" ref="J47:J56" si="13">MAXA(U47:AD47)</f>
        <v>1736000</v>
      </c>
      <c r="K47" s="179">
        <v>0.35</v>
      </c>
      <c r="L47" s="26">
        <v>0.1930541368743616</v>
      </c>
      <c r="M47" s="26">
        <f t="shared" ref="M47:M56" si="14">+J47/I47</f>
        <v>1.4863013698630136</v>
      </c>
      <c r="N47" s="11" t="s">
        <v>465</v>
      </c>
      <c r="O47" s="15">
        <v>2</v>
      </c>
      <c r="P47" s="35" t="s">
        <v>25</v>
      </c>
      <c r="Q47" s="15">
        <v>4</v>
      </c>
      <c r="R47" s="35" t="s">
        <v>458</v>
      </c>
      <c r="S47" s="15"/>
      <c r="T47" s="24"/>
      <c r="U47" s="94">
        <f>+'TEB-144.056'!I$23</f>
        <v>1168000</v>
      </c>
      <c r="V47" s="94">
        <f>+'TEB-144.056'!I$24</f>
        <v>1736000</v>
      </c>
      <c r="W47" s="94"/>
      <c r="X47" s="94"/>
      <c r="Y47" s="94"/>
      <c r="Z47" s="94"/>
      <c r="AA47" s="94"/>
      <c r="AB47" s="94"/>
    </row>
    <row r="48" spans="2:46" x14ac:dyDescent="0.25">
      <c r="C48" s="177">
        <v>2017</v>
      </c>
      <c r="D48" s="62" t="s">
        <v>1124</v>
      </c>
      <c r="E48" s="63" t="s">
        <v>1125</v>
      </c>
      <c r="F48" s="64">
        <v>43053</v>
      </c>
      <c r="G48" s="250" t="s">
        <v>693</v>
      </c>
      <c r="H48" s="94">
        <v>820000</v>
      </c>
      <c r="I48" s="27">
        <v>861500</v>
      </c>
      <c r="J48" s="27">
        <f t="shared" si="13"/>
        <v>3791000</v>
      </c>
      <c r="K48" s="179">
        <v>0.3</v>
      </c>
      <c r="L48" s="26">
        <v>5.0609756097560979E-2</v>
      </c>
      <c r="M48" s="26">
        <f t="shared" si="14"/>
        <v>4.4004643064422515</v>
      </c>
      <c r="N48" s="11" t="s">
        <v>464</v>
      </c>
      <c r="O48" s="15">
        <v>4</v>
      </c>
      <c r="P48" s="35" t="s">
        <v>25</v>
      </c>
      <c r="Q48" s="15">
        <v>4</v>
      </c>
      <c r="R48" s="35" t="s">
        <v>458</v>
      </c>
      <c r="S48" s="15"/>
      <c r="T48" s="24"/>
      <c r="U48" s="94">
        <f>+'EWR-154.247'!I$23</f>
        <v>877300</v>
      </c>
      <c r="V48" s="94">
        <f>+'EWR-154.247'!I$24</f>
        <v>3791000</v>
      </c>
      <c r="W48" s="94">
        <f>+'EWR-154.247'!I$25</f>
        <v>1491294</v>
      </c>
      <c r="X48" s="94">
        <f>+'EWR-154.247'!I$26</f>
        <v>861500</v>
      </c>
      <c r="Y48" s="94"/>
      <c r="Z48" s="94"/>
      <c r="AA48" s="94"/>
      <c r="AB48" s="94"/>
    </row>
    <row r="49" spans="3:28" x14ac:dyDescent="0.25">
      <c r="C49" s="177">
        <v>2017</v>
      </c>
      <c r="D49" s="62" t="s">
        <v>1091</v>
      </c>
      <c r="E49" s="63" t="s">
        <v>1092</v>
      </c>
      <c r="F49" s="64">
        <v>43006</v>
      </c>
      <c r="G49" s="250" t="s">
        <v>693</v>
      </c>
      <c r="H49" s="94">
        <v>609000</v>
      </c>
      <c r="I49" s="27">
        <v>579300</v>
      </c>
      <c r="J49" s="27">
        <f t="shared" si="13"/>
        <v>3114050</v>
      </c>
      <c r="K49" s="179">
        <v>0.3</v>
      </c>
      <c r="L49" s="26">
        <v>-4.8768472906403938E-2</v>
      </c>
      <c r="M49" s="26">
        <f t="shared" si="14"/>
        <v>5.3755394441567406</v>
      </c>
      <c r="N49" s="11" t="s">
        <v>464</v>
      </c>
      <c r="O49" s="15">
        <v>4</v>
      </c>
      <c r="P49" s="35" t="s">
        <v>226</v>
      </c>
      <c r="Q49" s="15">
        <v>3</v>
      </c>
      <c r="R49" s="35" t="s">
        <v>457</v>
      </c>
      <c r="S49" s="15"/>
      <c r="T49" s="24"/>
      <c r="U49" s="94">
        <f>+'HT-924.144'!I$23</f>
        <v>3114050</v>
      </c>
      <c r="V49" s="94">
        <f>+'HT-924.144'!I$24</f>
        <v>1699000</v>
      </c>
      <c r="W49" s="94">
        <f>+'HT-924.144'!I$25</f>
        <v>2919300</v>
      </c>
      <c r="X49" s="94">
        <f>+'HT-924.144'!I$26</f>
        <v>579300</v>
      </c>
      <c r="Y49" s="94"/>
      <c r="Z49" s="94"/>
      <c r="AA49" s="94"/>
      <c r="AB49" s="94"/>
    </row>
    <row r="50" spans="3:28" x14ac:dyDescent="0.25">
      <c r="C50" s="178">
        <v>2017</v>
      </c>
      <c r="D50" s="62" t="s">
        <v>1038</v>
      </c>
      <c r="E50" s="63" t="s">
        <v>1039</v>
      </c>
      <c r="F50" s="64">
        <v>42901</v>
      </c>
      <c r="G50" s="250" t="s">
        <v>693</v>
      </c>
      <c r="H50" s="94">
        <v>850000</v>
      </c>
      <c r="I50" s="27">
        <v>887000</v>
      </c>
      <c r="J50" s="27">
        <f t="shared" si="13"/>
        <v>2000125</v>
      </c>
      <c r="K50" s="179">
        <v>0.35</v>
      </c>
      <c r="L50" s="26">
        <v>4.3529411764705879E-2</v>
      </c>
      <c r="M50" s="26">
        <f t="shared" si="14"/>
        <v>2.2549323562570462</v>
      </c>
      <c r="N50" s="11" t="s">
        <v>464</v>
      </c>
      <c r="O50" s="15">
        <v>3</v>
      </c>
      <c r="P50" s="35" t="s">
        <v>25</v>
      </c>
      <c r="Q50" s="15">
        <v>2</v>
      </c>
      <c r="R50" s="35" t="s">
        <v>458</v>
      </c>
      <c r="S50" s="15"/>
      <c r="T50" s="24"/>
      <c r="U50" s="94">
        <f>+'EWR-154.240'!I$23</f>
        <v>2000125</v>
      </c>
      <c r="V50" s="94">
        <f>+'EWR-154.240'!I$24</f>
        <v>887000</v>
      </c>
      <c r="W50" s="94">
        <f>+'EWR-154.240'!I$25</f>
        <v>992000</v>
      </c>
      <c r="X50" s="94"/>
      <c r="Y50" s="94"/>
      <c r="Z50" s="94"/>
      <c r="AA50" s="94"/>
      <c r="AB50" s="94"/>
    </row>
    <row r="51" spans="3:28" x14ac:dyDescent="0.25">
      <c r="C51" s="177">
        <v>2017</v>
      </c>
      <c r="D51" s="62" t="s">
        <v>1025</v>
      </c>
      <c r="E51" s="63" t="s">
        <v>1026</v>
      </c>
      <c r="F51" s="64">
        <v>42893</v>
      </c>
      <c r="G51" s="250" t="s">
        <v>693</v>
      </c>
      <c r="H51" s="94">
        <v>650000</v>
      </c>
      <c r="I51" s="27">
        <v>865508</v>
      </c>
      <c r="J51" s="27">
        <f t="shared" si="13"/>
        <v>919000</v>
      </c>
      <c r="K51" s="179">
        <v>0.3</v>
      </c>
      <c r="L51" s="26">
        <v>0.3315507692307692</v>
      </c>
      <c r="M51" s="26">
        <f t="shared" si="14"/>
        <v>1.0618041658771495</v>
      </c>
      <c r="N51" s="11" t="s">
        <v>465</v>
      </c>
      <c r="O51" s="15">
        <v>3</v>
      </c>
      <c r="P51" s="35" t="s">
        <v>25</v>
      </c>
      <c r="Q51" s="15">
        <v>2</v>
      </c>
      <c r="R51" s="35" t="s">
        <v>458</v>
      </c>
      <c r="S51" s="15"/>
      <c r="T51" s="24"/>
      <c r="U51" s="94">
        <f>+'EWR-154.271'!I$23</f>
        <v>865508</v>
      </c>
      <c r="V51" s="94">
        <f>+'EWR-154.271'!I$24</f>
        <v>919000</v>
      </c>
      <c r="W51" s="94">
        <f>+'EWR-154.271'!I$25</f>
        <v>895220</v>
      </c>
      <c r="X51" s="94"/>
      <c r="Y51" s="94"/>
      <c r="Z51" s="94"/>
      <c r="AA51" s="94"/>
      <c r="AB51" s="94"/>
    </row>
    <row r="52" spans="3:28" x14ac:dyDescent="0.25">
      <c r="C52" s="177">
        <v>2017</v>
      </c>
      <c r="D52" s="62" t="s">
        <v>1023</v>
      </c>
      <c r="E52" s="63" t="s">
        <v>1024</v>
      </c>
      <c r="F52" s="64">
        <v>42893</v>
      </c>
      <c r="G52" s="250" t="s">
        <v>693</v>
      </c>
      <c r="H52" s="94">
        <v>1070000</v>
      </c>
      <c r="I52" s="27">
        <v>758000</v>
      </c>
      <c r="J52" s="27">
        <f t="shared" si="13"/>
        <v>1321000</v>
      </c>
      <c r="K52" s="179">
        <v>0.4</v>
      </c>
      <c r="L52" s="26">
        <v>-0.29158878504672897</v>
      </c>
      <c r="M52" s="26">
        <f t="shared" si="14"/>
        <v>1.7427440633245384</v>
      </c>
      <c r="N52" s="11" t="s">
        <v>465</v>
      </c>
      <c r="O52" s="15">
        <v>5</v>
      </c>
      <c r="P52" s="35" t="s">
        <v>25</v>
      </c>
      <c r="Q52" s="15">
        <v>2</v>
      </c>
      <c r="R52" s="35" t="s">
        <v>458</v>
      </c>
      <c r="S52" s="15"/>
      <c r="T52" s="24"/>
      <c r="U52" s="94">
        <f>+'EWR-154.264'!I$23</f>
        <v>789000</v>
      </c>
      <c r="V52" s="94">
        <f>+'EWR-154.264'!I$24</f>
        <v>1321000</v>
      </c>
      <c r="W52" s="94">
        <f>+'EWR-154.264'!I$25</f>
        <v>997922</v>
      </c>
      <c r="X52" s="94">
        <f>+'EWR-154.264'!I$26</f>
        <v>758000</v>
      </c>
      <c r="Y52" s="94">
        <f>+'EWR-154.264'!I$27</f>
        <v>869000</v>
      </c>
      <c r="Z52" s="94"/>
      <c r="AA52" s="94"/>
      <c r="AB52" s="94"/>
    </row>
    <row r="53" spans="3:28" x14ac:dyDescent="0.25">
      <c r="C53" s="177">
        <v>2017</v>
      </c>
      <c r="D53" s="62" t="s">
        <v>989</v>
      </c>
      <c r="E53" s="63" t="s">
        <v>879</v>
      </c>
      <c r="F53" s="64">
        <v>42845</v>
      </c>
      <c r="G53" s="250" t="s">
        <v>693</v>
      </c>
      <c r="H53" s="94">
        <v>2625000</v>
      </c>
      <c r="I53" s="27">
        <v>2472675</v>
      </c>
      <c r="J53" s="27">
        <f t="shared" si="13"/>
        <v>3488700</v>
      </c>
      <c r="K53" s="179">
        <v>0.25</v>
      </c>
      <c r="L53" s="26">
        <v>-5.8028571428571429E-2</v>
      </c>
      <c r="M53" s="26">
        <f t="shared" si="14"/>
        <v>1.4109011495647426</v>
      </c>
      <c r="N53" s="11" t="s">
        <v>464</v>
      </c>
      <c r="O53" s="15">
        <v>6</v>
      </c>
      <c r="P53" s="35" t="s">
        <v>25</v>
      </c>
      <c r="Q53" s="15">
        <v>2</v>
      </c>
      <c r="R53" s="35" t="s">
        <v>492</v>
      </c>
      <c r="S53" s="15"/>
      <c r="T53" s="24"/>
      <c r="U53" s="94">
        <f>+'MFP-924.645A'!I$23</f>
        <v>2472675</v>
      </c>
      <c r="V53" s="94">
        <f>+'MFP-924.645A'!I$24</f>
        <v>3488700</v>
      </c>
      <c r="W53" s="94">
        <f>+'MFP-924.645A'!I$25</f>
        <v>2669111</v>
      </c>
      <c r="X53" s="94">
        <f>+'MFP-924.645A'!I$26</f>
        <v>2640765</v>
      </c>
      <c r="Y53" s="94">
        <f>+'MFP-924.645A'!I$27</f>
        <v>2533850</v>
      </c>
      <c r="Z53" s="94">
        <f>+'MFP-924.645A'!I$28</f>
        <v>2550756</v>
      </c>
      <c r="AA53" s="94"/>
      <c r="AB53" s="94"/>
    </row>
    <row r="54" spans="3:28" x14ac:dyDescent="0.25">
      <c r="C54" s="177">
        <v>2017</v>
      </c>
      <c r="D54" s="62" t="s">
        <v>956</v>
      </c>
      <c r="E54" s="63" t="s">
        <v>957</v>
      </c>
      <c r="F54" s="64">
        <v>42810</v>
      </c>
      <c r="G54" s="250" t="s">
        <v>693</v>
      </c>
      <c r="H54" s="27">
        <v>1425000</v>
      </c>
      <c r="I54" s="27">
        <v>1087425</v>
      </c>
      <c r="J54" s="27">
        <f t="shared" si="13"/>
        <v>3312256</v>
      </c>
      <c r="K54" s="179">
        <v>0.25</v>
      </c>
      <c r="L54" s="26">
        <v>-0.23689473684210527</v>
      </c>
      <c r="M54" s="26">
        <f t="shared" si="14"/>
        <v>3.0459627100719588</v>
      </c>
      <c r="N54" s="11" t="s">
        <v>464</v>
      </c>
      <c r="O54" s="15">
        <v>6</v>
      </c>
      <c r="P54" s="35" t="s">
        <v>93</v>
      </c>
      <c r="Q54" s="15">
        <v>1</v>
      </c>
      <c r="R54" s="35" t="s">
        <v>492</v>
      </c>
      <c r="S54" s="15"/>
      <c r="T54" s="24"/>
      <c r="U54" s="94">
        <f>+'MFP-072.016'!I$23</f>
        <v>1687060</v>
      </c>
      <c r="V54" s="94">
        <f>+'MFP-072.016'!I$24</f>
        <v>3312256</v>
      </c>
      <c r="W54" s="94">
        <f>+'MFP-072.016'!I$25</f>
        <v>1087425</v>
      </c>
      <c r="X54" s="94">
        <f>+'MFP-072.016'!I$26</f>
        <v>1668410</v>
      </c>
      <c r="Y54" s="94">
        <f>+'MFP-072.016'!I$27</f>
        <v>2878650</v>
      </c>
      <c r="Z54" s="94">
        <f>+'MFP-072.016'!I$28</f>
        <v>1880575</v>
      </c>
      <c r="AA54" s="94"/>
      <c r="AB54" s="94"/>
    </row>
    <row r="55" spans="3:28" x14ac:dyDescent="0.25">
      <c r="C55" s="177">
        <v>2017</v>
      </c>
      <c r="D55" s="62" t="s">
        <v>941</v>
      </c>
      <c r="E55" s="63" t="s">
        <v>940</v>
      </c>
      <c r="F55" s="64">
        <v>42789</v>
      </c>
      <c r="G55" s="250" t="s">
        <v>693</v>
      </c>
      <c r="H55" s="27">
        <v>240000</v>
      </c>
      <c r="I55" s="27">
        <v>97300</v>
      </c>
      <c r="J55" s="27">
        <f t="shared" si="13"/>
        <v>326320</v>
      </c>
      <c r="K55" s="179">
        <v>0.2</v>
      </c>
      <c r="L55" s="26">
        <v>-0.59458333333333335</v>
      </c>
      <c r="M55" s="26">
        <f t="shared" si="14"/>
        <v>3.3537512846865365</v>
      </c>
      <c r="N55" s="11" t="s">
        <v>465</v>
      </c>
      <c r="O55" s="15">
        <v>6</v>
      </c>
      <c r="P55" s="35" t="s">
        <v>25</v>
      </c>
      <c r="Q55" s="15">
        <v>1</v>
      </c>
      <c r="R55" s="35" t="s">
        <v>457</v>
      </c>
      <c r="S55" s="15"/>
      <c r="T55" s="24"/>
      <c r="U55" s="94">
        <f>+'GWB-244.263'!I$23</f>
        <v>97300</v>
      </c>
      <c r="V55" s="94">
        <f>+'GWB-244.263'!I$24</f>
        <v>249000</v>
      </c>
      <c r="W55" s="94">
        <f>+'GWB-244.263'!I$25</f>
        <v>210000</v>
      </c>
      <c r="X55" s="94">
        <f>+'GWB-244.263'!I$26</f>
        <v>142000</v>
      </c>
      <c r="Y55" s="94">
        <f>+'GWB-244.263'!I$27</f>
        <v>326320</v>
      </c>
      <c r="Z55" s="94">
        <f>+'GWB-244.263'!I$28</f>
        <v>235000</v>
      </c>
      <c r="AA55" s="94"/>
      <c r="AB55" s="94"/>
    </row>
    <row r="56" spans="3:28" x14ac:dyDescent="0.25">
      <c r="C56" s="180">
        <v>2017</v>
      </c>
      <c r="D56" s="181" t="s">
        <v>857</v>
      </c>
      <c r="E56" s="182" t="s">
        <v>858</v>
      </c>
      <c r="F56" s="183">
        <v>42753</v>
      </c>
      <c r="G56" s="251" t="s">
        <v>693</v>
      </c>
      <c r="H56" s="185">
        <v>1410000</v>
      </c>
      <c r="I56" s="186">
        <v>1399756</v>
      </c>
      <c r="J56" s="186">
        <f t="shared" si="13"/>
        <v>2850600</v>
      </c>
      <c r="K56" s="187">
        <v>0.3</v>
      </c>
      <c r="L56" s="188">
        <v>-7.2652482269503545E-3</v>
      </c>
      <c r="M56" s="188">
        <f t="shared" si="14"/>
        <v>2.0364977896147614</v>
      </c>
      <c r="N56" s="13" t="s">
        <v>464</v>
      </c>
      <c r="O56" s="28">
        <v>3</v>
      </c>
      <c r="P56" s="34" t="s">
        <v>25</v>
      </c>
      <c r="Q56" s="28">
        <v>1</v>
      </c>
      <c r="R56" s="34" t="s">
        <v>457</v>
      </c>
      <c r="S56" s="28"/>
      <c r="T56" s="24"/>
      <c r="U56" s="94">
        <f>+'HT-924.089'!I$23</f>
        <v>2393720</v>
      </c>
      <c r="V56" s="94">
        <f>+'HT-924.089'!I$24</f>
        <v>1399756</v>
      </c>
      <c r="W56" s="94">
        <f>+'HT-924.089'!I$25</f>
        <v>2850600</v>
      </c>
      <c r="X56" s="94"/>
      <c r="Y56" s="94"/>
      <c r="Z56" s="94"/>
      <c r="AA56" s="94"/>
      <c r="AB56" s="94"/>
    </row>
    <row r="57" spans="3:28" x14ac:dyDescent="0.25">
      <c r="C57" s="196">
        <v>2017</v>
      </c>
      <c r="E57" s="193" t="s">
        <v>1215</v>
      </c>
      <c r="G57" s="198">
        <f>COUNTA(G46:G56)</f>
        <v>11</v>
      </c>
      <c r="H57" s="191">
        <f>SUM(H46:H56)</f>
        <v>11473000</v>
      </c>
      <c r="I57" s="191">
        <f>SUM(I46:I56)</f>
        <v>10530164</v>
      </c>
      <c r="J57" s="191">
        <f>SUM(J46:J56)</f>
        <v>24139051</v>
      </c>
      <c r="K57" s="194">
        <f>AVERAGE(K46:K56)</f>
        <v>0.29545454545454547</v>
      </c>
      <c r="L57" s="83"/>
      <c r="M57" s="83"/>
      <c r="N57" s="195">
        <v>0.64</v>
      </c>
      <c r="O57" s="83">
        <f>AVERAGE(O46:O56)</f>
        <v>4.5454545454545459</v>
      </c>
      <c r="P57" s="192"/>
      <c r="Q57" s="83"/>
      <c r="R57" s="83"/>
    </row>
    <row r="58" spans="3:28" x14ac:dyDescent="0.25">
      <c r="C58" s="177"/>
      <c r="N58"/>
      <c r="P58" s="11"/>
    </row>
    <row r="59" spans="3:28" x14ac:dyDescent="0.25">
      <c r="C59" s="177"/>
      <c r="N59"/>
      <c r="P59" s="11"/>
    </row>
    <row r="60" spans="3:28" x14ac:dyDescent="0.25">
      <c r="C60" s="176"/>
    </row>
    <row r="61" spans="3:28" x14ac:dyDescent="0.25">
      <c r="C61" s="177">
        <v>2016</v>
      </c>
      <c r="D61" s="62" t="s">
        <v>821</v>
      </c>
      <c r="E61" s="63" t="s">
        <v>822</v>
      </c>
      <c r="F61" s="64">
        <v>42725</v>
      </c>
      <c r="G61" s="250" t="s">
        <v>693</v>
      </c>
      <c r="H61" s="27">
        <v>600000</v>
      </c>
      <c r="I61" s="27">
        <v>421111</v>
      </c>
      <c r="J61" s="27">
        <f t="shared" ref="J61:J67" si="15">MAXA(U61:AD61)</f>
        <v>929355</v>
      </c>
      <c r="K61" s="179">
        <v>0.45</v>
      </c>
      <c r="L61" s="26">
        <v>-0.29814833333333335</v>
      </c>
      <c r="M61" s="26">
        <f t="shared" ref="M61:M67" si="16">+J61/I61</f>
        <v>2.2069121917974122</v>
      </c>
      <c r="N61" s="11" t="s">
        <v>464</v>
      </c>
      <c r="O61" s="15">
        <v>8</v>
      </c>
      <c r="P61" s="35" t="s">
        <v>25</v>
      </c>
      <c r="Q61" s="15">
        <v>4</v>
      </c>
      <c r="R61" s="35" t="s">
        <v>458</v>
      </c>
      <c r="S61" s="15"/>
      <c r="T61" s="24"/>
      <c r="U61" s="94">
        <f>+'EWR-924.288'!K$23</f>
        <v>777777</v>
      </c>
      <c r="V61" s="94">
        <f>+'EWR-924.288'!K$24</f>
        <v>463700</v>
      </c>
      <c r="W61" s="94">
        <f>+'EWR-924.288'!K$25</f>
        <v>929355</v>
      </c>
      <c r="X61" s="94">
        <f>+'EWR-924.288'!K$26</f>
        <v>895000</v>
      </c>
      <c r="Y61" s="94">
        <f>+'EWR-924.288'!K$27</f>
        <v>421111</v>
      </c>
      <c r="Z61" s="94">
        <f>+'EWR-924.288'!K$28</f>
        <v>494600</v>
      </c>
      <c r="AA61" s="94">
        <f>+'EWR-924.288'!K$29</f>
        <v>680000</v>
      </c>
      <c r="AB61" s="94">
        <f>+'EWR-924.288'!K$30</f>
        <v>642245</v>
      </c>
    </row>
    <row r="62" spans="3:28" x14ac:dyDescent="0.25">
      <c r="C62" s="177">
        <v>2016</v>
      </c>
      <c r="D62" s="62" t="s">
        <v>812</v>
      </c>
      <c r="E62" s="63" t="s">
        <v>813</v>
      </c>
      <c r="F62" s="64">
        <v>42719</v>
      </c>
      <c r="G62" s="250" t="s">
        <v>693</v>
      </c>
      <c r="H62" s="27">
        <v>1460000</v>
      </c>
      <c r="I62" s="27">
        <v>1457020</v>
      </c>
      <c r="J62" s="27">
        <f t="shared" si="15"/>
        <v>1830527</v>
      </c>
      <c r="K62" s="179">
        <v>0.2</v>
      </c>
      <c r="L62" s="26">
        <v>-2.0410958904109591E-3</v>
      </c>
      <c r="M62" s="26">
        <f t="shared" si="16"/>
        <v>1.2563499471524069</v>
      </c>
      <c r="N62" s="11" t="s">
        <v>464</v>
      </c>
      <c r="O62" s="15">
        <v>7</v>
      </c>
      <c r="P62" s="35" t="s">
        <v>25</v>
      </c>
      <c r="Q62" s="15">
        <v>4</v>
      </c>
      <c r="R62" s="35" t="s">
        <v>492</v>
      </c>
      <c r="S62" s="15"/>
      <c r="T62" s="24"/>
      <c r="U62" s="94">
        <f>+'PN-654.551'!K$23</f>
        <v>1750000</v>
      </c>
      <c r="V62" s="94">
        <f>+'PN-654.551'!K$24</f>
        <v>1461533</v>
      </c>
      <c r="W62" s="94">
        <f>+'PN-654.551'!K$25</f>
        <v>1704450</v>
      </c>
      <c r="X62" s="94">
        <f>+'PN-654.551'!K$26</f>
        <v>1830527</v>
      </c>
      <c r="Y62" s="94">
        <f>+'PN-654.551'!K$27</f>
        <v>1457020</v>
      </c>
      <c r="Z62" s="94">
        <f>+'PN-654.551'!K$28</f>
        <v>1551000</v>
      </c>
      <c r="AA62" s="94">
        <f>+'PN-654.551'!K$29</f>
        <v>1511111</v>
      </c>
      <c r="AB62" s="94"/>
    </row>
    <row r="63" spans="3:28" x14ac:dyDescent="0.25">
      <c r="C63" s="177">
        <v>2016</v>
      </c>
      <c r="D63" s="62" t="s">
        <v>763</v>
      </c>
      <c r="E63" s="63" t="s">
        <v>764</v>
      </c>
      <c r="F63" s="64">
        <v>42677</v>
      </c>
      <c r="G63" s="250" t="s">
        <v>693</v>
      </c>
      <c r="H63" s="27">
        <v>480000</v>
      </c>
      <c r="I63" s="27">
        <v>770000</v>
      </c>
      <c r="J63" s="27">
        <f t="shared" si="15"/>
        <v>1940000</v>
      </c>
      <c r="K63" s="179">
        <v>0.2</v>
      </c>
      <c r="L63" s="26">
        <v>0.60416666666666663</v>
      </c>
      <c r="M63" s="26">
        <f t="shared" si="16"/>
        <v>2.5194805194805197</v>
      </c>
      <c r="N63" s="11" t="s">
        <v>465</v>
      </c>
      <c r="O63" s="15">
        <v>4</v>
      </c>
      <c r="P63" s="35" t="s">
        <v>226</v>
      </c>
      <c r="Q63" s="15">
        <v>4</v>
      </c>
      <c r="R63" s="35" t="s">
        <v>457</v>
      </c>
      <c r="S63" s="15"/>
      <c r="T63" s="24"/>
      <c r="U63" s="94">
        <f>+'HT-924.097'!I$23</f>
        <v>1072000</v>
      </c>
      <c r="V63" s="94">
        <f>+'HT-924.097'!I$24</f>
        <v>770000</v>
      </c>
      <c r="W63" s="94">
        <f>+'HT-924.097'!I$25</f>
        <v>1940000</v>
      </c>
      <c r="X63" s="94">
        <f>+'HT-924.097'!I$26</f>
        <v>1371000</v>
      </c>
      <c r="Y63" s="54"/>
      <c r="Z63" s="54"/>
    </row>
    <row r="64" spans="3:28" x14ac:dyDescent="0.25">
      <c r="C64" s="177">
        <v>2016</v>
      </c>
      <c r="D64" s="62" t="s">
        <v>727</v>
      </c>
      <c r="E64" s="63" t="s">
        <v>728</v>
      </c>
      <c r="F64" s="64">
        <v>42606</v>
      </c>
      <c r="G64" s="250" t="s">
        <v>693</v>
      </c>
      <c r="H64" s="27">
        <v>230000</v>
      </c>
      <c r="I64" s="27">
        <v>274450</v>
      </c>
      <c r="J64" s="27">
        <f t="shared" si="15"/>
        <v>418000</v>
      </c>
      <c r="K64" s="179">
        <v>0</v>
      </c>
      <c r="L64" s="26">
        <v>0.1932608695652174</v>
      </c>
      <c r="M64" s="26">
        <f t="shared" si="16"/>
        <v>1.5230460921843687</v>
      </c>
      <c r="N64" s="11" t="s">
        <v>465</v>
      </c>
      <c r="O64" s="15">
        <v>3</v>
      </c>
      <c r="P64" s="35" t="s">
        <v>25</v>
      </c>
      <c r="Q64" s="15">
        <v>3</v>
      </c>
      <c r="R64" s="35" t="s">
        <v>458</v>
      </c>
      <c r="S64" s="15"/>
      <c r="T64" s="24"/>
      <c r="U64" s="94">
        <f>+'EWR-924.366'!I$23</f>
        <v>274450</v>
      </c>
      <c r="V64" s="94">
        <f>+'EWR-924.366'!I$24</f>
        <v>395000</v>
      </c>
      <c r="W64" s="94">
        <f>+'EWR-924.366'!I$25</f>
        <v>418000</v>
      </c>
      <c r="X64" s="94"/>
      <c r="Y64" s="54"/>
      <c r="Z64" s="54"/>
    </row>
    <row r="65" spans="3:27" x14ac:dyDescent="0.25">
      <c r="C65" s="177">
        <v>2016</v>
      </c>
      <c r="D65" s="62" t="s">
        <v>705</v>
      </c>
      <c r="E65" s="63" t="s">
        <v>706</v>
      </c>
      <c r="F65" s="64">
        <v>42586</v>
      </c>
      <c r="G65" s="250" t="s">
        <v>693</v>
      </c>
      <c r="H65" s="27">
        <v>800000</v>
      </c>
      <c r="I65" s="27">
        <v>485250</v>
      </c>
      <c r="J65" s="27">
        <f t="shared" si="15"/>
        <v>998837</v>
      </c>
      <c r="K65" s="179">
        <v>0.1</v>
      </c>
      <c r="L65" s="26">
        <v>-0.3934375</v>
      </c>
      <c r="M65" s="26">
        <f t="shared" si="16"/>
        <v>2.0583967027305512</v>
      </c>
      <c r="N65" s="11" t="s">
        <v>464</v>
      </c>
      <c r="O65" s="15">
        <v>4</v>
      </c>
      <c r="P65" s="35" t="s">
        <v>25</v>
      </c>
      <c r="Q65" s="15">
        <v>3</v>
      </c>
      <c r="R65" s="35" t="s">
        <v>457</v>
      </c>
      <c r="S65" s="15"/>
      <c r="T65" s="24"/>
      <c r="U65" s="94">
        <f>+'LT-934.027'!I$23</f>
        <v>685749</v>
      </c>
      <c r="V65" s="94">
        <f>+'LT-934.027'!I$24</f>
        <v>994000</v>
      </c>
      <c r="W65" s="94">
        <f>+'LT-934.027'!I$25</f>
        <v>998837</v>
      </c>
      <c r="X65" s="94">
        <f>+'LT-934.027'!I$26</f>
        <v>485250</v>
      </c>
      <c r="Y65" s="54"/>
      <c r="Z65" s="54"/>
    </row>
    <row r="66" spans="3:27" x14ac:dyDescent="0.25">
      <c r="C66" s="177">
        <v>2016</v>
      </c>
      <c r="D66" s="62" t="s">
        <v>691</v>
      </c>
      <c r="E66" s="63" t="s">
        <v>692</v>
      </c>
      <c r="F66" s="64">
        <v>42579</v>
      </c>
      <c r="G66" s="250" t="s">
        <v>693</v>
      </c>
      <c r="H66" s="27">
        <v>1636000</v>
      </c>
      <c r="I66" s="27">
        <v>1365000</v>
      </c>
      <c r="J66" s="27">
        <f t="shared" si="15"/>
        <v>2628645</v>
      </c>
      <c r="K66" s="179">
        <v>0.2</v>
      </c>
      <c r="L66" s="26">
        <v>-0.1656479217603912</v>
      </c>
      <c r="M66" s="26">
        <f t="shared" si="16"/>
        <v>1.9257472527472528</v>
      </c>
      <c r="N66" s="11" t="s">
        <v>464</v>
      </c>
      <c r="O66" s="15">
        <v>3</v>
      </c>
      <c r="P66" s="35" t="s">
        <v>93</v>
      </c>
      <c r="Q66" s="15">
        <v>3</v>
      </c>
      <c r="R66" s="35" t="s">
        <v>457</v>
      </c>
      <c r="S66" s="15"/>
      <c r="T66" s="24"/>
      <c r="U66" s="94">
        <f>+'LT-800.382'!K$23</f>
        <v>1555556</v>
      </c>
      <c r="V66" s="94">
        <f>+'LT-800.382'!K$24</f>
        <v>1365000</v>
      </c>
      <c r="W66" s="94">
        <f>+'LT-800.382'!K$25</f>
        <v>2628645</v>
      </c>
      <c r="X66" s="54"/>
      <c r="Y66" s="54"/>
      <c r="Z66" s="54"/>
    </row>
    <row r="67" spans="3:27" x14ac:dyDescent="0.25">
      <c r="C67" s="180">
        <v>2016</v>
      </c>
      <c r="D67" s="28" t="s">
        <v>467</v>
      </c>
      <c r="E67" s="189" t="s">
        <v>468</v>
      </c>
      <c r="F67" s="190">
        <v>42383</v>
      </c>
      <c r="G67" s="251" t="s">
        <v>693</v>
      </c>
      <c r="H67" s="186">
        <v>1200000</v>
      </c>
      <c r="I67" s="186">
        <v>1050050</v>
      </c>
      <c r="J67" s="186">
        <f t="shared" si="15"/>
        <v>1551000</v>
      </c>
      <c r="K67" s="187">
        <v>0.2</v>
      </c>
      <c r="L67" s="188">
        <v>-0.12495833333333334</v>
      </c>
      <c r="M67" s="188">
        <f t="shared" si="16"/>
        <v>1.4770725203561734</v>
      </c>
      <c r="N67" s="13" t="s">
        <v>464</v>
      </c>
      <c r="O67" s="28">
        <v>6</v>
      </c>
      <c r="P67" s="34" t="s">
        <v>25</v>
      </c>
      <c r="Q67" s="28">
        <v>1</v>
      </c>
      <c r="R67" s="34" t="s">
        <v>492</v>
      </c>
      <c r="S67" s="28"/>
      <c r="T67" s="24"/>
      <c r="U67" s="94">
        <f>+'PN-654.041'!I$23</f>
        <v>1551000</v>
      </c>
      <c r="V67" s="94">
        <f>+'PN-654.041'!I$24</f>
        <v>1083107</v>
      </c>
      <c r="W67" s="94">
        <f>+'PN-654.041'!I$25</f>
        <v>1389173</v>
      </c>
      <c r="X67" s="94">
        <f>+'PN-654.041'!I$26</f>
        <v>1356313</v>
      </c>
      <c r="Y67" s="94">
        <f>+'PN-654.041'!I$27</f>
        <v>1233333</v>
      </c>
      <c r="Z67" s="94">
        <f>+'PN-654.041'!I$28</f>
        <v>1050050</v>
      </c>
    </row>
    <row r="68" spans="3:27" x14ac:dyDescent="0.25">
      <c r="C68" s="196">
        <v>2016</v>
      </c>
      <c r="E68" s="193" t="s">
        <v>1215</v>
      </c>
      <c r="G68" s="198">
        <f>COUNTA(G61:G67)</f>
        <v>7</v>
      </c>
      <c r="H68" s="191">
        <f>SUM(H61:H67)</f>
        <v>6406000</v>
      </c>
      <c r="I68" s="191">
        <f>SUM(I61:I67)</f>
        <v>5822881</v>
      </c>
      <c r="J68" s="191">
        <f>SUM(J61:J67)</f>
        <v>10296364</v>
      </c>
      <c r="K68" s="194">
        <f>AVERAGE(K61:K67)</f>
        <v>0.19285714285714287</v>
      </c>
      <c r="L68" s="83"/>
      <c r="M68" s="83"/>
      <c r="N68" s="195">
        <v>0.71</v>
      </c>
      <c r="O68" s="83">
        <f>AVERAGE(O61:O67)</f>
        <v>5</v>
      </c>
      <c r="P68" s="192"/>
      <c r="Q68" s="83"/>
      <c r="R68" s="83"/>
    </row>
    <row r="69" spans="3:27" x14ac:dyDescent="0.25">
      <c r="C69" s="176"/>
      <c r="K69" s="56"/>
    </row>
    <row r="70" spans="3:27" x14ac:dyDescent="0.25">
      <c r="C70" s="176"/>
      <c r="K70" s="56"/>
    </row>
    <row r="71" spans="3:27" x14ac:dyDescent="0.25">
      <c r="C71" s="176"/>
      <c r="K71" s="56"/>
    </row>
    <row r="72" spans="3:27" x14ac:dyDescent="0.25">
      <c r="C72" s="177">
        <v>2015</v>
      </c>
      <c r="D72" s="62" t="str">
        <f>+'EP-684.509 Void'!$F$4</f>
        <v>EP-684.509</v>
      </c>
      <c r="E72" s="24" t="str">
        <f>+'EP-684.509 Void'!$F$5</f>
        <v>Bldg 1400 Upgrade of Fire Supression System</v>
      </c>
      <c r="F72" s="25">
        <f>+'EP-684.509 Void'!$F$6</f>
        <v>42355</v>
      </c>
      <c r="G72" s="250" t="s">
        <v>693</v>
      </c>
      <c r="H72" s="27">
        <f>+'EP-684.509 Void'!$F$7</f>
        <v>640000</v>
      </c>
      <c r="I72" s="27">
        <f>+'EP-684.509 Void'!$F$8</f>
        <v>898000</v>
      </c>
      <c r="J72" s="27">
        <f t="shared" ref="J72:J79" si="17">MAXA(U72:AD72)</f>
        <v>1390452</v>
      </c>
      <c r="K72" s="179">
        <v>0.1</v>
      </c>
      <c r="L72" s="26">
        <f>+'EP-684.509 Void'!$G$9</f>
        <v>0.40312500000000001</v>
      </c>
      <c r="M72" s="26">
        <f t="shared" ref="M72:M79" si="18">+J72/I72</f>
        <v>1.5483875278396437</v>
      </c>
      <c r="N72" s="11" t="str">
        <f>+'EP-684.509 Void'!$F$11</f>
        <v>FAIL</v>
      </c>
      <c r="O72" s="15">
        <f>+'EP-684.509 Void'!$H$12</f>
        <v>3</v>
      </c>
      <c r="P72" s="35" t="s">
        <v>25</v>
      </c>
      <c r="Q72" s="15">
        <v>4</v>
      </c>
      <c r="R72" s="35" t="s">
        <v>457</v>
      </c>
      <c r="S72" s="15"/>
      <c r="T72" s="24"/>
      <c r="U72" s="94">
        <f>+'EP-684.509 Void'!I$23</f>
        <v>898000</v>
      </c>
      <c r="V72" s="94">
        <f>+'EP-684.509 Void'!I$24</f>
        <v>1174705</v>
      </c>
      <c r="W72" s="94">
        <f>+'EP-684.509 Void'!I$25</f>
        <v>1390452</v>
      </c>
      <c r="X72" s="94"/>
      <c r="Y72" s="94"/>
      <c r="Z72" s="94"/>
    </row>
    <row r="73" spans="3:27" x14ac:dyDescent="0.25">
      <c r="C73" s="177">
        <v>2015</v>
      </c>
      <c r="D73" s="15" t="s">
        <v>102</v>
      </c>
      <c r="E73" s="24" t="s">
        <v>228</v>
      </c>
      <c r="F73" s="25">
        <v>42297</v>
      </c>
      <c r="G73" s="229" t="s">
        <v>1207</v>
      </c>
      <c r="H73" s="27">
        <v>900000</v>
      </c>
      <c r="I73" s="27">
        <v>2997984.5</v>
      </c>
      <c r="J73" s="27">
        <f t="shared" si="17"/>
        <v>4407700</v>
      </c>
      <c r="K73" s="179">
        <v>0.3</v>
      </c>
      <c r="L73" s="26">
        <v>2.3310938888888888</v>
      </c>
      <c r="M73" s="26">
        <f t="shared" si="18"/>
        <v>1.4702210768601371</v>
      </c>
      <c r="N73" s="11" t="s">
        <v>465</v>
      </c>
      <c r="O73" s="15">
        <v>2</v>
      </c>
      <c r="P73" s="35" t="s">
        <v>25</v>
      </c>
      <c r="Q73" s="15">
        <v>4</v>
      </c>
      <c r="R73" s="35" t="s">
        <v>457</v>
      </c>
      <c r="S73" s="15"/>
      <c r="T73" s="24"/>
      <c r="U73" s="94">
        <f>+'GWB-924.159'!I$23</f>
        <v>2997984.5</v>
      </c>
      <c r="V73" s="94">
        <f>+'GWB-924.159'!I$24</f>
        <v>4407700</v>
      </c>
      <c r="W73" s="27"/>
      <c r="X73" s="27"/>
    </row>
    <row r="74" spans="3:27" x14ac:dyDescent="0.25">
      <c r="C74" s="177">
        <v>2015</v>
      </c>
      <c r="D74" s="15" t="s">
        <v>418</v>
      </c>
      <c r="E74" s="24" t="s">
        <v>419</v>
      </c>
      <c r="F74" s="25">
        <v>42142</v>
      </c>
      <c r="G74" s="250" t="s">
        <v>693</v>
      </c>
      <c r="H74" s="27">
        <v>830000</v>
      </c>
      <c r="I74" s="27">
        <v>1650000</v>
      </c>
      <c r="J74" s="27">
        <f t="shared" si="17"/>
        <v>1650000</v>
      </c>
      <c r="K74" s="179">
        <v>0.1</v>
      </c>
      <c r="L74" s="26">
        <v>0.98795180722891562</v>
      </c>
      <c r="M74" s="26">
        <f t="shared" si="18"/>
        <v>1</v>
      </c>
      <c r="N74" s="11" t="s">
        <v>465</v>
      </c>
      <c r="O74" s="15">
        <v>1</v>
      </c>
      <c r="P74" s="35" t="s">
        <v>226</v>
      </c>
      <c r="Q74" s="15">
        <v>2</v>
      </c>
      <c r="R74" s="35" t="s">
        <v>457</v>
      </c>
      <c r="S74" s="15"/>
      <c r="T74" s="24"/>
      <c r="U74" s="94">
        <f>+'GWB-924.044'!I$23</f>
        <v>1650000</v>
      </c>
      <c r="V74" s="27"/>
      <c r="W74" s="27"/>
      <c r="X74" s="27"/>
    </row>
    <row r="75" spans="3:27" x14ac:dyDescent="0.25">
      <c r="C75" s="177">
        <v>2015</v>
      </c>
      <c r="D75" s="15" t="s">
        <v>372</v>
      </c>
      <c r="E75" s="24" t="s">
        <v>373</v>
      </c>
      <c r="F75" s="25">
        <v>42102</v>
      </c>
      <c r="G75" s="250" t="s">
        <v>693</v>
      </c>
      <c r="H75" s="27">
        <v>1300000</v>
      </c>
      <c r="I75" s="27">
        <v>878175</v>
      </c>
      <c r="J75" s="27">
        <f t="shared" si="17"/>
        <v>1888800</v>
      </c>
      <c r="K75" s="179">
        <v>0.1</v>
      </c>
      <c r="L75" s="26">
        <v>-0.32448076923076924</v>
      </c>
      <c r="M75" s="26">
        <f t="shared" si="18"/>
        <v>2.1508241523614315</v>
      </c>
      <c r="N75" s="11" t="s">
        <v>464</v>
      </c>
      <c r="O75" s="15">
        <v>7</v>
      </c>
      <c r="P75" s="35" t="s">
        <v>25</v>
      </c>
      <c r="Q75" s="15">
        <v>2</v>
      </c>
      <c r="R75" s="35" t="s">
        <v>457</v>
      </c>
      <c r="S75" s="15"/>
      <c r="T75" s="24"/>
      <c r="U75" s="94">
        <f>+'PJ-924.624'!I$23</f>
        <v>878175</v>
      </c>
      <c r="V75" s="94">
        <f>+'PJ-924.624'!I$24</f>
        <v>1321680</v>
      </c>
      <c r="W75" s="94">
        <f>+'PJ-924.624'!I$25</f>
        <v>1493925</v>
      </c>
      <c r="X75" s="94">
        <f>+'PJ-924.624'!I$26</f>
        <v>1645367.9</v>
      </c>
      <c r="Y75" s="94">
        <f>+'PJ-924.624'!I$27</f>
        <v>1726800</v>
      </c>
      <c r="Z75" s="94">
        <f>+'PJ-924.624'!I$28</f>
        <v>1775500</v>
      </c>
      <c r="AA75" s="94">
        <f>+'PJ-924.624'!I$29</f>
        <v>1888800</v>
      </c>
    </row>
    <row r="76" spans="3:27" x14ac:dyDescent="0.25">
      <c r="C76" s="177">
        <v>2015</v>
      </c>
      <c r="D76" s="15" t="s">
        <v>176</v>
      </c>
      <c r="E76" s="24" t="s">
        <v>417</v>
      </c>
      <c r="F76" s="25">
        <v>42256</v>
      </c>
      <c r="G76" s="250" t="s">
        <v>693</v>
      </c>
      <c r="H76" s="27">
        <v>325000</v>
      </c>
      <c r="I76" s="27">
        <v>377777</v>
      </c>
      <c r="J76" s="27">
        <f t="shared" si="17"/>
        <v>643125</v>
      </c>
      <c r="K76" s="179">
        <v>0.08</v>
      </c>
      <c r="L76" s="26">
        <v>0.16239076923076923</v>
      </c>
      <c r="M76" s="26">
        <f t="shared" si="18"/>
        <v>1.7023932108095516</v>
      </c>
      <c r="N76" s="11" t="s">
        <v>465</v>
      </c>
      <c r="O76" s="15">
        <v>6</v>
      </c>
      <c r="P76" s="35" t="s">
        <v>25</v>
      </c>
      <c r="Q76" s="15">
        <v>3</v>
      </c>
      <c r="R76" s="35" t="s">
        <v>458</v>
      </c>
      <c r="S76" s="15"/>
      <c r="T76" s="24"/>
      <c r="U76" s="94">
        <f>+'EWR-924.320'!I$23</f>
        <v>377777</v>
      </c>
      <c r="V76" s="94">
        <f>+'EWR-924.320'!I$24</f>
        <v>415415</v>
      </c>
      <c r="W76" s="94">
        <f>+'EWR-924.320'!I$25</f>
        <v>442000</v>
      </c>
      <c r="X76" s="94">
        <f>+'EWR-924.320'!I$26</f>
        <v>470000</v>
      </c>
      <c r="Y76" s="94">
        <f>+'EWR-924.320'!I$27</f>
        <v>589375</v>
      </c>
      <c r="Z76" s="94">
        <f>+'EWR-924.320'!I$28</f>
        <v>643125</v>
      </c>
    </row>
    <row r="77" spans="3:27" x14ac:dyDescent="0.25">
      <c r="C77" s="177">
        <v>2015</v>
      </c>
      <c r="D77" s="15" t="s">
        <v>235</v>
      </c>
      <c r="E77" s="24" t="s">
        <v>236</v>
      </c>
      <c r="F77" s="25">
        <v>42234</v>
      </c>
      <c r="G77" s="250" t="s">
        <v>693</v>
      </c>
      <c r="H77" s="27">
        <v>354000</v>
      </c>
      <c r="I77" s="27">
        <v>396811</v>
      </c>
      <c r="J77" s="27">
        <f t="shared" si="17"/>
        <v>741374</v>
      </c>
      <c r="K77" s="179">
        <v>0</v>
      </c>
      <c r="L77" s="26">
        <v>0.12093502824858757</v>
      </c>
      <c r="M77" s="26">
        <f t="shared" si="18"/>
        <v>1.8683302630219425</v>
      </c>
      <c r="N77" s="11" t="s">
        <v>465</v>
      </c>
      <c r="O77" s="15">
        <v>3</v>
      </c>
      <c r="P77" s="35" t="s">
        <v>25</v>
      </c>
      <c r="Q77" s="15">
        <v>3</v>
      </c>
      <c r="R77" s="35" t="s">
        <v>458</v>
      </c>
      <c r="S77" s="15"/>
      <c r="T77" s="24"/>
      <c r="U77" s="94">
        <f>+'EWR-924.175A'!I$23</f>
        <v>396811</v>
      </c>
      <c r="V77" s="94">
        <f>+'EWR-924.175A'!I$24</f>
        <v>607000</v>
      </c>
      <c r="W77" s="94">
        <f>+'EWR-924.175A'!I$25</f>
        <v>741374</v>
      </c>
      <c r="X77" s="27"/>
    </row>
    <row r="78" spans="3:27" x14ac:dyDescent="0.25">
      <c r="C78" s="177">
        <v>2015</v>
      </c>
      <c r="D78" s="15" t="s">
        <v>297</v>
      </c>
      <c r="E78" s="24" t="s">
        <v>298</v>
      </c>
      <c r="F78" s="25">
        <v>42145</v>
      </c>
      <c r="G78" s="250" t="s">
        <v>693</v>
      </c>
      <c r="H78" s="27">
        <v>1550000</v>
      </c>
      <c r="I78" s="27">
        <v>2333333.33</v>
      </c>
      <c r="J78" s="27">
        <f t="shared" si="17"/>
        <v>3640000</v>
      </c>
      <c r="K78" s="179">
        <v>0</v>
      </c>
      <c r="L78" s="26">
        <v>0.50537634193548386</v>
      </c>
      <c r="M78" s="26">
        <f t="shared" si="18"/>
        <v>1.5600000022285714</v>
      </c>
      <c r="N78" s="11" t="s">
        <v>465</v>
      </c>
      <c r="O78" s="15">
        <v>2</v>
      </c>
      <c r="P78" s="35" t="s">
        <v>93</v>
      </c>
      <c r="Q78" s="15">
        <v>2</v>
      </c>
      <c r="R78" s="35" t="s">
        <v>458</v>
      </c>
      <c r="S78" s="15"/>
      <c r="T78" s="24"/>
      <c r="U78" s="94">
        <f>+'JFK-914.209'!I$23</f>
        <v>2333333.33</v>
      </c>
      <c r="V78" s="94">
        <f>+'JFK-914.209'!I$24</f>
        <v>3640000</v>
      </c>
      <c r="W78" s="27"/>
      <c r="X78" s="27"/>
    </row>
    <row r="79" spans="3:27" x14ac:dyDescent="0.25">
      <c r="C79" s="180">
        <v>2015</v>
      </c>
      <c r="D79" s="28" t="s">
        <v>402</v>
      </c>
      <c r="E79" s="189" t="s">
        <v>403</v>
      </c>
      <c r="F79" s="190">
        <v>42060</v>
      </c>
      <c r="G79" s="251" t="s">
        <v>693</v>
      </c>
      <c r="H79" s="186">
        <v>640000</v>
      </c>
      <c r="I79" s="186">
        <v>574000</v>
      </c>
      <c r="J79" s="186">
        <f t="shared" si="17"/>
        <v>988000</v>
      </c>
      <c r="K79" s="187">
        <v>0.12</v>
      </c>
      <c r="L79" s="188">
        <v>-0.10312499999999999</v>
      </c>
      <c r="M79" s="188">
        <f t="shared" si="18"/>
        <v>1.7212543554006969</v>
      </c>
      <c r="N79" s="13" t="s">
        <v>464</v>
      </c>
      <c r="O79" s="28">
        <v>4</v>
      </c>
      <c r="P79" s="34" t="s">
        <v>93</v>
      </c>
      <c r="Q79" s="28">
        <v>1</v>
      </c>
      <c r="R79" s="34" t="s">
        <v>458</v>
      </c>
      <c r="S79" s="28"/>
      <c r="T79" s="24"/>
      <c r="U79" s="94">
        <f>+'JFK-134.025'!I$23</f>
        <v>574000</v>
      </c>
      <c r="V79" s="94">
        <f>+'JFK-134.025'!I$24</f>
        <v>610750.86</v>
      </c>
      <c r="W79" s="94">
        <f>+'JFK-134.025'!I$25</f>
        <v>833000</v>
      </c>
      <c r="X79" s="94">
        <f>+'JFK-134.025'!I$26</f>
        <v>988000</v>
      </c>
    </row>
    <row r="80" spans="3:27" x14ac:dyDescent="0.25">
      <c r="C80" s="196">
        <v>2015</v>
      </c>
      <c r="E80" s="193" t="s">
        <v>1215</v>
      </c>
      <c r="G80" s="198">
        <f>COUNTA(G72:G79)</f>
        <v>8</v>
      </c>
      <c r="H80" s="191">
        <f>SUM(H72:H79)</f>
        <v>6539000</v>
      </c>
      <c r="I80" s="191">
        <f>SUM(I72:I79)</f>
        <v>10106080.83</v>
      </c>
      <c r="J80" s="191">
        <f>SUM(J72:J79)</f>
        <v>15349451</v>
      </c>
      <c r="K80" s="194">
        <f>AVERAGE(K72:K79)</f>
        <v>9.9999999999999992E-2</v>
      </c>
      <c r="L80" s="83"/>
      <c r="M80" s="83"/>
      <c r="N80" s="195">
        <v>0.25</v>
      </c>
      <c r="O80" s="83">
        <f>AVERAGE(O72:O79)</f>
        <v>3.5</v>
      </c>
      <c r="P80" s="192"/>
      <c r="Q80" s="83"/>
      <c r="R80" s="83"/>
    </row>
    <row r="81" spans="3:11" x14ac:dyDescent="0.25">
      <c r="C81" s="176"/>
      <c r="K81" s="56"/>
    </row>
    <row r="82" spans="3:11" x14ac:dyDescent="0.25">
      <c r="C82" s="176"/>
      <c r="K82" s="56"/>
    </row>
    <row r="83" spans="3:11" x14ac:dyDescent="0.25">
      <c r="C83" s="176"/>
      <c r="K83" s="56"/>
    </row>
    <row r="84" spans="3:11" x14ac:dyDescent="0.25">
      <c r="C84" s="176"/>
    </row>
    <row r="85" spans="3:11" x14ac:dyDescent="0.25">
      <c r="C85" s="176"/>
    </row>
    <row r="86" spans="3:11" x14ac:dyDescent="0.25">
      <c r="C86" s="176"/>
    </row>
    <row r="87" spans="3:11" x14ac:dyDescent="0.25">
      <c r="C87" s="176"/>
    </row>
    <row r="88" spans="3:11" x14ac:dyDescent="0.25">
      <c r="C88" s="176"/>
    </row>
    <row r="89" spans="3:11" x14ac:dyDescent="0.25">
      <c r="C89" s="176"/>
    </row>
    <row r="90" spans="3:11" x14ac:dyDescent="0.25">
      <c r="C90" s="176"/>
    </row>
    <row r="91" spans="3:11" x14ac:dyDescent="0.25">
      <c r="C91" s="176"/>
    </row>
    <row r="92" spans="3:11" x14ac:dyDescent="0.25">
      <c r="C92" s="176"/>
    </row>
    <row r="93" spans="3:11" x14ac:dyDescent="0.25">
      <c r="C93" s="176"/>
    </row>
    <row r="94" spans="3:11" x14ac:dyDescent="0.25">
      <c r="C94" s="176"/>
    </row>
    <row r="95" spans="3:11" x14ac:dyDescent="0.25">
      <c r="C95" s="176"/>
    </row>
    <row r="96" spans="3:11" x14ac:dyDescent="0.25">
      <c r="C96" s="176"/>
    </row>
    <row r="97" spans="3:3" x14ac:dyDescent="0.25">
      <c r="C97" s="176"/>
    </row>
    <row r="98" spans="3:3" x14ac:dyDescent="0.25">
      <c r="C98" s="176"/>
    </row>
    <row r="99" spans="3:3" x14ac:dyDescent="0.25">
      <c r="C99" s="176"/>
    </row>
    <row r="100" spans="3:3" x14ac:dyDescent="0.25">
      <c r="C100" s="176"/>
    </row>
    <row r="101" spans="3:3" x14ac:dyDescent="0.25">
      <c r="C101" s="176"/>
    </row>
    <row r="102" spans="3:3" x14ac:dyDescent="0.25">
      <c r="C102" s="176"/>
    </row>
    <row r="103" spans="3:3" x14ac:dyDescent="0.25">
      <c r="C103" s="176"/>
    </row>
    <row r="104" spans="3:3" x14ac:dyDescent="0.25">
      <c r="C104" s="176"/>
    </row>
    <row r="105" spans="3:3" x14ac:dyDescent="0.25">
      <c r="C105" s="176"/>
    </row>
    <row r="106" spans="3:3" x14ac:dyDescent="0.25">
      <c r="C106" s="176"/>
    </row>
    <row r="107" spans="3:3" x14ac:dyDescent="0.25">
      <c r="C107" s="176"/>
    </row>
    <row r="108" spans="3:3" x14ac:dyDescent="0.25">
      <c r="C108" s="176"/>
    </row>
    <row r="109" spans="3:3" x14ac:dyDescent="0.25">
      <c r="C109" s="176"/>
    </row>
    <row r="110" spans="3:3" x14ac:dyDescent="0.25">
      <c r="C110" s="176"/>
    </row>
    <row r="111" spans="3:3" x14ac:dyDescent="0.25">
      <c r="C111" s="176"/>
    </row>
    <row r="112" spans="3:3" x14ac:dyDescent="0.25">
      <c r="C112" s="176"/>
    </row>
    <row r="113" spans="3:3" x14ac:dyDescent="0.25">
      <c r="C113" s="176"/>
    </row>
    <row r="114" spans="3:3" x14ac:dyDescent="0.25">
      <c r="C114" s="176"/>
    </row>
    <row r="115" spans="3:3" x14ac:dyDescent="0.25">
      <c r="C115" s="176"/>
    </row>
    <row r="116" spans="3:3" x14ac:dyDescent="0.25">
      <c r="C116" s="176"/>
    </row>
    <row r="117" spans="3:3" x14ac:dyDescent="0.25">
      <c r="C117" s="176"/>
    </row>
    <row r="118" spans="3:3" x14ac:dyDescent="0.25">
      <c r="C118" s="176"/>
    </row>
    <row r="119" spans="3:3" x14ac:dyDescent="0.25">
      <c r="C119" s="176"/>
    </row>
    <row r="120" spans="3:3" x14ac:dyDescent="0.25">
      <c r="C120" s="176"/>
    </row>
    <row r="121" spans="3:3" x14ac:dyDescent="0.25">
      <c r="C121" s="176"/>
    </row>
    <row r="122" spans="3:3" x14ac:dyDescent="0.25">
      <c r="C122" s="176"/>
    </row>
    <row r="123" spans="3:3" x14ac:dyDescent="0.25">
      <c r="C123" s="176"/>
    </row>
    <row r="124" spans="3:3" x14ac:dyDescent="0.25">
      <c r="C124" s="176"/>
    </row>
    <row r="125" spans="3:3" x14ac:dyDescent="0.25">
      <c r="C125" s="176"/>
    </row>
    <row r="126" spans="3:3" x14ac:dyDescent="0.25">
      <c r="C126" s="176"/>
    </row>
    <row r="127" spans="3:3" x14ac:dyDescent="0.25">
      <c r="C127" s="176"/>
    </row>
    <row r="128" spans="3:3" x14ac:dyDescent="0.25">
      <c r="C128" s="176"/>
    </row>
    <row r="129" spans="3:3" x14ac:dyDescent="0.25">
      <c r="C129" s="176"/>
    </row>
    <row r="130" spans="3:3" x14ac:dyDescent="0.25">
      <c r="C130" s="176"/>
    </row>
    <row r="131" spans="3:3" x14ac:dyDescent="0.25">
      <c r="C131" s="176"/>
    </row>
    <row r="132" spans="3:3" x14ac:dyDescent="0.25">
      <c r="C132" s="176"/>
    </row>
    <row r="133" spans="3:3" x14ac:dyDescent="0.25">
      <c r="C133" s="176"/>
    </row>
    <row r="134" spans="3:3" x14ac:dyDescent="0.25">
      <c r="C134" s="176"/>
    </row>
    <row r="135" spans="3:3" x14ac:dyDescent="0.25">
      <c r="C135" s="176"/>
    </row>
    <row r="136" spans="3:3" x14ac:dyDescent="0.25">
      <c r="C136" s="176"/>
    </row>
    <row r="137" spans="3:3" x14ac:dyDescent="0.25">
      <c r="C137" s="176"/>
    </row>
    <row r="138" spans="3:3" x14ac:dyDescent="0.25">
      <c r="C138" s="176"/>
    </row>
    <row r="139" spans="3:3" x14ac:dyDescent="0.25">
      <c r="C139" s="176"/>
    </row>
    <row r="140" spans="3:3" x14ac:dyDescent="0.25">
      <c r="C140" s="176"/>
    </row>
    <row r="141" spans="3:3" x14ac:dyDescent="0.25">
      <c r="C141" s="176"/>
    </row>
    <row r="142" spans="3:3" x14ac:dyDescent="0.25">
      <c r="C142" s="176"/>
    </row>
  </sheetData>
  <conditionalFormatting sqref="K7:K8 K44:K45 K28">
    <cfRule type="containsText" dxfId="7543" priority="154" operator="containsText" text="FAIL">
      <formula>NOT(ISERROR(SEARCH("FAIL",K7)))</formula>
    </cfRule>
  </conditionalFormatting>
  <conditionalFormatting sqref="K7:K8 K44:K45 K28">
    <cfRule type="containsText" dxfId="7542" priority="153" operator="containsText" text="GOOD">
      <formula>NOT(ISERROR(SEARCH("GOOD",K7)))</formula>
    </cfRule>
  </conditionalFormatting>
  <conditionalFormatting sqref="N72:N79">
    <cfRule type="containsText" dxfId="7541" priority="131" operator="containsText" text="GOOD">
      <formula>NOT(ISERROR(SEARCH("GOOD",N72)))</formula>
    </cfRule>
  </conditionalFormatting>
  <conditionalFormatting sqref="N46">
    <cfRule type="containsText" dxfId="7540" priority="148" operator="containsText" text="FAIL">
      <formula>NOT(ISERROR(SEARCH("FAIL",N46)))</formula>
    </cfRule>
  </conditionalFormatting>
  <conditionalFormatting sqref="N46">
    <cfRule type="containsText" dxfId="7539" priority="147" operator="containsText" text="GOOD">
      <formula>NOT(ISERROR(SEARCH("GOOD",N46)))</formula>
    </cfRule>
  </conditionalFormatting>
  <conditionalFormatting sqref="N47:N56">
    <cfRule type="containsText" dxfId="7538" priority="146" operator="containsText" text="FAIL">
      <formula>NOT(ISERROR(SEARCH("FAIL",N47)))</formula>
    </cfRule>
  </conditionalFormatting>
  <conditionalFormatting sqref="N47:N56">
    <cfRule type="containsText" dxfId="7537" priority="145" operator="containsText" text="GOOD">
      <formula>NOT(ISERROR(SEARCH("GOOD",N47)))</formula>
    </cfRule>
  </conditionalFormatting>
  <conditionalFormatting sqref="N63">
    <cfRule type="containsText" dxfId="7536" priority="142" operator="containsText" text="FAIL">
      <formula>NOT(ISERROR(SEARCH("FAIL",N63)))</formula>
    </cfRule>
  </conditionalFormatting>
  <conditionalFormatting sqref="N63">
    <cfRule type="containsText" dxfId="7535" priority="141" operator="containsText" text="GOOD">
      <formula>NOT(ISERROR(SEARCH("GOOD",N63)))</formula>
    </cfRule>
  </conditionalFormatting>
  <conditionalFormatting sqref="N64">
    <cfRule type="containsText" dxfId="7534" priority="140" operator="containsText" text="FAIL">
      <formula>NOT(ISERROR(SEARCH("FAIL",N64)))</formula>
    </cfRule>
  </conditionalFormatting>
  <conditionalFormatting sqref="N64">
    <cfRule type="containsText" dxfId="7533" priority="139" operator="containsText" text="GOOD">
      <formula>NOT(ISERROR(SEARCH("GOOD",N64)))</formula>
    </cfRule>
  </conditionalFormatting>
  <conditionalFormatting sqref="N65">
    <cfRule type="containsText" dxfId="7532" priority="138" operator="containsText" text="FAIL">
      <formula>NOT(ISERROR(SEARCH("FAIL",N65)))</formula>
    </cfRule>
  </conditionalFormatting>
  <conditionalFormatting sqref="N65">
    <cfRule type="containsText" dxfId="7531" priority="137" operator="containsText" text="GOOD">
      <formula>NOT(ISERROR(SEARCH("GOOD",N65)))</formula>
    </cfRule>
  </conditionalFormatting>
  <conditionalFormatting sqref="N66">
    <cfRule type="containsText" dxfId="7530" priority="136" operator="containsText" text="FAIL">
      <formula>NOT(ISERROR(SEARCH("FAIL",N66)))</formula>
    </cfRule>
  </conditionalFormatting>
  <conditionalFormatting sqref="N66">
    <cfRule type="containsText" dxfId="7529" priority="135" operator="containsText" text="GOOD">
      <formula>NOT(ISERROR(SEARCH("GOOD",N66)))</formula>
    </cfRule>
  </conditionalFormatting>
  <conditionalFormatting sqref="N67">
    <cfRule type="containsText" dxfId="7528" priority="134" operator="containsText" text="FAIL">
      <formula>NOT(ISERROR(SEARCH("FAIL",N67)))</formula>
    </cfRule>
  </conditionalFormatting>
  <conditionalFormatting sqref="N67">
    <cfRule type="containsText" dxfId="7527" priority="133" operator="containsText" text="GOOD">
      <formula>NOT(ISERROR(SEARCH("GOOD",N67)))</formula>
    </cfRule>
  </conditionalFormatting>
  <conditionalFormatting sqref="N72:N79">
    <cfRule type="containsText" dxfId="7526" priority="132" operator="containsText" text="FAIL">
      <formula>NOT(ISERROR(SEARCH("FAIL",N72)))</formula>
    </cfRule>
  </conditionalFormatting>
  <conditionalFormatting sqref="N37">
    <cfRule type="containsText" dxfId="7525" priority="100" operator="containsText" text="FAIL">
      <formula>NOT(ISERROR(SEARCH("FAIL",N37)))</formula>
    </cfRule>
  </conditionalFormatting>
  <conditionalFormatting sqref="N37">
    <cfRule type="containsText" dxfId="7524" priority="99" operator="containsText" text="GOOD">
      <formula>NOT(ISERROR(SEARCH("GOOD",N37)))</formula>
    </cfRule>
  </conditionalFormatting>
  <conditionalFormatting sqref="N38">
    <cfRule type="containsText" dxfId="7523" priority="124" operator="containsText" text="FAIL">
      <formula>NOT(ISERROR(SEARCH("FAIL",N38)))</formula>
    </cfRule>
  </conditionalFormatting>
  <conditionalFormatting sqref="N38">
    <cfRule type="containsText" dxfId="7522" priority="123" operator="containsText" text="GOOD">
      <formula>NOT(ISERROR(SEARCH("GOOD",N38)))</formula>
    </cfRule>
  </conditionalFormatting>
  <conditionalFormatting sqref="AO38:AP38">
    <cfRule type="containsText" dxfId="7521" priority="122" operator="containsText" text="FAIL">
      <formula>NOT(ISERROR(SEARCH("FAIL",AO38)))</formula>
    </cfRule>
  </conditionalFormatting>
  <conditionalFormatting sqref="AO38:AP38">
    <cfRule type="containsText" dxfId="7520" priority="121" operator="containsText" text="GOOD">
      <formula>NOT(ISERROR(SEARCH("GOOD",AO38)))</formula>
    </cfRule>
  </conditionalFormatting>
  <conditionalFormatting sqref="N39">
    <cfRule type="containsText" dxfId="7519" priority="120" operator="containsText" text="FAIL">
      <formula>NOT(ISERROR(SEARCH("FAIL",N39)))</formula>
    </cfRule>
  </conditionalFormatting>
  <conditionalFormatting sqref="N39">
    <cfRule type="containsText" dxfId="7518" priority="119" operator="containsText" text="GOOD">
      <formula>NOT(ISERROR(SEARCH("GOOD",N39)))</formula>
    </cfRule>
  </conditionalFormatting>
  <conditionalFormatting sqref="AO39:AP39">
    <cfRule type="containsText" dxfId="7517" priority="118" operator="containsText" text="FAIL">
      <formula>NOT(ISERROR(SEARCH("FAIL",AO39)))</formula>
    </cfRule>
  </conditionalFormatting>
  <conditionalFormatting sqref="AO39:AP39">
    <cfRule type="containsText" dxfId="7516" priority="117" operator="containsText" text="GOOD">
      <formula>NOT(ISERROR(SEARCH("GOOD",AO39)))</formula>
    </cfRule>
  </conditionalFormatting>
  <conditionalFormatting sqref="N40">
    <cfRule type="containsText" dxfId="7515" priority="116" operator="containsText" text="FAIL">
      <formula>NOT(ISERROR(SEARCH("FAIL",N40)))</formula>
    </cfRule>
  </conditionalFormatting>
  <conditionalFormatting sqref="N40">
    <cfRule type="containsText" dxfId="7514" priority="115" operator="containsText" text="GOOD">
      <formula>NOT(ISERROR(SEARCH("GOOD",N40)))</formula>
    </cfRule>
  </conditionalFormatting>
  <conditionalFormatting sqref="AO40:AP40">
    <cfRule type="containsText" dxfId="7513" priority="114" operator="containsText" text="FAIL">
      <formula>NOT(ISERROR(SEARCH("FAIL",AO40)))</formula>
    </cfRule>
  </conditionalFormatting>
  <conditionalFormatting sqref="AO40:AP40">
    <cfRule type="containsText" dxfId="7512" priority="113" operator="containsText" text="GOOD">
      <formula>NOT(ISERROR(SEARCH("GOOD",AO40)))</formula>
    </cfRule>
  </conditionalFormatting>
  <conditionalFormatting sqref="N41">
    <cfRule type="containsText" dxfId="7511" priority="112" operator="containsText" text="FAIL">
      <formula>NOT(ISERROR(SEARCH("FAIL",N41)))</formula>
    </cfRule>
  </conditionalFormatting>
  <conditionalFormatting sqref="N41">
    <cfRule type="containsText" dxfId="7510" priority="111" operator="containsText" text="GOOD">
      <formula>NOT(ISERROR(SEARCH("GOOD",N41)))</formula>
    </cfRule>
  </conditionalFormatting>
  <conditionalFormatting sqref="AO41:AP41">
    <cfRule type="containsText" dxfId="7509" priority="110" operator="containsText" text="FAIL">
      <formula>NOT(ISERROR(SEARCH("FAIL",AO41)))</formula>
    </cfRule>
  </conditionalFormatting>
  <conditionalFormatting sqref="AO41:AP41">
    <cfRule type="containsText" dxfId="7508" priority="109" operator="containsText" text="GOOD">
      <formula>NOT(ISERROR(SEARCH("GOOD",AO41)))</formula>
    </cfRule>
  </conditionalFormatting>
  <conditionalFormatting sqref="N42">
    <cfRule type="containsText" dxfId="7507" priority="108" operator="containsText" text="FAIL">
      <formula>NOT(ISERROR(SEARCH("FAIL",N42)))</formula>
    </cfRule>
  </conditionalFormatting>
  <conditionalFormatting sqref="N42">
    <cfRule type="containsText" dxfId="7506" priority="107" operator="containsText" text="GOOD">
      <formula>NOT(ISERROR(SEARCH("GOOD",N42)))</formula>
    </cfRule>
  </conditionalFormatting>
  <conditionalFormatting sqref="AO42:AP42">
    <cfRule type="containsText" dxfId="7505" priority="106" operator="containsText" text="FAIL">
      <formula>NOT(ISERROR(SEARCH("FAIL",AO42)))</formula>
    </cfRule>
  </conditionalFormatting>
  <conditionalFormatting sqref="AO42:AP42">
    <cfRule type="containsText" dxfId="7504" priority="105" operator="containsText" text="GOOD">
      <formula>NOT(ISERROR(SEARCH("GOOD",AO42)))</formula>
    </cfRule>
  </conditionalFormatting>
  <conditionalFormatting sqref="AC37">
    <cfRule type="containsText" dxfId="7503" priority="98" operator="containsText" text="FAIL">
      <formula>NOT(ISERROR(SEARCH("FAIL",AC37)))</formula>
    </cfRule>
  </conditionalFormatting>
  <conditionalFormatting sqref="AC37">
    <cfRule type="containsText" dxfId="7502" priority="97" operator="containsText" text="GOOD">
      <formula>NOT(ISERROR(SEARCH("GOOD",AC37)))</formula>
    </cfRule>
  </conditionalFormatting>
  <conditionalFormatting sqref="N36">
    <cfRule type="containsText" dxfId="7501" priority="96" operator="containsText" text="FAIL">
      <formula>NOT(ISERROR(SEARCH("FAIL",N36)))</formula>
    </cfRule>
  </conditionalFormatting>
  <conditionalFormatting sqref="N36">
    <cfRule type="containsText" dxfId="7500" priority="95" operator="containsText" text="GOOD">
      <formula>NOT(ISERROR(SEARCH("GOOD",N36)))</formula>
    </cfRule>
  </conditionalFormatting>
  <conditionalFormatting sqref="AC36">
    <cfRule type="containsText" dxfId="7499" priority="94" operator="containsText" text="FAIL">
      <formula>NOT(ISERROR(SEARCH("FAIL",AC36)))</formula>
    </cfRule>
  </conditionalFormatting>
  <conditionalFormatting sqref="AC36">
    <cfRule type="containsText" dxfId="7498" priority="93" operator="containsText" text="GOOD">
      <formula>NOT(ISERROR(SEARCH("GOOD",AC36)))</formula>
    </cfRule>
  </conditionalFormatting>
  <conditionalFormatting sqref="B33">
    <cfRule type="containsText" dxfId="7497" priority="75" operator="containsText" text="GOOD">
      <formula>NOT(ISERROR(SEARCH("GOOD",B33)))</formula>
    </cfRule>
  </conditionalFormatting>
  <conditionalFormatting sqref="N35">
    <cfRule type="containsText" dxfId="7496" priority="92" operator="containsText" text="FAIL">
      <formula>NOT(ISERROR(SEARCH("FAIL",N35)))</formula>
    </cfRule>
  </conditionalFormatting>
  <conditionalFormatting sqref="N35">
    <cfRule type="containsText" dxfId="7495" priority="91" operator="containsText" text="GOOD">
      <formula>NOT(ISERROR(SEARCH("GOOD",N35)))</formula>
    </cfRule>
  </conditionalFormatting>
  <conditionalFormatting sqref="B35">
    <cfRule type="containsText" dxfId="7494" priority="88" operator="containsText" text="FAIL">
      <formula>NOT(ISERROR(SEARCH("FAIL",B35)))</formula>
    </cfRule>
  </conditionalFormatting>
  <conditionalFormatting sqref="B35">
    <cfRule type="containsText" dxfId="7493" priority="87" operator="containsText" text="GOOD">
      <formula>NOT(ISERROR(SEARCH("GOOD",B35)))</formula>
    </cfRule>
  </conditionalFormatting>
  <conditionalFormatting sqref="N34">
    <cfRule type="containsText" dxfId="7492" priority="86" operator="containsText" text="FAIL">
      <formula>NOT(ISERROR(SEARCH("FAIL",N34)))</formula>
    </cfRule>
  </conditionalFormatting>
  <conditionalFormatting sqref="N34">
    <cfRule type="containsText" dxfId="7491" priority="85" operator="containsText" text="GOOD">
      <formula>NOT(ISERROR(SEARCH("GOOD",N34)))</formula>
    </cfRule>
  </conditionalFormatting>
  <conditionalFormatting sqref="AC34">
    <cfRule type="containsText" dxfId="7490" priority="84" operator="containsText" text="FAIL">
      <formula>NOT(ISERROR(SEARCH("FAIL",AC34)))</formula>
    </cfRule>
  </conditionalFormatting>
  <conditionalFormatting sqref="AC34">
    <cfRule type="containsText" dxfId="7489" priority="83" operator="containsText" text="GOOD">
      <formula>NOT(ISERROR(SEARCH("GOOD",AC34)))</formula>
    </cfRule>
  </conditionalFormatting>
  <conditionalFormatting sqref="B34">
    <cfRule type="containsText" dxfId="7488" priority="82" operator="containsText" text="FAIL">
      <formula>NOT(ISERROR(SEARCH("FAIL",B34)))</formula>
    </cfRule>
  </conditionalFormatting>
  <conditionalFormatting sqref="B34">
    <cfRule type="containsText" dxfId="7487" priority="81" operator="containsText" text="GOOD">
      <formula>NOT(ISERROR(SEARCH("GOOD",B34)))</formula>
    </cfRule>
  </conditionalFormatting>
  <conditionalFormatting sqref="N33">
    <cfRule type="containsText" dxfId="7486" priority="80" operator="containsText" text="FAIL">
      <formula>NOT(ISERROR(SEARCH("FAIL",N33)))</formula>
    </cfRule>
  </conditionalFormatting>
  <conditionalFormatting sqref="N33">
    <cfRule type="containsText" dxfId="7485" priority="79" operator="containsText" text="GOOD">
      <formula>NOT(ISERROR(SEARCH("GOOD",N33)))</formula>
    </cfRule>
  </conditionalFormatting>
  <conditionalFormatting sqref="AC33">
    <cfRule type="containsText" dxfId="7484" priority="78" operator="containsText" text="FAIL">
      <formula>NOT(ISERROR(SEARCH("FAIL",AC33)))</formula>
    </cfRule>
  </conditionalFormatting>
  <conditionalFormatting sqref="AC33">
    <cfRule type="containsText" dxfId="7483" priority="77" operator="containsText" text="GOOD">
      <formula>NOT(ISERROR(SEARCH("GOOD",AC33)))</formula>
    </cfRule>
  </conditionalFormatting>
  <conditionalFormatting sqref="B33">
    <cfRule type="containsText" dxfId="7482" priority="76" operator="containsText" text="FAIL">
      <formula>NOT(ISERROR(SEARCH("FAIL",B33)))</formula>
    </cfRule>
  </conditionalFormatting>
  <conditionalFormatting sqref="B32">
    <cfRule type="containsText" dxfId="7481" priority="69" operator="containsText" text="GOOD">
      <formula>NOT(ISERROR(SEARCH("GOOD",B32)))</formula>
    </cfRule>
  </conditionalFormatting>
  <conditionalFormatting sqref="AC32">
    <cfRule type="containsText" dxfId="7480" priority="72" operator="containsText" text="FAIL">
      <formula>NOT(ISERROR(SEARCH("FAIL",AC32)))</formula>
    </cfRule>
  </conditionalFormatting>
  <conditionalFormatting sqref="AC32">
    <cfRule type="containsText" dxfId="7479" priority="71" operator="containsText" text="GOOD">
      <formula>NOT(ISERROR(SEARCH("GOOD",AC32)))</formula>
    </cfRule>
  </conditionalFormatting>
  <conditionalFormatting sqref="B32">
    <cfRule type="containsText" dxfId="7478" priority="70" operator="containsText" text="FAIL">
      <formula>NOT(ISERROR(SEARCH("FAIL",B32)))</formula>
    </cfRule>
  </conditionalFormatting>
  <conditionalFormatting sqref="N32">
    <cfRule type="containsText" dxfId="7477" priority="67" operator="containsText" text="GOOD">
      <formula>NOT(ISERROR(SEARCH("GOOD",N32)))</formula>
    </cfRule>
  </conditionalFormatting>
  <conditionalFormatting sqref="N32">
    <cfRule type="containsText" dxfId="7476" priority="68" operator="containsText" text="FAIL">
      <formula>NOT(ISERROR(SEARCH("FAIL",N32)))</formula>
    </cfRule>
  </conditionalFormatting>
  <conditionalFormatting sqref="N31">
    <cfRule type="containsText" dxfId="7475" priority="66" operator="containsText" text="FAIL">
      <formula>NOT(ISERROR(SEARCH("FAIL",N31)))</formula>
    </cfRule>
  </conditionalFormatting>
  <conditionalFormatting sqref="N31">
    <cfRule type="containsText" dxfId="7474" priority="65" operator="containsText" text="GOOD">
      <formula>NOT(ISERROR(SEARCH("GOOD",N31)))</formula>
    </cfRule>
  </conditionalFormatting>
  <conditionalFormatting sqref="B31">
    <cfRule type="containsText" dxfId="7473" priority="62" operator="containsText" text="FAIL">
      <formula>NOT(ISERROR(SEARCH("FAIL",B31)))</formula>
    </cfRule>
  </conditionalFormatting>
  <conditionalFormatting sqref="B31">
    <cfRule type="containsText" dxfId="7472" priority="61" operator="containsText" text="GOOD">
      <formula>NOT(ISERROR(SEARCH("GOOD",B31)))</formula>
    </cfRule>
  </conditionalFormatting>
  <conditionalFormatting sqref="B30">
    <cfRule type="containsText" dxfId="7471" priority="56" operator="containsText" text="FAIL">
      <formula>NOT(ISERROR(SEARCH("FAIL",B30)))</formula>
    </cfRule>
  </conditionalFormatting>
  <conditionalFormatting sqref="B30">
    <cfRule type="containsText" dxfId="7470" priority="55" operator="containsText" text="GOOD">
      <formula>NOT(ISERROR(SEARCH("GOOD",B30)))</formula>
    </cfRule>
  </conditionalFormatting>
  <conditionalFormatting sqref="N30">
    <cfRule type="containsText" dxfId="7469" priority="54" operator="containsText" text="FAIL">
      <formula>NOT(ISERROR(SEARCH("FAIL",N30)))</formula>
    </cfRule>
  </conditionalFormatting>
  <conditionalFormatting sqref="N30">
    <cfRule type="containsText" dxfId="7468" priority="53" operator="containsText" text="GOOD">
      <formula>NOT(ISERROR(SEARCH("GOOD",N30)))</formula>
    </cfRule>
  </conditionalFormatting>
  <conditionalFormatting sqref="B29">
    <cfRule type="containsText" dxfId="7467" priority="52" operator="containsText" text="FAIL">
      <formula>NOT(ISERROR(SEARCH("FAIL",B29)))</formula>
    </cfRule>
  </conditionalFormatting>
  <conditionalFormatting sqref="B29">
    <cfRule type="containsText" dxfId="7466" priority="51" operator="containsText" text="GOOD">
      <formula>NOT(ISERROR(SEARCH("GOOD",B29)))</formula>
    </cfRule>
  </conditionalFormatting>
  <conditionalFormatting sqref="N29">
    <cfRule type="containsText" dxfId="7465" priority="48" operator="containsText" text="FAIL">
      <formula>NOT(ISERROR(SEARCH("FAIL",N29)))</formula>
    </cfRule>
  </conditionalFormatting>
  <conditionalFormatting sqref="N29">
    <cfRule type="containsText" dxfId="7464" priority="47" operator="containsText" text="GOOD">
      <formula>NOT(ISERROR(SEARCH("GOOD",N29)))</formula>
    </cfRule>
  </conditionalFormatting>
  <conditionalFormatting sqref="K9 K27">
    <cfRule type="containsText" dxfId="7463" priority="46" operator="containsText" text="FAIL">
      <formula>NOT(ISERROR(SEARCH("FAIL",K9)))</formula>
    </cfRule>
  </conditionalFormatting>
  <conditionalFormatting sqref="K9 K27">
    <cfRule type="containsText" dxfId="7462" priority="45" operator="containsText" text="GOOD">
      <formula>NOT(ISERROR(SEARCH("GOOD",K9)))</formula>
    </cfRule>
  </conditionalFormatting>
  <conditionalFormatting sqref="B10">
    <cfRule type="containsText" dxfId="7461" priority="38" operator="containsText" text="FAIL">
      <formula>NOT(ISERROR(SEARCH("FAIL",B10)))</formula>
    </cfRule>
  </conditionalFormatting>
  <conditionalFormatting sqref="B10">
    <cfRule type="containsText" dxfId="7460" priority="37" operator="containsText" text="GOOD">
      <formula>NOT(ISERROR(SEARCH("GOOD",B10)))</formula>
    </cfRule>
  </conditionalFormatting>
  <conditionalFormatting sqref="N22">
    <cfRule type="containsText" dxfId="7459" priority="6" operator="containsText" text="FAIL">
      <formula>NOT(ISERROR(SEARCH("FAIL",N22)))</formula>
    </cfRule>
  </conditionalFormatting>
  <conditionalFormatting sqref="N22">
    <cfRule type="containsText" dxfId="7458" priority="5" operator="containsText" text="GOOD">
      <formula>NOT(ISERROR(SEARCH("GOOD",N22)))</formula>
    </cfRule>
  </conditionalFormatting>
  <conditionalFormatting sqref="B11:B25">
    <cfRule type="containsText" dxfId="7457" priority="34" operator="containsText" text="FAIL">
      <formula>NOT(ISERROR(SEARCH("FAIL",B11)))</formula>
    </cfRule>
  </conditionalFormatting>
  <conditionalFormatting sqref="B11:B25">
    <cfRule type="containsText" dxfId="7456" priority="33" operator="containsText" text="GOOD">
      <formula>NOT(ISERROR(SEARCH("GOOD",B11)))</formula>
    </cfRule>
  </conditionalFormatting>
  <conditionalFormatting sqref="N24:N25">
    <cfRule type="containsText" dxfId="7455" priority="2" operator="containsText" text="FAIL">
      <formula>NOT(ISERROR(SEARCH("FAIL",N24)))</formula>
    </cfRule>
  </conditionalFormatting>
  <conditionalFormatting sqref="N24:N25">
    <cfRule type="containsText" dxfId="7454" priority="1" operator="containsText" text="GOOD">
      <formula>NOT(ISERROR(SEARCH("GOOD",N24)))</formula>
    </cfRule>
  </conditionalFormatting>
  <conditionalFormatting sqref="N11">
    <cfRule type="containsText" dxfId="7453" priority="28" operator="containsText" text="FAIL">
      <formula>NOT(ISERROR(SEARCH("FAIL",N11)))</formula>
    </cfRule>
  </conditionalFormatting>
  <conditionalFormatting sqref="N11">
    <cfRule type="containsText" dxfId="7452" priority="27" operator="containsText" text="GOOD">
      <formula>NOT(ISERROR(SEARCH("GOOD",N11)))</formula>
    </cfRule>
  </conditionalFormatting>
  <conditionalFormatting sqref="N10">
    <cfRule type="containsText" dxfId="7451" priority="30" operator="containsText" text="FAIL">
      <formula>NOT(ISERROR(SEARCH("FAIL",N10)))</formula>
    </cfRule>
  </conditionalFormatting>
  <conditionalFormatting sqref="N10">
    <cfRule type="containsText" dxfId="7450" priority="29" operator="containsText" text="GOOD">
      <formula>NOT(ISERROR(SEARCH("GOOD",N10)))</formula>
    </cfRule>
  </conditionalFormatting>
  <conditionalFormatting sqref="N12">
    <cfRule type="containsText" dxfId="7449" priority="26" operator="containsText" text="FAIL">
      <formula>NOT(ISERROR(SEARCH("FAIL",N12)))</formula>
    </cfRule>
  </conditionalFormatting>
  <conditionalFormatting sqref="N12">
    <cfRule type="containsText" dxfId="7448" priority="25" operator="containsText" text="GOOD">
      <formula>NOT(ISERROR(SEARCH("GOOD",N12)))</formula>
    </cfRule>
  </conditionalFormatting>
  <conditionalFormatting sqref="N13">
    <cfRule type="containsText" dxfId="7447" priority="24" operator="containsText" text="FAIL">
      <formula>NOT(ISERROR(SEARCH("FAIL",N13)))</formula>
    </cfRule>
  </conditionalFormatting>
  <conditionalFormatting sqref="N13">
    <cfRule type="containsText" dxfId="7446" priority="23" operator="containsText" text="GOOD">
      <formula>NOT(ISERROR(SEARCH("GOOD",N13)))</formula>
    </cfRule>
  </conditionalFormatting>
  <conditionalFormatting sqref="N14">
    <cfRule type="containsText" dxfId="7445" priority="22" operator="containsText" text="FAIL">
      <formula>NOT(ISERROR(SEARCH("FAIL",N14)))</formula>
    </cfRule>
  </conditionalFormatting>
  <conditionalFormatting sqref="N14">
    <cfRule type="containsText" dxfId="7444" priority="21" operator="containsText" text="GOOD">
      <formula>NOT(ISERROR(SEARCH("GOOD",N14)))</formula>
    </cfRule>
  </conditionalFormatting>
  <conditionalFormatting sqref="N15">
    <cfRule type="containsText" dxfId="7443" priority="20" operator="containsText" text="FAIL">
      <formula>NOT(ISERROR(SEARCH("FAIL",N15)))</formula>
    </cfRule>
  </conditionalFormatting>
  <conditionalFormatting sqref="N15">
    <cfRule type="containsText" dxfId="7442" priority="19" operator="containsText" text="GOOD">
      <formula>NOT(ISERROR(SEARCH("GOOD",N15)))</formula>
    </cfRule>
  </conditionalFormatting>
  <conditionalFormatting sqref="N16">
    <cfRule type="containsText" dxfId="7441" priority="18" operator="containsText" text="FAIL">
      <formula>NOT(ISERROR(SEARCH("FAIL",N16)))</formula>
    </cfRule>
  </conditionalFormatting>
  <conditionalFormatting sqref="N16">
    <cfRule type="containsText" dxfId="7440" priority="17" operator="containsText" text="GOOD">
      <formula>NOT(ISERROR(SEARCH("GOOD",N16)))</formula>
    </cfRule>
  </conditionalFormatting>
  <conditionalFormatting sqref="N17">
    <cfRule type="containsText" dxfId="7439" priority="16" operator="containsText" text="FAIL">
      <formula>NOT(ISERROR(SEARCH("FAIL",N17)))</formula>
    </cfRule>
  </conditionalFormatting>
  <conditionalFormatting sqref="N17">
    <cfRule type="containsText" dxfId="7438" priority="15" operator="containsText" text="GOOD">
      <formula>NOT(ISERROR(SEARCH("GOOD",N17)))</formula>
    </cfRule>
  </conditionalFormatting>
  <conditionalFormatting sqref="N18">
    <cfRule type="containsText" dxfId="7437" priority="14" operator="containsText" text="FAIL">
      <formula>NOT(ISERROR(SEARCH("FAIL",N18)))</formula>
    </cfRule>
  </conditionalFormatting>
  <conditionalFormatting sqref="N18">
    <cfRule type="containsText" dxfId="7436" priority="13" operator="containsText" text="GOOD">
      <formula>NOT(ISERROR(SEARCH("GOOD",N18)))</formula>
    </cfRule>
  </conditionalFormatting>
  <conditionalFormatting sqref="N19">
    <cfRule type="containsText" dxfId="7435" priority="12" operator="containsText" text="FAIL">
      <formula>NOT(ISERROR(SEARCH("FAIL",N19)))</formula>
    </cfRule>
  </conditionalFormatting>
  <conditionalFormatting sqref="N19">
    <cfRule type="containsText" dxfId="7434" priority="11" operator="containsText" text="GOOD">
      <formula>NOT(ISERROR(SEARCH("GOOD",N19)))</formula>
    </cfRule>
  </conditionalFormatting>
  <conditionalFormatting sqref="N20">
    <cfRule type="containsText" dxfId="7433" priority="10" operator="containsText" text="FAIL">
      <formula>NOT(ISERROR(SEARCH("FAIL",N20)))</formula>
    </cfRule>
  </conditionalFormatting>
  <conditionalFormatting sqref="N20">
    <cfRule type="containsText" dxfId="7432" priority="9" operator="containsText" text="GOOD">
      <formula>NOT(ISERROR(SEARCH("GOOD",N20)))</formula>
    </cfRule>
  </conditionalFormatting>
  <conditionalFormatting sqref="N21">
    <cfRule type="containsText" dxfId="7431" priority="8" operator="containsText" text="FAIL">
      <formula>NOT(ISERROR(SEARCH("FAIL",N21)))</formula>
    </cfRule>
  </conditionalFormatting>
  <conditionalFormatting sqref="N21">
    <cfRule type="containsText" dxfId="7430" priority="7" operator="containsText" text="GOOD">
      <formula>NOT(ISERROR(SEARCH("GOOD",N21)))</formula>
    </cfRule>
  </conditionalFormatting>
  <conditionalFormatting sqref="N23">
    <cfRule type="containsText" dxfId="7429" priority="4" operator="containsText" text="FAIL">
      <formula>NOT(ISERROR(SEARCH("FAIL",N23)))</formula>
    </cfRule>
  </conditionalFormatting>
  <conditionalFormatting sqref="N23">
    <cfRule type="containsText" dxfId="7428" priority="3" operator="containsText" text="GOOD">
      <formula>NOT(ISERROR(SEARCH("GOOD",N23)))</formula>
    </cfRule>
  </conditionalFormatting>
  <pageMargins left="0.7" right="0.7" top="0.75" bottom="0.75" header="0.3" footer="0.3"/>
  <pageSetup scale="67" fitToHeight="0" orientation="landscape" horizontalDpi="1200" verticalDpi="1200" r:id="rId1"/>
  <rowBreaks count="1" manualBreakCount="1">
    <brk id="44" min="2" max="18" man="1"/>
  </rowBreaks>
  <colBreaks count="3" manualBreakCount="3">
    <brk id="4" max="66" man="1"/>
    <brk id="18" max="1048575" man="1"/>
    <brk id="19" max="1048575" man="1"/>
  </colBreaks>
  <drawing r:id="rId2"/>
  <legacyDrawing r:id="rId3"/>
  <oleObjects>
    <mc:AlternateContent xmlns:mc="http://schemas.openxmlformats.org/markup-compatibility/2006">
      <mc:Choice Requires="x14">
        <oleObject progId="MSPhotoEd.3" shapeId="12289" r:id="rId4">
          <objectPr defaultSize="0" autoPict="0" r:id="rId5">
            <anchor moveWithCells="1">
              <from>
                <xdr:col>3</xdr:col>
                <xdr:colOff>66675</xdr:colOff>
                <xdr:row>0</xdr:row>
                <xdr:rowOff>142875</xdr:rowOff>
              </from>
              <to>
                <xdr:col>4</xdr:col>
                <xdr:colOff>1809750</xdr:colOff>
                <xdr:row>2</xdr:row>
                <xdr:rowOff>0</xdr:rowOff>
              </to>
            </anchor>
          </objectPr>
        </oleObject>
      </mc:Choice>
      <mc:Fallback>
        <oleObject progId="MSPhotoEd.3" shapeId="12289" r:id="rId4"/>
      </mc:Fallback>
    </mc:AlternateContent>
  </oleObjec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44" operator="containsText" text="FAIL" id="{0DC11C5E-8694-428E-87A3-7FC5EE924489}">
            <xm:f>NOT(ISERROR(SEARCH("FAIL",SUMMARY!L98)))</xm:f>
            <x14:dxf>
              <font>
                <b/>
                <i/>
                <color theme="0"/>
              </font>
              <fill>
                <patternFill>
                  <bgColor rgb="FFFF0000"/>
                </patternFill>
              </fill>
            </x14:dxf>
          </x14:cfRule>
          <xm:sqref>N61:N62</xm:sqref>
        </x14:conditionalFormatting>
        <x14:conditionalFormatting xmlns:xm="http://schemas.microsoft.com/office/excel/2006/main">
          <x14:cfRule type="containsText" priority="143" operator="containsText" text="GOOD" id="{A2E8B987-A645-48D5-A514-1504CB5E1E62}">
            <xm:f>NOT(ISERROR(SEARCH("GOOD",SUMMARY!L98)))</xm:f>
            <x14:dxf>
              <font>
                <b/>
                <i/>
                <color theme="0"/>
              </font>
              <fill>
                <patternFill>
                  <bgColor rgb="FF00B050"/>
                </patternFill>
              </fill>
            </x14:dxf>
          </x14:cfRule>
          <xm:sqref>N61:N62</xm:sqref>
        </x14:conditionalFormatting>
      </x14:conditionalFormattings>
    </ext>
  </extLst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900-000000000000}">
  <sheetPr codeName="Sheet171">
    <tabColor rgb="FFFFFF00"/>
  </sheetPr>
  <dimension ref="A2:O47"/>
  <sheetViews>
    <sheetView workbookViewId="0">
      <selection activeCell="F7" sqref="F7"/>
    </sheetView>
  </sheetViews>
  <sheetFormatPr defaultRowHeight="15" x14ac:dyDescent="0.25"/>
  <cols>
    <col min="1" max="2" width="4.42578125" customWidth="1"/>
    <col min="3" max="3" width="3" customWidth="1"/>
    <col min="4" max="4" width="24.85546875" customWidth="1"/>
    <col min="5" max="5" width="3" customWidth="1"/>
    <col min="6" max="6" width="15.7109375" customWidth="1"/>
    <col min="7" max="7" width="8.5703125" customWidth="1"/>
    <col min="8" max="8" width="5.85546875" customWidth="1"/>
    <col min="9" max="15" width="15.7109375" customWidth="1"/>
  </cols>
  <sheetData>
    <row r="2" spans="1:11" x14ac:dyDescent="0.25">
      <c r="C2" s="15" t="s">
        <v>32</v>
      </c>
      <c r="E2" s="15"/>
      <c r="F2" s="15"/>
      <c r="G2" s="15" t="s">
        <v>33</v>
      </c>
      <c r="H2" s="15"/>
      <c r="I2" s="15"/>
      <c r="J2" s="15"/>
      <c r="K2" s="15"/>
    </row>
    <row r="3" spans="1:11" ht="18.75" x14ac:dyDescent="0.3">
      <c r="C3" s="3" t="s">
        <v>26</v>
      </c>
      <c r="J3" s="8" t="s">
        <v>17</v>
      </c>
    </row>
    <row r="4" spans="1:11" x14ac:dyDescent="0.25">
      <c r="D4" s="2" t="s">
        <v>0</v>
      </c>
      <c r="E4" s="1"/>
      <c r="I4" s="2" t="s">
        <v>4</v>
      </c>
    </row>
    <row r="5" spans="1:11" x14ac:dyDescent="0.25">
      <c r="D5" s="2" t="s">
        <v>1</v>
      </c>
    </row>
    <row r="6" spans="1:11" x14ac:dyDescent="0.25">
      <c r="D6" s="2" t="s">
        <v>2</v>
      </c>
      <c r="F6" s="6">
        <v>42609</v>
      </c>
      <c r="H6" s="11"/>
    </row>
    <row r="7" spans="1:11" x14ac:dyDescent="0.25">
      <c r="D7" s="2" t="s">
        <v>3</v>
      </c>
      <c r="F7" s="5"/>
      <c r="G7" s="2" t="s">
        <v>34</v>
      </c>
      <c r="H7" s="11"/>
    </row>
    <row r="8" spans="1:11" x14ac:dyDescent="0.25">
      <c r="D8" s="2" t="s">
        <v>18</v>
      </c>
      <c r="F8" s="5">
        <f>MIN(I23:I43)</f>
        <v>0</v>
      </c>
      <c r="H8" s="11"/>
    </row>
    <row r="9" spans="1:11" x14ac:dyDescent="0.25">
      <c r="D9" s="2" t="s">
        <v>67</v>
      </c>
      <c r="F9" s="4">
        <f>+F8-F7</f>
        <v>0</v>
      </c>
      <c r="G9" s="16" t="e">
        <f>+F9/F7</f>
        <v>#DIV/0!</v>
      </c>
      <c r="H9" s="12" t="s">
        <v>20</v>
      </c>
      <c r="I9" s="11" t="e">
        <f>(IF(G9&lt;-0.1,"FAIL",IF(G9&gt;0.05,"FAIL","GOOD")))</f>
        <v>#DIV/0!</v>
      </c>
      <c r="J9" s="14" t="s">
        <v>72</v>
      </c>
    </row>
    <row r="10" spans="1:11" x14ac:dyDescent="0.25">
      <c r="D10" s="2" t="s">
        <v>68</v>
      </c>
      <c r="F10" s="4" t="e">
        <f>+F7-F12</f>
        <v>#DIV/0!</v>
      </c>
      <c r="H10" s="11"/>
    </row>
    <row r="11" spans="1:11" x14ac:dyDescent="0.25">
      <c r="A11" s="52"/>
      <c r="D11" s="2" t="s">
        <v>71</v>
      </c>
      <c r="F11" s="11" t="e">
        <f>(IF(F7&lt;J12,"FAIL",IF(F7&gt;J13,"FAIL","GOOD")))</f>
        <v>#DIV/0!</v>
      </c>
      <c r="H11" s="11"/>
    </row>
    <row r="12" spans="1:11" x14ac:dyDescent="0.25">
      <c r="D12" s="2" t="s">
        <v>28</v>
      </c>
      <c r="F12" s="4" t="e">
        <f>SUM(I23:I43)/H12</f>
        <v>#DIV/0!</v>
      </c>
      <c r="G12" s="14"/>
      <c r="H12" s="11">
        <f>COUNT(I23:I43)</f>
        <v>0</v>
      </c>
      <c r="I12" s="1" t="s">
        <v>31</v>
      </c>
      <c r="J12" s="4">
        <f>+F8*0.9</f>
        <v>0</v>
      </c>
      <c r="K12" s="1" t="s">
        <v>69</v>
      </c>
    </row>
    <row r="13" spans="1:11" x14ac:dyDescent="0.25">
      <c r="D13" s="2" t="s">
        <v>29</v>
      </c>
      <c r="F13" s="4">
        <f>MAX(I23:I43)-MIN(I23:I43)</f>
        <v>0</v>
      </c>
      <c r="G13" s="399" t="e">
        <f>MEDIAN(I23:I43)</f>
        <v>#NUM!</v>
      </c>
      <c r="H13" s="400"/>
      <c r="I13" s="1" t="s">
        <v>30</v>
      </c>
      <c r="J13" s="4" t="e">
        <f>+F12*1.1</f>
        <v>#DIV/0!</v>
      </c>
      <c r="K13" s="1" t="s">
        <v>70</v>
      </c>
    </row>
    <row r="14" spans="1:11" x14ac:dyDescent="0.25">
      <c r="H14" s="11"/>
    </row>
    <row r="15" spans="1:11" x14ac:dyDescent="0.25">
      <c r="D15" s="2" t="s">
        <v>8</v>
      </c>
      <c r="F15" s="4">
        <v>2000000</v>
      </c>
      <c r="G15" s="1" t="s">
        <v>9</v>
      </c>
      <c r="H15" s="11"/>
      <c r="I15" t="s">
        <v>15</v>
      </c>
      <c r="J15" s="7">
        <f>+F16/F15</f>
        <v>1.0249999999999999</v>
      </c>
    </row>
    <row r="16" spans="1:11" x14ac:dyDescent="0.25">
      <c r="F16" s="4">
        <v>2050000</v>
      </c>
      <c r="G16" s="1" t="s">
        <v>10</v>
      </c>
      <c r="H16" s="11"/>
      <c r="I16" t="s">
        <v>14</v>
      </c>
      <c r="J16" s="7">
        <f>+F17/F16</f>
        <v>0.87804878048780488</v>
      </c>
    </row>
    <row r="17" spans="3:15" x14ac:dyDescent="0.25">
      <c r="F17" s="4">
        <v>1800000</v>
      </c>
      <c r="G17" s="1" t="s">
        <v>11</v>
      </c>
      <c r="H17" s="11"/>
      <c r="I17" t="s">
        <v>13</v>
      </c>
      <c r="J17" s="7">
        <f>+F18/F17</f>
        <v>0</v>
      </c>
      <c r="M17" s="21"/>
      <c r="N17" s="21"/>
      <c r="O17" s="21"/>
    </row>
    <row r="18" spans="3:15" x14ac:dyDescent="0.25">
      <c r="F18" s="4">
        <f>+F7</f>
        <v>0</v>
      </c>
      <c r="G18" s="1" t="s">
        <v>12</v>
      </c>
      <c r="H18" s="11"/>
      <c r="I18" t="s">
        <v>16</v>
      </c>
      <c r="J18" s="7" t="e">
        <f>+F8/F18</f>
        <v>#DIV/0!</v>
      </c>
      <c r="M18" s="21"/>
      <c r="N18" s="21"/>
      <c r="O18" s="21"/>
    </row>
    <row r="19" spans="3:15" x14ac:dyDescent="0.25">
      <c r="F19" s="2" t="s">
        <v>51</v>
      </c>
      <c r="G19">
        <v>0</v>
      </c>
      <c r="H19" s="11" t="s">
        <v>52</v>
      </c>
      <c r="I19" t="s">
        <v>41</v>
      </c>
      <c r="J19" s="7">
        <f>+F8/F15</f>
        <v>0</v>
      </c>
      <c r="M19" s="21"/>
      <c r="N19" s="21"/>
      <c r="O19" s="21"/>
    </row>
    <row r="20" spans="3:15" x14ac:dyDescent="0.25">
      <c r="H20" s="11"/>
      <c r="M20" s="21"/>
      <c r="N20" s="21"/>
      <c r="O20" s="21"/>
    </row>
    <row r="21" spans="3:15" x14ac:dyDescent="0.25">
      <c r="C21" s="9"/>
      <c r="D21" s="13" t="s">
        <v>21</v>
      </c>
      <c r="E21" s="9"/>
      <c r="F21" s="9" t="s">
        <v>22</v>
      </c>
      <c r="G21" s="9" t="s">
        <v>23</v>
      </c>
      <c r="H21" s="13" t="s">
        <v>27</v>
      </c>
      <c r="I21" s="10" t="s">
        <v>24</v>
      </c>
      <c r="J21" s="9"/>
      <c r="K21" s="9"/>
      <c r="L21" s="9"/>
      <c r="M21" s="21"/>
      <c r="N21" s="21"/>
      <c r="O21" s="21"/>
    </row>
    <row r="22" spans="3:15" ht="6" customHeight="1" x14ac:dyDescent="0.25">
      <c r="M22" s="21"/>
      <c r="N22" s="21"/>
      <c r="O22" s="21"/>
    </row>
    <row r="23" spans="3:15" x14ac:dyDescent="0.25">
      <c r="C23" s="33" t="e">
        <f>IF(H23=1,"u","")</f>
        <v>#N/A</v>
      </c>
      <c r="D23" s="11"/>
      <c r="E23" s="33"/>
      <c r="H23" t="e">
        <f>RANK(I23,I$23:I$43,1)</f>
        <v>#N/A</v>
      </c>
      <c r="I23" s="4"/>
      <c r="J23" s="4"/>
      <c r="K23" s="4"/>
      <c r="L23" s="4"/>
      <c r="M23" s="22"/>
      <c r="N23" s="22"/>
      <c r="O23" s="22"/>
    </row>
    <row r="24" spans="3:15" x14ac:dyDescent="0.25">
      <c r="C24" s="33" t="e">
        <f>IF(H24=1,"u","")</f>
        <v>#N/A</v>
      </c>
      <c r="D24" s="11"/>
      <c r="E24" s="33"/>
      <c r="H24" t="e">
        <f>RANK(I24,I$23:I$43,1)</f>
        <v>#N/A</v>
      </c>
      <c r="I24" s="4"/>
      <c r="J24" s="4"/>
      <c r="K24" s="4"/>
      <c r="L24" s="4"/>
      <c r="M24" s="22"/>
      <c r="N24" s="22"/>
      <c r="O24" s="22"/>
    </row>
    <row r="25" spans="3:15" x14ac:dyDescent="0.25">
      <c r="C25" s="33" t="e">
        <f>IF(H25=1,"u","")</f>
        <v>#N/A</v>
      </c>
      <c r="D25" s="11"/>
      <c r="E25" s="33"/>
      <c r="H25" t="e">
        <f>RANK(I25,I$23:I$43,1)</f>
        <v>#N/A</v>
      </c>
      <c r="I25" s="4"/>
      <c r="J25" s="4"/>
      <c r="K25" s="4"/>
      <c r="L25" s="4"/>
      <c r="M25" s="22"/>
      <c r="N25" s="22"/>
      <c r="O25" s="22"/>
    </row>
    <row r="26" spans="3:15" x14ac:dyDescent="0.25">
      <c r="C26" s="33" t="e">
        <f t="shared" ref="C26:C43" si="0">IF(H26=1,"u","")</f>
        <v>#N/A</v>
      </c>
      <c r="D26" s="11"/>
      <c r="E26" s="33"/>
      <c r="H26" t="e">
        <f>RANK(I26,I$23:I$43,1)</f>
        <v>#N/A</v>
      </c>
      <c r="I26" s="4"/>
      <c r="J26" s="4"/>
      <c r="K26" s="4"/>
      <c r="L26" s="4"/>
      <c r="M26" s="22"/>
      <c r="N26" s="22"/>
      <c r="O26" s="22"/>
    </row>
    <row r="27" spans="3:15" x14ac:dyDescent="0.25">
      <c r="C27" s="33" t="str">
        <f t="shared" si="0"/>
        <v/>
      </c>
      <c r="D27" s="11"/>
      <c r="E27" s="33" t="str">
        <f t="shared" ref="E27:E43" si="1">IF(H27=1,"t","")</f>
        <v/>
      </c>
      <c r="I27" s="4"/>
      <c r="J27" s="4"/>
      <c r="K27" s="4"/>
      <c r="L27" s="4"/>
      <c r="M27" s="22"/>
      <c r="N27" s="22"/>
      <c r="O27" s="22"/>
    </row>
    <row r="28" spans="3:15" x14ac:dyDescent="0.25">
      <c r="C28" s="33" t="str">
        <f t="shared" si="0"/>
        <v/>
      </c>
      <c r="D28" s="11"/>
      <c r="E28" s="33" t="str">
        <f t="shared" si="1"/>
        <v/>
      </c>
      <c r="I28" s="4"/>
      <c r="J28" s="4"/>
      <c r="K28" s="4"/>
      <c r="L28" s="4"/>
      <c r="M28" s="22"/>
      <c r="N28" s="22"/>
      <c r="O28" s="22"/>
    </row>
    <row r="29" spans="3:15" x14ac:dyDescent="0.25">
      <c r="C29" s="33" t="str">
        <f t="shared" si="0"/>
        <v/>
      </c>
      <c r="D29" s="11"/>
      <c r="E29" s="33" t="str">
        <f t="shared" si="1"/>
        <v/>
      </c>
      <c r="I29" s="4"/>
      <c r="J29" s="4"/>
      <c r="K29" s="4"/>
      <c r="L29" s="4"/>
      <c r="M29" s="22"/>
      <c r="N29" s="22"/>
      <c r="O29" s="22"/>
    </row>
    <row r="30" spans="3:15" x14ac:dyDescent="0.25">
      <c r="C30" s="33" t="str">
        <f t="shared" si="0"/>
        <v/>
      </c>
      <c r="D30" s="11"/>
      <c r="E30" s="33" t="str">
        <f t="shared" si="1"/>
        <v/>
      </c>
      <c r="I30" s="4"/>
      <c r="J30" s="4"/>
      <c r="K30" s="4"/>
      <c r="L30" s="4"/>
      <c r="M30" s="22"/>
      <c r="N30" s="22"/>
      <c r="O30" s="22"/>
    </row>
    <row r="31" spans="3:15" x14ac:dyDescent="0.25">
      <c r="C31" s="33" t="str">
        <f t="shared" si="0"/>
        <v/>
      </c>
      <c r="D31" s="11"/>
      <c r="E31" s="33" t="str">
        <f t="shared" si="1"/>
        <v/>
      </c>
      <c r="I31" s="4"/>
      <c r="J31" s="4"/>
      <c r="K31" s="4"/>
      <c r="L31" s="4"/>
      <c r="M31" s="22"/>
      <c r="N31" s="22"/>
      <c r="O31" s="22"/>
    </row>
    <row r="32" spans="3:15" x14ac:dyDescent="0.25">
      <c r="C32" s="33" t="str">
        <f t="shared" si="0"/>
        <v/>
      </c>
      <c r="D32" s="11"/>
      <c r="E32" s="33" t="str">
        <f t="shared" si="1"/>
        <v/>
      </c>
      <c r="I32" s="4"/>
      <c r="J32" s="4"/>
      <c r="K32" s="4"/>
      <c r="L32" s="4"/>
      <c r="M32" s="22"/>
      <c r="N32" s="22"/>
      <c r="O32" s="22"/>
    </row>
    <row r="33" spans="3:15" x14ac:dyDescent="0.25">
      <c r="C33" s="33" t="str">
        <f t="shared" si="0"/>
        <v/>
      </c>
      <c r="D33" s="11"/>
      <c r="E33" s="33" t="str">
        <f t="shared" si="1"/>
        <v/>
      </c>
      <c r="M33" s="21"/>
      <c r="N33" s="21"/>
      <c r="O33" s="21"/>
    </row>
    <row r="34" spans="3:15" x14ac:dyDescent="0.25">
      <c r="C34" s="33" t="str">
        <f t="shared" si="0"/>
        <v/>
      </c>
      <c r="D34" s="11"/>
      <c r="E34" s="33" t="str">
        <f t="shared" si="1"/>
        <v/>
      </c>
      <c r="M34" s="21"/>
      <c r="N34" s="21"/>
      <c r="O34" s="21"/>
    </row>
    <row r="35" spans="3:15" x14ac:dyDescent="0.25">
      <c r="C35" s="33" t="str">
        <f t="shared" si="0"/>
        <v/>
      </c>
      <c r="D35" s="11"/>
      <c r="E35" s="33" t="str">
        <f t="shared" si="1"/>
        <v/>
      </c>
      <c r="M35" s="21"/>
      <c r="N35" s="21"/>
      <c r="O35" s="21"/>
    </row>
    <row r="36" spans="3:15" x14ac:dyDescent="0.25">
      <c r="C36" s="33" t="str">
        <f t="shared" si="0"/>
        <v/>
      </c>
      <c r="D36" s="11"/>
      <c r="E36" s="33" t="str">
        <f t="shared" si="1"/>
        <v/>
      </c>
      <c r="M36" s="21"/>
      <c r="N36" s="21"/>
      <c r="O36" s="21"/>
    </row>
    <row r="37" spans="3:15" x14ac:dyDescent="0.25">
      <c r="C37" s="33" t="str">
        <f t="shared" si="0"/>
        <v/>
      </c>
      <c r="D37" s="11"/>
      <c r="E37" s="33" t="str">
        <f t="shared" si="1"/>
        <v/>
      </c>
      <c r="M37" s="21"/>
      <c r="N37" s="21"/>
      <c r="O37" s="21"/>
    </row>
    <row r="38" spans="3:15" x14ac:dyDescent="0.25">
      <c r="C38" s="33" t="str">
        <f t="shared" si="0"/>
        <v/>
      </c>
      <c r="D38" s="11"/>
      <c r="E38" s="33" t="str">
        <f t="shared" si="1"/>
        <v/>
      </c>
      <c r="M38" s="21"/>
      <c r="N38" s="21"/>
      <c r="O38" s="21"/>
    </row>
    <row r="39" spans="3:15" x14ac:dyDescent="0.25">
      <c r="C39" s="33" t="str">
        <f t="shared" si="0"/>
        <v/>
      </c>
      <c r="D39" s="11"/>
      <c r="E39" s="33" t="str">
        <f t="shared" si="1"/>
        <v/>
      </c>
      <c r="M39" s="21"/>
      <c r="N39" s="21"/>
      <c r="O39" s="21"/>
    </row>
    <row r="40" spans="3:15" x14ac:dyDescent="0.25">
      <c r="C40" s="33" t="str">
        <f t="shared" si="0"/>
        <v/>
      </c>
      <c r="D40" s="11"/>
      <c r="E40" s="33" t="str">
        <f t="shared" si="1"/>
        <v/>
      </c>
      <c r="M40" s="21"/>
      <c r="N40" s="21"/>
      <c r="O40" s="21"/>
    </row>
    <row r="41" spans="3:15" x14ac:dyDescent="0.25">
      <c r="C41" s="33" t="str">
        <f t="shared" si="0"/>
        <v/>
      </c>
      <c r="D41" s="11"/>
      <c r="E41" s="33" t="str">
        <f t="shared" si="1"/>
        <v/>
      </c>
      <c r="M41" s="21"/>
      <c r="N41" s="21"/>
      <c r="O41" s="21"/>
    </row>
    <row r="42" spans="3:15" x14ac:dyDescent="0.25">
      <c r="C42" s="33" t="str">
        <f t="shared" si="0"/>
        <v/>
      </c>
      <c r="D42" s="11"/>
      <c r="E42" s="33" t="str">
        <f t="shared" si="1"/>
        <v/>
      </c>
      <c r="M42" s="21"/>
      <c r="N42" s="21"/>
      <c r="O42" s="21"/>
    </row>
    <row r="43" spans="3:15" x14ac:dyDescent="0.25">
      <c r="C43" s="33" t="str">
        <f t="shared" si="0"/>
        <v/>
      </c>
      <c r="D43" s="11"/>
      <c r="E43" s="33" t="str">
        <f t="shared" si="1"/>
        <v/>
      </c>
      <c r="M43" s="21"/>
      <c r="N43" s="21"/>
      <c r="O43" s="21"/>
    </row>
    <row r="44" spans="3:15" ht="6" customHeight="1" x14ac:dyDescent="0.25">
      <c r="C44" s="9"/>
      <c r="D44" s="9"/>
      <c r="E44" s="9"/>
      <c r="F44" s="9"/>
      <c r="G44" s="9"/>
      <c r="H44" s="9"/>
      <c r="I44" s="9"/>
      <c r="J44" s="9"/>
      <c r="K44" s="9"/>
      <c r="L44" s="9"/>
      <c r="M44" s="21"/>
      <c r="N44" s="21"/>
      <c r="O44" s="21"/>
    </row>
    <row r="45" spans="3:15" ht="6" customHeight="1" x14ac:dyDescent="0.25">
      <c r="M45" s="21"/>
      <c r="N45" s="21"/>
      <c r="O45" s="21"/>
    </row>
    <row r="46" spans="3:15" x14ac:dyDescent="0.25">
      <c r="C46" s="15" t="s">
        <v>79</v>
      </c>
      <c r="M46" s="21"/>
      <c r="N46" s="21"/>
      <c r="O46" s="21"/>
    </row>
    <row r="47" spans="3:15" x14ac:dyDescent="0.25">
      <c r="C47" s="15" t="s">
        <v>78</v>
      </c>
    </row>
  </sheetData>
  <mergeCells count="1">
    <mergeCell ref="G13:H13"/>
  </mergeCells>
  <conditionalFormatting sqref="I9">
    <cfRule type="containsText" dxfId="40" priority="12" operator="containsText" text="FAIL">
      <formula>NOT(ISERROR(SEARCH("FAIL",I9)))</formula>
    </cfRule>
  </conditionalFormatting>
  <conditionalFormatting sqref="I9">
    <cfRule type="containsText" dxfId="39" priority="11" operator="containsText" text="GOOD">
      <formula>NOT(ISERROR(SEARCH("GOOD",I9)))</formula>
    </cfRule>
  </conditionalFormatting>
  <conditionalFormatting sqref="F11">
    <cfRule type="containsText" dxfId="38" priority="10" operator="containsText" text="FAIL">
      <formula>NOT(ISERROR(SEARCH("FAIL",F11)))</formula>
    </cfRule>
  </conditionalFormatting>
  <conditionalFormatting sqref="F11">
    <cfRule type="containsText" dxfId="37" priority="9" operator="containsText" text="GOOD">
      <formula>NOT(ISERROR(SEARCH("GOOD",F11)))</formula>
    </cfRule>
  </conditionalFormatting>
  <conditionalFormatting sqref="D25">
    <cfRule type="expression" dxfId="36" priority="6" stopIfTrue="1">
      <formula>IF($H$25=1,0)</formula>
    </cfRule>
  </conditionalFormatting>
  <conditionalFormatting sqref="D23:D43">
    <cfRule type="expression" dxfId="35" priority="5">
      <formula>H23=1</formula>
    </cfRule>
  </conditionalFormatting>
  <conditionalFormatting sqref="C23:C43">
    <cfRule type="expression" dxfId="34" priority="4">
      <formula>H23=1</formula>
    </cfRule>
  </conditionalFormatting>
  <conditionalFormatting sqref="E23:E43">
    <cfRule type="expression" dxfId="33" priority="3">
      <formula>H23=1</formula>
    </cfRule>
  </conditionalFormatting>
  <conditionalFormatting sqref="F11">
    <cfRule type="containsText" dxfId="32" priority="2" operator="containsText" text="FAIL">
      <formula>NOT(ISERROR(SEARCH("FAIL",F11)))</formula>
    </cfRule>
  </conditionalFormatting>
  <conditionalFormatting sqref="F11">
    <cfRule type="containsText" dxfId="31" priority="1" operator="containsText" text="GOOD">
      <formula>NOT(ISERROR(SEARCH("GOOD",F11)))</formula>
    </cfRule>
  </conditionalFormatting>
  <pageMargins left="0.7" right="0.7" top="0.75" bottom="0.75" header="0.3" footer="0.3"/>
  <pageSetup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sheetPr codeName="Sheet56"/>
  <dimension ref="A2:O47"/>
  <sheetViews>
    <sheetView zoomScaleNormal="100" workbookViewId="0">
      <selection activeCell="M3" sqref="M3"/>
    </sheetView>
  </sheetViews>
  <sheetFormatPr defaultRowHeight="15" x14ac:dyDescent="0.25"/>
  <cols>
    <col min="1" max="2" width="4.42578125" customWidth="1"/>
    <col min="3" max="3" width="3" customWidth="1"/>
    <col min="4" max="4" width="24.85546875" customWidth="1"/>
    <col min="5" max="5" width="3" customWidth="1"/>
    <col min="6" max="6" width="15.7109375" customWidth="1"/>
    <col min="7" max="7" width="8.5703125" customWidth="1"/>
    <col min="8" max="8" width="5.85546875" customWidth="1"/>
    <col min="9" max="15" width="15.7109375" customWidth="1"/>
  </cols>
  <sheetData>
    <row r="2" spans="1:11" x14ac:dyDescent="0.25">
      <c r="C2" s="15" t="s">
        <v>32</v>
      </c>
      <c r="E2" s="15"/>
      <c r="F2" s="15"/>
      <c r="G2" s="15" t="s">
        <v>33</v>
      </c>
      <c r="H2" s="15"/>
      <c r="I2" s="15"/>
      <c r="J2" s="15"/>
      <c r="K2" s="15"/>
    </row>
    <row r="3" spans="1:11" ht="18.75" x14ac:dyDescent="0.3">
      <c r="C3" s="3" t="s">
        <v>26</v>
      </c>
      <c r="J3" s="8" t="s">
        <v>17</v>
      </c>
    </row>
    <row r="4" spans="1:11" x14ac:dyDescent="0.25">
      <c r="D4" s="2" t="s">
        <v>0</v>
      </c>
      <c r="E4" s="1"/>
      <c r="F4" t="s">
        <v>995</v>
      </c>
      <c r="I4" s="2" t="s">
        <v>4</v>
      </c>
      <c r="J4" t="s">
        <v>447</v>
      </c>
    </row>
    <row r="5" spans="1:11" x14ac:dyDescent="0.25">
      <c r="D5" s="2" t="s">
        <v>1</v>
      </c>
      <c r="F5" t="s">
        <v>632</v>
      </c>
    </row>
    <row r="6" spans="1:11" x14ac:dyDescent="0.25">
      <c r="D6" s="2" t="s">
        <v>2</v>
      </c>
      <c r="F6" s="6">
        <v>42851</v>
      </c>
      <c r="H6" s="11"/>
    </row>
    <row r="7" spans="1:11" x14ac:dyDescent="0.25">
      <c r="D7" s="2" t="s">
        <v>3</v>
      </c>
      <c r="F7" s="5">
        <v>3589000</v>
      </c>
      <c r="G7" s="2" t="s">
        <v>190</v>
      </c>
      <c r="H7" s="11"/>
    </row>
    <row r="8" spans="1:11" x14ac:dyDescent="0.25">
      <c r="D8" s="2" t="s">
        <v>18</v>
      </c>
      <c r="F8" s="5">
        <f>MIN(I23:I43)</f>
        <v>3875045</v>
      </c>
      <c r="H8" s="11"/>
    </row>
    <row r="9" spans="1:11" x14ac:dyDescent="0.25">
      <c r="D9" s="2" t="s">
        <v>67</v>
      </c>
      <c r="F9" s="4">
        <f>+F8-F7</f>
        <v>286045</v>
      </c>
      <c r="G9" s="16">
        <f>+F9/F7</f>
        <v>7.9700473669545829E-2</v>
      </c>
      <c r="H9" s="12" t="s">
        <v>20</v>
      </c>
      <c r="I9" s="11" t="str">
        <f>(IF(G9&lt;-0.1,"FAIL",IF(G9&gt;0.05,"FAIL","GOOD")))</f>
        <v>FAIL</v>
      </c>
      <c r="J9" s="14" t="s">
        <v>72</v>
      </c>
    </row>
    <row r="10" spans="1:11" x14ac:dyDescent="0.25">
      <c r="D10" s="2" t="s">
        <v>68</v>
      </c>
      <c r="F10" s="4">
        <f>+F7-F12</f>
        <v>-548147</v>
      </c>
      <c r="H10" s="11"/>
    </row>
    <row r="11" spans="1:11" x14ac:dyDescent="0.25">
      <c r="A11" s="52"/>
      <c r="D11" s="2" t="s">
        <v>71</v>
      </c>
      <c r="F11" s="11" t="str">
        <f>(IF(F7&lt;J12,"FAIL",IF(F7&gt;J13,"FAIL","GOOD")))</f>
        <v>GOOD</v>
      </c>
      <c r="H11" s="11"/>
    </row>
    <row r="12" spans="1:11" x14ac:dyDescent="0.25">
      <c r="D12" s="2" t="s">
        <v>28</v>
      </c>
      <c r="F12" s="4">
        <f>SUM(I23:I43)/H12</f>
        <v>4137147</v>
      </c>
      <c r="G12" s="14"/>
      <c r="H12" s="11">
        <f>COUNT(I23:I43)</f>
        <v>3</v>
      </c>
      <c r="I12" s="1" t="s">
        <v>31</v>
      </c>
      <c r="J12" s="4">
        <f>+F8*0.9</f>
        <v>3487540.5</v>
      </c>
      <c r="K12" s="1" t="s">
        <v>69</v>
      </c>
    </row>
    <row r="13" spans="1:11" x14ac:dyDescent="0.25">
      <c r="D13" s="2" t="s">
        <v>29</v>
      </c>
      <c r="F13" s="4">
        <f>MAX(I23:I43)-MIN(I23:I43)</f>
        <v>570551</v>
      </c>
      <c r="G13" s="399">
        <f>MEDIAN(I23:I43)</f>
        <v>4090800</v>
      </c>
      <c r="H13" s="400"/>
      <c r="I13" s="1" t="s">
        <v>30</v>
      </c>
      <c r="J13" s="4">
        <f>+F12*1.1</f>
        <v>4550861.7</v>
      </c>
      <c r="K13" s="1" t="s">
        <v>70</v>
      </c>
    </row>
    <row r="14" spans="1:11" x14ac:dyDescent="0.25">
      <c r="H14" s="11"/>
    </row>
    <row r="15" spans="1:11" x14ac:dyDescent="0.25">
      <c r="D15" s="2" t="s">
        <v>8</v>
      </c>
      <c r="F15" s="4"/>
      <c r="G15" s="1" t="s">
        <v>9</v>
      </c>
      <c r="H15" s="11"/>
      <c r="I15" t="s">
        <v>15</v>
      </c>
      <c r="J15" s="7" t="e">
        <f>+F16/F15</f>
        <v>#DIV/0!</v>
      </c>
    </row>
    <row r="16" spans="1:11" x14ac:dyDescent="0.25">
      <c r="F16" s="4"/>
      <c r="G16" s="1" t="s">
        <v>10</v>
      </c>
      <c r="H16" s="11"/>
      <c r="I16" t="s">
        <v>14</v>
      </c>
      <c r="J16" s="7" t="e">
        <f>+F17/F16</f>
        <v>#DIV/0!</v>
      </c>
    </row>
    <row r="17" spans="3:15" x14ac:dyDescent="0.25">
      <c r="F17" s="4"/>
      <c r="G17" s="1" t="s">
        <v>11</v>
      </c>
      <c r="H17" s="11"/>
      <c r="I17" t="s">
        <v>13</v>
      </c>
      <c r="J17" s="7" t="e">
        <f>+F18/F17</f>
        <v>#DIV/0!</v>
      </c>
      <c r="M17" s="21"/>
      <c r="N17" s="21"/>
      <c r="O17" s="21"/>
    </row>
    <row r="18" spans="3:15" x14ac:dyDescent="0.25">
      <c r="F18" s="4"/>
      <c r="G18" s="1" t="s">
        <v>12</v>
      </c>
      <c r="H18" s="11"/>
      <c r="I18" t="s">
        <v>16</v>
      </c>
      <c r="J18" s="7" t="e">
        <f>+F8/F18</f>
        <v>#DIV/0!</v>
      </c>
      <c r="M18" s="21"/>
      <c r="N18" s="21"/>
      <c r="O18" s="21"/>
    </row>
    <row r="19" spans="3:15" x14ac:dyDescent="0.25">
      <c r="F19" s="2" t="s">
        <v>51</v>
      </c>
      <c r="G19">
        <v>0</v>
      </c>
      <c r="H19" s="11" t="s">
        <v>52</v>
      </c>
      <c r="I19" t="s">
        <v>41</v>
      </c>
      <c r="J19" s="7" t="e">
        <f>+F8/F15</f>
        <v>#DIV/0!</v>
      </c>
      <c r="M19" s="21"/>
      <c r="N19" s="21"/>
      <c r="O19" s="21"/>
    </row>
    <row r="20" spans="3:15" x14ac:dyDescent="0.25">
      <c r="H20" s="11"/>
      <c r="M20" s="21"/>
      <c r="N20" s="21"/>
      <c r="O20" s="21"/>
    </row>
    <row r="21" spans="3:15" x14ac:dyDescent="0.25">
      <c r="C21" s="9"/>
      <c r="D21" s="13" t="s">
        <v>21</v>
      </c>
      <c r="E21" s="9"/>
      <c r="F21" s="9" t="s">
        <v>22</v>
      </c>
      <c r="G21" s="9" t="s">
        <v>23</v>
      </c>
      <c r="H21" s="13" t="s">
        <v>27</v>
      </c>
      <c r="I21" s="10" t="s">
        <v>24</v>
      </c>
      <c r="J21" s="9"/>
      <c r="K21" s="9"/>
      <c r="L21" s="9"/>
      <c r="M21" s="21"/>
      <c r="N21" s="21"/>
      <c r="O21" s="21"/>
    </row>
    <row r="22" spans="3:15" ht="6" customHeight="1" x14ac:dyDescent="0.25">
      <c r="M22" s="21"/>
      <c r="N22" s="21"/>
      <c r="O22" s="21"/>
    </row>
    <row r="23" spans="3:15" x14ac:dyDescent="0.25">
      <c r="C23" s="33" t="str">
        <f>IF(H23=1,"u","")</f>
        <v/>
      </c>
      <c r="D23" s="11" t="s">
        <v>626</v>
      </c>
      <c r="E23" s="33"/>
      <c r="F23" t="s">
        <v>308</v>
      </c>
      <c r="G23" t="s">
        <v>25</v>
      </c>
      <c r="H23">
        <f>RANK(I23,I$23:I$43,1)</f>
        <v>2</v>
      </c>
      <c r="I23" s="4">
        <v>4090800</v>
      </c>
      <c r="J23" s="4"/>
      <c r="K23" s="4"/>
      <c r="L23" s="4"/>
      <c r="M23" s="22"/>
      <c r="N23" s="22"/>
      <c r="O23" s="22"/>
    </row>
    <row r="24" spans="3:15" x14ac:dyDescent="0.25">
      <c r="C24" s="33" t="str">
        <f>IF(H24=1,"u","")</f>
        <v>u</v>
      </c>
      <c r="D24" s="11" t="s">
        <v>996</v>
      </c>
      <c r="E24" s="33"/>
      <c r="F24" t="s">
        <v>381</v>
      </c>
      <c r="G24" t="s">
        <v>93</v>
      </c>
      <c r="H24">
        <f>RANK(I24,I$23:I$43,1)</f>
        <v>1</v>
      </c>
      <c r="I24" s="4">
        <v>3875045</v>
      </c>
      <c r="J24" s="4"/>
      <c r="K24" s="4"/>
      <c r="L24" s="4"/>
      <c r="M24" s="22"/>
      <c r="N24" s="22"/>
      <c r="O24" s="22"/>
    </row>
    <row r="25" spans="3:15" x14ac:dyDescent="0.25">
      <c r="C25" s="33" t="str">
        <f>IF(H25=1,"u","")</f>
        <v/>
      </c>
      <c r="D25" s="11" t="s">
        <v>997</v>
      </c>
      <c r="E25" s="33"/>
      <c r="F25" t="s">
        <v>998</v>
      </c>
      <c r="G25" t="s">
        <v>25</v>
      </c>
      <c r="H25">
        <f>RANK(I25,I$23:I$43,1)</f>
        <v>3</v>
      </c>
      <c r="I25" s="4">
        <v>4445596</v>
      </c>
      <c r="J25" s="4"/>
      <c r="K25" s="4"/>
      <c r="L25" s="4"/>
      <c r="M25" s="22"/>
      <c r="N25" s="22"/>
      <c r="O25" s="22"/>
    </row>
    <row r="26" spans="3:15" x14ac:dyDescent="0.25">
      <c r="C26" s="33"/>
      <c r="D26" s="11"/>
      <c r="E26" s="33"/>
      <c r="I26" s="4"/>
      <c r="J26" s="4"/>
      <c r="K26" s="4"/>
      <c r="L26" s="4"/>
      <c r="M26" s="22"/>
      <c r="N26" s="22"/>
      <c r="O26" s="22"/>
    </row>
    <row r="27" spans="3:15" x14ac:dyDescent="0.25">
      <c r="C27" s="33"/>
      <c r="D27" s="11"/>
      <c r="E27" s="33"/>
      <c r="I27" s="4"/>
      <c r="J27" s="4"/>
      <c r="K27" s="4"/>
      <c r="L27" s="4"/>
      <c r="M27" s="22"/>
      <c r="N27" s="22"/>
      <c r="O27" s="22"/>
    </row>
    <row r="28" spans="3:15" x14ac:dyDescent="0.25">
      <c r="C28" s="33"/>
      <c r="D28" s="11"/>
      <c r="E28" s="33"/>
      <c r="I28" s="4"/>
      <c r="J28" s="4"/>
      <c r="K28" s="4"/>
      <c r="L28" s="4"/>
      <c r="M28" s="22"/>
      <c r="N28" s="22"/>
      <c r="O28" s="22"/>
    </row>
    <row r="29" spans="3:15" x14ac:dyDescent="0.25">
      <c r="C29" s="33" t="str">
        <f t="shared" ref="C29:C43" si="0">IF(H29=1,"u","")</f>
        <v/>
      </c>
      <c r="D29" s="11"/>
      <c r="E29" s="33"/>
      <c r="I29" s="4"/>
      <c r="J29" s="4"/>
      <c r="K29" s="4"/>
      <c r="L29" s="4"/>
      <c r="M29" s="22"/>
      <c r="N29" s="22"/>
      <c r="O29" s="22"/>
    </row>
    <row r="30" spans="3:15" x14ac:dyDescent="0.25">
      <c r="C30" s="33" t="str">
        <f t="shared" si="0"/>
        <v/>
      </c>
      <c r="D30" s="11"/>
      <c r="E30" s="33"/>
      <c r="I30" s="4"/>
      <c r="J30" s="4"/>
      <c r="K30" s="4"/>
      <c r="L30" s="4"/>
      <c r="M30" s="22"/>
      <c r="N30" s="22"/>
      <c r="O30" s="22"/>
    </row>
    <row r="31" spans="3:15" x14ac:dyDescent="0.25">
      <c r="C31" s="33" t="str">
        <f t="shared" si="0"/>
        <v/>
      </c>
      <c r="D31" s="11"/>
      <c r="E31" s="33"/>
      <c r="I31" s="4"/>
      <c r="J31" s="4"/>
      <c r="K31" s="4"/>
      <c r="L31" s="4"/>
      <c r="M31" s="22"/>
      <c r="N31" s="22"/>
      <c r="O31" s="22"/>
    </row>
    <row r="32" spans="3:15" x14ac:dyDescent="0.25">
      <c r="C32" s="33" t="str">
        <f t="shared" si="0"/>
        <v/>
      </c>
      <c r="D32" s="11"/>
      <c r="E32" s="33"/>
      <c r="I32" s="4"/>
      <c r="J32" s="4"/>
      <c r="K32" s="4"/>
      <c r="L32" s="4"/>
      <c r="M32" s="22"/>
      <c r="N32" s="22"/>
      <c r="O32" s="22"/>
    </row>
    <row r="33" spans="3:15" x14ac:dyDescent="0.25">
      <c r="C33" s="33" t="str">
        <f t="shared" si="0"/>
        <v/>
      </c>
      <c r="D33" s="11"/>
      <c r="E33" s="33"/>
      <c r="I33" s="4"/>
      <c r="M33" s="21"/>
      <c r="N33" s="21"/>
      <c r="O33" s="21"/>
    </row>
    <row r="34" spans="3:15" x14ac:dyDescent="0.25">
      <c r="C34" s="33" t="str">
        <f t="shared" si="0"/>
        <v/>
      </c>
      <c r="D34" s="11"/>
      <c r="E34" s="33" t="str">
        <f t="shared" ref="E34:E43" si="1">IF(H34=1,"t","")</f>
        <v/>
      </c>
      <c r="M34" s="21"/>
      <c r="N34" s="21"/>
      <c r="O34" s="21"/>
    </row>
    <row r="35" spans="3:15" x14ac:dyDescent="0.25">
      <c r="C35" s="33" t="str">
        <f t="shared" si="0"/>
        <v/>
      </c>
      <c r="D35" s="11"/>
      <c r="E35" s="33" t="str">
        <f t="shared" si="1"/>
        <v/>
      </c>
      <c r="M35" s="21"/>
      <c r="N35" s="21"/>
      <c r="O35" s="21"/>
    </row>
    <row r="36" spans="3:15" x14ac:dyDescent="0.25">
      <c r="C36" s="33" t="str">
        <f t="shared" si="0"/>
        <v/>
      </c>
      <c r="D36" s="11"/>
      <c r="E36" s="33" t="str">
        <f t="shared" si="1"/>
        <v/>
      </c>
      <c r="M36" s="21"/>
      <c r="N36" s="21"/>
      <c r="O36" s="21"/>
    </row>
    <row r="37" spans="3:15" x14ac:dyDescent="0.25">
      <c r="C37" s="33" t="str">
        <f t="shared" si="0"/>
        <v/>
      </c>
      <c r="D37" s="11"/>
      <c r="E37" s="33" t="str">
        <f t="shared" si="1"/>
        <v/>
      </c>
      <c r="M37" s="21"/>
      <c r="N37" s="21"/>
      <c r="O37" s="21"/>
    </row>
    <row r="38" spans="3:15" x14ac:dyDescent="0.25">
      <c r="C38" s="33" t="str">
        <f t="shared" si="0"/>
        <v/>
      </c>
      <c r="D38" s="11"/>
      <c r="E38" s="33" t="str">
        <f t="shared" si="1"/>
        <v/>
      </c>
      <c r="M38" s="21"/>
      <c r="N38" s="21"/>
      <c r="O38" s="21"/>
    </row>
    <row r="39" spans="3:15" x14ac:dyDescent="0.25">
      <c r="C39" s="33" t="str">
        <f t="shared" si="0"/>
        <v/>
      </c>
      <c r="D39" s="11"/>
      <c r="E39" s="33" t="str">
        <f t="shared" si="1"/>
        <v/>
      </c>
      <c r="M39" s="21"/>
      <c r="N39" s="21"/>
      <c r="O39" s="21"/>
    </row>
    <row r="40" spans="3:15" x14ac:dyDescent="0.25">
      <c r="C40" s="33" t="str">
        <f t="shared" si="0"/>
        <v/>
      </c>
      <c r="D40" s="11"/>
      <c r="E40" s="33" t="str">
        <f t="shared" si="1"/>
        <v/>
      </c>
      <c r="M40" s="21"/>
      <c r="N40" s="21"/>
      <c r="O40" s="21"/>
    </row>
    <row r="41" spans="3:15" x14ac:dyDescent="0.25">
      <c r="C41" s="33" t="str">
        <f t="shared" si="0"/>
        <v/>
      </c>
      <c r="D41" s="11"/>
      <c r="E41" s="33" t="str">
        <f t="shared" si="1"/>
        <v/>
      </c>
      <c r="M41" s="21"/>
      <c r="N41" s="21"/>
      <c r="O41" s="21"/>
    </row>
    <row r="42" spans="3:15" x14ac:dyDescent="0.25">
      <c r="C42" s="33" t="str">
        <f t="shared" si="0"/>
        <v/>
      </c>
      <c r="D42" s="11"/>
      <c r="E42" s="33" t="str">
        <f t="shared" si="1"/>
        <v/>
      </c>
      <c r="M42" s="21"/>
      <c r="N42" s="21"/>
      <c r="O42" s="21"/>
    </row>
    <row r="43" spans="3:15" x14ac:dyDescent="0.25">
      <c r="C43" s="33" t="str">
        <f t="shared" si="0"/>
        <v/>
      </c>
      <c r="D43" s="11"/>
      <c r="E43" s="33" t="str">
        <f t="shared" si="1"/>
        <v/>
      </c>
      <c r="M43" s="21"/>
      <c r="N43" s="21"/>
      <c r="O43" s="21"/>
    </row>
    <row r="44" spans="3:15" ht="6" customHeight="1" x14ac:dyDescent="0.25">
      <c r="C44" s="9"/>
      <c r="D44" s="9"/>
      <c r="E44" s="9"/>
      <c r="F44" s="9"/>
      <c r="G44" s="9"/>
      <c r="H44" s="9"/>
      <c r="I44" s="9"/>
      <c r="J44" s="9"/>
      <c r="K44" s="9"/>
      <c r="L44" s="9"/>
      <c r="M44" s="21"/>
      <c r="N44" s="21"/>
      <c r="O44" s="21"/>
    </row>
    <row r="45" spans="3:15" ht="6" customHeight="1" x14ac:dyDescent="0.25">
      <c r="M45" s="21"/>
      <c r="N45" s="21"/>
      <c r="O45" s="21"/>
    </row>
    <row r="46" spans="3:15" x14ac:dyDescent="0.25">
      <c r="C46" s="15" t="s">
        <v>79</v>
      </c>
      <c r="M46" s="21"/>
      <c r="N46" s="21"/>
      <c r="O46" s="21"/>
    </row>
    <row r="47" spans="3:15" x14ac:dyDescent="0.25">
      <c r="C47" s="15" t="s">
        <v>78</v>
      </c>
    </row>
  </sheetData>
  <mergeCells count="1">
    <mergeCell ref="G13:H13"/>
  </mergeCells>
  <conditionalFormatting sqref="I9">
    <cfRule type="containsText" dxfId="1629" priority="13" operator="containsText" text="FAIL">
      <formula>NOT(ISERROR(SEARCH("FAIL",I9)))</formula>
    </cfRule>
  </conditionalFormatting>
  <conditionalFormatting sqref="I9">
    <cfRule type="containsText" dxfId="1628" priority="12" operator="containsText" text="GOOD">
      <formula>NOT(ISERROR(SEARCH("GOOD",I9)))</formula>
    </cfRule>
  </conditionalFormatting>
  <conditionalFormatting sqref="F11">
    <cfRule type="containsText" dxfId="1627" priority="11" operator="containsText" text="FAIL">
      <formula>NOT(ISERROR(SEARCH("FAIL",F11)))</formula>
    </cfRule>
  </conditionalFormatting>
  <conditionalFormatting sqref="F11">
    <cfRule type="containsText" dxfId="1626" priority="10" operator="containsText" text="GOOD">
      <formula>NOT(ISERROR(SEARCH("GOOD",F11)))</formula>
    </cfRule>
  </conditionalFormatting>
  <conditionalFormatting sqref="D25">
    <cfRule type="expression" dxfId="1625" priority="9" stopIfTrue="1">
      <formula>IF($H$25=1,0)</formula>
    </cfRule>
  </conditionalFormatting>
  <conditionalFormatting sqref="D23:D26 D29:D43">
    <cfRule type="expression" dxfId="1624" priority="8">
      <formula>H23=1</formula>
    </cfRule>
  </conditionalFormatting>
  <conditionalFormatting sqref="C23:C26 C29:C43">
    <cfRule type="expression" dxfId="1623" priority="7">
      <formula>H23=1</formula>
    </cfRule>
  </conditionalFormatting>
  <conditionalFormatting sqref="E23:E26 E29:E43">
    <cfRule type="expression" dxfId="1622" priority="6">
      <formula>H23=1</formula>
    </cfRule>
  </conditionalFormatting>
  <conditionalFormatting sqref="F11">
    <cfRule type="containsText" dxfId="1621" priority="5" operator="containsText" text="FAIL">
      <formula>NOT(ISERROR(SEARCH("FAIL",F11)))</formula>
    </cfRule>
  </conditionalFormatting>
  <conditionalFormatting sqref="F11">
    <cfRule type="containsText" dxfId="1620" priority="4" operator="containsText" text="GOOD">
      <formula>NOT(ISERROR(SEARCH("GOOD",F11)))</formula>
    </cfRule>
  </conditionalFormatting>
  <conditionalFormatting sqref="D27:D28">
    <cfRule type="expression" dxfId="1619" priority="3">
      <formula>H27=1</formula>
    </cfRule>
  </conditionalFormatting>
  <conditionalFormatting sqref="C27:C28">
    <cfRule type="expression" dxfId="1618" priority="2">
      <formula>H27=1</formula>
    </cfRule>
  </conditionalFormatting>
  <conditionalFormatting sqref="E27:E28">
    <cfRule type="expression" dxfId="1617" priority="1">
      <formula>H27=1</formula>
    </cfRule>
  </conditionalFormatting>
  <pageMargins left="0.7" right="0.7" top="0.75" bottom="0.75" header="0.3" footer="0.3"/>
  <pageSetup scale="68"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2"/>
  <dimension ref="A2:O56"/>
  <sheetViews>
    <sheetView zoomScaleNormal="100" workbookViewId="0">
      <selection activeCell="J24" sqref="J24"/>
    </sheetView>
  </sheetViews>
  <sheetFormatPr defaultRowHeight="15" x14ac:dyDescent="0.25"/>
  <cols>
    <col min="1" max="2" width="4.42578125" customWidth="1"/>
    <col min="3" max="3" width="3" customWidth="1"/>
    <col min="4" max="4" width="24.7109375" customWidth="1"/>
    <col min="5" max="5" width="3" customWidth="1"/>
    <col min="6" max="6" width="15.7109375" customWidth="1"/>
    <col min="7" max="7" width="8.5703125" customWidth="1"/>
    <col min="8" max="8" width="5.85546875" customWidth="1"/>
    <col min="9" max="15" width="15.7109375" customWidth="1"/>
  </cols>
  <sheetData>
    <row r="2" spans="1:11" x14ac:dyDescent="0.25">
      <c r="C2" s="15" t="s">
        <v>32</v>
      </c>
      <c r="E2" s="15"/>
      <c r="F2" s="15"/>
      <c r="G2" s="15" t="s">
        <v>33</v>
      </c>
      <c r="H2" s="15"/>
      <c r="I2" s="15"/>
      <c r="J2" s="15"/>
      <c r="K2" s="15"/>
    </row>
    <row r="3" spans="1:11" ht="18.75" x14ac:dyDescent="0.3">
      <c r="C3" s="3" t="s">
        <v>26</v>
      </c>
      <c r="J3" s="8" t="s">
        <v>47</v>
      </c>
    </row>
    <row r="4" spans="1:11" x14ac:dyDescent="0.25">
      <c r="D4" s="2" t="s">
        <v>0</v>
      </c>
      <c r="E4" s="1"/>
      <c r="F4" t="s">
        <v>1139</v>
      </c>
      <c r="I4" s="2" t="s">
        <v>4</v>
      </c>
      <c r="J4" t="s">
        <v>784</v>
      </c>
    </row>
    <row r="5" spans="1:11" x14ac:dyDescent="0.25">
      <c r="D5" s="2" t="s">
        <v>1</v>
      </c>
      <c r="F5" t="s">
        <v>1140</v>
      </c>
    </row>
    <row r="6" spans="1:11" x14ac:dyDescent="0.25">
      <c r="D6" s="2" t="s">
        <v>2</v>
      </c>
      <c r="F6" s="6">
        <v>43054</v>
      </c>
      <c r="H6" s="11"/>
    </row>
    <row r="7" spans="1:11" x14ac:dyDescent="0.25">
      <c r="D7" s="2" t="s">
        <v>3</v>
      </c>
      <c r="F7" s="5">
        <f>+I7+J7</f>
        <v>1350000</v>
      </c>
      <c r="G7" s="2" t="s">
        <v>34</v>
      </c>
      <c r="H7" s="11"/>
      <c r="I7" s="19">
        <v>65000</v>
      </c>
      <c r="J7" s="19">
        <v>1285000</v>
      </c>
    </row>
    <row r="8" spans="1:11" x14ac:dyDescent="0.25">
      <c r="D8" s="2" t="s">
        <v>18</v>
      </c>
      <c r="F8" s="5">
        <f>MIN(K23:K43)</f>
        <v>2629000</v>
      </c>
      <c r="H8" s="11"/>
      <c r="I8" s="18" t="s">
        <v>43</v>
      </c>
      <c r="J8" s="18" t="s">
        <v>44</v>
      </c>
    </row>
    <row r="9" spans="1:11" x14ac:dyDescent="0.25">
      <c r="D9" s="2" t="s">
        <v>19</v>
      </c>
      <c r="F9" s="4">
        <f>+F8-F7</f>
        <v>1279000</v>
      </c>
      <c r="G9" s="16">
        <f>+F9/F7</f>
        <v>0.94740740740740736</v>
      </c>
      <c r="H9" s="12" t="s">
        <v>20</v>
      </c>
      <c r="I9" s="11" t="str">
        <f>(IF(G9&lt;-0.1,"FAIL",IF(G9&gt;0.05,"FAIL","GOOD")))</f>
        <v>FAIL</v>
      </c>
      <c r="J9" s="14" t="s">
        <v>72</v>
      </c>
    </row>
    <row r="10" spans="1:11" x14ac:dyDescent="0.25">
      <c r="D10" s="2" t="s">
        <v>68</v>
      </c>
      <c r="F10" s="4">
        <f>+F7-F12</f>
        <v>-1279000</v>
      </c>
      <c r="H10" s="11"/>
    </row>
    <row r="11" spans="1:11" x14ac:dyDescent="0.25">
      <c r="A11" s="30"/>
      <c r="D11" s="2" t="s">
        <v>71</v>
      </c>
      <c r="F11" s="11" t="str">
        <f>(IF(F7&lt;J12,"FAIL",IF(F7&gt;J13,"FAIL","GOOD")))</f>
        <v>FAIL</v>
      </c>
      <c r="H11" s="11"/>
    </row>
    <row r="12" spans="1:11" x14ac:dyDescent="0.25">
      <c r="D12" s="2" t="s">
        <v>28</v>
      </c>
      <c r="F12" s="4">
        <f>SUM(K23:K43)/H12</f>
        <v>2629000</v>
      </c>
      <c r="G12" s="14"/>
      <c r="H12" s="11">
        <f>COUNT(K23:K43)</f>
        <v>1</v>
      </c>
      <c r="I12" s="1" t="s">
        <v>31</v>
      </c>
      <c r="J12" s="4">
        <f>+F8*0.9</f>
        <v>2366100</v>
      </c>
      <c r="K12" s="1" t="s">
        <v>69</v>
      </c>
    </row>
    <row r="13" spans="1:11" x14ac:dyDescent="0.25">
      <c r="D13" s="2" t="s">
        <v>29</v>
      </c>
      <c r="F13" s="4">
        <f>MAX(K23:K43)-MIN(K23:K43)</f>
        <v>0</v>
      </c>
      <c r="G13" s="399">
        <f>MEDIAN(K23:K43)</f>
        <v>2629000</v>
      </c>
      <c r="H13" s="400"/>
      <c r="I13" s="1" t="s">
        <v>30</v>
      </c>
      <c r="J13" s="4">
        <f>+F12*1.1</f>
        <v>2891900.0000000005</v>
      </c>
      <c r="K13" s="1" t="s">
        <v>70</v>
      </c>
    </row>
    <row r="14" spans="1:11" x14ac:dyDescent="0.25">
      <c r="H14" s="11"/>
    </row>
    <row r="15" spans="1:11" hidden="1" x14ac:dyDescent="0.25">
      <c r="D15" s="2" t="s">
        <v>8</v>
      </c>
      <c r="F15" s="4">
        <v>30000000</v>
      </c>
      <c r="G15" s="1" t="s">
        <v>9</v>
      </c>
      <c r="H15" s="11"/>
      <c r="I15" t="s">
        <v>15</v>
      </c>
      <c r="J15" s="7">
        <f>+F16/F15</f>
        <v>0.93333333333333335</v>
      </c>
    </row>
    <row r="16" spans="1:11" hidden="1" x14ac:dyDescent="0.25">
      <c r="F16" s="4">
        <v>28000000</v>
      </c>
      <c r="G16" s="1" t="s">
        <v>10</v>
      </c>
      <c r="H16" s="11"/>
      <c r="I16" t="s">
        <v>14</v>
      </c>
      <c r="J16" s="7">
        <f>+F17/F16</f>
        <v>1.0535714285714286</v>
      </c>
    </row>
    <row r="17" spans="3:15" hidden="1" x14ac:dyDescent="0.25">
      <c r="F17" s="4">
        <v>29500000</v>
      </c>
      <c r="G17" s="1" t="s">
        <v>11</v>
      </c>
      <c r="H17" s="11"/>
      <c r="I17" t="s">
        <v>13</v>
      </c>
      <c r="J17" s="7">
        <f>+F18/F17</f>
        <v>4.576271186440678E-2</v>
      </c>
    </row>
    <row r="18" spans="3:15" hidden="1" x14ac:dyDescent="0.25">
      <c r="F18" s="4">
        <f>+F7</f>
        <v>1350000</v>
      </c>
      <c r="G18" s="1" t="s">
        <v>12</v>
      </c>
      <c r="H18" s="11"/>
      <c r="I18" t="s">
        <v>16</v>
      </c>
      <c r="J18" s="7">
        <f>+F8/F18</f>
        <v>1.9474074074074075</v>
      </c>
    </row>
    <row r="19" spans="3:15" hidden="1" x14ac:dyDescent="0.25">
      <c r="F19" s="2" t="s">
        <v>51</v>
      </c>
      <c r="G19">
        <v>0</v>
      </c>
      <c r="H19" s="11" t="s">
        <v>52</v>
      </c>
      <c r="I19" t="s">
        <v>41</v>
      </c>
      <c r="J19" s="7">
        <f>+F8/F15</f>
        <v>8.7633333333333327E-2</v>
      </c>
    </row>
    <row r="20" spans="3:15" x14ac:dyDescent="0.25">
      <c r="H20" s="11"/>
      <c r="M20" s="21"/>
      <c r="N20" s="21"/>
      <c r="O20" s="21"/>
    </row>
    <row r="21" spans="3:15" x14ac:dyDescent="0.25">
      <c r="C21" s="9"/>
      <c r="D21" s="13" t="s">
        <v>21</v>
      </c>
      <c r="E21" s="9"/>
      <c r="F21" s="9" t="s">
        <v>22</v>
      </c>
      <c r="G21" s="9" t="s">
        <v>23</v>
      </c>
      <c r="H21" s="13" t="s">
        <v>27</v>
      </c>
      <c r="I21" s="10" t="s">
        <v>38</v>
      </c>
      <c r="J21" s="10" t="s">
        <v>37</v>
      </c>
      <c r="K21" s="10" t="s">
        <v>39</v>
      </c>
      <c r="L21" s="9"/>
      <c r="M21" s="21"/>
      <c r="N21" s="21"/>
      <c r="O21" s="21"/>
    </row>
    <row r="22" spans="3:15" ht="6" customHeight="1" x14ac:dyDescent="0.25">
      <c r="M22" s="21"/>
      <c r="N22" s="21"/>
      <c r="O22" s="21"/>
    </row>
    <row r="23" spans="3:15" x14ac:dyDescent="0.25">
      <c r="C23" s="33" t="str">
        <f>IF(H23=1,"u","")</f>
        <v>u</v>
      </c>
      <c r="D23" s="11" t="s">
        <v>979</v>
      </c>
      <c r="E23" s="33"/>
      <c r="F23" t="s">
        <v>201</v>
      </c>
      <c r="G23" t="s">
        <v>25</v>
      </c>
      <c r="H23">
        <f>RANK(K23,K$23:K$43,1)</f>
        <v>1</v>
      </c>
      <c r="I23" s="4">
        <v>420040</v>
      </c>
      <c r="J23" s="4">
        <v>2208960</v>
      </c>
      <c r="K23" s="4">
        <f>+J23+I23</f>
        <v>2629000</v>
      </c>
      <c r="L23" s="4"/>
      <c r="M23" s="22"/>
      <c r="N23" s="22"/>
      <c r="O23" s="22"/>
    </row>
    <row r="24" spans="3:15" x14ac:dyDescent="0.25">
      <c r="C24" s="33" t="str">
        <f>IF(H24=1,"u","")</f>
        <v/>
      </c>
      <c r="D24" s="11"/>
      <c r="E24" s="33"/>
      <c r="I24" s="4"/>
      <c r="J24" s="4"/>
      <c r="K24" s="4"/>
      <c r="L24" s="4"/>
      <c r="M24" s="22"/>
      <c r="N24" s="22"/>
      <c r="O24" s="22"/>
    </row>
    <row r="25" spans="3:15" x14ac:dyDescent="0.25">
      <c r="C25" s="33" t="str">
        <f>IF(H25=1,"u","")</f>
        <v/>
      </c>
      <c r="D25" s="11"/>
      <c r="E25" s="33"/>
      <c r="I25" s="4"/>
      <c r="J25" s="4"/>
      <c r="K25" s="4"/>
      <c r="L25" s="4"/>
      <c r="M25" s="22"/>
      <c r="N25" s="22"/>
      <c r="O25" s="22"/>
    </row>
    <row r="26" spans="3:15" x14ac:dyDescent="0.25">
      <c r="C26" s="33" t="str">
        <f t="shared" ref="C26:C43" si="0">IF(H26=1,"u","")</f>
        <v/>
      </c>
      <c r="D26" s="11"/>
      <c r="E26" s="33"/>
      <c r="I26" s="4"/>
      <c r="J26" s="4"/>
      <c r="K26" s="4"/>
      <c r="L26" s="4"/>
      <c r="M26" s="22"/>
      <c r="N26" s="22"/>
      <c r="O26" s="22"/>
    </row>
    <row r="27" spans="3:15" x14ac:dyDescent="0.25">
      <c r="C27" s="33" t="str">
        <f t="shared" si="0"/>
        <v/>
      </c>
      <c r="D27" s="11"/>
      <c r="E27" s="33"/>
      <c r="I27" s="4"/>
      <c r="J27" s="4"/>
      <c r="K27" s="4"/>
      <c r="L27" s="4"/>
      <c r="M27" s="22"/>
      <c r="N27" s="22"/>
      <c r="O27" s="22"/>
    </row>
    <row r="28" spans="3:15" x14ac:dyDescent="0.25">
      <c r="C28" s="33" t="str">
        <f t="shared" si="0"/>
        <v/>
      </c>
      <c r="D28" s="11"/>
      <c r="E28" s="33"/>
      <c r="I28" s="4"/>
      <c r="J28" s="4"/>
      <c r="K28" s="4"/>
      <c r="L28" s="4"/>
      <c r="M28" s="22"/>
      <c r="N28" s="22"/>
      <c r="O28" s="22"/>
    </row>
    <row r="29" spans="3:15" x14ac:dyDescent="0.25">
      <c r="C29" s="33" t="str">
        <f t="shared" si="0"/>
        <v/>
      </c>
      <c r="D29" s="11"/>
      <c r="E29" s="33"/>
      <c r="I29" s="4"/>
      <c r="J29" s="4"/>
      <c r="K29" s="4"/>
      <c r="L29" s="4"/>
      <c r="M29" s="22"/>
      <c r="N29" s="22"/>
      <c r="O29" s="22"/>
    </row>
    <row r="30" spans="3:15" x14ac:dyDescent="0.25">
      <c r="C30" s="33"/>
      <c r="D30" s="11"/>
      <c r="E30" s="33"/>
      <c r="I30" s="4"/>
      <c r="J30" s="4"/>
      <c r="K30" s="4"/>
      <c r="L30" s="4"/>
      <c r="M30" s="22"/>
      <c r="N30" s="22"/>
      <c r="O30" s="22"/>
    </row>
    <row r="31" spans="3:15" x14ac:dyDescent="0.25">
      <c r="C31" s="33" t="str">
        <f t="shared" si="0"/>
        <v/>
      </c>
      <c r="D31" s="11"/>
      <c r="E31" s="33"/>
      <c r="I31" s="4"/>
      <c r="J31" s="4"/>
      <c r="K31" s="4"/>
      <c r="L31" s="4"/>
      <c r="M31" s="22"/>
      <c r="N31" s="22"/>
      <c r="O31" s="22"/>
    </row>
    <row r="32" spans="3:15" x14ac:dyDescent="0.25">
      <c r="C32" s="33" t="str">
        <f t="shared" si="0"/>
        <v/>
      </c>
      <c r="D32" s="11"/>
      <c r="E32" s="33"/>
      <c r="I32" s="4"/>
      <c r="J32" s="4"/>
      <c r="K32" s="4"/>
      <c r="L32" s="4"/>
      <c r="M32" s="22"/>
      <c r="N32" s="22"/>
      <c r="O32" s="22"/>
    </row>
    <row r="33" spans="3:15" x14ac:dyDescent="0.25">
      <c r="C33" s="33" t="str">
        <f t="shared" si="0"/>
        <v/>
      </c>
      <c r="D33" s="11"/>
      <c r="E33" s="33"/>
      <c r="I33" s="4"/>
      <c r="J33" s="4"/>
      <c r="K33" s="4"/>
      <c r="M33" s="21"/>
      <c r="N33" s="21"/>
      <c r="O33" s="21"/>
    </row>
    <row r="34" spans="3:15" x14ac:dyDescent="0.25">
      <c r="C34" s="33" t="str">
        <f t="shared" si="0"/>
        <v/>
      </c>
      <c r="D34" s="11"/>
      <c r="E34" s="33"/>
      <c r="I34" s="4"/>
      <c r="J34" s="4"/>
      <c r="K34" s="4"/>
      <c r="M34" s="21"/>
      <c r="N34" s="21"/>
      <c r="O34" s="21"/>
    </row>
    <row r="35" spans="3:15" x14ac:dyDescent="0.25">
      <c r="C35" s="33" t="str">
        <f t="shared" si="0"/>
        <v/>
      </c>
      <c r="D35" s="11"/>
      <c r="E35" s="33"/>
      <c r="I35" s="4"/>
      <c r="J35" s="4"/>
      <c r="K35" s="4"/>
      <c r="M35" s="21"/>
      <c r="N35" s="21"/>
      <c r="O35" s="21"/>
    </row>
    <row r="36" spans="3:15" x14ac:dyDescent="0.25">
      <c r="C36" s="33" t="str">
        <f t="shared" si="0"/>
        <v/>
      </c>
      <c r="D36" s="11"/>
      <c r="E36" s="33"/>
      <c r="I36" s="4"/>
      <c r="J36" s="4"/>
      <c r="K36" s="4"/>
      <c r="M36" s="21"/>
      <c r="N36" s="21"/>
      <c r="O36" s="21"/>
    </row>
    <row r="37" spans="3:15" x14ac:dyDescent="0.25">
      <c r="C37" s="33" t="str">
        <f t="shared" si="0"/>
        <v/>
      </c>
      <c r="D37" s="11"/>
      <c r="E37" s="33"/>
      <c r="I37" s="4"/>
      <c r="J37" s="4"/>
      <c r="K37" s="4"/>
      <c r="M37" s="21"/>
      <c r="N37" s="21"/>
      <c r="O37" s="21"/>
    </row>
    <row r="38" spans="3:15" x14ac:dyDescent="0.25">
      <c r="C38" s="33" t="str">
        <f t="shared" si="0"/>
        <v/>
      </c>
      <c r="D38" s="11"/>
      <c r="E38" s="33"/>
      <c r="I38" s="4"/>
      <c r="J38" s="4"/>
      <c r="K38" s="4"/>
      <c r="M38" s="21"/>
      <c r="N38" s="21"/>
      <c r="O38" s="21"/>
    </row>
    <row r="39" spans="3:15" x14ac:dyDescent="0.25">
      <c r="C39" s="33" t="str">
        <f t="shared" si="0"/>
        <v/>
      </c>
      <c r="D39" s="11"/>
      <c r="E39" s="33" t="str">
        <f>IF(H39=1,"t","")</f>
        <v/>
      </c>
      <c r="K39" s="4"/>
      <c r="M39" s="21"/>
      <c r="N39" s="21"/>
      <c r="O39" s="21"/>
    </row>
    <row r="40" spans="3:15" x14ac:dyDescent="0.25">
      <c r="C40" s="33" t="str">
        <f t="shared" si="0"/>
        <v/>
      </c>
      <c r="D40" s="11"/>
      <c r="E40" s="33" t="str">
        <f>IF(H40=1,"t","")</f>
        <v/>
      </c>
      <c r="K40" s="4"/>
      <c r="M40" s="21"/>
      <c r="N40" s="21"/>
      <c r="O40" s="21"/>
    </row>
    <row r="41" spans="3:15" x14ac:dyDescent="0.25">
      <c r="C41" s="33" t="str">
        <f t="shared" si="0"/>
        <v/>
      </c>
      <c r="D41" s="11"/>
      <c r="E41" s="33" t="str">
        <f>IF(H41=1,"t","")</f>
        <v/>
      </c>
      <c r="K41" s="4"/>
      <c r="M41" s="21"/>
      <c r="N41" s="21"/>
      <c r="O41" s="21"/>
    </row>
    <row r="42" spans="3:15" x14ac:dyDescent="0.25">
      <c r="C42" s="33" t="str">
        <f t="shared" si="0"/>
        <v/>
      </c>
      <c r="D42" s="11"/>
      <c r="E42" s="33" t="str">
        <f>IF(H42=1,"t","")</f>
        <v/>
      </c>
      <c r="K42" s="4"/>
      <c r="M42" s="21"/>
      <c r="N42" s="21"/>
      <c r="O42" s="21"/>
    </row>
    <row r="43" spans="3:15" x14ac:dyDescent="0.25">
      <c r="C43" s="33" t="str">
        <f t="shared" si="0"/>
        <v/>
      </c>
      <c r="D43" s="11"/>
      <c r="E43" s="33" t="str">
        <f>IF(H43=1,"t","")</f>
        <v/>
      </c>
      <c r="K43" s="4"/>
      <c r="M43" s="21"/>
      <c r="N43" s="21"/>
      <c r="O43" s="21"/>
    </row>
    <row r="44" spans="3:15" ht="6" customHeight="1" x14ac:dyDescent="0.25">
      <c r="C44" s="9"/>
      <c r="D44" s="9"/>
      <c r="E44" s="9"/>
      <c r="F44" s="9"/>
      <c r="G44" s="9"/>
      <c r="H44" s="9"/>
      <c r="I44" s="9"/>
      <c r="J44" s="9"/>
      <c r="K44" s="9"/>
      <c r="L44" s="9"/>
      <c r="M44" s="21"/>
      <c r="N44" s="21"/>
      <c r="O44" s="21"/>
    </row>
    <row r="45" spans="3:15" ht="6" customHeight="1" x14ac:dyDescent="0.25">
      <c r="M45" s="21"/>
      <c r="N45" s="21"/>
      <c r="O45" s="21"/>
    </row>
    <row r="46" spans="3:15" x14ac:dyDescent="0.25">
      <c r="C46" s="15" t="s">
        <v>79</v>
      </c>
      <c r="M46" s="21"/>
      <c r="N46" s="21"/>
      <c r="O46" s="21"/>
    </row>
    <row r="47" spans="3:15" x14ac:dyDescent="0.25">
      <c r="C47" s="15" t="s">
        <v>78</v>
      </c>
    </row>
    <row r="49" spans="3:10" x14ac:dyDescent="0.25">
      <c r="C49" s="31" t="s">
        <v>948</v>
      </c>
      <c r="D49" s="31"/>
      <c r="H49" t="s">
        <v>949</v>
      </c>
      <c r="I49" t="s">
        <v>784</v>
      </c>
      <c r="J49" s="6">
        <v>42802</v>
      </c>
    </row>
    <row r="50" spans="3:10" ht="6" customHeight="1" x14ac:dyDescent="0.25"/>
    <row r="51" spans="3:10" x14ac:dyDescent="0.25">
      <c r="D51" s="93" t="s">
        <v>950</v>
      </c>
    </row>
    <row r="52" spans="3:10" x14ac:dyDescent="0.25">
      <c r="D52" s="93" t="s">
        <v>951</v>
      </c>
    </row>
    <row r="53" spans="3:10" x14ac:dyDescent="0.25">
      <c r="D53" s="93" t="s">
        <v>952</v>
      </c>
    </row>
    <row r="54" spans="3:10" x14ac:dyDescent="0.25">
      <c r="D54" s="93" t="s">
        <v>953</v>
      </c>
    </row>
    <row r="55" spans="3:10" x14ac:dyDescent="0.25">
      <c r="D55" s="93" t="s">
        <v>954</v>
      </c>
    </row>
    <row r="56" spans="3:10" x14ac:dyDescent="0.25">
      <c r="D56" s="93" t="s">
        <v>955</v>
      </c>
    </row>
  </sheetData>
  <mergeCells count="1">
    <mergeCell ref="G13:H13"/>
  </mergeCells>
  <conditionalFormatting sqref="I9">
    <cfRule type="containsText" dxfId="2305" priority="36" operator="containsText" text="FAIL">
      <formula>NOT(ISERROR(SEARCH("FAIL",I9)))</formula>
    </cfRule>
  </conditionalFormatting>
  <conditionalFormatting sqref="I9">
    <cfRule type="containsText" dxfId="2304" priority="35" operator="containsText" text="GOOD">
      <formula>NOT(ISERROR(SEARCH("GOOD",I9)))</formula>
    </cfRule>
  </conditionalFormatting>
  <conditionalFormatting sqref="I9">
    <cfRule type="containsText" dxfId="2303" priority="34" operator="containsText" text="FAIL">
      <formula>NOT(ISERROR(SEARCH("FAIL",I9)))</formula>
    </cfRule>
  </conditionalFormatting>
  <conditionalFormatting sqref="I9">
    <cfRule type="containsText" dxfId="2302" priority="33" operator="containsText" text="GOOD">
      <formula>NOT(ISERROR(SEARCH("GOOD",I9)))</formula>
    </cfRule>
  </conditionalFormatting>
  <conditionalFormatting sqref="I9">
    <cfRule type="containsText" dxfId="2301" priority="32" operator="containsText" text="FAIL">
      <formula>NOT(ISERROR(SEARCH("FAIL",I9)))</formula>
    </cfRule>
  </conditionalFormatting>
  <conditionalFormatting sqref="I9">
    <cfRule type="containsText" dxfId="2300" priority="31" operator="containsText" text="GOOD">
      <formula>NOT(ISERROR(SEARCH("GOOD",I9)))</formula>
    </cfRule>
  </conditionalFormatting>
  <conditionalFormatting sqref="F11">
    <cfRule type="containsText" dxfId="2299" priority="30" operator="containsText" text="FAIL">
      <formula>NOT(ISERROR(SEARCH("FAIL",F11)))</formula>
    </cfRule>
  </conditionalFormatting>
  <conditionalFormatting sqref="F11">
    <cfRule type="containsText" dxfId="2298" priority="29" operator="containsText" text="GOOD">
      <formula>NOT(ISERROR(SEARCH("GOOD",F11)))</formula>
    </cfRule>
  </conditionalFormatting>
  <conditionalFormatting sqref="I9">
    <cfRule type="containsText" dxfId="2297" priority="28" operator="containsText" text="FAIL">
      <formula>NOT(ISERROR(SEARCH("FAIL",I9)))</formula>
    </cfRule>
  </conditionalFormatting>
  <conditionalFormatting sqref="I9">
    <cfRule type="containsText" dxfId="2296" priority="27" operator="containsText" text="GOOD">
      <formula>NOT(ISERROR(SEARCH("GOOD",I9)))</formula>
    </cfRule>
  </conditionalFormatting>
  <conditionalFormatting sqref="F11">
    <cfRule type="containsText" dxfId="2295" priority="26" operator="containsText" text="FAIL">
      <formula>NOT(ISERROR(SEARCH("FAIL",F11)))</formula>
    </cfRule>
  </conditionalFormatting>
  <conditionalFormatting sqref="F11">
    <cfRule type="containsText" dxfId="2294" priority="25" operator="containsText" text="GOOD">
      <formula>NOT(ISERROR(SEARCH("GOOD",F11)))</formula>
    </cfRule>
  </conditionalFormatting>
  <conditionalFormatting sqref="D25">
    <cfRule type="expression" dxfId="2293" priority="24" stopIfTrue="1">
      <formula>IF($H$25=1,0)</formula>
    </cfRule>
  </conditionalFormatting>
  <conditionalFormatting sqref="D39:D43 D25:D33">
    <cfRule type="expression" dxfId="2292" priority="23">
      <formula>H25=1</formula>
    </cfRule>
  </conditionalFormatting>
  <conditionalFormatting sqref="C23 C39:C43 C25:C33">
    <cfRule type="expression" dxfId="2291" priority="22">
      <formula>H23=1</formula>
    </cfRule>
  </conditionalFormatting>
  <conditionalFormatting sqref="E39:E43 E25:E33">
    <cfRule type="expression" dxfId="2290" priority="21">
      <formula>H25=1</formula>
    </cfRule>
  </conditionalFormatting>
  <conditionalFormatting sqref="E39:E43 E25:E33">
    <cfRule type="expression" dxfId="2289" priority="20">
      <formula>H25=1</formula>
    </cfRule>
  </conditionalFormatting>
  <conditionalFormatting sqref="F11">
    <cfRule type="containsText" dxfId="2288" priority="19" operator="containsText" text="FAIL">
      <formula>NOT(ISERROR(SEARCH("FAIL",F11)))</formula>
    </cfRule>
  </conditionalFormatting>
  <conditionalFormatting sqref="F11">
    <cfRule type="containsText" dxfId="2287" priority="18" operator="containsText" text="GOOD">
      <formula>NOT(ISERROR(SEARCH("GOOD",F11)))</formula>
    </cfRule>
  </conditionalFormatting>
  <conditionalFormatting sqref="D34:D37">
    <cfRule type="expression" dxfId="2286" priority="17">
      <formula>H34=1</formula>
    </cfRule>
  </conditionalFormatting>
  <conditionalFormatting sqref="C34:C37">
    <cfRule type="expression" dxfId="2285" priority="16">
      <formula>H34=1</formula>
    </cfRule>
  </conditionalFormatting>
  <conditionalFormatting sqref="E34:E37">
    <cfRule type="expression" dxfId="2284" priority="15">
      <formula>H34=1</formula>
    </cfRule>
  </conditionalFormatting>
  <conditionalFormatting sqref="E34:E37">
    <cfRule type="expression" dxfId="2283" priority="14">
      <formula>H34=1</formula>
    </cfRule>
  </conditionalFormatting>
  <conditionalFormatting sqref="D38">
    <cfRule type="expression" dxfId="2282" priority="13">
      <formula>H38=1</formula>
    </cfRule>
  </conditionalFormatting>
  <conditionalFormatting sqref="C38">
    <cfRule type="expression" dxfId="2281" priority="12">
      <formula>H38=1</formula>
    </cfRule>
  </conditionalFormatting>
  <conditionalFormatting sqref="E38">
    <cfRule type="expression" dxfId="2280" priority="11">
      <formula>H38=1</formula>
    </cfRule>
  </conditionalFormatting>
  <conditionalFormatting sqref="E38">
    <cfRule type="expression" dxfId="2279" priority="10">
      <formula>H38=1</formula>
    </cfRule>
  </conditionalFormatting>
  <conditionalFormatting sqref="E24">
    <cfRule type="expression" dxfId="2278" priority="5">
      <formula>H24=1</formula>
    </cfRule>
  </conditionalFormatting>
  <conditionalFormatting sqref="D24">
    <cfRule type="expression" dxfId="2277" priority="9" stopIfTrue="1">
      <formula>IF($H$25=1,0)</formula>
    </cfRule>
  </conditionalFormatting>
  <conditionalFormatting sqref="D24">
    <cfRule type="expression" dxfId="2276" priority="8">
      <formula>H24=1</formula>
    </cfRule>
  </conditionalFormatting>
  <conditionalFormatting sqref="C24">
    <cfRule type="expression" dxfId="2275" priority="7">
      <formula>H24=1</formula>
    </cfRule>
  </conditionalFormatting>
  <conditionalFormatting sqref="E24">
    <cfRule type="expression" dxfId="2274" priority="6">
      <formula>H24=1</formula>
    </cfRule>
  </conditionalFormatting>
  <conditionalFormatting sqref="E23">
    <cfRule type="expression" dxfId="2273" priority="1">
      <formula>H23=1</formula>
    </cfRule>
  </conditionalFormatting>
  <conditionalFormatting sqref="D23">
    <cfRule type="expression" dxfId="2272" priority="4" stopIfTrue="1">
      <formula>IF($H$25=1,0)</formula>
    </cfRule>
  </conditionalFormatting>
  <conditionalFormatting sqref="D23">
    <cfRule type="expression" dxfId="2271" priority="3">
      <formula>H23=1</formula>
    </cfRule>
  </conditionalFormatting>
  <conditionalFormatting sqref="E23">
    <cfRule type="expression" dxfId="2270" priority="2">
      <formula>H23=1</formula>
    </cfRule>
  </conditionalFormatting>
  <pageMargins left="0.7" right="0.7" top="0.75" bottom="0.75" header="0.3" footer="0.3"/>
  <pageSetup scale="68"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7"/>
  <dimension ref="A2:P47"/>
  <sheetViews>
    <sheetView zoomScaleNormal="100" workbookViewId="0">
      <selection activeCell="D29" sqref="D29"/>
    </sheetView>
  </sheetViews>
  <sheetFormatPr defaultRowHeight="15" x14ac:dyDescent="0.25"/>
  <cols>
    <col min="1" max="2" width="4.42578125" customWidth="1"/>
    <col min="3" max="3" width="3" customWidth="1"/>
    <col min="4" max="4" width="24.85546875" customWidth="1"/>
    <col min="5" max="5" width="3" customWidth="1"/>
    <col min="6" max="6" width="15.7109375" customWidth="1"/>
    <col min="7" max="7" width="8.5703125" customWidth="1"/>
    <col min="8" max="8" width="5.85546875" customWidth="1"/>
    <col min="9" max="15" width="15.7109375" customWidth="1"/>
  </cols>
  <sheetData>
    <row r="2" spans="1:16" x14ac:dyDescent="0.25">
      <c r="C2" s="15" t="s">
        <v>32</v>
      </c>
      <c r="E2" s="15"/>
      <c r="F2" s="15"/>
      <c r="G2" s="15" t="s">
        <v>33</v>
      </c>
      <c r="H2" s="15"/>
      <c r="I2" s="15"/>
      <c r="J2" s="15"/>
      <c r="K2" s="15"/>
    </row>
    <row r="3" spans="1:16" ht="18.75" x14ac:dyDescent="0.3">
      <c r="C3" s="3" t="s">
        <v>26</v>
      </c>
      <c r="J3" s="8" t="s">
        <v>17</v>
      </c>
      <c r="P3" s="100"/>
    </row>
    <row r="4" spans="1:16" x14ac:dyDescent="0.25">
      <c r="D4" s="2" t="s">
        <v>0</v>
      </c>
      <c r="E4" s="1"/>
      <c r="F4" t="s">
        <v>1110</v>
      </c>
      <c r="I4" s="2" t="s">
        <v>4</v>
      </c>
      <c r="J4" t="s">
        <v>784</v>
      </c>
    </row>
    <row r="5" spans="1:16" x14ac:dyDescent="0.25">
      <c r="D5" s="2" t="s">
        <v>1</v>
      </c>
      <c r="F5" t="s">
        <v>1111</v>
      </c>
    </row>
    <row r="6" spans="1:16" x14ac:dyDescent="0.25">
      <c r="D6" s="2" t="s">
        <v>2</v>
      </c>
      <c r="F6" s="6">
        <v>43047</v>
      </c>
      <c r="H6" s="11"/>
    </row>
    <row r="7" spans="1:16" x14ac:dyDescent="0.25">
      <c r="D7" s="2" t="s">
        <v>3</v>
      </c>
      <c r="F7" s="5">
        <v>1650000</v>
      </c>
      <c r="G7" s="2" t="s">
        <v>34</v>
      </c>
      <c r="H7" s="11"/>
    </row>
    <row r="8" spans="1:16" x14ac:dyDescent="0.25">
      <c r="D8" s="2" t="s">
        <v>18</v>
      </c>
      <c r="F8" s="5">
        <f>MIN(I23:I43)</f>
        <v>2278990</v>
      </c>
      <c r="H8" s="11"/>
    </row>
    <row r="9" spans="1:16" x14ac:dyDescent="0.25">
      <c r="D9" s="2" t="s">
        <v>67</v>
      </c>
      <c r="F9" s="4">
        <f>+F8-F7</f>
        <v>628990</v>
      </c>
      <c r="G9" s="16">
        <f>+F9/F7</f>
        <v>0.3812060606060606</v>
      </c>
      <c r="H9" s="12" t="s">
        <v>20</v>
      </c>
      <c r="I9" s="11" t="str">
        <f>(IF(G9&lt;-0.1,"FAIL",IF(G9&gt;0.05,"FAIL","GOOD")))</f>
        <v>FAIL</v>
      </c>
      <c r="J9" s="14" t="s">
        <v>72</v>
      </c>
    </row>
    <row r="10" spans="1:16" x14ac:dyDescent="0.25">
      <c r="D10" s="2" t="s">
        <v>68</v>
      </c>
      <c r="F10" s="4">
        <f>+F7-F12</f>
        <v>-1105998</v>
      </c>
      <c r="H10" s="11"/>
    </row>
    <row r="11" spans="1:16" x14ac:dyDescent="0.25">
      <c r="A11" s="52"/>
      <c r="D11" s="2" t="s">
        <v>71</v>
      </c>
      <c r="F11" s="11" t="str">
        <f>(IF(F7&lt;J12,"FAIL",IF(F7&gt;J13,"FAIL","GOOD")))</f>
        <v>FAIL</v>
      </c>
      <c r="H11" s="11"/>
    </row>
    <row r="12" spans="1:16" x14ac:dyDescent="0.25">
      <c r="D12" s="2" t="s">
        <v>28</v>
      </c>
      <c r="F12" s="4">
        <f>SUM(I23:I43)/H12</f>
        <v>2755998</v>
      </c>
      <c r="G12" s="14"/>
      <c r="H12" s="11">
        <f>COUNT(I23:I43)</f>
        <v>5</v>
      </c>
      <c r="I12" s="1" t="s">
        <v>31</v>
      </c>
      <c r="J12" s="4">
        <f>+F8*0.9</f>
        <v>2051091</v>
      </c>
      <c r="K12" s="1" t="s">
        <v>69</v>
      </c>
    </row>
    <row r="13" spans="1:16" x14ac:dyDescent="0.25">
      <c r="D13" s="2" t="s">
        <v>29</v>
      </c>
      <c r="F13" s="4">
        <f>MAX(I23:I43)-MIN(I23:I43)</f>
        <v>781010</v>
      </c>
      <c r="G13" s="399">
        <f>MEDIAN(I23:I43)</f>
        <v>2800000</v>
      </c>
      <c r="H13" s="400"/>
      <c r="I13" s="1" t="s">
        <v>30</v>
      </c>
      <c r="J13" s="4">
        <f>+F12*1.1</f>
        <v>3031597.8000000003</v>
      </c>
      <c r="K13" s="1" t="s">
        <v>70</v>
      </c>
    </row>
    <row r="14" spans="1:16" x14ac:dyDescent="0.25">
      <c r="H14" s="11"/>
    </row>
    <row r="15" spans="1:16" x14ac:dyDescent="0.25">
      <c r="D15" s="2" t="s">
        <v>8</v>
      </c>
      <c r="F15" s="4"/>
      <c r="G15" s="1" t="s">
        <v>9</v>
      </c>
      <c r="H15" s="11"/>
      <c r="I15" t="s">
        <v>15</v>
      </c>
      <c r="J15" s="7" t="e">
        <f>+F16/F15</f>
        <v>#DIV/0!</v>
      </c>
    </row>
    <row r="16" spans="1:16" x14ac:dyDescent="0.25">
      <c r="F16" s="4"/>
      <c r="G16" s="1" t="s">
        <v>10</v>
      </c>
      <c r="H16" s="11"/>
      <c r="I16" t="s">
        <v>14</v>
      </c>
      <c r="J16" s="7" t="e">
        <f>+F17/F16</f>
        <v>#DIV/0!</v>
      </c>
    </row>
    <row r="17" spans="3:15" x14ac:dyDescent="0.25">
      <c r="F17" s="4"/>
      <c r="G17" s="1" t="s">
        <v>11</v>
      </c>
      <c r="H17" s="11"/>
      <c r="I17" t="s">
        <v>13</v>
      </c>
      <c r="J17" s="7" t="e">
        <f>+F18/F17</f>
        <v>#DIV/0!</v>
      </c>
      <c r="M17" s="21"/>
      <c r="N17" s="21"/>
      <c r="O17" s="21"/>
    </row>
    <row r="18" spans="3:15" x14ac:dyDescent="0.25">
      <c r="F18" s="4"/>
      <c r="G18" s="1" t="s">
        <v>12</v>
      </c>
      <c r="H18" s="11"/>
      <c r="I18" t="s">
        <v>16</v>
      </c>
      <c r="J18" s="7" t="e">
        <f>+F8/F18</f>
        <v>#DIV/0!</v>
      </c>
      <c r="M18" s="21"/>
      <c r="N18" s="21"/>
      <c r="O18" s="21"/>
    </row>
    <row r="19" spans="3:15" x14ac:dyDescent="0.25">
      <c r="F19" s="2" t="s">
        <v>51</v>
      </c>
      <c r="G19">
        <v>0</v>
      </c>
      <c r="H19" s="11" t="s">
        <v>52</v>
      </c>
      <c r="I19" t="s">
        <v>41</v>
      </c>
      <c r="J19" s="7" t="e">
        <f>+F8/F15</f>
        <v>#DIV/0!</v>
      </c>
      <c r="M19" s="21"/>
      <c r="N19" s="21"/>
      <c r="O19" s="21"/>
    </row>
    <row r="20" spans="3:15" x14ac:dyDescent="0.25">
      <c r="H20" s="11"/>
      <c r="M20" s="21"/>
      <c r="N20" s="21"/>
      <c r="O20" s="21"/>
    </row>
    <row r="21" spans="3:15" x14ac:dyDescent="0.25">
      <c r="C21" s="9"/>
      <c r="D21" s="13" t="s">
        <v>21</v>
      </c>
      <c r="E21" s="9"/>
      <c r="F21" s="9" t="s">
        <v>22</v>
      </c>
      <c r="G21" s="9" t="s">
        <v>23</v>
      </c>
      <c r="H21" s="13" t="s">
        <v>27</v>
      </c>
      <c r="I21" s="10" t="s">
        <v>24</v>
      </c>
      <c r="J21" s="9"/>
      <c r="K21" s="9"/>
      <c r="L21" s="9"/>
      <c r="M21" s="21"/>
      <c r="N21" s="21"/>
      <c r="O21" s="21"/>
    </row>
    <row r="22" spans="3:15" ht="6" customHeight="1" x14ac:dyDescent="0.25">
      <c r="M22" s="21"/>
      <c r="N22" s="21"/>
      <c r="O22" s="21"/>
    </row>
    <row r="23" spans="3:15" x14ac:dyDescent="0.25">
      <c r="C23" s="33" t="str">
        <f>IF(H23=1,"u","")</f>
        <v/>
      </c>
      <c r="D23" s="11" t="s">
        <v>738</v>
      </c>
      <c r="E23" s="33"/>
      <c r="F23" t="s">
        <v>739</v>
      </c>
      <c r="G23" t="s">
        <v>93</v>
      </c>
      <c r="H23">
        <f>RANK(I23,I$23:I$43,1)</f>
        <v>2</v>
      </c>
      <c r="I23" s="4">
        <v>2656000</v>
      </c>
      <c r="J23" s="4"/>
      <c r="K23" s="4"/>
      <c r="L23" s="4"/>
      <c r="M23" s="22"/>
      <c r="N23" s="22"/>
      <c r="O23" s="22"/>
    </row>
    <row r="24" spans="3:15" x14ac:dyDescent="0.25">
      <c r="C24" s="33" t="str">
        <f>IF(H24=1,"u","")</f>
        <v/>
      </c>
      <c r="D24" s="11" t="s">
        <v>429</v>
      </c>
      <c r="E24" s="33"/>
      <c r="F24" t="s">
        <v>131</v>
      </c>
      <c r="G24" t="s">
        <v>25</v>
      </c>
      <c r="H24">
        <f>RANK(I24,I$23:I$43,1)</f>
        <v>3</v>
      </c>
      <c r="I24" s="4">
        <v>2800000</v>
      </c>
      <c r="J24" s="4"/>
      <c r="K24" s="4"/>
      <c r="L24" s="4"/>
      <c r="M24" s="22"/>
      <c r="N24" s="22"/>
      <c r="O24" s="22"/>
    </row>
    <row r="25" spans="3:15" x14ac:dyDescent="0.25">
      <c r="C25" s="33" t="str">
        <f>IF(H25=1,"u","")</f>
        <v/>
      </c>
      <c r="D25" s="11" t="s">
        <v>1112</v>
      </c>
      <c r="E25" s="33"/>
      <c r="F25" t="s">
        <v>1113</v>
      </c>
      <c r="G25" t="s">
        <v>93</v>
      </c>
      <c r="H25">
        <f>RANK(I25,I$23:I$43,1)</f>
        <v>5</v>
      </c>
      <c r="I25" s="4">
        <v>3060000</v>
      </c>
      <c r="J25" s="4"/>
      <c r="K25" s="4"/>
      <c r="L25" s="4"/>
      <c r="M25" s="22"/>
      <c r="N25" s="22"/>
      <c r="O25" s="22"/>
    </row>
    <row r="26" spans="3:15" x14ac:dyDescent="0.25">
      <c r="C26" s="33"/>
      <c r="D26" s="11" t="s">
        <v>1016</v>
      </c>
      <c r="E26" s="33"/>
      <c r="F26" t="s">
        <v>159</v>
      </c>
      <c r="G26" t="s">
        <v>93</v>
      </c>
      <c r="H26">
        <f>RANK(I26,I$23:I$43,1)</f>
        <v>4</v>
      </c>
      <c r="I26" s="4">
        <v>2985000</v>
      </c>
      <c r="J26" s="4"/>
      <c r="K26" s="4"/>
      <c r="L26" s="4"/>
      <c r="M26" s="22"/>
      <c r="N26" s="22"/>
      <c r="O26" s="22"/>
    </row>
    <row r="27" spans="3:15" x14ac:dyDescent="0.25">
      <c r="C27" s="33"/>
      <c r="D27" s="11" t="s">
        <v>1114</v>
      </c>
      <c r="E27" s="33"/>
      <c r="F27" t="s">
        <v>1115</v>
      </c>
      <c r="G27" t="s">
        <v>25</v>
      </c>
      <c r="H27">
        <f>RANK(I27,I$23:I$43,1)</f>
        <v>1</v>
      </c>
      <c r="I27" s="4">
        <v>2278990</v>
      </c>
      <c r="J27" s="4"/>
      <c r="K27" s="4"/>
      <c r="L27" s="4"/>
      <c r="M27" s="22"/>
      <c r="N27" s="22"/>
      <c r="O27" s="22"/>
    </row>
    <row r="28" spans="3:15" x14ac:dyDescent="0.25">
      <c r="C28" s="33"/>
      <c r="D28" s="11"/>
      <c r="E28" s="33"/>
      <c r="I28" s="4"/>
      <c r="J28" s="4"/>
      <c r="K28" s="4"/>
      <c r="L28" s="4"/>
      <c r="M28" s="22"/>
      <c r="N28" s="22"/>
      <c r="O28" s="22"/>
    </row>
    <row r="29" spans="3:15" x14ac:dyDescent="0.25">
      <c r="C29" s="33" t="str">
        <f t="shared" ref="C29:C43" si="0">IF(H29=1,"u","")</f>
        <v/>
      </c>
      <c r="D29" s="11"/>
      <c r="E29" s="33"/>
      <c r="I29" s="4"/>
      <c r="J29" s="4"/>
      <c r="K29" s="4"/>
      <c r="L29" s="4"/>
      <c r="M29" s="22"/>
      <c r="N29" s="22"/>
      <c r="O29" s="22"/>
    </row>
    <row r="30" spans="3:15" x14ac:dyDescent="0.25">
      <c r="C30" s="33" t="str">
        <f t="shared" si="0"/>
        <v/>
      </c>
      <c r="D30" s="11"/>
      <c r="E30" s="33"/>
      <c r="I30" s="4"/>
      <c r="J30" s="4"/>
      <c r="K30" s="4"/>
      <c r="L30" s="4"/>
      <c r="M30" s="22"/>
      <c r="N30" s="22"/>
      <c r="O30" s="22"/>
    </row>
    <row r="31" spans="3:15" x14ac:dyDescent="0.25">
      <c r="C31" s="33" t="str">
        <f t="shared" si="0"/>
        <v/>
      </c>
      <c r="D31" s="11"/>
      <c r="E31" s="33"/>
      <c r="I31" s="4"/>
      <c r="J31" s="4"/>
      <c r="K31" s="4"/>
      <c r="L31" s="4"/>
      <c r="M31" s="22"/>
      <c r="N31" s="22"/>
      <c r="O31" s="22"/>
    </row>
    <row r="32" spans="3:15" x14ac:dyDescent="0.25">
      <c r="C32" s="33" t="str">
        <f t="shared" si="0"/>
        <v/>
      </c>
      <c r="D32" s="11"/>
      <c r="E32" s="33"/>
      <c r="I32" s="4"/>
      <c r="J32" s="4"/>
      <c r="K32" s="4"/>
      <c r="L32" s="4"/>
      <c r="M32" s="22"/>
      <c r="N32" s="22"/>
      <c r="O32" s="22"/>
    </row>
    <row r="33" spans="3:15" x14ac:dyDescent="0.25">
      <c r="C33" s="33" t="str">
        <f t="shared" si="0"/>
        <v/>
      </c>
      <c r="D33" s="11"/>
      <c r="E33" s="33"/>
      <c r="I33" s="4"/>
      <c r="M33" s="21"/>
      <c r="N33" s="21"/>
      <c r="O33" s="21"/>
    </row>
    <row r="34" spans="3:15" x14ac:dyDescent="0.25">
      <c r="C34" s="33" t="str">
        <f t="shared" si="0"/>
        <v/>
      </c>
      <c r="D34" s="11"/>
      <c r="E34" s="33"/>
      <c r="I34" s="4"/>
      <c r="M34" s="21"/>
      <c r="N34" s="21"/>
      <c r="O34" s="21"/>
    </row>
    <row r="35" spans="3:15" x14ac:dyDescent="0.25">
      <c r="C35" s="33" t="str">
        <f t="shared" si="0"/>
        <v/>
      </c>
      <c r="D35" s="11"/>
      <c r="E35" s="33"/>
      <c r="I35" s="4"/>
      <c r="M35" s="21"/>
      <c r="N35" s="21"/>
      <c r="O35" s="21"/>
    </row>
    <row r="36" spans="3:15" x14ac:dyDescent="0.25">
      <c r="C36" s="33" t="str">
        <f t="shared" si="0"/>
        <v/>
      </c>
      <c r="D36" s="11"/>
      <c r="E36" s="33" t="str">
        <f t="shared" ref="E36:E43" si="1">IF(H36=1,"t","")</f>
        <v/>
      </c>
      <c r="M36" s="21"/>
      <c r="N36" s="21"/>
      <c r="O36" s="21"/>
    </row>
    <row r="37" spans="3:15" x14ac:dyDescent="0.25">
      <c r="C37" s="33" t="str">
        <f t="shared" si="0"/>
        <v/>
      </c>
      <c r="D37" s="11"/>
      <c r="E37" s="33" t="str">
        <f t="shared" si="1"/>
        <v/>
      </c>
      <c r="M37" s="21"/>
      <c r="N37" s="21"/>
      <c r="O37" s="21"/>
    </row>
    <row r="38" spans="3:15" x14ac:dyDescent="0.25">
      <c r="C38" s="33" t="str">
        <f t="shared" si="0"/>
        <v/>
      </c>
      <c r="D38" s="11"/>
      <c r="E38" s="33" t="str">
        <f t="shared" si="1"/>
        <v/>
      </c>
      <c r="M38" s="21"/>
      <c r="N38" s="21"/>
      <c r="O38" s="21"/>
    </row>
    <row r="39" spans="3:15" x14ac:dyDescent="0.25">
      <c r="C39" s="33" t="str">
        <f t="shared" si="0"/>
        <v/>
      </c>
      <c r="D39" s="11"/>
      <c r="E39" s="33" t="str">
        <f t="shared" si="1"/>
        <v/>
      </c>
      <c r="M39" s="21"/>
      <c r="N39" s="21"/>
      <c r="O39" s="21"/>
    </row>
    <row r="40" spans="3:15" x14ac:dyDescent="0.25">
      <c r="C40" s="33" t="str">
        <f t="shared" si="0"/>
        <v/>
      </c>
      <c r="D40" s="11"/>
      <c r="E40" s="33" t="str">
        <f t="shared" si="1"/>
        <v/>
      </c>
      <c r="M40" s="21"/>
      <c r="N40" s="21"/>
      <c r="O40" s="21"/>
    </row>
    <row r="41" spans="3:15" x14ac:dyDescent="0.25">
      <c r="C41" s="33" t="str">
        <f t="shared" si="0"/>
        <v/>
      </c>
      <c r="D41" s="11"/>
      <c r="E41" s="33" t="str">
        <f t="shared" si="1"/>
        <v/>
      </c>
      <c r="M41" s="21"/>
      <c r="N41" s="21"/>
      <c r="O41" s="21"/>
    </row>
    <row r="42" spans="3:15" x14ac:dyDescent="0.25">
      <c r="C42" s="33" t="str">
        <f t="shared" si="0"/>
        <v/>
      </c>
      <c r="D42" s="11"/>
      <c r="E42" s="33" t="str">
        <f t="shared" si="1"/>
        <v/>
      </c>
      <c r="M42" s="21"/>
      <c r="N42" s="21"/>
      <c r="O42" s="21"/>
    </row>
    <row r="43" spans="3:15" x14ac:dyDescent="0.25">
      <c r="C43" s="33" t="str">
        <f t="shared" si="0"/>
        <v/>
      </c>
      <c r="D43" s="11"/>
      <c r="E43" s="33" t="str">
        <f t="shared" si="1"/>
        <v/>
      </c>
      <c r="M43" s="21"/>
      <c r="N43" s="21"/>
      <c r="O43" s="21"/>
    </row>
    <row r="44" spans="3:15" ht="6" customHeight="1" x14ac:dyDescent="0.25">
      <c r="C44" s="9"/>
      <c r="D44" s="9"/>
      <c r="E44" s="9"/>
      <c r="F44" s="9"/>
      <c r="G44" s="9"/>
      <c r="H44" s="9"/>
      <c r="I44" s="9"/>
      <c r="J44" s="9"/>
      <c r="K44" s="9"/>
      <c r="L44" s="9"/>
      <c r="M44" s="21"/>
      <c r="N44" s="21"/>
      <c r="O44" s="21"/>
    </row>
    <row r="45" spans="3:15" ht="6" customHeight="1" x14ac:dyDescent="0.25">
      <c r="M45" s="21"/>
      <c r="N45" s="21"/>
      <c r="O45" s="21"/>
    </row>
    <row r="46" spans="3:15" x14ac:dyDescent="0.25">
      <c r="C46" s="15" t="s">
        <v>79</v>
      </c>
      <c r="M46" s="21"/>
      <c r="N46" s="21"/>
      <c r="O46" s="21"/>
    </row>
    <row r="47" spans="3:15" x14ac:dyDescent="0.25">
      <c r="C47" s="15" t="s">
        <v>78</v>
      </c>
    </row>
  </sheetData>
  <mergeCells count="1">
    <mergeCell ref="G13:H13"/>
  </mergeCells>
  <conditionalFormatting sqref="I9">
    <cfRule type="containsText" dxfId="2179" priority="18" operator="containsText" text="FAIL">
      <formula>NOT(ISERROR(SEARCH("FAIL",I9)))</formula>
    </cfRule>
  </conditionalFormatting>
  <conditionalFormatting sqref="I9">
    <cfRule type="containsText" dxfId="2178" priority="17" operator="containsText" text="GOOD">
      <formula>NOT(ISERROR(SEARCH("GOOD",I9)))</formula>
    </cfRule>
  </conditionalFormatting>
  <conditionalFormatting sqref="F11">
    <cfRule type="containsText" dxfId="2177" priority="16" operator="containsText" text="FAIL">
      <formula>NOT(ISERROR(SEARCH("FAIL",F11)))</formula>
    </cfRule>
  </conditionalFormatting>
  <conditionalFormatting sqref="F11">
    <cfRule type="containsText" dxfId="2176" priority="15" operator="containsText" text="GOOD">
      <formula>NOT(ISERROR(SEARCH("GOOD",F11)))</formula>
    </cfRule>
  </conditionalFormatting>
  <conditionalFormatting sqref="D25">
    <cfRule type="expression" dxfId="2175" priority="14" stopIfTrue="1">
      <formula>IF($H$25=1,0)</formula>
    </cfRule>
  </conditionalFormatting>
  <conditionalFormatting sqref="D23 D29:D43 D25">
    <cfRule type="expression" dxfId="2174" priority="13">
      <formula>H23=1</formula>
    </cfRule>
  </conditionalFormatting>
  <conditionalFormatting sqref="C23:C26 C29:C43">
    <cfRule type="expression" dxfId="2173" priority="12">
      <formula>H23=1</formula>
    </cfRule>
  </conditionalFormatting>
  <conditionalFormatting sqref="E23 E29:E43 E25">
    <cfRule type="expression" dxfId="2172" priority="11">
      <formula>H23=1</formula>
    </cfRule>
  </conditionalFormatting>
  <conditionalFormatting sqref="F11">
    <cfRule type="containsText" dxfId="2171" priority="10" operator="containsText" text="FAIL">
      <formula>NOT(ISERROR(SEARCH("FAIL",F11)))</formula>
    </cfRule>
  </conditionalFormatting>
  <conditionalFormatting sqref="F11">
    <cfRule type="containsText" dxfId="2170" priority="9" operator="containsText" text="GOOD">
      <formula>NOT(ISERROR(SEARCH("GOOD",F11)))</formula>
    </cfRule>
  </conditionalFormatting>
  <conditionalFormatting sqref="D27:D28">
    <cfRule type="expression" dxfId="2169" priority="8">
      <formula>H27=1</formula>
    </cfRule>
  </conditionalFormatting>
  <conditionalFormatting sqref="C27:C28">
    <cfRule type="expression" dxfId="2168" priority="7">
      <formula>H27=1</formula>
    </cfRule>
  </conditionalFormatting>
  <conditionalFormatting sqref="E27:E28">
    <cfRule type="expression" dxfId="2167" priority="6">
      <formula>H27=1</formula>
    </cfRule>
  </conditionalFormatting>
  <conditionalFormatting sqref="D24">
    <cfRule type="expression" dxfId="2166" priority="5" stopIfTrue="1">
      <formula>IF($H$25=1,0)</formula>
    </cfRule>
  </conditionalFormatting>
  <conditionalFormatting sqref="D24">
    <cfRule type="expression" dxfId="2165" priority="4">
      <formula>H24=1</formula>
    </cfRule>
  </conditionalFormatting>
  <conditionalFormatting sqref="E24">
    <cfRule type="expression" dxfId="2164" priority="3">
      <formula>H24=1</formula>
    </cfRule>
  </conditionalFormatting>
  <conditionalFormatting sqref="D26">
    <cfRule type="expression" dxfId="2163" priority="2">
      <formula>H26=1</formula>
    </cfRule>
  </conditionalFormatting>
  <conditionalFormatting sqref="E26">
    <cfRule type="expression" dxfId="2162" priority="1">
      <formula>H26=1</formula>
    </cfRule>
  </conditionalFormatting>
  <pageMargins left="0.7" right="0.7" top="0.75" bottom="0.75" header="0.3" footer="0.3"/>
  <pageSetup scale="68"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300-000000000000}">
  <sheetPr codeName="Sheet101"/>
  <dimension ref="A2:O47"/>
  <sheetViews>
    <sheetView zoomScaleNormal="100" workbookViewId="0">
      <selection activeCell="I29" sqref="I29"/>
    </sheetView>
  </sheetViews>
  <sheetFormatPr defaultRowHeight="15" x14ac:dyDescent="0.25"/>
  <cols>
    <col min="1" max="2" width="4.42578125" customWidth="1"/>
    <col min="3" max="3" width="3" customWidth="1"/>
    <col min="4" max="4" width="24.85546875" customWidth="1"/>
    <col min="5" max="5" width="3" customWidth="1"/>
    <col min="6" max="6" width="15.7109375" customWidth="1"/>
    <col min="7" max="7" width="8.5703125" customWidth="1"/>
    <col min="8" max="8" width="5.85546875" customWidth="1"/>
    <col min="9" max="15" width="15.7109375" customWidth="1"/>
  </cols>
  <sheetData>
    <row r="2" spans="1:11" x14ac:dyDescent="0.25">
      <c r="C2" s="15" t="s">
        <v>32</v>
      </c>
      <c r="E2" s="15"/>
      <c r="F2" s="15"/>
      <c r="G2" s="15" t="s">
        <v>33</v>
      </c>
      <c r="H2" s="15"/>
      <c r="I2" s="15"/>
      <c r="J2" s="15"/>
      <c r="K2" s="15"/>
    </row>
    <row r="3" spans="1:11" ht="18.75" x14ac:dyDescent="0.3">
      <c r="C3" s="3" t="s">
        <v>26</v>
      </c>
      <c r="J3" s="8" t="s">
        <v>17</v>
      </c>
    </row>
    <row r="4" spans="1:11" x14ac:dyDescent="0.25">
      <c r="D4" s="2" t="s">
        <v>0</v>
      </c>
      <c r="E4" s="1"/>
      <c r="F4" t="s">
        <v>716</v>
      </c>
      <c r="I4" s="2" t="s">
        <v>4</v>
      </c>
      <c r="J4" t="s">
        <v>630</v>
      </c>
    </row>
    <row r="5" spans="1:11" x14ac:dyDescent="0.25">
      <c r="D5" s="2" t="s">
        <v>1</v>
      </c>
      <c r="F5" t="s">
        <v>717</v>
      </c>
    </row>
    <row r="6" spans="1:11" x14ac:dyDescent="0.25">
      <c r="D6" s="2" t="s">
        <v>2</v>
      </c>
      <c r="F6" s="6">
        <v>42593</v>
      </c>
      <c r="H6" s="11"/>
    </row>
    <row r="7" spans="1:11" x14ac:dyDescent="0.25">
      <c r="D7" s="2" t="s">
        <v>3</v>
      </c>
      <c r="F7" s="5">
        <v>1450000</v>
      </c>
      <c r="G7" s="2" t="s">
        <v>34</v>
      </c>
      <c r="H7" s="11"/>
    </row>
    <row r="8" spans="1:11" x14ac:dyDescent="0.25">
      <c r="D8" s="2" t="s">
        <v>18</v>
      </c>
      <c r="F8" s="5">
        <f>MIN(I23:I43)</f>
        <v>763000</v>
      </c>
      <c r="H8" s="11"/>
    </row>
    <row r="9" spans="1:11" x14ac:dyDescent="0.25">
      <c r="D9" s="2" t="s">
        <v>67</v>
      </c>
      <c r="F9" s="4">
        <f>+F8-F7</f>
        <v>-687000</v>
      </c>
      <c r="G9" s="16">
        <f>+F9/F7</f>
        <v>-0.47379310344827585</v>
      </c>
      <c r="H9" s="12" t="s">
        <v>20</v>
      </c>
      <c r="I9" s="11" t="str">
        <f>(IF(G9&lt;-0.1,"FAIL",IF(G9&gt;0.05,"FAIL","GOOD")))</f>
        <v>FAIL</v>
      </c>
      <c r="J9" s="14" t="s">
        <v>72</v>
      </c>
    </row>
    <row r="10" spans="1:11" x14ac:dyDescent="0.25">
      <c r="D10" s="2" t="s">
        <v>68</v>
      </c>
      <c r="F10" s="4">
        <f>+F7-F12</f>
        <v>-405432</v>
      </c>
      <c r="H10" s="11"/>
    </row>
    <row r="11" spans="1:11" x14ac:dyDescent="0.25">
      <c r="A11" s="52"/>
      <c r="D11" s="2" t="s">
        <v>71</v>
      </c>
      <c r="F11" s="11" t="str">
        <f>(IF(F7&lt;J12,"FAIL",IF(F7&gt;J13,"FAIL","GOOD")))</f>
        <v>GOOD</v>
      </c>
      <c r="H11" s="11"/>
    </row>
    <row r="12" spans="1:11" x14ac:dyDescent="0.25">
      <c r="D12" s="2" t="s">
        <v>28</v>
      </c>
      <c r="F12" s="4">
        <f>SUM(I23:I43)/H12</f>
        <v>1855432</v>
      </c>
      <c r="G12" s="14"/>
      <c r="H12" s="11">
        <f>COUNT(I23:I43)</f>
        <v>6</v>
      </c>
      <c r="I12" s="1" t="s">
        <v>31</v>
      </c>
      <c r="J12" s="4">
        <f>+F8*0.9</f>
        <v>686700</v>
      </c>
      <c r="K12" s="1" t="s">
        <v>69</v>
      </c>
    </row>
    <row r="13" spans="1:11" x14ac:dyDescent="0.25">
      <c r="D13" s="2" t="s">
        <v>29</v>
      </c>
      <c r="F13" s="4">
        <f>MAX(I23:I43)-MIN(I23:I43)</f>
        <v>2670000</v>
      </c>
      <c r="G13" s="399">
        <f>MEDIAN(I23:I43)</f>
        <v>1619916</v>
      </c>
      <c r="H13" s="400"/>
      <c r="I13" s="1" t="s">
        <v>30</v>
      </c>
      <c r="J13" s="4">
        <f>+F12*1.1</f>
        <v>2040975.2000000002</v>
      </c>
      <c r="K13" s="1" t="s">
        <v>70</v>
      </c>
    </row>
    <row r="14" spans="1:11" x14ac:dyDescent="0.25">
      <c r="H14" s="11"/>
    </row>
    <row r="15" spans="1:11" x14ac:dyDescent="0.25">
      <c r="D15" s="2" t="s">
        <v>8</v>
      </c>
      <c r="F15" s="4"/>
      <c r="G15" s="1" t="s">
        <v>9</v>
      </c>
      <c r="H15" s="11"/>
      <c r="I15" t="s">
        <v>15</v>
      </c>
      <c r="J15" s="7" t="e">
        <f>+F16/F15</f>
        <v>#DIV/0!</v>
      </c>
    </row>
    <row r="16" spans="1:11" x14ac:dyDescent="0.25">
      <c r="F16" s="4"/>
      <c r="G16" s="1" t="s">
        <v>10</v>
      </c>
      <c r="H16" s="11"/>
      <c r="I16" t="s">
        <v>14</v>
      </c>
      <c r="J16" s="7" t="e">
        <f>+F17/F16</f>
        <v>#DIV/0!</v>
      </c>
    </row>
    <row r="17" spans="3:15" x14ac:dyDescent="0.25">
      <c r="F17" s="4"/>
      <c r="G17" s="1" t="s">
        <v>11</v>
      </c>
      <c r="H17" s="11"/>
      <c r="I17" t="s">
        <v>13</v>
      </c>
      <c r="J17" s="7" t="e">
        <f>+F18/F17</f>
        <v>#DIV/0!</v>
      </c>
      <c r="M17" s="21"/>
      <c r="N17" s="21"/>
      <c r="O17" s="21"/>
    </row>
    <row r="18" spans="3:15" x14ac:dyDescent="0.25">
      <c r="F18" s="4"/>
      <c r="G18" s="1" t="s">
        <v>12</v>
      </c>
      <c r="H18" s="11"/>
      <c r="I18" t="s">
        <v>16</v>
      </c>
      <c r="J18" s="7" t="e">
        <f>+F8/F18</f>
        <v>#DIV/0!</v>
      </c>
      <c r="M18" s="21"/>
      <c r="N18" s="21"/>
      <c r="O18" s="21"/>
    </row>
    <row r="19" spans="3:15" x14ac:dyDescent="0.25">
      <c r="F19" s="2" t="s">
        <v>51</v>
      </c>
      <c r="G19">
        <v>0</v>
      </c>
      <c r="H19" s="11" t="s">
        <v>52</v>
      </c>
      <c r="I19" t="s">
        <v>41</v>
      </c>
      <c r="J19" s="7" t="e">
        <f>+F8/F15</f>
        <v>#DIV/0!</v>
      </c>
      <c r="M19" s="21"/>
      <c r="N19" s="21"/>
      <c r="O19" s="21"/>
    </row>
    <row r="20" spans="3:15" x14ac:dyDescent="0.25">
      <c r="H20" s="11"/>
      <c r="M20" s="21"/>
      <c r="N20" s="21"/>
      <c r="O20" s="21"/>
    </row>
    <row r="21" spans="3:15" x14ac:dyDescent="0.25">
      <c r="C21" s="9"/>
      <c r="D21" s="13" t="s">
        <v>21</v>
      </c>
      <c r="E21" s="9"/>
      <c r="F21" s="9" t="s">
        <v>22</v>
      </c>
      <c r="G21" s="9" t="s">
        <v>23</v>
      </c>
      <c r="H21" s="13" t="s">
        <v>27</v>
      </c>
      <c r="I21" s="10" t="s">
        <v>24</v>
      </c>
      <c r="J21" s="9"/>
      <c r="K21" s="9"/>
      <c r="L21" s="9"/>
      <c r="M21" s="21"/>
      <c r="N21" s="21"/>
      <c r="O21" s="21"/>
    </row>
    <row r="22" spans="3:15" ht="6" customHeight="1" x14ac:dyDescent="0.25">
      <c r="M22" s="21"/>
      <c r="N22" s="21"/>
      <c r="O22" s="21"/>
    </row>
    <row r="23" spans="3:15" x14ac:dyDescent="0.25">
      <c r="C23" s="33" t="str">
        <f>IF(H23=1,"u","")</f>
        <v/>
      </c>
      <c r="D23" s="11" t="s">
        <v>718</v>
      </c>
      <c r="E23" s="33"/>
      <c r="F23" t="s">
        <v>501</v>
      </c>
      <c r="G23" t="s">
        <v>93</v>
      </c>
      <c r="H23">
        <f t="shared" ref="H23:H28" si="0">RANK(I23,I$23:I$43,1)</f>
        <v>6</v>
      </c>
      <c r="I23" s="4">
        <v>3433000</v>
      </c>
      <c r="J23" s="4"/>
      <c r="K23" s="4"/>
      <c r="L23" s="4"/>
      <c r="M23" s="22"/>
      <c r="N23" s="22"/>
      <c r="O23" s="22"/>
    </row>
    <row r="24" spans="3:15" x14ac:dyDescent="0.25">
      <c r="C24" s="33" t="str">
        <f>IF(H24=1,"u","")</f>
        <v/>
      </c>
      <c r="D24" s="11" t="s">
        <v>439</v>
      </c>
      <c r="E24" s="33"/>
      <c r="F24" t="s">
        <v>147</v>
      </c>
      <c r="G24" t="s">
        <v>93</v>
      </c>
      <c r="H24">
        <f t="shared" si="0"/>
        <v>2</v>
      </c>
      <c r="I24" s="4">
        <v>1291760</v>
      </c>
      <c r="J24" s="4"/>
      <c r="K24" s="4"/>
      <c r="L24" s="4"/>
      <c r="M24" s="22"/>
      <c r="N24" s="22"/>
      <c r="O24" s="22"/>
    </row>
    <row r="25" spans="3:15" x14ac:dyDescent="0.25">
      <c r="C25" s="33" t="str">
        <f>IF(H25=1,"u","")</f>
        <v/>
      </c>
      <c r="D25" s="11" t="s">
        <v>427</v>
      </c>
      <c r="E25" s="33"/>
      <c r="F25" t="s">
        <v>85</v>
      </c>
      <c r="G25" t="s">
        <v>25</v>
      </c>
      <c r="H25">
        <f t="shared" si="0"/>
        <v>5</v>
      </c>
      <c r="I25" s="4">
        <v>2405000</v>
      </c>
      <c r="J25" s="4"/>
      <c r="K25" s="4"/>
      <c r="L25" s="4"/>
      <c r="M25" s="22"/>
      <c r="N25" s="22"/>
      <c r="O25" s="22"/>
    </row>
    <row r="26" spans="3:15" x14ac:dyDescent="0.25">
      <c r="C26" s="33" t="str">
        <f t="shared" ref="C26:C43" si="1">IF(H26=1,"u","")</f>
        <v>u</v>
      </c>
      <c r="D26" s="11" t="s">
        <v>528</v>
      </c>
      <c r="E26" s="33"/>
      <c r="F26" t="s">
        <v>159</v>
      </c>
      <c r="G26" t="s">
        <v>93</v>
      </c>
      <c r="H26">
        <f t="shared" si="0"/>
        <v>1</v>
      </c>
      <c r="I26" s="4">
        <v>763000</v>
      </c>
      <c r="J26" s="4"/>
      <c r="K26" s="4"/>
      <c r="L26" s="4"/>
      <c r="M26" s="22"/>
      <c r="N26" s="22"/>
      <c r="O26" s="22"/>
    </row>
    <row r="27" spans="3:15" x14ac:dyDescent="0.25">
      <c r="C27" s="33" t="str">
        <f t="shared" si="1"/>
        <v/>
      </c>
      <c r="D27" s="11" t="s">
        <v>437</v>
      </c>
      <c r="E27" s="33"/>
      <c r="F27" t="s">
        <v>161</v>
      </c>
      <c r="G27" t="s">
        <v>93</v>
      </c>
      <c r="H27">
        <f t="shared" si="0"/>
        <v>3</v>
      </c>
      <c r="I27" s="4">
        <v>1345000</v>
      </c>
      <c r="J27" s="4"/>
      <c r="K27" s="4"/>
      <c r="L27" s="4"/>
      <c r="M27" s="22"/>
      <c r="N27" s="22"/>
      <c r="O27" s="22"/>
    </row>
    <row r="28" spans="3:15" x14ac:dyDescent="0.25">
      <c r="C28" s="33" t="str">
        <f t="shared" si="1"/>
        <v/>
      </c>
      <c r="D28" s="11" t="s">
        <v>440</v>
      </c>
      <c r="E28" s="33"/>
      <c r="F28" t="s">
        <v>193</v>
      </c>
      <c r="G28" t="s">
        <v>25</v>
      </c>
      <c r="H28">
        <f t="shared" si="0"/>
        <v>4</v>
      </c>
      <c r="I28" s="4">
        <v>1894832</v>
      </c>
      <c r="J28" s="4"/>
      <c r="K28" s="4"/>
      <c r="L28" s="4"/>
      <c r="M28" s="22"/>
      <c r="N28" s="22"/>
      <c r="O28" s="22"/>
    </row>
    <row r="29" spans="3:15" x14ac:dyDescent="0.25">
      <c r="C29" s="33" t="str">
        <f t="shared" si="1"/>
        <v/>
      </c>
      <c r="D29" s="11"/>
      <c r="E29" s="33"/>
      <c r="I29" s="4"/>
      <c r="J29" s="4"/>
      <c r="K29" s="4"/>
      <c r="L29" s="4"/>
      <c r="M29" s="22"/>
      <c r="N29" s="22"/>
      <c r="O29" s="22"/>
    </row>
    <row r="30" spans="3:15" x14ac:dyDescent="0.25">
      <c r="C30" s="33" t="str">
        <f t="shared" si="1"/>
        <v/>
      </c>
      <c r="D30" s="11"/>
      <c r="E30" s="33"/>
      <c r="I30" s="4"/>
      <c r="J30" s="4"/>
      <c r="K30" s="4"/>
      <c r="L30" s="4"/>
      <c r="M30" s="22"/>
      <c r="N30" s="22"/>
      <c r="O30" s="22"/>
    </row>
    <row r="31" spans="3:15" x14ac:dyDescent="0.25">
      <c r="C31" s="33" t="str">
        <f t="shared" si="1"/>
        <v/>
      </c>
      <c r="D31" s="11"/>
      <c r="E31" s="33"/>
      <c r="I31" s="4"/>
      <c r="J31" s="4"/>
      <c r="K31" s="4"/>
      <c r="L31" s="4"/>
      <c r="M31" s="22"/>
      <c r="N31" s="22"/>
      <c r="O31" s="22"/>
    </row>
    <row r="32" spans="3:15" x14ac:dyDescent="0.25">
      <c r="C32" s="33" t="str">
        <f t="shared" si="1"/>
        <v/>
      </c>
      <c r="D32" s="11"/>
      <c r="E32" s="33"/>
      <c r="I32" s="4"/>
      <c r="J32" s="4"/>
      <c r="K32" s="4"/>
      <c r="L32" s="4"/>
      <c r="M32" s="22"/>
      <c r="N32" s="22"/>
      <c r="O32" s="22"/>
    </row>
    <row r="33" spans="3:15" x14ac:dyDescent="0.25">
      <c r="C33" s="33" t="str">
        <f t="shared" si="1"/>
        <v/>
      </c>
      <c r="D33" s="11"/>
      <c r="E33" s="33"/>
      <c r="I33" s="4"/>
      <c r="M33" s="21"/>
      <c r="N33" s="21"/>
      <c r="O33" s="21"/>
    </row>
    <row r="34" spans="3:15" x14ac:dyDescent="0.25">
      <c r="C34" s="33" t="str">
        <f t="shared" si="1"/>
        <v/>
      </c>
      <c r="D34" s="11"/>
      <c r="E34" s="33" t="str">
        <f t="shared" ref="E34:E43" si="2">IF(H34=1,"t","")</f>
        <v/>
      </c>
      <c r="M34" s="21"/>
      <c r="N34" s="21"/>
      <c r="O34" s="21"/>
    </row>
    <row r="35" spans="3:15" x14ac:dyDescent="0.25">
      <c r="C35" s="33" t="str">
        <f t="shared" si="1"/>
        <v/>
      </c>
      <c r="D35" s="11"/>
      <c r="E35" s="33" t="str">
        <f t="shared" si="2"/>
        <v/>
      </c>
      <c r="M35" s="21"/>
      <c r="N35" s="21"/>
      <c r="O35" s="21"/>
    </row>
    <row r="36" spans="3:15" x14ac:dyDescent="0.25">
      <c r="C36" s="33" t="str">
        <f t="shared" si="1"/>
        <v/>
      </c>
      <c r="D36" s="11"/>
      <c r="E36" s="33" t="str">
        <f t="shared" si="2"/>
        <v/>
      </c>
      <c r="M36" s="21"/>
      <c r="N36" s="21"/>
      <c r="O36" s="21"/>
    </row>
    <row r="37" spans="3:15" x14ac:dyDescent="0.25">
      <c r="C37" s="33" t="str">
        <f t="shared" si="1"/>
        <v/>
      </c>
      <c r="D37" s="11"/>
      <c r="E37" s="33" t="str">
        <f t="shared" si="2"/>
        <v/>
      </c>
      <c r="M37" s="21"/>
      <c r="N37" s="21"/>
      <c r="O37" s="21"/>
    </row>
    <row r="38" spans="3:15" x14ac:dyDescent="0.25">
      <c r="C38" s="33" t="str">
        <f t="shared" si="1"/>
        <v/>
      </c>
      <c r="D38" s="11"/>
      <c r="E38" s="33" t="str">
        <f t="shared" si="2"/>
        <v/>
      </c>
      <c r="M38" s="21"/>
      <c r="N38" s="21"/>
      <c r="O38" s="21"/>
    </row>
    <row r="39" spans="3:15" x14ac:dyDescent="0.25">
      <c r="C39" s="33" t="str">
        <f t="shared" si="1"/>
        <v/>
      </c>
      <c r="D39" s="11"/>
      <c r="E39" s="33" t="str">
        <f t="shared" si="2"/>
        <v/>
      </c>
      <c r="M39" s="21"/>
      <c r="N39" s="21"/>
      <c r="O39" s="21"/>
    </row>
    <row r="40" spans="3:15" x14ac:dyDescent="0.25">
      <c r="C40" s="33" t="str">
        <f t="shared" si="1"/>
        <v/>
      </c>
      <c r="D40" s="11"/>
      <c r="E40" s="33" t="str">
        <f t="shared" si="2"/>
        <v/>
      </c>
      <c r="M40" s="21"/>
      <c r="N40" s="21"/>
      <c r="O40" s="21"/>
    </row>
    <row r="41" spans="3:15" x14ac:dyDescent="0.25">
      <c r="C41" s="33" t="str">
        <f t="shared" si="1"/>
        <v/>
      </c>
      <c r="D41" s="11"/>
      <c r="E41" s="33" t="str">
        <f t="shared" si="2"/>
        <v/>
      </c>
      <c r="M41" s="21"/>
      <c r="N41" s="21"/>
      <c r="O41" s="21"/>
    </row>
    <row r="42" spans="3:15" x14ac:dyDescent="0.25">
      <c r="C42" s="33" t="str">
        <f t="shared" si="1"/>
        <v/>
      </c>
      <c r="D42" s="11"/>
      <c r="E42" s="33" t="str">
        <f t="shared" si="2"/>
        <v/>
      </c>
      <c r="M42" s="21"/>
      <c r="N42" s="21"/>
      <c r="O42" s="21"/>
    </row>
    <row r="43" spans="3:15" x14ac:dyDescent="0.25">
      <c r="C43" s="33" t="str">
        <f t="shared" si="1"/>
        <v/>
      </c>
      <c r="D43" s="11"/>
      <c r="E43" s="33" t="str">
        <f t="shared" si="2"/>
        <v/>
      </c>
      <c r="M43" s="21"/>
      <c r="N43" s="21"/>
      <c r="O43" s="21"/>
    </row>
    <row r="44" spans="3:15" ht="6" customHeight="1" x14ac:dyDescent="0.25">
      <c r="C44" s="9"/>
      <c r="D44" s="9"/>
      <c r="E44" s="9"/>
      <c r="F44" s="9"/>
      <c r="G44" s="9"/>
      <c r="H44" s="9"/>
      <c r="I44" s="9"/>
      <c r="J44" s="9"/>
      <c r="K44" s="9"/>
      <c r="L44" s="9"/>
      <c r="M44" s="21"/>
      <c r="N44" s="21"/>
      <c r="O44" s="21"/>
    </row>
    <row r="45" spans="3:15" ht="6" customHeight="1" x14ac:dyDescent="0.25">
      <c r="M45" s="21"/>
      <c r="N45" s="21"/>
      <c r="O45" s="21"/>
    </row>
    <row r="46" spans="3:15" x14ac:dyDescent="0.25">
      <c r="C46" s="15" t="s">
        <v>79</v>
      </c>
      <c r="M46" s="21"/>
      <c r="N46" s="21"/>
      <c r="O46" s="21"/>
    </row>
    <row r="47" spans="3:15" x14ac:dyDescent="0.25">
      <c r="C47" s="15" t="s">
        <v>78</v>
      </c>
    </row>
  </sheetData>
  <mergeCells count="1">
    <mergeCell ref="G13:H13"/>
  </mergeCells>
  <conditionalFormatting sqref="I9">
    <cfRule type="containsText" dxfId="913" priority="10" operator="containsText" text="FAIL">
      <formula>NOT(ISERROR(SEARCH("FAIL",I9)))</formula>
    </cfRule>
  </conditionalFormatting>
  <conditionalFormatting sqref="I9">
    <cfRule type="containsText" dxfId="912" priority="9" operator="containsText" text="GOOD">
      <formula>NOT(ISERROR(SEARCH("GOOD",I9)))</formula>
    </cfRule>
  </conditionalFormatting>
  <conditionalFormatting sqref="F11">
    <cfRule type="containsText" dxfId="911" priority="8" operator="containsText" text="FAIL">
      <formula>NOT(ISERROR(SEARCH("FAIL",F11)))</formula>
    </cfRule>
  </conditionalFormatting>
  <conditionalFormatting sqref="F11">
    <cfRule type="containsText" dxfId="910" priority="7" operator="containsText" text="GOOD">
      <formula>NOT(ISERROR(SEARCH("GOOD",F11)))</formula>
    </cfRule>
  </conditionalFormatting>
  <conditionalFormatting sqref="D25">
    <cfRule type="expression" dxfId="909" priority="6" stopIfTrue="1">
      <formula>IF($H$25=1,0)</formula>
    </cfRule>
  </conditionalFormatting>
  <conditionalFormatting sqref="D23:D43">
    <cfRule type="expression" dxfId="908" priority="5">
      <formula>H23=1</formula>
    </cfRule>
  </conditionalFormatting>
  <conditionalFormatting sqref="C23:C43">
    <cfRule type="expression" dxfId="907" priority="4">
      <formula>H23=1</formula>
    </cfRule>
  </conditionalFormatting>
  <conditionalFormatting sqref="E23:E43">
    <cfRule type="expression" dxfId="906" priority="3">
      <formula>H23=1</formula>
    </cfRule>
  </conditionalFormatting>
  <conditionalFormatting sqref="F11">
    <cfRule type="containsText" dxfId="905" priority="2" operator="containsText" text="FAIL">
      <formula>NOT(ISERROR(SEARCH("FAIL",F11)))</formula>
    </cfRule>
  </conditionalFormatting>
  <conditionalFormatting sqref="F11">
    <cfRule type="containsText" dxfId="904" priority="1" operator="containsText" text="GOOD">
      <formula>NOT(ISERROR(SEARCH("GOOD",F11)))</formula>
    </cfRule>
  </conditionalFormatting>
  <pageMargins left="0.7" right="0.7" top="0.75" bottom="0.75" header="0.3" footer="0.3"/>
  <pageSetup scale="68"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700-000000000000}">
  <sheetPr codeName="Sheet105"/>
  <dimension ref="A2:O47"/>
  <sheetViews>
    <sheetView workbookViewId="0">
      <selection activeCell="L33" sqref="L33"/>
    </sheetView>
  </sheetViews>
  <sheetFormatPr defaultRowHeight="15" x14ac:dyDescent="0.25"/>
  <cols>
    <col min="1" max="2" width="4.42578125" customWidth="1"/>
    <col min="3" max="3" width="3" customWidth="1"/>
    <col min="4" max="4" width="24.7109375" customWidth="1"/>
    <col min="5" max="5" width="3" customWidth="1"/>
    <col min="6" max="6" width="15.7109375" customWidth="1"/>
    <col min="7" max="7" width="8.5703125" customWidth="1"/>
    <col min="8" max="8" width="5.85546875" customWidth="1"/>
    <col min="9" max="15" width="15.7109375" customWidth="1"/>
  </cols>
  <sheetData>
    <row r="2" spans="1:11" x14ac:dyDescent="0.25">
      <c r="C2" s="15" t="s">
        <v>32</v>
      </c>
      <c r="E2" s="15"/>
      <c r="F2" s="15"/>
      <c r="G2" s="15" t="s">
        <v>33</v>
      </c>
      <c r="H2" s="15"/>
      <c r="I2" s="15"/>
      <c r="J2" s="15"/>
      <c r="K2" s="15"/>
    </row>
    <row r="3" spans="1:11" ht="18.75" x14ac:dyDescent="0.3">
      <c r="C3" s="3" t="s">
        <v>26</v>
      </c>
      <c r="J3" s="8" t="s">
        <v>47</v>
      </c>
    </row>
    <row r="4" spans="1:11" x14ac:dyDescent="0.25">
      <c r="D4" s="2" t="s">
        <v>0</v>
      </c>
      <c r="E4" s="1"/>
      <c r="F4" t="s">
        <v>691</v>
      </c>
      <c r="I4" s="2" t="s">
        <v>4</v>
      </c>
      <c r="J4" t="s">
        <v>630</v>
      </c>
    </row>
    <row r="5" spans="1:11" x14ac:dyDescent="0.25">
      <c r="D5" s="2" t="s">
        <v>1</v>
      </c>
      <c r="F5" t="s">
        <v>692</v>
      </c>
    </row>
    <row r="6" spans="1:11" x14ac:dyDescent="0.25">
      <c r="D6" s="2" t="s">
        <v>2</v>
      </c>
      <c r="F6" s="6">
        <v>42579</v>
      </c>
      <c r="H6" s="11"/>
    </row>
    <row r="7" spans="1:11" x14ac:dyDescent="0.25">
      <c r="D7" s="2" t="s">
        <v>3</v>
      </c>
      <c r="F7" s="5">
        <f>+I7+J7</f>
        <v>1636000</v>
      </c>
      <c r="G7" s="2" t="s">
        <v>693</v>
      </c>
      <c r="H7" s="11"/>
      <c r="I7" s="19">
        <v>530000</v>
      </c>
      <c r="J7" s="19">
        <v>1106000</v>
      </c>
    </row>
    <row r="8" spans="1:11" x14ac:dyDescent="0.25">
      <c r="D8" s="2" t="s">
        <v>18</v>
      </c>
      <c r="F8" s="5">
        <f>MIN(K23:K43)</f>
        <v>1365000</v>
      </c>
      <c r="H8" s="11"/>
      <c r="I8" s="18" t="s">
        <v>43</v>
      </c>
      <c r="J8" s="18" t="s">
        <v>44</v>
      </c>
    </row>
    <row r="9" spans="1:11" x14ac:dyDescent="0.25">
      <c r="D9" s="2" t="s">
        <v>19</v>
      </c>
      <c r="F9" s="4">
        <f>+F8-F7</f>
        <v>-271000</v>
      </c>
      <c r="G9" s="16">
        <f>+F9/F7</f>
        <v>-0.1656479217603912</v>
      </c>
      <c r="H9" s="12" t="s">
        <v>20</v>
      </c>
      <c r="I9" s="11" t="str">
        <f>(IF(G9&lt;-0.1,"FAIL",IF(G9&gt;0.05,"FAIL","GOOD")))</f>
        <v>FAIL</v>
      </c>
      <c r="J9" s="14" t="s">
        <v>72</v>
      </c>
    </row>
    <row r="10" spans="1:11" x14ac:dyDescent="0.25">
      <c r="D10" s="2" t="s">
        <v>68</v>
      </c>
      <c r="F10" s="4">
        <f>+F7-F12</f>
        <v>-213733.66666666674</v>
      </c>
      <c r="H10" s="11"/>
    </row>
    <row r="11" spans="1:11" x14ac:dyDescent="0.25">
      <c r="A11" s="30"/>
      <c r="D11" s="2" t="s">
        <v>71</v>
      </c>
      <c r="F11" s="11" t="str">
        <f>(IF(F7&lt;J12,"FAIL",IF(F7&gt;J13,"FAIL","GOOD")))</f>
        <v>GOOD</v>
      </c>
      <c r="H11" s="11"/>
    </row>
    <row r="12" spans="1:11" x14ac:dyDescent="0.25">
      <c r="D12" s="2" t="s">
        <v>28</v>
      </c>
      <c r="F12" s="4">
        <f>SUM(K23:K43)/H12</f>
        <v>1849733.6666666667</v>
      </c>
      <c r="G12" s="14"/>
      <c r="H12" s="11">
        <f>COUNT(K23:K43)</f>
        <v>3</v>
      </c>
      <c r="I12" s="1" t="s">
        <v>31</v>
      </c>
      <c r="J12" s="4">
        <f>+F8*0.9</f>
        <v>1228500</v>
      </c>
      <c r="K12" s="1" t="s">
        <v>69</v>
      </c>
    </row>
    <row r="13" spans="1:11" x14ac:dyDescent="0.25">
      <c r="D13" s="2" t="s">
        <v>29</v>
      </c>
      <c r="F13" s="4">
        <f>MAX(K23:K43)-MIN(K23:K43)</f>
        <v>1263645</v>
      </c>
      <c r="G13" s="399">
        <f>MEDIAN(K23:K43)</f>
        <v>1555556</v>
      </c>
      <c r="H13" s="400"/>
      <c r="I13" s="1" t="s">
        <v>30</v>
      </c>
      <c r="J13" s="4">
        <f>+F12*1.1</f>
        <v>2034707.0333333337</v>
      </c>
      <c r="K13" s="1" t="s">
        <v>70</v>
      </c>
    </row>
    <row r="14" spans="1:11" x14ac:dyDescent="0.25">
      <c r="H14" s="11"/>
    </row>
    <row r="15" spans="1:11" x14ac:dyDescent="0.25">
      <c r="D15" s="2" t="s">
        <v>8</v>
      </c>
      <c r="F15" s="4">
        <v>30000000</v>
      </c>
      <c r="G15" s="1" t="s">
        <v>9</v>
      </c>
      <c r="H15" s="11"/>
      <c r="I15" t="s">
        <v>15</v>
      </c>
      <c r="J15" s="7">
        <f>+F16/F15</f>
        <v>0.93333333333333335</v>
      </c>
    </row>
    <row r="16" spans="1:11" x14ac:dyDescent="0.25">
      <c r="F16" s="4">
        <v>28000000</v>
      </c>
      <c r="G16" s="1" t="s">
        <v>10</v>
      </c>
      <c r="H16" s="11"/>
      <c r="I16" t="s">
        <v>14</v>
      </c>
      <c r="J16" s="7">
        <f>+F17/F16</f>
        <v>1.0535714285714286</v>
      </c>
    </row>
    <row r="17" spans="3:15" x14ac:dyDescent="0.25">
      <c r="F17" s="4">
        <v>29500000</v>
      </c>
      <c r="G17" s="1" t="s">
        <v>11</v>
      </c>
      <c r="H17" s="11"/>
      <c r="I17" t="s">
        <v>13</v>
      </c>
      <c r="J17" s="7">
        <f>+F18/F17</f>
        <v>5.5457627118644069E-2</v>
      </c>
    </row>
    <row r="18" spans="3:15" x14ac:dyDescent="0.25">
      <c r="F18" s="4">
        <f>+F7</f>
        <v>1636000</v>
      </c>
      <c r="G18" s="1" t="s">
        <v>12</v>
      </c>
      <c r="H18" s="11"/>
      <c r="I18" t="s">
        <v>16</v>
      </c>
      <c r="J18" s="7">
        <f>+F8/F18</f>
        <v>0.83435207823960877</v>
      </c>
    </row>
    <row r="19" spans="3:15" x14ac:dyDescent="0.25">
      <c r="F19" s="2" t="s">
        <v>51</v>
      </c>
      <c r="G19">
        <v>0</v>
      </c>
      <c r="H19" s="11" t="s">
        <v>52</v>
      </c>
      <c r="I19" t="s">
        <v>41</v>
      </c>
      <c r="J19" s="7">
        <f>+F8/F15</f>
        <v>4.5499999999999999E-2</v>
      </c>
    </row>
    <row r="20" spans="3:15" x14ac:dyDescent="0.25">
      <c r="H20" s="11"/>
      <c r="M20" s="21"/>
      <c r="N20" s="21"/>
      <c r="O20" s="21"/>
    </row>
    <row r="21" spans="3:15" x14ac:dyDescent="0.25">
      <c r="C21" s="9"/>
      <c r="D21" s="13" t="s">
        <v>21</v>
      </c>
      <c r="E21" s="9"/>
      <c r="F21" s="9" t="s">
        <v>22</v>
      </c>
      <c r="G21" s="9" t="s">
        <v>23</v>
      </c>
      <c r="H21" s="13" t="s">
        <v>27</v>
      </c>
      <c r="I21" s="10" t="s">
        <v>38</v>
      </c>
      <c r="J21" s="10" t="s">
        <v>37</v>
      </c>
      <c r="K21" s="10" t="s">
        <v>39</v>
      </c>
      <c r="L21" s="9"/>
      <c r="M21" s="21"/>
      <c r="N21" s="21"/>
      <c r="O21" s="21"/>
    </row>
    <row r="22" spans="3:15" ht="6" customHeight="1" x14ac:dyDescent="0.25">
      <c r="M22" s="21"/>
      <c r="N22" s="21"/>
      <c r="O22" s="21"/>
    </row>
    <row r="23" spans="3:15" x14ac:dyDescent="0.25">
      <c r="C23" s="33" t="str">
        <f>IF(H23=1,"u","")</f>
        <v/>
      </c>
      <c r="D23" s="11" t="s">
        <v>347</v>
      </c>
      <c r="E23" s="33"/>
      <c r="F23" t="s">
        <v>147</v>
      </c>
      <c r="G23" t="s">
        <v>93</v>
      </c>
      <c r="H23">
        <f>RANK(K23,K$23:K$43,1)</f>
        <v>2</v>
      </c>
      <c r="I23" s="4">
        <v>441600</v>
      </c>
      <c r="J23" s="4">
        <v>1113956</v>
      </c>
      <c r="K23" s="4">
        <f>+J23+I23</f>
        <v>1555556</v>
      </c>
      <c r="L23" s="4"/>
      <c r="M23" s="22"/>
      <c r="N23" s="22"/>
      <c r="O23" s="22"/>
    </row>
    <row r="24" spans="3:15" x14ac:dyDescent="0.25">
      <c r="C24" s="33" t="str">
        <f>IF(H24=1,"u","")</f>
        <v>u</v>
      </c>
      <c r="D24" s="11" t="s">
        <v>429</v>
      </c>
      <c r="E24" s="33"/>
      <c r="F24" t="s">
        <v>131</v>
      </c>
      <c r="G24" t="s">
        <v>25</v>
      </c>
      <c r="H24">
        <f>RANK(K24,K$23:K$43,1)</f>
        <v>1</v>
      </c>
      <c r="I24" s="4">
        <v>609490</v>
      </c>
      <c r="J24" s="4">
        <v>755510</v>
      </c>
      <c r="K24" s="4">
        <f>+J24+I24</f>
        <v>1365000</v>
      </c>
      <c r="L24" s="4"/>
      <c r="M24" s="22"/>
      <c r="N24" s="22"/>
      <c r="O24" s="22"/>
    </row>
    <row r="25" spans="3:15" x14ac:dyDescent="0.25">
      <c r="C25" s="33" t="str">
        <f>IF(H25=1,"u","")</f>
        <v/>
      </c>
      <c r="D25" s="11" t="s">
        <v>427</v>
      </c>
      <c r="E25" s="33"/>
      <c r="F25" t="s">
        <v>85</v>
      </c>
      <c r="G25" t="s">
        <v>25</v>
      </c>
      <c r="H25">
        <f>RANK(K25,K$23:K$43,1)</f>
        <v>3</v>
      </c>
      <c r="I25" s="4">
        <v>1352100</v>
      </c>
      <c r="J25" s="4">
        <v>1276545</v>
      </c>
      <c r="K25" s="4">
        <f>+J25+I25</f>
        <v>2628645</v>
      </c>
      <c r="L25" s="4"/>
      <c r="M25" s="22"/>
      <c r="N25" s="22"/>
      <c r="O25" s="22"/>
    </row>
    <row r="26" spans="3:15" x14ac:dyDescent="0.25">
      <c r="C26" s="33"/>
      <c r="D26" s="11"/>
      <c r="E26" s="33"/>
      <c r="I26" s="4"/>
      <c r="J26" s="4"/>
      <c r="K26" s="4"/>
      <c r="L26" s="4"/>
      <c r="M26" s="22"/>
      <c r="N26" s="22"/>
      <c r="O26" s="22"/>
    </row>
    <row r="27" spans="3:15" x14ac:dyDescent="0.25">
      <c r="C27" s="33"/>
      <c r="D27" s="11"/>
      <c r="E27" s="33"/>
      <c r="I27" s="4"/>
      <c r="J27" s="4"/>
      <c r="K27" s="4"/>
      <c r="L27" s="4"/>
      <c r="M27" s="22"/>
      <c r="N27" s="22"/>
      <c r="O27" s="22"/>
    </row>
    <row r="28" spans="3:15" x14ac:dyDescent="0.25">
      <c r="C28" s="33"/>
      <c r="D28" s="11"/>
      <c r="E28" s="33"/>
      <c r="I28" s="4"/>
      <c r="J28" s="4"/>
      <c r="K28" s="4"/>
      <c r="L28" s="4"/>
      <c r="M28" s="22"/>
      <c r="N28" s="22"/>
      <c r="O28" s="22"/>
    </row>
    <row r="29" spans="3:15" x14ac:dyDescent="0.25">
      <c r="C29" s="33"/>
      <c r="D29" s="11"/>
      <c r="E29" s="33"/>
      <c r="I29" s="4"/>
      <c r="J29" s="4"/>
      <c r="K29" s="4"/>
      <c r="L29" s="4"/>
      <c r="M29" s="22"/>
      <c r="N29" s="22"/>
      <c r="O29" s="22"/>
    </row>
    <row r="30" spans="3:15" x14ac:dyDescent="0.25">
      <c r="C30" s="33"/>
      <c r="D30" s="11"/>
      <c r="E30" s="33"/>
      <c r="I30" s="4"/>
      <c r="J30" s="4"/>
      <c r="K30" s="4"/>
      <c r="L30" s="4"/>
      <c r="M30" s="22"/>
      <c r="N30" s="22"/>
      <c r="O30" s="22"/>
    </row>
    <row r="31" spans="3:15" x14ac:dyDescent="0.25">
      <c r="C31" s="33"/>
      <c r="D31" s="11"/>
      <c r="E31" s="33"/>
      <c r="I31" s="4"/>
      <c r="J31" s="4"/>
      <c r="K31" s="4"/>
      <c r="L31" s="4"/>
      <c r="M31" s="22"/>
      <c r="N31" s="22"/>
      <c r="O31" s="22"/>
    </row>
    <row r="32" spans="3:15" x14ac:dyDescent="0.25">
      <c r="C32" s="33"/>
      <c r="D32" s="11"/>
      <c r="E32" s="33"/>
      <c r="I32" s="4"/>
      <c r="J32" s="4"/>
      <c r="K32" s="4"/>
      <c r="L32" s="4"/>
      <c r="M32" s="22"/>
      <c r="N32" s="22"/>
      <c r="O32" s="22"/>
    </row>
    <row r="33" spans="3:15" x14ac:dyDescent="0.25">
      <c r="C33" s="33"/>
      <c r="D33" s="11"/>
      <c r="E33" s="33"/>
      <c r="I33" s="4"/>
      <c r="J33" s="4"/>
      <c r="K33" s="4"/>
      <c r="M33" s="21"/>
      <c r="N33" s="21"/>
      <c r="O33" s="21"/>
    </row>
    <row r="34" spans="3:15" x14ac:dyDescent="0.25">
      <c r="C34" s="33"/>
      <c r="D34" s="11"/>
      <c r="E34" s="33"/>
      <c r="I34" s="4"/>
      <c r="J34" s="4"/>
      <c r="K34" s="4"/>
      <c r="M34" s="21"/>
      <c r="N34" s="21"/>
      <c r="O34" s="21"/>
    </row>
    <row r="35" spans="3:15" x14ac:dyDescent="0.25">
      <c r="C35" s="33"/>
      <c r="D35" s="11"/>
      <c r="E35" s="33"/>
      <c r="I35" s="4"/>
      <c r="J35" s="4"/>
      <c r="K35" s="4"/>
      <c r="M35" s="21"/>
      <c r="N35" s="21"/>
      <c r="O35" s="21"/>
    </row>
    <row r="36" spans="3:15" x14ac:dyDescent="0.25">
      <c r="C36" s="33" t="str">
        <f t="shared" ref="C36:C43" si="0">IF(H36=1,"u","")</f>
        <v/>
      </c>
      <c r="D36" s="11"/>
      <c r="E36" s="33" t="str">
        <f t="shared" ref="E36:E43" si="1">IF(H36=1,"t","")</f>
        <v/>
      </c>
      <c r="K36" s="4"/>
      <c r="M36" s="21"/>
      <c r="N36" s="21"/>
      <c r="O36" s="21"/>
    </row>
    <row r="37" spans="3:15" x14ac:dyDescent="0.25">
      <c r="C37" s="33" t="str">
        <f t="shared" si="0"/>
        <v/>
      </c>
      <c r="D37" s="11"/>
      <c r="E37" s="33" t="str">
        <f t="shared" si="1"/>
        <v/>
      </c>
      <c r="K37" s="4"/>
      <c r="M37" s="21"/>
      <c r="N37" s="21"/>
      <c r="O37" s="21"/>
    </row>
    <row r="38" spans="3:15" x14ac:dyDescent="0.25">
      <c r="C38" s="33" t="str">
        <f t="shared" si="0"/>
        <v/>
      </c>
      <c r="D38" s="11"/>
      <c r="E38" s="33" t="str">
        <f t="shared" si="1"/>
        <v/>
      </c>
      <c r="K38" s="4"/>
      <c r="M38" s="21"/>
      <c r="N38" s="21"/>
      <c r="O38" s="21"/>
    </row>
    <row r="39" spans="3:15" x14ac:dyDescent="0.25">
      <c r="C39" s="33" t="str">
        <f t="shared" si="0"/>
        <v/>
      </c>
      <c r="D39" s="11"/>
      <c r="E39" s="33" t="str">
        <f t="shared" si="1"/>
        <v/>
      </c>
      <c r="K39" s="4"/>
      <c r="M39" s="21"/>
      <c r="N39" s="21"/>
      <c r="O39" s="21"/>
    </row>
    <row r="40" spans="3:15" x14ac:dyDescent="0.25">
      <c r="C40" s="33" t="str">
        <f t="shared" si="0"/>
        <v/>
      </c>
      <c r="D40" s="11"/>
      <c r="E40" s="33" t="str">
        <f t="shared" si="1"/>
        <v/>
      </c>
      <c r="K40" s="4"/>
      <c r="M40" s="21"/>
      <c r="N40" s="21"/>
      <c r="O40" s="21"/>
    </row>
    <row r="41" spans="3:15" x14ac:dyDescent="0.25">
      <c r="C41" s="33" t="str">
        <f t="shared" si="0"/>
        <v/>
      </c>
      <c r="D41" s="11"/>
      <c r="E41" s="33" t="str">
        <f t="shared" si="1"/>
        <v/>
      </c>
      <c r="K41" s="4"/>
      <c r="M41" s="21"/>
      <c r="N41" s="21"/>
      <c r="O41" s="21"/>
    </row>
    <row r="42" spans="3:15" x14ac:dyDescent="0.25">
      <c r="C42" s="33" t="str">
        <f t="shared" si="0"/>
        <v/>
      </c>
      <c r="D42" s="11"/>
      <c r="E42" s="33" t="str">
        <f t="shared" si="1"/>
        <v/>
      </c>
      <c r="K42" s="4"/>
      <c r="M42" s="21"/>
      <c r="N42" s="21"/>
      <c r="O42" s="21"/>
    </row>
    <row r="43" spans="3:15" x14ac:dyDescent="0.25">
      <c r="C43" s="33" t="str">
        <f t="shared" si="0"/>
        <v/>
      </c>
      <c r="D43" s="11"/>
      <c r="E43" s="33" t="str">
        <f t="shared" si="1"/>
        <v/>
      </c>
      <c r="K43" s="4"/>
      <c r="M43" s="21"/>
      <c r="N43" s="21"/>
      <c r="O43" s="21"/>
    </row>
    <row r="44" spans="3:15" ht="6" customHeight="1" x14ac:dyDescent="0.25">
      <c r="C44" s="9"/>
      <c r="D44" s="9"/>
      <c r="E44" s="9"/>
      <c r="F44" s="9"/>
      <c r="G44" s="9"/>
      <c r="H44" s="9"/>
      <c r="I44" s="9"/>
      <c r="J44" s="9"/>
      <c r="K44" s="9"/>
      <c r="L44" s="9"/>
      <c r="M44" s="21"/>
      <c r="N44" s="21"/>
      <c r="O44" s="21"/>
    </row>
    <row r="45" spans="3:15" ht="6" customHeight="1" x14ac:dyDescent="0.25">
      <c r="M45" s="21"/>
      <c r="N45" s="21"/>
      <c r="O45" s="21"/>
    </row>
    <row r="46" spans="3:15" x14ac:dyDescent="0.25">
      <c r="C46" s="15" t="s">
        <v>79</v>
      </c>
      <c r="M46" s="21"/>
      <c r="N46" s="21"/>
      <c r="O46" s="21"/>
    </row>
    <row r="47" spans="3:15" x14ac:dyDescent="0.25">
      <c r="C47" s="15" t="s">
        <v>78</v>
      </c>
    </row>
  </sheetData>
  <mergeCells count="1">
    <mergeCell ref="G13:H13"/>
  </mergeCells>
  <conditionalFormatting sqref="I9">
    <cfRule type="containsText" dxfId="873" priority="23" operator="containsText" text="FAIL">
      <formula>NOT(ISERROR(SEARCH("FAIL",I9)))</formula>
    </cfRule>
  </conditionalFormatting>
  <conditionalFormatting sqref="I9">
    <cfRule type="containsText" dxfId="872" priority="22" operator="containsText" text="GOOD">
      <formula>NOT(ISERROR(SEARCH("GOOD",I9)))</formula>
    </cfRule>
  </conditionalFormatting>
  <conditionalFormatting sqref="I9">
    <cfRule type="containsText" dxfId="871" priority="21" operator="containsText" text="FAIL">
      <formula>NOT(ISERROR(SEARCH("FAIL",I9)))</formula>
    </cfRule>
  </conditionalFormatting>
  <conditionalFormatting sqref="I9">
    <cfRule type="containsText" dxfId="870" priority="20" operator="containsText" text="GOOD">
      <formula>NOT(ISERROR(SEARCH("GOOD",I9)))</formula>
    </cfRule>
  </conditionalFormatting>
  <conditionalFormatting sqref="I9">
    <cfRule type="containsText" dxfId="869" priority="19" operator="containsText" text="FAIL">
      <formula>NOT(ISERROR(SEARCH("FAIL",I9)))</formula>
    </cfRule>
  </conditionalFormatting>
  <conditionalFormatting sqref="I9">
    <cfRule type="containsText" dxfId="868" priority="18" operator="containsText" text="GOOD">
      <formula>NOT(ISERROR(SEARCH("GOOD",I9)))</formula>
    </cfRule>
  </conditionalFormatting>
  <conditionalFormatting sqref="F11">
    <cfRule type="containsText" dxfId="867" priority="17" operator="containsText" text="FAIL">
      <formula>NOT(ISERROR(SEARCH("FAIL",F11)))</formula>
    </cfRule>
  </conditionalFormatting>
  <conditionalFormatting sqref="F11">
    <cfRule type="containsText" dxfId="866" priority="16" operator="containsText" text="GOOD">
      <formula>NOT(ISERROR(SEARCH("GOOD",F11)))</formula>
    </cfRule>
  </conditionalFormatting>
  <conditionalFormatting sqref="I9">
    <cfRule type="containsText" dxfId="865" priority="15" operator="containsText" text="FAIL">
      <formula>NOT(ISERROR(SEARCH("FAIL",I9)))</formula>
    </cfRule>
  </conditionalFormatting>
  <conditionalFormatting sqref="I9">
    <cfRule type="containsText" dxfId="864" priority="14" operator="containsText" text="GOOD">
      <formula>NOT(ISERROR(SEARCH("GOOD",I9)))</formula>
    </cfRule>
  </conditionalFormatting>
  <conditionalFormatting sqref="F11">
    <cfRule type="containsText" dxfId="863" priority="13" operator="containsText" text="FAIL">
      <formula>NOT(ISERROR(SEARCH("FAIL",F11)))</formula>
    </cfRule>
  </conditionalFormatting>
  <conditionalFormatting sqref="F11">
    <cfRule type="containsText" dxfId="862" priority="12" operator="containsText" text="GOOD">
      <formula>NOT(ISERROR(SEARCH("GOOD",F11)))</formula>
    </cfRule>
  </conditionalFormatting>
  <conditionalFormatting sqref="D25">
    <cfRule type="expression" dxfId="861" priority="11" stopIfTrue="1">
      <formula>IF($H$25=1,0)</formula>
    </cfRule>
  </conditionalFormatting>
  <conditionalFormatting sqref="D23:D33 D36:D43">
    <cfRule type="expression" dxfId="860" priority="10">
      <formula>H23=1</formula>
    </cfRule>
  </conditionalFormatting>
  <conditionalFormatting sqref="C23:C33 C36:C43">
    <cfRule type="expression" dxfId="859" priority="9">
      <formula>H23=1</formula>
    </cfRule>
  </conditionalFormatting>
  <conditionalFormatting sqref="E23:E33 E36:E43">
    <cfRule type="expression" dxfId="858" priority="8">
      <formula>H23=1</formula>
    </cfRule>
  </conditionalFormatting>
  <conditionalFormatting sqref="E23:E33 E36:E43">
    <cfRule type="expression" dxfId="857" priority="7">
      <formula>H23=1</formula>
    </cfRule>
  </conditionalFormatting>
  <conditionalFormatting sqref="F11">
    <cfRule type="containsText" dxfId="856" priority="6" operator="containsText" text="FAIL">
      <formula>NOT(ISERROR(SEARCH("FAIL",F11)))</formula>
    </cfRule>
  </conditionalFormatting>
  <conditionalFormatting sqref="F11">
    <cfRule type="containsText" dxfId="855" priority="5" operator="containsText" text="GOOD">
      <formula>NOT(ISERROR(SEARCH("GOOD",F11)))</formula>
    </cfRule>
  </conditionalFormatting>
  <conditionalFormatting sqref="D34:D35">
    <cfRule type="expression" dxfId="854" priority="4">
      <formula>H34=1</formula>
    </cfRule>
  </conditionalFormatting>
  <conditionalFormatting sqref="C34:C35">
    <cfRule type="expression" dxfId="853" priority="3">
      <formula>H34=1</formula>
    </cfRule>
  </conditionalFormatting>
  <conditionalFormatting sqref="E34:E35">
    <cfRule type="expression" dxfId="852" priority="2">
      <formula>H34=1</formula>
    </cfRule>
  </conditionalFormatting>
  <conditionalFormatting sqref="E34:E35">
    <cfRule type="expression" dxfId="851" priority="1">
      <formula>H34=1</formula>
    </cfRule>
  </conditionalFormatting>
  <pageMargins left="0.7" right="0.7" top="0.75" bottom="0.75" header="0.3" footer="0.3"/>
  <pageSetup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300-000000000000}">
  <sheetPr codeName="Sheet149"/>
  <dimension ref="A2:O47"/>
  <sheetViews>
    <sheetView workbookViewId="0">
      <selection activeCell="L38" sqref="L38"/>
    </sheetView>
  </sheetViews>
  <sheetFormatPr defaultRowHeight="15" x14ac:dyDescent="0.25"/>
  <cols>
    <col min="1" max="2" width="4.42578125" customWidth="1"/>
    <col min="3" max="3" width="3" customWidth="1"/>
    <col min="4" max="4" width="24.85546875" customWidth="1"/>
    <col min="5" max="5" width="3" customWidth="1"/>
    <col min="6" max="6" width="15.7109375" customWidth="1"/>
    <col min="7" max="7" width="8.5703125" customWidth="1"/>
    <col min="8" max="8" width="5.85546875" customWidth="1"/>
    <col min="9" max="15" width="15.7109375" customWidth="1"/>
  </cols>
  <sheetData>
    <row r="2" spans="1:11" x14ac:dyDescent="0.25">
      <c r="C2" s="15" t="s">
        <v>32</v>
      </c>
      <c r="E2" s="15"/>
      <c r="F2" s="15"/>
      <c r="G2" s="15" t="s">
        <v>33</v>
      </c>
      <c r="H2" s="15"/>
      <c r="I2" s="15"/>
      <c r="J2" s="15"/>
      <c r="K2" s="15"/>
    </row>
    <row r="3" spans="1:11" ht="18.75" x14ac:dyDescent="0.3">
      <c r="C3" s="3" t="s">
        <v>26</v>
      </c>
      <c r="J3" s="8" t="s">
        <v>17</v>
      </c>
    </row>
    <row r="4" spans="1:11" x14ac:dyDescent="0.25">
      <c r="D4" s="2" t="s">
        <v>0</v>
      </c>
      <c r="E4" s="1"/>
      <c r="F4" t="s">
        <v>266</v>
      </c>
      <c r="I4" s="2" t="s">
        <v>4</v>
      </c>
    </row>
    <row r="5" spans="1:11" x14ac:dyDescent="0.25">
      <c r="D5" s="2" t="s">
        <v>1</v>
      </c>
      <c r="F5" t="s">
        <v>265</v>
      </c>
    </row>
    <row r="6" spans="1:11" x14ac:dyDescent="0.25">
      <c r="D6" s="2" t="s">
        <v>2</v>
      </c>
      <c r="F6" s="6">
        <v>42178</v>
      </c>
      <c r="H6" s="11"/>
    </row>
    <row r="7" spans="1:11" x14ac:dyDescent="0.25">
      <c r="D7" s="2" t="s">
        <v>3</v>
      </c>
      <c r="F7" s="5">
        <v>1800000</v>
      </c>
      <c r="G7" s="2" t="s">
        <v>34</v>
      </c>
      <c r="H7" s="11"/>
    </row>
    <row r="8" spans="1:11" x14ac:dyDescent="0.25">
      <c r="D8" s="2" t="s">
        <v>18</v>
      </c>
      <c r="F8" s="5">
        <f>MIN(I23:I43)</f>
        <v>2217200</v>
      </c>
      <c r="H8" s="11"/>
    </row>
    <row r="9" spans="1:11" x14ac:dyDescent="0.25">
      <c r="D9" s="2" t="s">
        <v>67</v>
      </c>
      <c r="F9" s="4">
        <f>+F8-F7</f>
        <v>417200</v>
      </c>
      <c r="G9" s="16">
        <f>+F9/F7</f>
        <v>0.23177777777777778</v>
      </c>
      <c r="H9" s="12" t="s">
        <v>20</v>
      </c>
      <c r="I9" s="11" t="str">
        <f>(IF(G9&lt;-0.1,"FAIL",IF(G9&gt;0.05,"FAIL","GOOD")))</f>
        <v>FAIL</v>
      </c>
      <c r="J9" s="14" t="s">
        <v>72</v>
      </c>
    </row>
    <row r="10" spans="1:11" x14ac:dyDescent="0.25">
      <c r="D10" s="2" t="s">
        <v>68</v>
      </c>
      <c r="F10" s="4">
        <f>+F7-F12</f>
        <v>-657600</v>
      </c>
      <c r="H10" s="11"/>
    </row>
    <row r="11" spans="1:11" x14ac:dyDescent="0.25">
      <c r="A11" s="30"/>
      <c r="D11" s="2" t="s">
        <v>71</v>
      </c>
      <c r="F11" s="11" t="str">
        <f>(IF(F7&lt;J12,"FAIL",IF(F7&gt;J13,"FAIL","GOOD")))</f>
        <v>FAIL</v>
      </c>
      <c r="H11" s="11"/>
    </row>
    <row r="12" spans="1:11" x14ac:dyDescent="0.25">
      <c r="D12" s="2" t="s">
        <v>28</v>
      </c>
      <c r="F12" s="4">
        <f>SUM(I23:I43)/H12</f>
        <v>2457600</v>
      </c>
      <c r="G12" s="14"/>
      <c r="H12" s="11">
        <f>COUNT(I23:I43)</f>
        <v>2</v>
      </c>
      <c r="I12" s="1" t="s">
        <v>31</v>
      </c>
      <c r="J12" s="4">
        <f>+F8*0.9</f>
        <v>1995480</v>
      </c>
      <c r="K12" s="1" t="s">
        <v>69</v>
      </c>
    </row>
    <row r="13" spans="1:11" x14ac:dyDescent="0.25">
      <c r="D13" s="2" t="s">
        <v>29</v>
      </c>
      <c r="F13" s="4">
        <f>MAX(I23:I43)-MIN(I23:I43)</f>
        <v>480800</v>
      </c>
      <c r="G13" s="399">
        <f>MEDIAN(I23:I43)</f>
        <v>2457600</v>
      </c>
      <c r="H13" s="400"/>
      <c r="I13" s="1" t="s">
        <v>30</v>
      </c>
      <c r="J13" s="4">
        <f>+F12*1.1</f>
        <v>2703360</v>
      </c>
      <c r="K13" s="1" t="s">
        <v>70</v>
      </c>
    </row>
    <row r="14" spans="1:11" x14ac:dyDescent="0.25">
      <c r="H14" s="11"/>
    </row>
    <row r="15" spans="1:11" x14ac:dyDescent="0.25">
      <c r="D15" s="2" t="s">
        <v>8</v>
      </c>
      <c r="F15" s="4"/>
      <c r="G15" s="1" t="s">
        <v>9</v>
      </c>
      <c r="H15" s="11"/>
      <c r="I15" t="s">
        <v>15</v>
      </c>
      <c r="J15" s="7" t="e">
        <f>+F16/F15</f>
        <v>#DIV/0!</v>
      </c>
    </row>
    <row r="16" spans="1:11" x14ac:dyDescent="0.25">
      <c r="F16" s="4"/>
      <c r="G16" s="1" t="s">
        <v>10</v>
      </c>
      <c r="H16" s="11"/>
      <c r="I16" t="s">
        <v>14</v>
      </c>
      <c r="J16" s="7" t="e">
        <f>+F17/F16</f>
        <v>#DIV/0!</v>
      </c>
    </row>
    <row r="17" spans="3:15" x14ac:dyDescent="0.25">
      <c r="F17" s="4"/>
      <c r="G17" s="1" t="s">
        <v>11</v>
      </c>
      <c r="H17" s="11"/>
      <c r="I17" t="s">
        <v>13</v>
      </c>
      <c r="J17" s="7" t="e">
        <f>+F18/F17</f>
        <v>#DIV/0!</v>
      </c>
      <c r="M17" s="21"/>
      <c r="N17" s="21"/>
      <c r="O17" s="21"/>
    </row>
    <row r="18" spans="3:15" x14ac:dyDescent="0.25">
      <c r="F18" s="4"/>
      <c r="G18" s="1" t="s">
        <v>12</v>
      </c>
      <c r="H18" s="11"/>
      <c r="I18" t="s">
        <v>16</v>
      </c>
      <c r="J18" s="7" t="e">
        <f>+F8/F18</f>
        <v>#DIV/0!</v>
      </c>
      <c r="M18" s="21"/>
      <c r="N18" s="21"/>
      <c r="O18" s="21"/>
    </row>
    <row r="19" spans="3:15" x14ac:dyDescent="0.25">
      <c r="F19" s="2" t="s">
        <v>51</v>
      </c>
      <c r="G19">
        <v>0</v>
      </c>
      <c r="H19" s="11" t="s">
        <v>52</v>
      </c>
      <c r="I19" t="s">
        <v>41</v>
      </c>
      <c r="J19" s="7" t="e">
        <f>+F8/F15</f>
        <v>#DIV/0!</v>
      </c>
      <c r="M19" s="21"/>
      <c r="N19" s="21"/>
      <c r="O19" s="21"/>
    </row>
    <row r="20" spans="3:15" x14ac:dyDescent="0.25">
      <c r="H20" s="11"/>
      <c r="M20" s="21"/>
      <c r="N20" s="21"/>
      <c r="O20" s="21"/>
    </row>
    <row r="21" spans="3:15" x14ac:dyDescent="0.25">
      <c r="C21" s="9"/>
      <c r="D21" s="13" t="s">
        <v>21</v>
      </c>
      <c r="E21" s="9"/>
      <c r="F21" s="9" t="s">
        <v>22</v>
      </c>
      <c r="G21" s="9" t="s">
        <v>23</v>
      </c>
      <c r="H21" s="13" t="s">
        <v>27</v>
      </c>
      <c r="I21" s="10" t="s">
        <v>24</v>
      </c>
      <c r="J21" s="9"/>
      <c r="K21" s="9"/>
      <c r="L21" s="9"/>
      <c r="M21" s="21"/>
      <c r="N21" s="21"/>
      <c r="O21" s="21"/>
    </row>
    <row r="22" spans="3:15" ht="6" customHeight="1" x14ac:dyDescent="0.25">
      <c r="M22" s="21"/>
      <c r="N22" s="21"/>
      <c r="O22" s="21"/>
    </row>
    <row r="23" spans="3:15" x14ac:dyDescent="0.25">
      <c r="C23" s="33" t="str">
        <f>IF(H23=1,"u","")</f>
        <v>u</v>
      </c>
      <c r="D23" s="23" t="s">
        <v>267</v>
      </c>
      <c r="E23" s="33"/>
      <c r="F23" t="s">
        <v>131</v>
      </c>
      <c r="G23" t="s">
        <v>25</v>
      </c>
      <c r="H23">
        <f>RANK(I23,I$23:I$43,1)</f>
        <v>1</v>
      </c>
      <c r="I23" s="4">
        <v>2217200</v>
      </c>
      <c r="J23" s="4"/>
      <c r="K23" s="4"/>
      <c r="L23" s="4"/>
      <c r="M23" s="22"/>
      <c r="N23" s="22"/>
      <c r="O23" s="22"/>
    </row>
    <row r="24" spans="3:15" x14ac:dyDescent="0.25">
      <c r="C24" s="33" t="str">
        <f>IF(H24=1,"u","")</f>
        <v/>
      </c>
      <c r="D24" s="23" t="s">
        <v>257</v>
      </c>
      <c r="E24" s="33"/>
      <c r="F24" t="s">
        <v>147</v>
      </c>
      <c r="G24" t="s">
        <v>93</v>
      </c>
      <c r="H24">
        <f>RANK(I24,I$23:I$43,1)</f>
        <v>2</v>
      </c>
      <c r="I24" s="4">
        <v>2698000</v>
      </c>
      <c r="J24" s="4"/>
      <c r="K24" s="4"/>
      <c r="L24" s="4"/>
      <c r="M24" s="22"/>
      <c r="N24" s="22"/>
      <c r="O24" s="22"/>
    </row>
    <row r="25" spans="3:15" x14ac:dyDescent="0.25">
      <c r="C25" s="33"/>
      <c r="D25" s="11"/>
      <c r="E25" s="33"/>
      <c r="I25" s="4"/>
      <c r="J25" s="4"/>
      <c r="K25" s="4"/>
      <c r="L25" s="4"/>
      <c r="M25" s="22"/>
      <c r="N25" s="22"/>
      <c r="O25" s="22"/>
    </row>
    <row r="26" spans="3:15" x14ac:dyDescent="0.25">
      <c r="C26" s="33"/>
      <c r="D26" s="11"/>
      <c r="E26" s="33"/>
      <c r="I26" s="4"/>
      <c r="J26" s="4"/>
      <c r="K26" s="4"/>
      <c r="L26" s="4"/>
      <c r="M26" s="22"/>
      <c r="N26" s="22"/>
      <c r="O26" s="22"/>
    </row>
    <row r="27" spans="3:15" x14ac:dyDescent="0.25">
      <c r="C27" s="33" t="str">
        <f t="shared" ref="C27:C43" si="0">IF(H27=1,"u","")</f>
        <v/>
      </c>
      <c r="D27" s="11"/>
      <c r="E27" s="33" t="str">
        <f t="shared" ref="E27:E43" si="1">IF(H27=1,"t","")</f>
        <v/>
      </c>
      <c r="I27" s="4"/>
      <c r="J27" s="4"/>
      <c r="K27" s="4"/>
      <c r="L27" s="4"/>
      <c r="M27" s="22"/>
      <c r="N27" s="22"/>
      <c r="O27" s="22"/>
    </row>
    <row r="28" spans="3:15" x14ac:dyDescent="0.25">
      <c r="C28" s="33" t="str">
        <f t="shared" si="0"/>
        <v/>
      </c>
      <c r="D28" s="11"/>
      <c r="E28" s="33" t="str">
        <f t="shared" si="1"/>
        <v/>
      </c>
      <c r="I28" s="4"/>
      <c r="J28" s="4"/>
      <c r="K28" s="4"/>
      <c r="L28" s="4"/>
      <c r="M28" s="22"/>
      <c r="N28" s="22"/>
      <c r="O28" s="22"/>
    </row>
    <row r="29" spans="3:15" x14ac:dyDescent="0.25">
      <c r="C29" s="33" t="str">
        <f t="shared" si="0"/>
        <v/>
      </c>
      <c r="D29" s="11"/>
      <c r="E29" s="33" t="str">
        <f t="shared" si="1"/>
        <v/>
      </c>
      <c r="I29" s="4"/>
      <c r="J29" s="4"/>
      <c r="K29" s="4"/>
      <c r="L29" s="4"/>
      <c r="M29" s="22"/>
      <c r="N29" s="22"/>
      <c r="O29" s="22"/>
    </row>
    <row r="30" spans="3:15" x14ac:dyDescent="0.25">
      <c r="C30" s="33" t="str">
        <f t="shared" si="0"/>
        <v/>
      </c>
      <c r="D30" s="11"/>
      <c r="E30" s="33" t="str">
        <f t="shared" si="1"/>
        <v/>
      </c>
      <c r="I30" s="4"/>
      <c r="J30" s="4"/>
      <c r="K30" s="4"/>
      <c r="L30" s="4"/>
      <c r="M30" s="22"/>
      <c r="N30" s="22"/>
      <c r="O30" s="22"/>
    </row>
    <row r="31" spans="3:15" x14ac:dyDescent="0.25">
      <c r="C31" s="33" t="str">
        <f t="shared" si="0"/>
        <v/>
      </c>
      <c r="D31" s="11"/>
      <c r="E31" s="33" t="str">
        <f t="shared" si="1"/>
        <v/>
      </c>
      <c r="I31" s="4"/>
      <c r="J31" s="4"/>
      <c r="K31" s="4"/>
      <c r="L31" s="4"/>
      <c r="M31" s="22"/>
      <c r="N31" s="22"/>
      <c r="O31" s="22"/>
    </row>
    <row r="32" spans="3:15" x14ac:dyDescent="0.25">
      <c r="C32" s="33" t="str">
        <f t="shared" si="0"/>
        <v/>
      </c>
      <c r="D32" s="11"/>
      <c r="E32" s="33" t="str">
        <f t="shared" si="1"/>
        <v/>
      </c>
      <c r="I32" s="4"/>
      <c r="J32" s="4"/>
      <c r="K32" s="4"/>
      <c r="L32" s="4"/>
      <c r="M32" s="22"/>
      <c r="N32" s="22"/>
      <c r="O32" s="22"/>
    </row>
    <row r="33" spans="3:15" x14ac:dyDescent="0.25">
      <c r="C33" s="33" t="str">
        <f t="shared" si="0"/>
        <v/>
      </c>
      <c r="D33" s="11"/>
      <c r="E33" s="33" t="str">
        <f t="shared" si="1"/>
        <v/>
      </c>
      <c r="M33" s="21"/>
      <c r="N33" s="21"/>
      <c r="O33" s="21"/>
    </row>
    <row r="34" spans="3:15" x14ac:dyDescent="0.25">
      <c r="C34" s="33" t="str">
        <f t="shared" si="0"/>
        <v/>
      </c>
      <c r="D34" s="11"/>
      <c r="E34" s="33" t="str">
        <f t="shared" si="1"/>
        <v/>
      </c>
      <c r="M34" s="21"/>
      <c r="N34" s="21"/>
      <c r="O34" s="21"/>
    </row>
    <row r="35" spans="3:15" x14ac:dyDescent="0.25">
      <c r="C35" s="33" t="str">
        <f t="shared" si="0"/>
        <v/>
      </c>
      <c r="D35" s="11"/>
      <c r="E35" s="33" t="str">
        <f t="shared" si="1"/>
        <v/>
      </c>
      <c r="M35" s="21"/>
      <c r="N35" s="21"/>
      <c r="O35" s="21"/>
    </row>
    <row r="36" spans="3:15" x14ac:dyDescent="0.25">
      <c r="C36" s="33" t="str">
        <f t="shared" si="0"/>
        <v/>
      </c>
      <c r="D36" s="11"/>
      <c r="E36" s="33" t="str">
        <f t="shared" si="1"/>
        <v/>
      </c>
      <c r="M36" s="21"/>
      <c r="N36" s="21"/>
      <c r="O36" s="21"/>
    </row>
    <row r="37" spans="3:15" x14ac:dyDescent="0.25">
      <c r="C37" s="33" t="str">
        <f t="shared" si="0"/>
        <v/>
      </c>
      <c r="D37" s="11"/>
      <c r="E37" s="33" t="str">
        <f t="shared" si="1"/>
        <v/>
      </c>
      <c r="M37" s="21"/>
      <c r="N37" s="21"/>
      <c r="O37" s="21"/>
    </row>
    <row r="38" spans="3:15" x14ac:dyDescent="0.25">
      <c r="C38" s="33" t="str">
        <f t="shared" si="0"/>
        <v/>
      </c>
      <c r="D38" s="11"/>
      <c r="E38" s="33" t="str">
        <f t="shared" si="1"/>
        <v/>
      </c>
      <c r="M38" s="21"/>
      <c r="N38" s="21"/>
      <c r="O38" s="21"/>
    </row>
    <row r="39" spans="3:15" x14ac:dyDescent="0.25">
      <c r="C39" s="33" t="str">
        <f t="shared" si="0"/>
        <v/>
      </c>
      <c r="D39" s="11"/>
      <c r="E39" s="33" t="str">
        <f t="shared" si="1"/>
        <v/>
      </c>
      <c r="M39" s="21"/>
      <c r="N39" s="21"/>
      <c r="O39" s="21"/>
    </row>
    <row r="40" spans="3:15" x14ac:dyDescent="0.25">
      <c r="C40" s="33" t="str">
        <f t="shared" si="0"/>
        <v/>
      </c>
      <c r="D40" s="11"/>
      <c r="E40" s="33" t="str">
        <f t="shared" si="1"/>
        <v/>
      </c>
      <c r="M40" s="21"/>
      <c r="N40" s="21"/>
      <c r="O40" s="21"/>
    </row>
    <row r="41" spans="3:15" x14ac:dyDescent="0.25">
      <c r="C41" s="33" t="str">
        <f t="shared" si="0"/>
        <v/>
      </c>
      <c r="D41" s="11"/>
      <c r="E41" s="33" t="str">
        <f t="shared" si="1"/>
        <v/>
      </c>
      <c r="M41" s="21"/>
      <c r="N41" s="21"/>
      <c r="O41" s="21"/>
    </row>
    <row r="42" spans="3:15" x14ac:dyDescent="0.25">
      <c r="C42" s="33" t="str">
        <f t="shared" si="0"/>
        <v/>
      </c>
      <c r="D42" s="11"/>
      <c r="E42" s="33" t="str">
        <f t="shared" si="1"/>
        <v/>
      </c>
      <c r="M42" s="21"/>
      <c r="N42" s="21"/>
      <c r="O42" s="21"/>
    </row>
    <row r="43" spans="3:15" x14ac:dyDescent="0.25">
      <c r="C43" s="33" t="str">
        <f t="shared" si="0"/>
        <v/>
      </c>
      <c r="D43" s="11"/>
      <c r="E43" s="33" t="str">
        <f t="shared" si="1"/>
        <v/>
      </c>
      <c r="M43" s="21"/>
      <c r="N43" s="21"/>
      <c r="O43" s="21"/>
    </row>
    <row r="44" spans="3:15" ht="6" customHeight="1" x14ac:dyDescent="0.25">
      <c r="C44" s="9"/>
      <c r="D44" s="9"/>
      <c r="E44" s="9"/>
      <c r="F44" s="9"/>
      <c r="G44" s="9"/>
      <c r="H44" s="9"/>
      <c r="I44" s="9"/>
      <c r="J44" s="9"/>
      <c r="K44" s="9"/>
      <c r="L44" s="9"/>
      <c r="M44" s="21"/>
      <c r="N44" s="21"/>
      <c r="O44" s="21"/>
    </row>
    <row r="45" spans="3:15" ht="6" customHeight="1" x14ac:dyDescent="0.25">
      <c r="M45" s="21"/>
      <c r="N45" s="21"/>
      <c r="O45" s="21"/>
    </row>
    <row r="46" spans="3:15" x14ac:dyDescent="0.25">
      <c r="C46" s="15" t="s">
        <v>79</v>
      </c>
      <c r="M46" s="21"/>
      <c r="N46" s="21"/>
      <c r="O46" s="21"/>
    </row>
    <row r="47" spans="3:15" x14ac:dyDescent="0.25">
      <c r="C47" s="15" t="s">
        <v>78</v>
      </c>
    </row>
  </sheetData>
  <mergeCells count="1">
    <mergeCell ref="G13:H13"/>
  </mergeCells>
  <conditionalFormatting sqref="I9">
    <cfRule type="containsText" dxfId="320" priority="10" operator="containsText" text="FAIL">
      <formula>NOT(ISERROR(SEARCH("FAIL",I9)))</formula>
    </cfRule>
  </conditionalFormatting>
  <conditionalFormatting sqref="I9">
    <cfRule type="containsText" dxfId="319" priority="9" operator="containsText" text="GOOD">
      <formula>NOT(ISERROR(SEARCH("GOOD",I9)))</formula>
    </cfRule>
  </conditionalFormatting>
  <conditionalFormatting sqref="F11">
    <cfRule type="containsText" dxfId="318" priority="8" operator="containsText" text="FAIL">
      <formula>NOT(ISERROR(SEARCH("FAIL",F11)))</formula>
    </cfRule>
  </conditionalFormatting>
  <conditionalFormatting sqref="F11">
    <cfRule type="containsText" dxfId="317" priority="7" operator="containsText" text="GOOD">
      <formula>NOT(ISERROR(SEARCH("GOOD",F11)))</formula>
    </cfRule>
  </conditionalFormatting>
  <conditionalFormatting sqref="D25">
    <cfRule type="expression" dxfId="316" priority="6" stopIfTrue="1">
      <formula>IF($H$25=1,0)</formula>
    </cfRule>
  </conditionalFormatting>
  <conditionalFormatting sqref="D23:D43">
    <cfRule type="expression" dxfId="315" priority="5">
      <formula>H23=1</formula>
    </cfRule>
  </conditionalFormatting>
  <conditionalFormatting sqref="C23:C43">
    <cfRule type="expression" dxfId="314" priority="4">
      <formula>H23=1</formula>
    </cfRule>
  </conditionalFormatting>
  <conditionalFormatting sqref="E23:E43">
    <cfRule type="expression" dxfId="313" priority="3">
      <formula>H23=1</formula>
    </cfRule>
  </conditionalFormatting>
  <conditionalFormatting sqref="F11">
    <cfRule type="containsText" dxfId="312" priority="2" operator="containsText" text="FAIL">
      <formula>NOT(ISERROR(SEARCH("FAIL",F11)))</formula>
    </cfRule>
  </conditionalFormatting>
  <conditionalFormatting sqref="F11">
    <cfRule type="containsText" dxfId="311" priority="1" operator="containsText" text="GOOD">
      <formula>NOT(ISERROR(SEARCH("GOOD",F11)))</formula>
    </cfRule>
  </conditionalFormatting>
  <pageMargins left="0.7" right="0.7" top="0.75" bottom="0.75" header="0.3" footer="0.3"/>
  <pageSetup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E00-000000000000}">
  <sheetPr codeName="Sheet112"/>
  <dimension ref="A2:O47"/>
  <sheetViews>
    <sheetView zoomScaleNormal="100" workbookViewId="0">
      <selection activeCell="L9" sqref="L9"/>
    </sheetView>
  </sheetViews>
  <sheetFormatPr defaultRowHeight="15" x14ac:dyDescent="0.25"/>
  <cols>
    <col min="1" max="2" width="4.42578125" customWidth="1"/>
    <col min="3" max="3" width="3" customWidth="1"/>
    <col min="4" max="4" width="24.85546875" customWidth="1"/>
    <col min="5" max="5" width="3" customWidth="1"/>
    <col min="6" max="6" width="15.7109375" customWidth="1"/>
    <col min="7" max="7" width="8.5703125" customWidth="1"/>
    <col min="8" max="8" width="5.85546875" customWidth="1"/>
    <col min="9" max="15" width="15.7109375" customWidth="1"/>
  </cols>
  <sheetData>
    <row r="2" spans="1:11" x14ac:dyDescent="0.25">
      <c r="C2" s="15" t="s">
        <v>32</v>
      </c>
      <c r="E2" s="15"/>
      <c r="F2" s="15"/>
      <c r="G2" s="15" t="s">
        <v>33</v>
      </c>
      <c r="H2" s="15"/>
      <c r="I2" s="15"/>
      <c r="J2" s="15"/>
      <c r="K2" s="15"/>
    </row>
    <row r="3" spans="1:11" ht="18.75" x14ac:dyDescent="0.3">
      <c r="C3" s="3" t="s">
        <v>26</v>
      </c>
      <c r="J3" s="8" t="s">
        <v>17</v>
      </c>
    </row>
    <row r="4" spans="1:11" x14ac:dyDescent="0.25">
      <c r="D4" s="2" t="s">
        <v>0</v>
      </c>
      <c r="E4" s="1"/>
      <c r="F4" t="s">
        <v>635</v>
      </c>
      <c r="I4" s="2" t="s">
        <v>4</v>
      </c>
      <c r="J4" t="s">
        <v>630</v>
      </c>
    </row>
    <row r="5" spans="1:11" x14ac:dyDescent="0.25">
      <c r="D5" s="2" t="s">
        <v>1</v>
      </c>
      <c r="F5" t="s">
        <v>636</v>
      </c>
    </row>
    <row r="6" spans="1:11" x14ac:dyDescent="0.25">
      <c r="D6" s="2" t="s">
        <v>2</v>
      </c>
      <c r="F6" s="6">
        <v>42496</v>
      </c>
      <c r="H6" s="11"/>
    </row>
    <row r="7" spans="1:11" x14ac:dyDescent="0.25">
      <c r="D7" s="2" t="s">
        <v>3</v>
      </c>
      <c r="F7" s="5">
        <v>2000000</v>
      </c>
      <c r="G7" s="2" t="s">
        <v>34</v>
      </c>
      <c r="H7" s="11"/>
    </row>
    <row r="8" spans="1:11" x14ac:dyDescent="0.25">
      <c r="D8" s="2" t="s">
        <v>18</v>
      </c>
      <c r="F8" s="5">
        <f>MIN(I23:I43)</f>
        <v>2059960</v>
      </c>
      <c r="H8" s="11"/>
    </row>
    <row r="9" spans="1:11" x14ac:dyDescent="0.25">
      <c r="D9" s="2" t="s">
        <v>67</v>
      </c>
      <c r="F9" s="4">
        <f>+F8-F7</f>
        <v>59960</v>
      </c>
      <c r="G9" s="16">
        <f>+F9/F7</f>
        <v>2.998E-2</v>
      </c>
      <c r="H9" s="12" t="s">
        <v>20</v>
      </c>
      <c r="I9" s="11" t="str">
        <f>(IF(G9&lt;-0.1,"FAIL",IF(G9&gt;0.05,"FAIL","GOOD")))</f>
        <v>GOOD</v>
      </c>
      <c r="J9" s="14" t="s">
        <v>72</v>
      </c>
    </row>
    <row r="10" spans="1:11" x14ac:dyDescent="0.25">
      <c r="D10" s="2" t="s">
        <v>68</v>
      </c>
      <c r="F10" s="4">
        <f>+F7-F12</f>
        <v>-1206380</v>
      </c>
      <c r="H10" s="11"/>
    </row>
    <row r="11" spans="1:11" x14ac:dyDescent="0.25">
      <c r="A11" s="52"/>
      <c r="D11" s="2" t="s">
        <v>71</v>
      </c>
      <c r="F11" s="11" t="str">
        <f>(IF(F7&lt;J12,"FAIL",IF(F7&gt;J13,"FAIL","GOOD")))</f>
        <v>GOOD</v>
      </c>
      <c r="H11" s="11"/>
    </row>
    <row r="12" spans="1:11" x14ac:dyDescent="0.25">
      <c r="D12" s="2" t="s">
        <v>28</v>
      </c>
      <c r="F12" s="4">
        <f>SUM(I23:I43)/H12</f>
        <v>3206380</v>
      </c>
      <c r="G12" s="14"/>
      <c r="H12" s="11">
        <f>COUNT(I23:I43)</f>
        <v>2</v>
      </c>
      <c r="I12" s="1" t="s">
        <v>31</v>
      </c>
      <c r="J12" s="4">
        <f>+F8*0.9</f>
        <v>1853964</v>
      </c>
      <c r="K12" s="1" t="s">
        <v>69</v>
      </c>
    </row>
    <row r="13" spans="1:11" x14ac:dyDescent="0.25">
      <c r="D13" s="2" t="s">
        <v>29</v>
      </c>
      <c r="F13" s="4">
        <f>MAX(I23:I43)-MIN(I23:I43)</f>
        <v>2292840</v>
      </c>
      <c r="G13" s="399">
        <f>MEDIAN(I23:I43)</f>
        <v>3206380</v>
      </c>
      <c r="H13" s="400"/>
      <c r="I13" s="1" t="s">
        <v>30</v>
      </c>
      <c r="J13" s="4">
        <f>+F12*1.1</f>
        <v>3527018.0000000005</v>
      </c>
      <c r="K13" s="1" t="s">
        <v>70</v>
      </c>
    </row>
    <row r="14" spans="1:11" x14ac:dyDescent="0.25">
      <c r="H14" s="11"/>
    </row>
    <row r="15" spans="1:11" x14ac:dyDescent="0.25">
      <c r="D15" s="2" t="s">
        <v>8</v>
      </c>
      <c r="F15" s="4"/>
      <c r="G15" s="1" t="s">
        <v>9</v>
      </c>
      <c r="H15" s="11"/>
      <c r="I15" t="s">
        <v>15</v>
      </c>
      <c r="J15" s="7" t="e">
        <f>+F16/F15</f>
        <v>#DIV/0!</v>
      </c>
    </row>
    <row r="16" spans="1:11" x14ac:dyDescent="0.25">
      <c r="F16" s="4"/>
      <c r="G16" s="1" t="s">
        <v>10</v>
      </c>
      <c r="H16" s="11"/>
      <c r="I16" t="s">
        <v>14</v>
      </c>
      <c r="J16" s="7" t="e">
        <f>+F17/F16</f>
        <v>#DIV/0!</v>
      </c>
    </row>
    <row r="17" spans="3:15" x14ac:dyDescent="0.25">
      <c r="F17" s="4"/>
      <c r="G17" s="1" t="s">
        <v>11</v>
      </c>
      <c r="H17" s="11"/>
      <c r="I17" t="s">
        <v>13</v>
      </c>
      <c r="J17" s="7" t="e">
        <f>+F18/F17</f>
        <v>#DIV/0!</v>
      </c>
      <c r="M17" s="21"/>
      <c r="N17" s="21"/>
      <c r="O17" s="21"/>
    </row>
    <row r="18" spans="3:15" x14ac:dyDescent="0.25">
      <c r="F18" s="4"/>
      <c r="G18" s="1" t="s">
        <v>12</v>
      </c>
      <c r="H18" s="11"/>
      <c r="I18" t="s">
        <v>16</v>
      </c>
      <c r="J18" s="7" t="e">
        <f>+F8/F18</f>
        <v>#DIV/0!</v>
      </c>
      <c r="M18" s="21"/>
      <c r="N18" s="21"/>
      <c r="O18" s="21"/>
    </row>
    <row r="19" spans="3:15" x14ac:dyDescent="0.25">
      <c r="F19" s="2" t="s">
        <v>51</v>
      </c>
      <c r="G19">
        <v>0</v>
      </c>
      <c r="H19" s="11" t="s">
        <v>52</v>
      </c>
      <c r="I19" t="s">
        <v>41</v>
      </c>
      <c r="J19" s="7" t="e">
        <f>+F8/F15</f>
        <v>#DIV/0!</v>
      </c>
      <c r="M19" s="21"/>
      <c r="N19" s="21"/>
      <c r="O19" s="21"/>
    </row>
    <row r="20" spans="3:15" x14ac:dyDescent="0.25">
      <c r="H20" s="11"/>
      <c r="M20" s="21"/>
      <c r="N20" s="21"/>
      <c r="O20" s="21"/>
    </row>
    <row r="21" spans="3:15" x14ac:dyDescent="0.25">
      <c r="C21" s="9"/>
      <c r="D21" s="13" t="s">
        <v>21</v>
      </c>
      <c r="E21" s="9"/>
      <c r="F21" s="9" t="s">
        <v>22</v>
      </c>
      <c r="G21" s="9" t="s">
        <v>23</v>
      </c>
      <c r="H21" s="13" t="s">
        <v>27</v>
      </c>
      <c r="I21" s="10" t="s">
        <v>24</v>
      </c>
      <c r="J21" s="9"/>
      <c r="K21" s="9"/>
      <c r="L21" s="9"/>
      <c r="M21" s="21"/>
      <c r="N21" s="21"/>
      <c r="O21" s="21"/>
    </row>
    <row r="22" spans="3:15" ht="6" customHeight="1" x14ac:dyDescent="0.25">
      <c r="M22" s="21"/>
      <c r="N22" s="21"/>
      <c r="O22" s="21"/>
    </row>
    <row r="23" spans="3:15" x14ac:dyDescent="0.25">
      <c r="C23" s="33" t="str">
        <f>IF(H23=1,"u","")</f>
        <v>u</v>
      </c>
      <c r="D23" s="11" t="s">
        <v>637</v>
      </c>
      <c r="E23" s="33"/>
      <c r="F23" t="s">
        <v>131</v>
      </c>
      <c r="G23" t="s">
        <v>25</v>
      </c>
      <c r="H23">
        <f>RANK(I23,I$23:I$43,1)</f>
        <v>1</v>
      </c>
      <c r="I23" s="4">
        <v>2059960</v>
      </c>
      <c r="J23" s="4"/>
      <c r="K23" s="4"/>
      <c r="L23" s="4"/>
      <c r="M23" s="22"/>
      <c r="N23" s="22"/>
      <c r="O23" s="22"/>
    </row>
    <row r="24" spans="3:15" x14ac:dyDescent="0.25">
      <c r="C24" s="33" t="str">
        <f>IF(H24=1,"u","")</f>
        <v/>
      </c>
      <c r="D24" s="11" t="s">
        <v>541</v>
      </c>
      <c r="E24" s="33"/>
      <c r="F24" t="s">
        <v>159</v>
      </c>
      <c r="G24" t="s">
        <v>93</v>
      </c>
      <c r="H24">
        <f>RANK(I24,I$23:I$43,1)</f>
        <v>2</v>
      </c>
      <c r="I24" s="4">
        <v>4352800</v>
      </c>
      <c r="J24" s="4"/>
      <c r="K24" s="4"/>
      <c r="L24" s="4"/>
      <c r="M24" s="22"/>
      <c r="N24" s="22"/>
      <c r="O24" s="22"/>
    </row>
    <row r="25" spans="3:15" x14ac:dyDescent="0.25">
      <c r="C25" s="33" t="str">
        <f>IF(H25=1,"u","")</f>
        <v/>
      </c>
      <c r="D25" s="11"/>
      <c r="E25" s="33"/>
      <c r="I25" s="4"/>
      <c r="J25" s="4"/>
      <c r="K25" s="4"/>
      <c r="L25" s="4"/>
      <c r="M25" s="22"/>
      <c r="N25" s="22"/>
      <c r="O25" s="22"/>
    </row>
    <row r="26" spans="3:15" x14ac:dyDescent="0.25">
      <c r="C26" s="33" t="str">
        <f t="shared" ref="C26:C43" si="0">IF(H26=1,"u","")</f>
        <v/>
      </c>
      <c r="D26" s="11"/>
      <c r="E26" s="33"/>
      <c r="I26" s="4"/>
      <c r="J26" s="4"/>
      <c r="K26" s="4"/>
      <c r="L26" s="4"/>
      <c r="M26" s="22"/>
      <c r="N26" s="22"/>
      <c r="O26" s="22"/>
    </row>
    <row r="27" spans="3:15" x14ac:dyDescent="0.25">
      <c r="C27" s="33" t="str">
        <f t="shared" si="0"/>
        <v/>
      </c>
      <c r="D27" s="11"/>
      <c r="E27" s="33"/>
      <c r="I27" s="4"/>
      <c r="J27" s="4"/>
      <c r="K27" s="4"/>
      <c r="L27" s="4"/>
      <c r="M27" s="22"/>
      <c r="N27" s="22"/>
      <c r="O27" s="22"/>
    </row>
    <row r="28" spans="3:15" x14ac:dyDescent="0.25">
      <c r="C28" s="33" t="str">
        <f t="shared" si="0"/>
        <v/>
      </c>
      <c r="D28" s="11"/>
      <c r="E28" s="33"/>
      <c r="I28" s="4"/>
      <c r="J28" s="4"/>
      <c r="K28" s="4"/>
      <c r="L28" s="4"/>
      <c r="M28" s="22"/>
      <c r="N28" s="22"/>
      <c r="O28" s="22"/>
    </row>
    <row r="29" spans="3:15" x14ac:dyDescent="0.25">
      <c r="C29" s="33" t="str">
        <f t="shared" si="0"/>
        <v/>
      </c>
      <c r="D29" s="11"/>
      <c r="E29" s="33"/>
      <c r="I29" s="4"/>
      <c r="J29" s="4"/>
      <c r="K29" s="4"/>
      <c r="L29" s="4"/>
      <c r="M29" s="22"/>
      <c r="N29" s="22"/>
      <c r="O29" s="22"/>
    </row>
    <row r="30" spans="3:15" x14ac:dyDescent="0.25">
      <c r="C30" s="33" t="str">
        <f t="shared" si="0"/>
        <v/>
      </c>
      <c r="D30" s="11"/>
      <c r="E30" s="33"/>
      <c r="I30" s="4"/>
      <c r="J30" s="4"/>
      <c r="K30" s="4"/>
      <c r="L30" s="4"/>
      <c r="M30" s="22"/>
      <c r="N30" s="22"/>
      <c r="O30" s="22"/>
    </row>
    <row r="31" spans="3:15" x14ac:dyDescent="0.25">
      <c r="C31" s="33" t="str">
        <f t="shared" si="0"/>
        <v/>
      </c>
      <c r="D31" s="11"/>
      <c r="E31" s="33"/>
      <c r="I31" s="4"/>
      <c r="J31" s="4"/>
      <c r="K31" s="4"/>
      <c r="L31" s="4"/>
      <c r="M31" s="22"/>
      <c r="N31" s="22"/>
      <c r="O31" s="22"/>
    </row>
    <row r="32" spans="3:15" x14ac:dyDescent="0.25">
      <c r="C32" s="33" t="str">
        <f t="shared" si="0"/>
        <v/>
      </c>
      <c r="D32" s="11"/>
      <c r="E32" s="33"/>
      <c r="I32" s="4"/>
      <c r="J32" s="4"/>
      <c r="K32" s="4"/>
      <c r="L32" s="4"/>
      <c r="M32" s="22"/>
      <c r="N32" s="22"/>
      <c r="O32" s="22"/>
    </row>
    <row r="33" spans="3:15" x14ac:dyDescent="0.25">
      <c r="C33" s="33" t="str">
        <f t="shared" si="0"/>
        <v/>
      </c>
      <c r="D33" s="11"/>
      <c r="E33" s="33"/>
      <c r="I33" s="4"/>
      <c r="M33" s="21"/>
      <c r="N33" s="21"/>
      <c r="O33" s="21"/>
    </row>
    <row r="34" spans="3:15" x14ac:dyDescent="0.25">
      <c r="C34" s="33" t="str">
        <f t="shared" si="0"/>
        <v/>
      </c>
      <c r="D34" s="11"/>
      <c r="E34" s="33" t="str">
        <f t="shared" ref="E34:E43" si="1">IF(H34=1,"t","")</f>
        <v/>
      </c>
      <c r="M34" s="21"/>
      <c r="N34" s="21"/>
      <c r="O34" s="21"/>
    </row>
    <row r="35" spans="3:15" x14ac:dyDescent="0.25">
      <c r="C35" s="33" t="str">
        <f t="shared" si="0"/>
        <v/>
      </c>
      <c r="D35" s="11"/>
      <c r="E35" s="33" t="str">
        <f t="shared" si="1"/>
        <v/>
      </c>
      <c r="M35" s="21"/>
      <c r="N35" s="21"/>
      <c r="O35" s="21"/>
    </row>
    <row r="36" spans="3:15" x14ac:dyDescent="0.25">
      <c r="C36" s="33" t="str">
        <f t="shared" si="0"/>
        <v/>
      </c>
      <c r="D36" s="11"/>
      <c r="E36" s="33" t="str">
        <f t="shared" si="1"/>
        <v/>
      </c>
      <c r="M36" s="21"/>
      <c r="N36" s="21"/>
      <c r="O36" s="21"/>
    </row>
    <row r="37" spans="3:15" x14ac:dyDescent="0.25">
      <c r="C37" s="33" t="str">
        <f t="shared" si="0"/>
        <v/>
      </c>
      <c r="D37" s="11"/>
      <c r="E37" s="33" t="str">
        <f t="shared" si="1"/>
        <v/>
      </c>
      <c r="M37" s="21"/>
      <c r="N37" s="21"/>
      <c r="O37" s="21"/>
    </row>
    <row r="38" spans="3:15" x14ac:dyDescent="0.25">
      <c r="C38" s="33" t="str">
        <f t="shared" si="0"/>
        <v/>
      </c>
      <c r="D38" s="11"/>
      <c r="E38" s="33" t="str">
        <f t="shared" si="1"/>
        <v/>
      </c>
      <c r="M38" s="21"/>
      <c r="N38" s="21"/>
      <c r="O38" s="21"/>
    </row>
    <row r="39" spans="3:15" x14ac:dyDescent="0.25">
      <c r="C39" s="33" t="str">
        <f t="shared" si="0"/>
        <v/>
      </c>
      <c r="D39" s="11"/>
      <c r="E39" s="33" t="str">
        <f t="shared" si="1"/>
        <v/>
      </c>
      <c r="M39" s="21"/>
      <c r="N39" s="21"/>
      <c r="O39" s="21"/>
    </row>
    <row r="40" spans="3:15" x14ac:dyDescent="0.25">
      <c r="C40" s="33" t="str">
        <f t="shared" si="0"/>
        <v/>
      </c>
      <c r="D40" s="11"/>
      <c r="E40" s="33" t="str">
        <f t="shared" si="1"/>
        <v/>
      </c>
      <c r="M40" s="21"/>
      <c r="N40" s="21"/>
      <c r="O40" s="21"/>
    </row>
    <row r="41" spans="3:15" x14ac:dyDescent="0.25">
      <c r="C41" s="33" t="str">
        <f t="shared" si="0"/>
        <v/>
      </c>
      <c r="D41" s="11"/>
      <c r="E41" s="33" t="str">
        <f t="shared" si="1"/>
        <v/>
      </c>
      <c r="M41" s="21"/>
      <c r="N41" s="21"/>
      <c r="O41" s="21"/>
    </row>
    <row r="42" spans="3:15" x14ac:dyDescent="0.25">
      <c r="C42" s="33" t="str">
        <f t="shared" si="0"/>
        <v/>
      </c>
      <c r="D42" s="11"/>
      <c r="E42" s="33" t="str">
        <f t="shared" si="1"/>
        <v/>
      </c>
      <c r="M42" s="21"/>
      <c r="N42" s="21"/>
      <c r="O42" s="21"/>
    </row>
    <row r="43" spans="3:15" x14ac:dyDescent="0.25">
      <c r="C43" s="33" t="str">
        <f t="shared" si="0"/>
        <v/>
      </c>
      <c r="D43" s="11"/>
      <c r="E43" s="33" t="str">
        <f t="shared" si="1"/>
        <v/>
      </c>
      <c r="M43" s="21"/>
      <c r="N43" s="21"/>
      <c r="O43" s="21"/>
    </row>
    <row r="44" spans="3:15" ht="6" customHeight="1" x14ac:dyDescent="0.25">
      <c r="C44" s="9"/>
      <c r="D44" s="9"/>
      <c r="E44" s="9"/>
      <c r="F44" s="9"/>
      <c r="G44" s="9"/>
      <c r="H44" s="9"/>
      <c r="I44" s="9"/>
      <c r="J44" s="9"/>
      <c r="K44" s="9"/>
      <c r="L44" s="9"/>
      <c r="M44" s="21"/>
      <c r="N44" s="21"/>
      <c r="O44" s="21"/>
    </row>
    <row r="45" spans="3:15" ht="6" customHeight="1" x14ac:dyDescent="0.25">
      <c r="M45" s="21"/>
      <c r="N45" s="21"/>
      <c r="O45" s="21"/>
    </row>
    <row r="46" spans="3:15" x14ac:dyDescent="0.25">
      <c r="C46" s="15" t="s">
        <v>79</v>
      </c>
      <c r="M46" s="21"/>
      <c r="N46" s="21"/>
      <c r="O46" s="21"/>
    </row>
    <row r="47" spans="3:15" x14ac:dyDescent="0.25">
      <c r="C47" s="15" t="s">
        <v>78</v>
      </c>
    </row>
  </sheetData>
  <mergeCells count="1">
    <mergeCell ref="G13:H13"/>
  </mergeCells>
  <conditionalFormatting sqref="I9">
    <cfRule type="containsText" dxfId="759" priority="10" operator="containsText" text="FAIL">
      <formula>NOT(ISERROR(SEARCH("FAIL",I9)))</formula>
    </cfRule>
  </conditionalFormatting>
  <conditionalFormatting sqref="I9">
    <cfRule type="containsText" dxfId="758" priority="9" operator="containsText" text="GOOD">
      <formula>NOT(ISERROR(SEARCH("GOOD",I9)))</formula>
    </cfRule>
  </conditionalFormatting>
  <conditionalFormatting sqref="F11">
    <cfRule type="containsText" dxfId="757" priority="8" operator="containsText" text="FAIL">
      <formula>NOT(ISERROR(SEARCH("FAIL",F11)))</formula>
    </cfRule>
  </conditionalFormatting>
  <conditionalFormatting sqref="F11">
    <cfRule type="containsText" dxfId="756" priority="7" operator="containsText" text="GOOD">
      <formula>NOT(ISERROR(SEARCH("GOOD",F11)))</formula>
    </cfRule>
  </conditionalFormatting>
  <conditionalFormatting sqref="D25">
    <cfRule type="expression" dxfId="755" priority="6" stopIfTrue="1">
      <formula>IF($H$25=1,0)</formula>
    </cfRule>
  </conditionalFormatting>
  <conditionalFormatting sqref="D23:D43">
    <cfRule type="expression" dxfId="754" priority="5">
      <formula>H23=1</formula>
    </cfRule>
  </conditionalFormatting>
  <conditionalFormatting sqref="C23:C43">
    <cfRule type="expression" dxfId="753" priority="4">
      <formula>H23=1</formula>
    </cfRule>
  </conditionalFormatting>
  <conditionalFormatting sqref="E23:E43">
    <cfRule type="expression" dxfId="752" priority="3">
      <formula>H23=1</formula>
    </cfRule>
  </conditionalFormatting>
  <conditionalFormatting sqref="F11">
    <cfRule type="containsText" dxfId="751" priority="2" operator="containsText" text="FAIL">
      <formula>NOT(ISERROR(SEARCH("FAIL",F11)))</formula>
    </cfRule>
  </conditionalFormatting>
  <conditionalFormatting sqref="F11">
    <cfRule type="containsText" dxfId="750" priority="1" operator="containsText" text="GOOD">
      <formula>NOT(ISERROR(SEARCH("GOOD",F11)))</formula>
    </cfRule>
  </conditionalFormatting>
  <pageMargins left="0.7" right="0.7" top="0.75" bottom="0.75" header="0.3" footer="0.3"/>
  <pageSetup scale="68"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800-000000000000}">
  <sheetPr codeName="Sheet106"/>
  <dimension ref="A2:O47"/>
  <sheetViews>
    <sheetView workbookViewId="0">
      <selection activeCell="L7" sqref="L7"/>
    </sheetView>
  </sheetViews>
  <sheetFormatPr defaultRowHeight="15" x14ac:dyDescent="0.25"/>
  <cols>
    <col min="1" max="2" width="4.42578125" customWidth="1"/>
    <col min="3" max="3" width="3" customWidth="1"/>
    <col min="4" max="4" width="24.7109375" customWidth="1"/>
    <col min="5" max="5" width="3" customWidth="1"/>
    <col min="6" max="6" width="15.7109375" customWidth="1"/>
    <col min="7" max="7" width="8.5703125" customWidth="1"/>
    <col min="8" max="8" width="5.85546875" customWidth="1"/>
    <col min="9" max="15" width="15.7109375" customWidth="1"/>
  </cols>
  <sheetData>
    <row r="2" spans="1:11" x14ac:dyDescent="0.25">
      <c r="C2" s="15" t="s">
        <v>32</v>
      </c>
      <c r="E2" s="15"/>
      <c r="F2" s="15"/>
      <c r="G2" s="15" t="s">
        <v>33</v>
      </c>
      <c r="H2" s="15"/>
      <c r="I2" s="15"/>
      <c r="J2" s="15"/>
      <c r="K2" s="15"/>
    </row>
    <row r="3" spans="1:11" ht="18.75" x14ac:dyDescent="0.3">
      <c r="C3" s="3" t="s">
        <v>26</v>
      </c>
      <c r="J3" s="8" t="s">
        <v>47</v>
      </c>
    </row>
    <row r="4" spans="1:11" x14ac:dyDescent="0.25">
      <c r="D4" s="2" t="s">
        <v>0</v>
      </c>
      <c r="E4" s="1"/>
      <c r="F4" t="s">
        <v>670</v>
      </c>
      <c r="I4" s="2" t="s">
        <v>4</v>
      </c>
      <c r="J4" t="s">
        <v>630</v>
      </c>
    </row>
    <row r="5" spans="1:11" x14ac:dyDescent="0.25">
      <c r="D5" s="2" t="s">
        <v>1</v>
      </c>
      <c r="F5" t="s">
        <v>671</v>
      </c>
    </row>
    <row r="6" spans="1:11" x14ac:dyDescent="0.25">
      <c r="D6" s="2" t="s">
        <v>2</v>
      </c>
      <c r="F6" s="6">
        <v>42538</v>
      </c>
      <c r="H6" s="11"/>
    </row>
    <row r="7" spans="1:11" x14ac:dyDescent="0.25">
      <c r="D7" s="2" t="s">
        <v>3</v>
      </c>
      <c r="F7" s="5">
        <f>+I7+J7</f>
        <v>1800000</v>
      </c>
      <c r="G7" s="2" t="s">
        <v>34</v>
      </c>
      <c r="H7" s="11"/>
      <c r="I7" s="19">
        <v>750000</v>
      </c>
      <c r="J7" s="19">
        <v>1050000</v>
      </c>
    </row>
    <row r="8" spans="1:11" x14ac:dyDescent="0.25">
      <c r="D8" s="2" t="s">
        <v>18</v>
      </c>
      <c r="F8" s="5">
        <f>MIN(K23:K43)</f>
        <v>1628370</v>
      </c>
      <c r="H8" s="11"/>
      <c r="I8" s="18" t="s">
        <v>43</v>
      </c>
      <c r="J8" s="18" t="s">
        <v>44</v>
      </c>
    </row>
    <row r="9" spans="1:11" x14ac:dyDescent="0.25">
      <c r="D9" s="2" t="s">
        <v>19</v>
      </c>
      <c r="F9" s="4">
        <f>+F8-F7</f>
        <v>-171630</v>
      </c>
      <c r="G9" s="16">
        <f>+F9/F7</f>
        <v>-9.5350000000000004E-2</v>
      </c>
      <c r="H9" s="12" t="s">
        <v>20</v>
      </c>
      <c r="I9" s="11" t="str">
        <f>(IF(G9&lt;-0.1,"FAIL",IF(G9&gt;0.05,"FAIL","GOOD")))</f>
        <v>GOOD</v>
      </c>
      <c r="J9" s="14" t="s">
        <v>72</v>
      </c>
    </row>
    <row r="10" spans="1:11" x14ac:dyDescent="0.25">
      <c r="D10" s="2" t="s">
        <v>68</v>
      </c>
      <c r="F10" s="4">
        <f>+F7-F12</f>
        <v>-1593286.076923077</v>
      </c>
      <c r="H10" s="11"/>
    </row>
    <row r="11" spans="1:11" x14ac:dyDescent="0.25">
      <c r="A11" s="30"/>
      <c r="D11" s="2" t="s">
        <v>71</v>
      </c>
      <c r="F11" s="11" t="str">
        <f>(IF(F7&lt;J12,"FAIL",IF(F7&gt;J13,"FAIL","GOOD")))</f>
        <v>GOOD</v>
      </c>
      <c r="H11" s="11"/>
    </row>
    <row r="12" spans="1:11" x14ac:dyDescent="0.25">
      <c r="D12" s="2" t="s">
        <v>28</v>
      </c>
      <c r="F12" s="4">
        <f>SUM(K23:K43)/H12</f>
        <v>3393286.076923077</v>
      </c>
      <c r="G12" s="14"/>
      <c r="H12" s="11">
        <f>COUNT(K23:K43)</f>
        <v>13</v>
      </c>
      <c r="I12" s="1" t="s">
        <v>31</v>
      </c>
      <c r="J12" s="4">
        <f>+F8*0.9</f>
        <v>1465533</v>
      </c>
      <c r="K12" s="1" t="s">
        <v>69</v>
      </c>
    </row>
    <row r="13" spans="1:11" x14ac:dyDescent="0.25">
      <c r="D13" s="2" t="s">
        <v>29</v>
      </c>
      <c r="F13" s="4">
        <f>MAX(K23:K43)-MIN(K23:K43)</f>
        <v>6342090</v>
      </c>
      <c r="G13" s="399">
        <f>MEDIAN(K23:K43)</f>
        <v>2846450</v>
      </c>
      <c r="H13" s="400"/>
      <c r="I13" s="1" t="s">
        <v>30</v>
      </c>
      <c r="J13" s="4">
        <f>+F12*1.1</f>
        <v>3732614.6846153848</v>
      </c>
      <c r="K13" s="1" t="s">
        <v>70</v>
      </c>
    </row>
    <row r="14" spans="1:11" x14ac:dyDescent="0.25">
      <c r="H14" s="11"/>
    </row>
    <row r="15" spans="1:11" x14ac:dyDescent="0.25">
      <c r="D15" s="2" t="s">
        <v>8</v>
      </c>
      <c r="F15" s="4">
        <v>30000000</v>
      </c>
      <c r="G15" s="1" t="s">
        <v>9</v>
      </c>
      <c r="H15" s="11"/>
      <c r="I15" t="s">
        <v>15</v>
      </c>
      <c r="J15" s="7">
        <f>+F16/F15</f>
        <v>0.93333333333333335</v>
      </c>
    </row>
    <row r="16" spans="1:11" x14ac:dyDescent="0.25">
      <c r="F16" s="4">
        <v>28000000</v>
      </c>
      <c r="G16" s="1" t="s">
        <v>10</v>
      </c>
      <c r="H16" s="11"/>
      <c r="I16" t="s">
        <v>14</v>
      </c>
      <c r="J16" s="7">
        <f>+F17/F16</f>
        <v>1.0535714285714286</v>
      </c>
    </row>
    <row r="17" spans="3:15" x14ac:dyDescent="0.25">
      <c r="F17" s="4">
        <v>29500000</v>
      </c>
      <c r="G17" s="1" t="s">
        <v>11</v>
      </c>
      <c r="H17" s="11"/>
      <c r="I17" t="s">
        <v>13</v>
      </c>
      <c r="J17" s="7">
        <f>+F18/F17</f>
        <v>6.1016949152542375E-2</v>
      </c>
    </row>
    <row r="18" spans="3:15" x14ac:dyDescent="0.25">
      <c r="F18" s="4">
        <f>+F7</f>
        <v>1800000</v>
      </c>
      <c r="G18" s="1" t="s">
        <v>12</v>
      </c>
      <c r="H18" s="11"/>
      <c r="I18" t="s">
        <v>16</v>
      </c>
      <c r="J18" s="7">
        <f>+F8/F18</f>
        <v>0.90464999999999995</v>
      </c>
    </row>
    <row r="19" spans="3:15" x14ac:dyDescent="0.25">
      <c r="F19" s="2" t="s">
        <v>51</v>
      </c>
      <c r="G19">
        <v>0</v>
      </c>
      <c r="H19" s="11" t="s">
        <v>52</v>
      </c>
      <c r="I19" t="s">
        <v>41</v>
      </c>
      <c r="J19" s="7">
        <f>+F8/F15</f>
        <v>5.4279000000000001E-2</v>
      </c>
    </row>
    <row r="20" spans="3:15" x14ac:dyDescent="0.25">
      <c r="H20" s="11"/>
      <c r="M20" s="21"/>
      <c r="N20" s="21"/>
      <c r="O20" s="21"/>
    </row>
    <row r="21" spans="3:15" x14ac:dyDescent="0.25">
      <c r="C21" s="9"/>
      <c r="D21" s="13" t="s">
        <v>21</v>
      </c>
      <c r="E21" s="9"/>
      <c r="F21" s="9" t="s">
        <v>22</v>
      </c>
      <c r="G21" s="9" t="s">
        <v>23</v>
      </c>
      <c r="H21" s="13" t="s">
        <v>27</v>
      </c>
      <c r="I21" s="10" t="s">
        <v>38</v>
      </c>
      <c r="J21" s="10" t="s">
        <v>37</v>
      </c>
      <c r="K21" s="10" t="s">
        <v>39</v>
      </c>
      <c r="L21" s="9"/>
      <c r="M21" s="21"/>
      <c r="N21" s="21"/>
      <c r="O21" s="21"/>
    </row>
    <row r="22" spans="3:15" ht="6" customHeight="1" x14ac:dyDescent="0.25">
      <c r="M22" s="21"/>
      <c r="N22" s="21"/>
      <c r="O22" s="21"/>
    </row>
    <row r="23" spans="3:15" x14ac:dyDescent="0.25">
      <c r="C23" s="33" t="str">
        <f>IF(H23=1,"u","")</f>
        <v/>
      </c>
      <c r="D23" s="11" t="s">
        <v>672</v>
      </c>
      <c r="E23" s="33"/>
      <c r="F23" t="s">
        <v>276</v>
      </c>
      <c r="G23" t="s">
        <v>25</v>
      </c>
      <c r="H23">
        <f>RANK(K23,K$23:K$43,1)</f>
        <v>2</v>
      </c>
      <c r="I23" s="4">
        <v>712520</v>
      </c>
      <c r="J23" s="4">
        <v>1279601</v>
      </c>
      <c r="K23" s="4">
        <f>+J23+I23</f>
        <v>1992121</v>
      </c>
      <c r="L23" s="4"/>
      <c r="M23" s="22"/>
      <c r="N23" s="22"/>
      <c r="O23" s="22"/>
    </row>
    <row r="24" spans="3:15" x14ac:dyDescent="0.25">
      <c r="C24" s="33" t="str">
        <f>IF(H24=1,"u","")</f>
        <v/>
      </c>
      <c r="D24" s="11" t="s">
        <v>673</v>
      </c>
      <c r="E24" s="33"/>
      <c r="F24" t="s">
        <v>167</v>
      </c>
      <c r="G24" t="s">
        <v>93</v>
      </c>
      <c r="H24">
        <f t="shared" ref="H24:H33" si="0">RANK(K24,K$23:K$43,1)</f>
        <v>13</v>
      </c>
      <c r="I24" s="4">
        <v>1401360</v>
      </c>
      <c r="J24" s="4">
        <v>6569100</v>
      </c>
      <c r="K24" s="4">
        <f t="shared" ref="K24:K33" si="1">+J24+I24</f>
        <v>7970460</v>
      </c>
      <c r="L24" s="4"/>
      <c r="M24" s="22"/>
      <c r="N24" s="22"/>
      <c r="O24" s="22"/>
    </row>
    <row r="25" spans="3:15" x14ac:dyDescent="0.25">
      <c r="C25" s="33" t="str">
        <f>IF(H25=1,"u","")</f>
        <v>u</v>
      </c>
      <c r="D25" s="11" t="s">
        <v>606</v>
      </c>
      <c r="E25" s="33"/>
      <c r="F25" t="s">
        <v>100</v>
      </c>
      <c r="G25" t="s">
        <v>93</v>
      </c>
      <c r="H25">
        <f t="shared" si="0"/>
        <v>1</v>
      </c>
      <c r="I25" s="4">
        <v>970370</v>
      </c>
      <c r="J25" s="4">
        <v>658000</v>
      </c>
      <c r="K25" s="4">
        <f t="shared" si="1"/>
        <v>1628370</v>
      </c>
      <c r="L25" s="4"/>
      <c r="M25" s="22"/>
      <c r="N25" s="22"/>
      <c r="O25" s="22"/>
    </row>
    <row r="26" spans="3:15" x14ac:dyDescent="0.25">
      <c r="C26" s="33" t="str">
        <f t="shared" ref="C26:C43" si="2">IF(H26=1,"u","")</f>
        <v/>
      </c>
      <c r="D26" s="11" t="s">
        <v>491</v>
      </c>
      <c r="E26" s="33"/>
      <c r="F26" t="s">
        <v>203</v>
      </c>
      <c r="G26" t="s">
        <v>204</v>
      </c>
      <c r="H26">
        <f t="shared" si="0"/>
        <v>4</v>
      </c>
      <c r="I26" s="4">
        <v>1219850</v>
      </c>
      <c r="J26" s="4">
        <v>1470150</v>
      </c>
      <c r="K26" s="4">
        <f t="shared" si="1"/>
        <v>2690000</v>
      </c>
      <c r="L26" s="4"/>
      <c r="M26" s="22"/>
      <c r="N26" s="22"/>
      <c r="O26" s="22"/>
    </row>
    <row r="27" spans="3:15" x14ac:dyDescent="0.25">
      <c r="C27" s="33" t="str">
        <f t="shared" si="2"/>
        <v/>
      </c>
      <c r="D27" s="11" t="s">
        <v>674</v>
      </c>
      <c r="E27" s="33"/>
      <c r="F27" t="s">
        <v>675</v>
      </c>
      <c r="G27" t="s">
        <v>93</v>
      </c>
      <c r="H27">
        <f t="shared" si="0"/>
        <v>10</v>
      </c>
      <c r="I27" s="4">
        <v>1493250</v>
      </c>
      <c r="J27" s="4">
        <v>2263426</v>
      </c>
      <c r="K27" s="4">
        <f t="shared" si="1"/>
        <v>3756676</v>
      </c>
      <c r="L27" s="4"/>
      <c r="M27" s="22"/>
      <c r="N27" s="22"/>
      <c r="O27" s="22"/>
    </row>
    <row r="28" spans="3:15" x14ac:dyDescent="0.25">
      <c r="C28" s="33" t="str">
        <f t="shared" si="2"/>
        <v/>
      </c>
      <c r="D28" s="11" t="s">
        <v>676</v>
      </c>
      <c r="E28" s="33"/>
      <c r="F28" t="s">
        <v>85</v>
      </c>
      <c r="G28" t="s">
        <v>25</v>
      </c>
      <c r="H28">
        <f t="shared" si="0"/>
        <v>3</v>
      </c>
      <c r="I28" s="4">
        <v>1208290</v>
      </c>
      <c r="J28" s="4">
        <v>1048000</v>
      </c>
      <c r="K28" s="4">
        <f t="shared" si="1"/>
        <v>2256290</v>
      </c>
      <c r="L28" s="4"/>
      <c r="M28" s="22"/>
      <c r="N28" s="22"/>
      <c r="O28" s="22"/>
    </row>
    <row r="29" spans="3:15" x14ac:dyDescent="0.25">
      <c r="C29" s="33" t="str">
        <f t="shared" si="2"/>
        <v/>
      </c>
      <c r="D29" s="11" t="s">
        <v>556</v>
      </c>
      <c r="E29" s="33"/>
      <c r="F29" t="s">
        <v>201</v>
      </c>
      <c r="G29" t="s">
        <v>25</v>
      </c>
      <c r="H29">
        <f t="shared" si="0"/>
        <v>12</v>
      </c>
      <c r="I29" s="4">
        <v>2017790</v>
      </c>
      <c r="J29" s="4">
        <v>2961000</v>
      </c>
      <c r="K29" s="4">
        <f t="shared" si="1"/>
        <v>4978790</v>
      </c>
      <c r="L29" s="4"/>
      <c r="M29" s="22"/>
      <c r="N29" s="22"/>
      <c r="O29" s="22"/>
    </row>
    <row r="30" spans="3:15" x14ac:dyDescent="0.25">
      <c r="C30" s="33" t="str">
        <f t="shared" si="2"/>
        <v/>
      </c>
      <c r="D30" s="11" t="s">
        <v>677</v>
      </c>
      <c r="E30" s="33"/>
      <c r="F30" t="s">
        <v>287</v>
      </c>
      <c r="G30" t="s">
        <v>25</v>
      </c>
      <c r="H30">
        <f t="shared" si="0"/>
        <v>5</v>
      </c>
      <c r="I30" s="4">
        <v>1836670</v>
      </c>
      <c r="J30" s="4">
        <v>935042</v>
      </c>
      <c r="K30" s="4">
        <f t="shared" si="1"/>
        <v>2771712</v>
      </c>
      <c r="L30" s="4"/>
      <c r="M30" s="22"/>
      <c r="N30" s="22"/>
      <c r="O30" s="22"/>
    </row>
    <row r="31" spans="3:15" x14ac:dyDescent="0.25">
      <c r="C31" s="33" t="str">
        <f t="shared" si="2"/>
        <v/>
      </c>
      <c r="D31" s="11" t="s">
        <v>678</v>
      </c>
      <c r="E31" s="33"/>
      <c r="F31" t="s">
        <v>92</v>
      </c>
      <c r="G31" t="s">
        <v>93</v>
      </c>
      <c r="H31">
        <f t="shared" si="0"/>
        <v>11</v>
      </c>
      <c r="I31" s="4">
        <v>1812650</v>
      </c>
      <c r="J31" s="4">
        <v>2485000</v>
      </c>
      <c r="K31" s="4">
        <f t="shared" si="1"/>
        <v>4297650</v>
      </c>
      <c r="L31" s="4"/>
      <c r="M31" s="22"/>
      <c r="N31" s="22"/>
      <c r="O31" s="22"/>
    </row>
    <row r="32" spans="3:15" x14ac:dyDescent="0.25">
      <c r="C32" s="33" t="str">
        <f t="shared" si="2"/>
        <v/>
      </c>
      <c r="D32" s="11" t="s">
        <v>679</v>
      </c>
      <c r="E32" s="33"/>
      <c r="F32" t="s">
        <v>137</v>
      </c>
      <c r="G32" t="s">
        <v>25</v>
      </c>
      <c r="H32">
        <f t="shared" si="0"/>
        <v>9</v>
      </c>
      <c r="I32" s="4">
        <v>1776900</v>
      </c>
      <c r="J32" s="4">
        <v>1390100</v>
      </c>
      <c r="K32" s="4">
        <f t="shared" si="1"/>
        <v>3167000</v>
      </c>
      <c r="L32" s="4"/>
      <c r="M32" s="22"/>
      <c r="N32" s="22"/>
      <c r="O32" s="22"/>
    </row>
    <row r="33" spans="3:15" x14ac:dyDescent="0.25">
      <c r="C33" s="33" t="str">
        <f t="shared" si="2"/>
        <v/>
      </c>
      <c r="D33" s="11" t="s">
        <v>680</v>
      </c>
      <c r="E33" s="33"/>
      <c r="F33" t="s">
        <v>532</v>
      </c>
      <c r="G33" t="s">
        <v>93</v>
      </c>
      <c r="H33">
        <f t="shared" si="0"/>
        <v>7</v>
      </c>
      <c r="I33" s="4">
        <v>1016450</v>
      </c>
      <c r="J33" s="4">
        <v>1830000</v>
      </c>
      <c r="K33" s="4">
        <f t="shared" si="1"/>
        <v>2846450</v>
      </c>
      <c r="M33" s="21"/>
      <c r="N33" s="21"/>
      <c r="O33" s="21"/>
    </row>
    <row r="34" spans="3:15" x14ac:dyDescent="0.25">
      <c r="C34" s="33" t="str">
        <f>IF(H34=1,"u","")</f>
        <v/>
      </c>
      <c r="D34" s="11" t="s">
        <v>681</v>
      </c>
      <c r="E34" s="33"/>
      <c r="F34" t="s">
        <v>199</v>
      </c>
      <c r="G34" t="s">
        <v>93</v>
      </c>
      <c r="H34">
        <f>RANK(K34,K$23:K$43,1)</f>
        <v>8</v>
      </c>
      <c r="I34" s="4">
        <v>1490700</v>
      </c>
      <c r="J34" s="4">
        <v>1492000</v>
      </c>
      <c r="K34" s="4">
        <f>+J34+I34</f>
        <v>2982700</v>
      </c>
      <c r="M34" s="21"/>
      <c r="N34" s="21"/>
      <c r="O34" s="21"/>
    </row>
    <row r="35" spans="3:15" x14ac:dyDescent="0.25">
      <c r="C35" s="33" t="str">
        <f>IF(H35=1,"u","")</f>
        <v/>
      </c>
      <c r="D35" s="11" t="s">
        <v>521</v>
      </c>
      <c r="E35" s="33"/>
      <c r="F35" t="s">
        <v>251</v>
      </c>
      <c r="G35" t="s">
        <v>25</v>
      </c>
      <c r="H35">
        <f>RANK(K35,K$23:K$43,1)</f>
        <v>6</v>
      </c>
      <c r="I35" s="4">
        <v>1157000</v>
      </c>
      <c r="J35" s="4">
        <v>1617500</v>
      </c>
      <c r="K35" s="4">
        <f>+J35+I35</f>
        <v>2774500</v>
      </c>
      <c r="M35" s="21"/>
      <c r="N35" s="21"/>
      <c r="O35" s="21"/>
    </row>
    <row r="36" spans="3:15" x14ac:dyDescent="0.25">
      <c r="C36" s="33" t="str">
        <f t="shared" si="2"/>
        <v/>
      </c>
      <c r="D36" s="11"/>
      <c r="E36" s="33" t="str">
        <f t="shared" ref="E36:E43" si="3">IF(H36=1,"t","")</f>
        <v/>
      </c>
      <c r="K36" s="4"/>
      <c r="M36" s="21"/>
      <c r="N36" s="21"/>
      <c r="O36" s="21"/>
    </row>
    <row r="37" spans="3:15" x14ac:dyDescent="0.25">
      <c r="C37" s="33" t="str">
        <f t="shared" si="2"/>
        <v/>
      </c>
      <c r="D37" s="11"/>
      <c r="E37" s="33" t="str">
        <f t="shared" si="3"/>
        <v/>
      </c>
      <c r="K37" s="4"/>
      <c r="M37" s="21"/>
      <c r="N37" s="21"/>
      <c r="O37" s="21"/>
    </row>
    <row r="38" spans="3:15" x14ac:dyDescent="0.25">
      <c r="C38" s="33" t="str">
        <f t="shared" si="2"/>
        <v/>
      </c>
      <c r="D38" s="11"/>
      <c r="E38" s="33" t="str">
        <f t="shared" si="3"/>
        <v/>
      </c>
      <c r="K38" s="4"/>
      <c r="M38" s="21"/>
      <c r="N38" s="21"/>
      <c r="O38" s="21"/>
    </row>
    <row r="39" spans="3:15" x14ac:dyDescent="0.25">
      <c r="C39" s="33" t="str">
        <f t="shared" si="2"/>
        <v/>
      </c>
      <c r="D39" s="11"/>
      <c r="E39" s="33" t="str">
        <f t="shared" si="3"/>
        <v/>
      </c>
      <c r="K39" s="4"/>
      <c r="M39" s="21"/>
      <c r="N39" s="21"/>
      <c r="O39" s="21"/>
    </row>
    <row r="40" spans="3:15" x14ac:dyDescent="0.25">
      <c r="C40" s="33" t="str">
        <f t="shared" si="2"/>
        <v/>
      </c>
      <c r="D40" s="11"/>
      <c r="E40" s="33" t="str">
        <f t="shared" si="3"/>
        <v/>
      </c>
      <c r="K40" s="4"/>
      <c r="M40" s="21"/>
      <c r="N40" s="21"/>
      <c r="O40" s="21"/>
    </row>
    <row r="41" spans="3:15" x14ac:dyDescent="0.25">
      <c r="C41" s="33" t="str">
        <f t="shared" si="2"/>
        <v/>
      </c>
      <c r="D41" s="11"/>
      <c r="E41" s="33" t="str">
        <f t="shared" si="3"/>
        <v/>
      </c>
      <c r="K41" s="4"/>
      <c r="M41" s="21"/>
      <c r="N41" s="21"/>
      <c r="O41" s="21"/>
    </row>
    <row r="42" spans="3:15" x14ac:dyDescent="0.25">
      <c r="C42" s="33" t="str">
        <f t="shared" si="2"/>
        <v/>
      </c>
      <c r="D42" s="11"/>
      <c r="E42" s="33" t="str">
        <f t="shared" si="3"/>
        <v/>
      </c>
      <c r="K42" s="4"/>
      <c r="M42" s="21"/>
      <c r="N42" s="21"/>
      <c r="O42" s="21"/>
    </row>
    <row r="43" spans="3:15" x14ac:dyDescent="0.25">
      <c r="C43" s="33" t="str">
        <f t="shared" si="2"/>
        <v/>
      </c>
      <c r="D43" s="11"/>
      <c r="E43" s="33" t="str">
        <f t="shared" si="3"/>
        <v/>
      </c>
      <c r="K43" s="4"/>
      <c r="M43" s="21"/>
      <c r="N43" s="21"/>
      <c r="O43" s="21"/>
    </row>
    <row r="44" spans="3:15" ht="6" customHeight="1" x14ac:dyDescent="0.25">
      <c r="C44" s="9"/>
      <c r="D44" s="9"/>
      <c r="E44" s="9"/>
      <c r="F44" s="9"/>
      <c r="G44" s="9"/>
      <c r="H44" s="9"/>
      <c r="I44" s="9"/>
      <c r="J44" s="9"/>
      <c r="K44" s="9"/>
      <c r="L44" s="9"/>
      <c r="M44" s="21"/>
      <c r="N44" s="21"/>
      <c r="O44" s="21"/>
    </row>
    <row r="45" spans="3:15" ht="6" customHeight="1" x14ac:dyDescent="0.25">
      <c r="M45" s="21"/>
      <c r="N45" s="21"/>
      <c r="O45" s="21"/>
    </row>
    <row r="46" spans="3:15" x14ac:dyDescent="0.25">
      <c r="C46" s="15" t="s">
        <v>79</v>
      </c>
      <c r="M46" s="21"/>
      <c r="N46" s="21"/>
      <c r="O46" s="21"/>
    </row>
    <row r="47" spans="3:15" x14ac:dyDescent="0.25">
      <c r="C47" s="15" t="s">
        <v>78</v>
      </c>
    </row>
  </sheetData>
  <mergeCells count="1">
    <mergeCell ref="G13:H13"/>
  </mergeCells>
  <conditionalFormatting sqref="I9">
    <cfRule type="containsText" dxfId="850" priority="23" operator="containsText" text="FAIL">
      <formula>NOT(ISERROR(SEARCH("FAIL",I9)))</formula>
    </cfRule>
  </conditionalFormatting>
  <conditionalFormatting sqref="I9">
    <cfRule type="containsText" dxfId="849" priority="22" operator="containsText" text="GOOD">
      <formula>NOT(ISERROR(SEARCH("GOOD",I9)))</formula>
    </cfRule>
  </conditionalFormatting>
  <conditionalFormatting sqref="I9">
    <cfRule type="containsText" dxfId="848" priority="21" operator="containsText" text="FAIL">
      <formula>NOT(ISERROR(SEARCH("FAIL",I9)))</formula>
    </cfRule>
  </conditionalFormatting>
  <conditionalFormatting sqref="I9">
    <cfRule type="containsText" dxfId="847" priority="20" operator="containsText" text="GOOD">
      <formula>NOT(ISERROR(SEARCH("GOOD",I9)))</formula>
    </cfRule>
  </conditionalFormatting>
  <conditionalFormatting sqref="I9">
    <cfRule type="containsText" dxfId="846" priority="19" operator="containsText" text="FAIL">
      <formula>NOT(ISERROR(SEARCH("FAIL",I9)))</formula>
    </cfRule>
  </conditionalFormatting>
  <conditionalFormatting sqref="I9">
    <cfRule type="containsText" dxfId="845" priority="18" operator="containsText" text="GOOD">
      <formula>NOT(ISERROR(SEARCH("GOOD",I9)))</formula>
    </cfRule>
  </conditionalFormatting>
  <conditionalFormatting sqref="F11">
    <cfRule type="containsText" dxfId="844" priority="17" operator="containsText" text="FAIL">
      <formula>NOT(ISERROR(SEARCH("FAIL",F11)))</formula>
    </cfRule>
  </conditionalFormatting>
  <conditionalFormatting sqref="F11">
    <cfRule type="containsText" dxfId="843" priority="16" operator="containsText" text="GOOD">
      <formula>NOT(ISERROR(SEARCH("GOOD",F11)))</formula>
    </cfRule>
  </conditionalFormatting>
  <conditionalFormatting sqref="I9">
    <cfRule type="containsText" dxfId="842" priority="15" operator="containsText" text="FAIL">
      <formula>NOT(ISERROR(SEARCH("FAIL",I9)))</formula>
    </cfRule>
  </conditionalFormatting>
  <conditionalFormatting sqref="I9">
    <cfRule type="containsText" dxfId="841" priority="14" operator="containsText" text="GOOD">
      <formula>NOT(ISERROR(SEARCH("GOOD",I9)))</formula>
    </cfRule>
  </conditionalFormatting>
  <conditionalFormatting sqref="F11">
    <cfRule type="containsText" dxfId="840" priority="13" operator="containsText" text="FAIL">
      <formula>NOT(ISERROR(SEARCH("FAIL",F11)))</formula>
    </cfRule>
  </conditionalFormatting>
  <conditionalFormatting sqref="F11">
    <cfRule type="containsText" dxfId="839" priority="12" operator="containsText" text="GOOD">
      <formula>NOT(ISERROR(SEARCH("GOOD",F11)))</formula>
    </cfRule>
  </conditionalFormatting>
  <conditionalFormatting sqref="D25">
    <cfRule type="expression" dxfId="838" priority="11" stopIfTrue="1">
      <formula>IF($H$25=1,0)</formula>
    </cfRule>
  </conditionalFormatting>
  <conditionalFormatting sqref="D23:D33 D36:D43">
    <cfRule type="expression" dxfId="837" priority="10">
      <formula>H23=1</formula>
    </cfRule>
  </conditionalFormatting>
  <conditionalFormatting sqref="C23:C33 C36:C43">
    <cfRule type="expression" dxfId="836" priority="9">
      <formula>H23=1</formula>
    </cfRule>
  </conditionalFormatting>
  <conditionalFormatting sqref="E23:E33 E36:E43">
    <cfRule type="expression" dxfId="835" priority="8">
      <formula>H23=1</formula>
    </cfRule>
  </conditionalFormatting>
  <conditionalFormatting sqref="E23:E33 E36:E43">
    <cfRule type="expression" dxfId="834" priority="7">
      <formula>H23=1</formula>
    </cfRule>
  </conditionalFormatting>
  <conditionalFormatting sqref="F11">
    <cfRule type="containsText" dxfId="833" priority="6" operator="containsText" text="FAIL">
      <formula>NOT(ISERROR(SEARCH("FAIL",F11)))</formula>
    </cfRule>
  </conditionalFormatting>
  <conditionalFormatting sqref="F11">
    <cfRule type="containsText" dxfId="832" priority="5" operator="containsText" text="GOOD">
      <formula>NOT(ISERROR(SEARCH("GOOD",F11)))</formula>
    </cfRule>
  </conditionalFormatting>
  <conditionalFormatting sqref="D34:D35">
    <cfRule type="expression" dxfId="831" priority="4">
      <formula>H34=1</formula>
    </cfRule>
  </conditionalFormatting>
  <conditionalFormatting sqref="C34:C35">
    <cfRule type="expression" dxfId="830" priority="3">
      <formula>H34=1</formula>
    </cfRule>
  </conditionalFormatting>
  <conditionalFormatting sqref="E34:E35">
    <cfRule type="expression" dxfId="829" priority="2">
      <formula>H34=1</formula>
    </cfRule>
  </conditionalFormatting>
  <conditionalFormatting sqref="E34:E35">
    <cfRule type="expression" dxfId="828" priority="1">
      <formula>H34=1</formula>
    </cfRule>
  </conditionalFormatting>
  <pageMargins left="0.7" right="0.7" top="0.75" bottom="0.75" header="0.3" footer="0.3"/>
  <pageSetup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500-000000000000}">
  <sheetPr codeName="Sheet103"/>
  <dimension ref="A2:O47"/>
  <sheetViews>
    <sheetView zoomScaleNormal="100" workbookViewId="0">
      <selection activeCell="L29" sqref="L29"/>
    </sheetView>
  </sheetViews>
  <sheetFormatPr defaultRowHeight="15" x14ac:dyDescent="0.25"/>
  <cols>
    <col min="1" max="2" width="4.42578125" customWidth="1"/>
    <col min="3" max="3" width="3" customWidth="1"/>
    <col min="4" max="4" width="24.85546875" customWidth="1"/>
    <col min="5" max="5" width="3" customWidth="1"/>
    <col min="6" max="6" width="15.7109375" customWidth="1"/>
    <col min="7" max="7" width="8.5703125" customWidth="1"/>
    <col min="8" max="8" width="5.85546875" customWidth="1"/>
    <col min="9" max="15" width="15.7109375" customWidth="1"/>
  </cols>
  <sheetData>
    <row r="2" spans="1:11" x14ac:dyDescent="0.25">
      <c r="C2" s="15" t="s">
        <v>32</v>
      </c>
      <c r="E2" s="15"/>
      <c r="F2" s="15"/>
      <c r="G2" s="15" t="s">
        <v>33</v>
      </c>
      <c r="H2" s="15"/>
      <c r="I2" s="15"/>
      <c r="J2" s="15"/>
      <c r="K2" s="15"/>
    </row>
    <row r="3" spans="1:11" ht="18.75" x14ac:dyDescent="0.3">
      <c r="C3" s="3" t="s">
        <v>26</v>
      </c>
      <c r="J3" s="8" t="s">
        <v>17</v>
      </c>
    </row>
    <row r="4" spans="1:11" x14ac:dyDescent="0.25">
      <c r="D4" s="2" t="s">
        <v>0</v>
      </c>
      <c r="E4" s="1"/>
      <c r="F4" t="s">
        <v>705</v>
      </c>
      <c r="I4" s="2" t="s">
        <v>4</v>
      </c>
      <c r="J4" t="s">
        <v>630</v>
      </c>
    </row>
    <row r="5" spans="1:11" x14ac:dyDescent="0.25">
      <c r="D5" s="2" t="s">
        <v>1</v>
      </c>
      <c r="F5" t="s">
        <v>706</v>
      </c>
    </row>
    <row r="6" spans="1:11" x14ac:dyDescent="0.25">
      <c r="D6" s="2" t="s">
        <v>2</v>
      </c>
      <c r="F6" s="6">
        <v>42586</v>
      </c>
      <c r="H6" s="11"/>
    </row>
    <row r="7" spans="1:11" x14ac:dyDescent="0.25">
      <c r="D7" s="2" t="s">
        <v>3</v>
      </c>
      <c r="F7" s="5">
        <v>800000</v>
      </c>
      <c r="G7" s="2" t="s">
        <v>693</v>
      </c>
      <c r="H7" s="11"/>
    </row>
    <row r="8" spans="1:11" x14ac:dyDescent="0.25">
      <c r="D8" s="2" t="s">
        <v>18</v>
      </c>
      <c r="F8" s="5">
        <f>MIN(I23:I43)</f>
        <v>485250</v>
      </c>
      <c r="H8" s="11"/>
    </row>
    <row r="9" spans="1:11" x14ac:dyDescent="0.25">
      <c r="D9" s="2" t="s">
        <v>67</v>
      </c>
      <c r="F9" s="4">
        <f>+F8-F7</f>
        <v>-314750</v>
      </c>
      <c r="G9" s="16">
        <f>+F9/F7</f>
        <v>-0.3934375</v>
      </c>
      <c r="H9" s="12" t="s">
        <v>20</v>
      </c>
      <c r="I9" s="11" t="str">
        <f>(IF(G9&lt;-0.1,"FAIL",IF(G9&gt;0.05,"FAIL","GOOD")))</f>
        <v>FAIL</v>
      </c>
      <c r="J9" s="14" t="s">
        <v>72</v>
      </c>
    </row>
    <row r="10" spans="1:11" x14ac:dyDescent="0.25">
      <c r="D10" s="2" t="s">
        <v>68</v>
      </c>
      <c r="F10" s="4">
        <f>+F7-F12</f>
        <v>9041</v>
      </c>
      <c r="H10" s="11"/>
    </row>
    <row r="11" spans="1:11" x14ac:dyDescent="0.25">
      <c r="A11" s="52"/>
      <c r="D11" s="2" t="s">
        <v>71</v>
      </c>
      <c r="F11" s="11" t="str">
        <f>(IF(F7&lt;J12,"FAIL",IF(F7&gt;J13,"FAIL","GOOD")))</f>
        <v>GOOD</v>
      </c>
      <c r="H11" s="11"/>
    </row>
    <row r="12" spans="1:11" x14ac:dyDescent="0.25">
      <c r="D12" s="2" t="s">
        <v>28</v>
      </c>
      <c r="F12" s="4">
        <f>SUM(I23:I43)/H12</f>
        <v>790959</v>
      </c>
      <c r="G12" s="14"/>
      <c r="H12" s="11">
        <f>COUNT(I23:I43)</f>
        <v>4</v>
      </c>
      <c r="I12" s="1" t="s">
        <v>31</v>
      </c>
      <c r="J12" s="4">
        <f>+F8*0.9</f>
        <v>436725</v>
      </c>
      <c r="K12" s="1" t="s">
        <v>69</v>
      </c>
    </row>
    <row r="13" spans="1:11" x14ac:dyDescent="0.25">
      <c r="D13" s="2" t="s">
        <v>29</v>
      </c>
      <c r="F13" s="4">
        <f>MAX(I23:I43)-MIN(I23:I43)</f>
        <v>513587</v>
      </c>
      <c r="G13" s="399">
        <f>MEDIAN(I23:I43)</f>
        <v>839874.5</v>
      </c>
      <c r="H13" s="400"/>
      <c r="I13" s="1" t="s">
        <v>30</v>
      </c>
      <c r="J13" s="4">
        <f>+F12*1.1</f>
        <v>870054.9</v>
      </c>
      <c r="K13" s="1" t="s">
        <v>70</v>
      </c>
    </row>
    <row r="14" spans="1:11" x14ac:dyDescent="0.25">
      <c r="H14" s="11"/>
    </row>
    <row r="15" spans="1:11" x14ac:dyDescent="0.25">
      <c r="D15" s="2" t="s">
        <v>8</v>
      </c>
      <c r="F15" s="4"/>
      <c r="G15" s="1" t="s">
        <v>9</v>
      </c>
      <c r="H15" s="11"/>
      <c r="I15" t="s">
        <v>15</v>
      </c>
      <c r="J15" s="7" t="e">
        <f>+F16/F15</f>
        <v>#DIV/0!</v>
      </c>
    </row>
    <row r="16" spans="1:11" x14ac:dyDescent="0.25">
      <c r="F16" s="4"/>
      <c r="G16" s="1" t="s">
        <v>10</v>
      </c>
      <c r="H16" s="11"/>
      <c r="I16" t="s">
        <v>14</v>
      </c>
      <c r="J16" s="7" t="e">
        <f>+F17/F16</f>
        <v>#DIV/0!</v>
      </c>
    </row>
    <row r="17" spans="3:15" x14ac:dyDescent="0.25">
      <c r="F17" s="4"/>
      <c r="G17" s="1" t="s">
        <v>11</v>
      </c>
      <c r="H17" s="11"/>
      <c r="I17" t="s">
        <v>13</v>
      </c>
      <c r="J17" s="7" t="e">
        <f>+F18/F17</f>
        <v>#DIV/0!</v>
      </c>
      <c r="M17" s="21"/>
      <c r="N17" s="21"/>
      <c r="O17" s="21"/>
    </row>
    <row r="18" spans="3:15" x14ac:dyDescent="0.25">
      <c r="F18" s="4"/>
      <c r="G18" s="1" t="s">
        <v>12</v>
      </c>
      <c r="H18" s="11"/>
      <c r="I18" t="s">
        <v>16</v>
      </c>
      <c r="J18" s="7" t="e">
        <f>+F8/F18</f>
        <v>#DIV/0!</v>
      </c>
      <c r="M18" s="21"/>
      <c r="N18" s="21"/>
      <c r="O18" s="21"/>
    </row>
    <row r="19" spans="3:15" x14ac:dyDescent="0.25">
      <c r="F19" s="2" t="s">
        <v>51</v>
      </c>
      <c r="G19">
        <v>0</v>
      </c>
      <c r="H19" s="11" t="s">
        <v>52</v>
      </c>
      <c r="I19" t="s">
        <v>41</v>
      </c>
      <c r="J19" s="7" t="e">
        <f>+F8/F15</f>
        <v>#DIV/0!</v>
      </c>
      <c r="M19" s="21"/>
      <c r="N19" s="21"/>
      <c r="O19" s="21"/>
    </row>
    <row r="20" spans="3:15" x14ac:dyDescent="0.25">
      <c r="H20" s="11"/>
      <c r="M20" s="21"/>
      <c r="N20" s="21"/>
      <c r="O20" s="21"/>
    </row>
    <row r="21" spans="3:15" x14ac:dyDescent="0.25">
      <c r="C21" s="9"/>
      <c r="D21" s="13" t="s">
        <v>21</v>
      </c>
      <c r="E21" s="9"/>
      <c r="F21" s="9" t="s">
        <v>22</v>
      </c>
      <c r="G21" s="9" t="s">
        <v>23</v>
      </c>
      <c r="H21" s="13" t="s">
        <v>27</v>
      </c>
      <c r="I21" s="10" t="s">
        <v>24</v>
      </c>
      <c r="J21" s="9"/>
      <c r="K21" s="9"/>
      <c r="L21" s="9"/>
      <c r="M21" s="21"/>
      <c r="N21" s="21"/>
      <c r="O21" s="21"/>
    </row>
    <row r="22" spans="3:15" ht="6" customHeight="1" x14ac:dyDescent="0.25">
      <c r="M22" s="21"/>
      <c r="N22" s="21"/>
      <c r="O22" s="21"/>
    </row>
    <row r="23" spans="3:15" x14ac:dyDescent="0.25">
      <c r="C23" s="33" t="str">
        <f>IF(H23=1,"u","")</f>
        <v/>
      </c>
      <c r="D23" s="11" t="s">
        <v>612</v>
      </c>
      <c r="E23" s="33"/>
      <c r="F23" t="s">
        <v>139</v>
      </c>
      <c r="G23" t="s">
        <v>25</v>
      </c>
      <c r="H23">
        <f>RANK(I23,I$23:I$43,1)</f>
        <v>2</v>
      </c>
      <c r="I23" s="4">
        <v>685749</v>
      </c>
      <c r="J23" s="4"/>
      <c r="K23" s="4"/>
      <c r="L23" s="4"/>
      <c r="M23" s="22"/>
      <c r="N23" s="22"/>
      <c r="O23" s="22"/>
    </row>
    <row r="24" spans="3:15" x14ac:dyDescent="0.25">
      <c r="C24" s="33" t="str">
        <f>IF(H24=1,"u","")</f>
        <v/>
      </c>
      <c r="D24" s="11" t="s">
        <v>707</v>
      </c>
      <c r="E24" s="33"/>
      <c r="F24" t="s">
        <v>407</v>
      </c>
      <c r="G24" t="s">
        <v>93</v>
      </c>
      <c r="H24">
        <f>RANK(I24,I$23:I$43,1)</f>
        <v>3</v>
      </c>
      <c r="I24" s="4">
        <v>994000</v>
      </c>
      <c r="J24" s="4"/>
      <c r="K24" s="4"/>
      <c r="L24" s="4"/>
      <c r="M24" s="22"/>
      <c r="N24" s="22"/>
      <c r="O24" s="22"/>
    </row>
    <row r="25" spans="3:15" x14ac:dyDescent="0.25">
      <c r="C25" s="33" t="str">
        <f>IF(H25=1,"u","")</f>
        <v/>
      </c>
      <c r="D25" s="11" t="s">
        <v>708</v>
      </c>
      <c r="E25" s="33"/>
      <c r="F25" t="s">
        <v>709</v>
      </c>
      <c r="G25" t="s">
        <v>93</v>
      </c>
      <c r="H25">
        <f>RANK(I25,I$23:I$43,1)</f>
        <v>4</v>
      </c>
      <c r="I25" s="4">
        <v>998837</v>
      </c>
      <c r="J25" s="4"/>
      <c r="K25" s="4"/>
      <c r="L25" s="4"/>
      <c r="M25" s="22"/>
      <c r="N25" s="22"/>
      <c r="O25" s="22"/>
    </row>
    <row r="26" spans="3:15" x14ac:dyDescent="0.25">
      <c r="C26" s="33" t="str">
        <f t="shared" ref="C26:C43" si="0">IF(H26=1,"u","")</f>
        <v>u</v>
      </c>
      <c r="D26" s="11" t="s">
        <v>710</v>
      </c>
      <c r="E26" s="33"/>
      <c r="F26" t="s">
        <v>386</v>
      </c>
      <c r="G26" t="s">
        <v>25</v>
      </c>
      <c r="H26">
        <f>RANK(I26,I$23:I$43,1)</f>
        <v>1</v>
      </c>
      <c r="I26" s="4">
        <v>485250</v>
      </c>
      <c r="J26" s="4"/>
      <c r="K26" s="4"/>
      <c r="L26" s="4"/>
      <c r="M26" s="22"/>
      <c r="N26" s="22"/>
      <c r="O26" s="22"/>
    </row>
    <row r="27" spans="3:15" x14ac:dyDescent="0.25">
      <c r="C27" s="33" t="str">
        <f t="shared" si="0"/>
        <v/>
      </c>
      <c r="D27" s="11"/>
      <c r="E27" s="33"/>
      <c r="I27" s="4"/>
      <c r="J27" s="4"/>
      <c r="K27" s="4"/>
      <c r="L27" s="4"/>
      <c r="M27" s="22"/>
      <c r="N27" s="22"/>
      <c r="O27" s="22"/>
    </row>
    <row r="28" spans="3:15" x14ac:dyDescent="0.25">
      <c r="C28" s="33" t="str">
        <f t="shared" si="0"/>
        <v/>
      </c>
      <c r="D28" s="11"/>
      <c r="E28" s="33"/>
      <c r="I28" s="4"/>
      <c r="J28" s="4"/>
      <c r="K28" s="4"/>
      <c r="L28" s="4"/>
      <c r="M28" s="22"/>
      <c r="N28" s="22"/>
      <c r="O28" s="22"/>
    </row>
    <row r="29" spans="3:15" x14ac:dyDescent="0.25">
      <c r="C29" s="33" t="str">
        <f t="shared" si="0"/>
        <v/>
      </c>
      <c r="D29" s="11"/>
      <c r="E29" s="33"/>
      <c r="I29" s="4"/>
      <c r="J29" s="4"/>
      <c r="K29" s="4"/>
      <c r="L29" s="4"/>
      <c r="M29" s="22"/>
      <c r="N29" s="22"/>
      <c r="O29" s="22"/>
    </row>
    <row r="30" spans="3:15" x14ac:dyDescent="0.25">
      <c r="C30" s="33" t="str">
        <f t="shared" si="0"/>
        <v/>
      </c>
      <c r="D30" s="11"/>
      <c r="E30" s="33"/>
      <c r="I30" s="4"/>
      <c r="J30" s="4"/>
      <c r="K30" s="4"/>
      <c r="L30" s="4"/>
      <c r="M30" s="22"/>
      <c r="N30" s="22"/>
      <c r="O30" s="22"/>
    </row>
    <row r="31" spans="3:15" x14ac:dyDescent="0.25">
      <c r="C31" s="33" t="str">
        <f t="shared" si="0"/>
        <v/>
      </c>
      <c r="D31" s="11"/>
      <c r="E31" s="33"/>
      <c r="I31" s="4"/>
      <c r="J31" s="4"/>
      <c r="K31" s="4"/>
      <c r="L31" s="4"/>
      <c r="M31" s="22"/>
      <c r="N31" s="22"/>
      <c r="O31" s="22"/>
    </row>
    <row r="32" spans="3:15" x14ac:dyDescent="0.25">
      <c r="C32" s="33" t="str">
        <f t="shared" si="0"/>
        <v/>
      </c>
      <c r="D32" s="11"/>
      <c r="E32" s="33"/>
      <c r="I32" s="4"/>
      <c r="J32" s="4"/>
      <c r="K32" s="4"/>
      <c r="L32" s="4"/>
      <c r="M32" s="22"/>
      <c r="N32" s="22"/>
      <c r="O32" s="22"/>
    </row>
    <row r="33" spans="3:15" x14ac:dyDescent="0.25">
      <c r="C33" s="33" t="str">
        <f t="shared" si="0"/>
        <v/>
      </c>
      <c r="D33" s="11"/>
      <c r="E33" s="33"/>
      <c r="I33" s="4"/>
      <c r="M33" s="21"/>
      <c r="N33" s="21"/>
      <c r="O33" s="21"/>
    </row>
    <row r="34" spans="3:15" x14ac:dyDescent="0.25">
      <c r="C34" s="33" t="str">
        <f t="shared" si="0"/>
        <v/>
      </c>
      <c r="D34" s="11"/>
      <c r="E34" s="33" t="str">
        <f t="shared" ref="E34:E43" si="1">IF(H34=1,"t","")</f>
        <v/>
      </c>
      <c r="M34" s="21"/>
      <c r="N34" s="21"/>
      <c r="O34" s="21"/>
    </row>
    <row r="35" spans="3:15" x14ac:dyDescent="0.25">
      <c r="C35" s="33" t="str">
        <f t="shared" si="0"/>
        <v/>
      </c>
      <c r="D35" s="11"/>
      <c r="E35" s="33" t="str">
        <f t="shared" si="1"/>
        <v/>
      </c>
      <c r="M35" s="21"/>
      <c r="N35" s="21"/>
      <c r="O35" s="21"/>
    </row>
    <row r="36" spans="3:15" x14ac:dyDescent="0.25">
      <c r="C36" s="33" t="str">
        <f t="shared" si="0"/>
        <v/>
      </c>
      <c r="D36" s="11"/>
      <c r="E36" s="33" t="str">
        <f t="shared" si="1"/>
        <v/>
      </c>
      <c r="M36" s="21"/>
      <c r="N36" s="21"/>
      <c r="O36" s="21"/>
    </row>
    <row r="37" spans="3:15" x14ac:dyDescent="0.25">
      <c r="C37" s="33" t="str">
        <f t="shared" si="0"/>
        <v/>
      </c>
      <c r="D37" s="11"/>
      <c r="E37" s="33" t="str">
        <f t="shared" si="1"/>
        <v/>
      </c>
      <c r="M37" s="21"/>
      <c r="N37" s="21"/>
      <c r="O37" s="21"/>
    </row>
    <row r="38" spans="3:15" x14ac:dyDescent="0.25">
      <c r="C38" s="33" t="str">
        <f t="shared" si="0"/>
        <v/>
      </c>
      <c r="D38" s="11"/>
      <c r="E38" s="33" t="str">
        <f t="shared" si="1"/>
        <v/>
      </c>
      <c r="M38" s="21"/>
      <c r="N38" s="21"/>
      <c r="O38" s="21"/>
    </row>
    <row r="39" spans="3:15" x14ac:dyDescent="0.25">
      <c r="C39" s="33" t="str">
        <f t="shared" si="0"/>
        <v/>
      </c>
      <c r="D39" s="11"/>
      <c r="E39" s="33" t="str">
        <f t="shared" si="1"/>
        <v/>
      </c>
      <c r="M39" s="21"/>
      <c r="N39" s="21"/>
      <c r="O39" s="21"/>
    </row>
    <row r="40" spans="3:15" x14ac:dyDescent="0.25">
      <c r="C40" s="33" t="str">
        <f t="shared" si="0"/>
        <v/>
      </c>
      <c r="D40" s="11"/>
      <c r="E40" s="33" t="str">
        <f t="shared" si="1"/>
        <v/>
      </c>
      <c r="M40" s="21"/>
      <c r="N40" s="21"/>
      <c r="O40" s="21"/>
    </row>
    <row r="41" spans="3:15" x14ac:dyDescent="0.25">
      <c r="C41" s="33" t="str">
        <f t="shared" si="0"/>
        <v/>
      </c>
      <c r="D41" s="11"/>
      <c r="E41" s="33" t="str">
        <f t="shared" si="1"/>
        <v/>
      </c>
      <c r="M41" s="21"/>
      <c r="N41" s="21"/>
      <c r="O41" s="21"/>
    </row>
    <row r="42" spans="3:15" x14ac:dyDescent="0.25">
      <c r="C42" s="33" t="str">
        <f t="shared" si="0"/>
        <v/>
      </c>
      <c r="D42" s="11"/>
      <c r="E42" s="33" t="str">
        <f t="shared" si="1"/>
        <v/>
      </c>
      <c r="M42" s="21"/>
      <c r="N42" s="21"/>
      <c r="O42" s="21"/>
    </row>
    <row r="43" spans="3:15" x14ac:dyDescent="0.25">
      <c r="C43" s="33" t="str">
        <f t="shared" si="0"/>
        <v/>
      </c>
      <c r="D43" s="11"/>
      <c r="E43" s="33" t="str">
        <f t="shared" si="1"/>
        <v/>
      </c>
      <c r="M43" s="21"/>
      <c r="N43" s="21"/>
      <c r="O43" s="21"/>
    </row>
    <row r="44" spans="3:15" ht="6" customHeight="1" x14ac:dyDescent="0.25">
      <c r="C44" s="9"/>
      <c r="D44" s="9"/>
      <c r="E44" s="9"/>
      <c r="F44" s="9"/>
      <c r="G44" s="9"/>
      <c r="H44" s="9"/>
      <c r="I44" s="9"/>
      <c r="J44" s="9"/>
      <c r="K44" s="9"/>
      <c r="L44" s="9"/>
      <c r="M44" s="21"/>
      <c r="N44" s="21"/>
      <c r="O44" s="21"/>
    </row>
    <row r="45" spans="3:15" ht="6" customHeight="1" x14ac:dyDescent="0.25">
      <c r="M45" s="21"/>
      <c r="N45" s="21"/>
      <c r="O45" s="21"/>
    </row>
    <row r="46" spans="3:15" x14ac:dyDescent="0.25">
      <c r="C46" s="15" t="s">
        <v>79</v>
      </c>
      <c r="M46" s="21"/>
      <c r="N46" s="21"/>
      <c r="O46" s="21"/>
    </row>
    <row r="47" spans="3:15" x14ac:dyDescent="0.25">
      <c r="C47" s="15" t="s">
        <v>78</v>
      </c>
    </row>
  </sheetData>
  <mergeCells count="1">
    <mergeCell ref="G13:H13"/>
  </mergeCells>
  <conditionalFormatting sqref="I9">
    <cfRule type="containsText" dxfId="893" priority="10" operator="containsText" text="FAIL">
      <formula>NOT(ISERROR(SEARCH("FAIL",I9)))</formula>
    </cfRule>
  </conditionalFormatting>
  <conditionalFormatting sqref="I9">
    <cfRule type="containsText" dxfId="892" priority="9" operator="containsText" text="GOOD">
      <formula>NOT(ISERROR(SEARCH("GOOD",I9)))</formula>
    </cfRule>
  </conditionalFormatting>
  <conditionalFormatting sqref="F11">
    <cfRule type="containsText" dxfId="891" priority="8" operator="containsText" text="FAIL">
      <formula>NOT(ISERROR(SEARCH("FAIL",F11)))</formula>
    </cfRule>
  </conditionalFormatting>
  <conditionalFormatting sqref="F11">
    <cfRule type="containsText" dxfId="890" priority="7" operator="containsText" text="GOOD">
      <formula>NOT(ISERROR(SEARCH("GOOD",F11)))</formula>
    </cfRule>
  </conditionalFormatting>
  <conditionalFormatting sqref="D25">
    <cfRule type="expression" dxfId="889" priority="6" stopIfTrue="1">
      <formula>IF($H$25=1,0)</formula>
    </cfRule>
  </conditionalFormatting>
  <conditionalFormatting sqref="D23:D43">
    <cfRule type="expression" dxfId="888" priority="5">
      <formula>H23=1</formula>
    </cfRule>
  </conditionalFormatting>
  <conditionalFormatting sqref="C23:C43">
    <cfRule type="expression" dxfId="887" priority="4">
      <formula>H23=1</formula>
    </cfRule>
  </conditionalFormatting>
  <conditionalFormatting sqref="E23:E43">
    <cfRule type="expression" dxfId="886" priority="3">
      <formula>H23=1</formula>
    </cfRule>
  </conditionalFormatting>
  <conditionalFormatting sqref="F11">
    <cfRule type="containsText" dxfId="885" priority="2" operator="containsText" text="FAIL">
      <formula>NOT(ISERROR(SEARCH("FAIL",F11)))</formula>
    </cfRule>
  </conditionalFormatting>
  <conditionalFormatting sqref="F11">
    <cfRule type="containsText" dxfId="884" priority="1" operator="containsText" text="GOOD">
      <formula>NOT(ISERROR(SEARCH("GOOD",F11)))</formula>
    </cfRule>
  </conditionalFormatting>
  <pageMargins left="0.7" right="0.7" top="0.75" bottom="0.75" header="0.3" footer="0.3"/>
  <pageSetup scale="68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9350B-29DD-416C-8345-5574C0D2725C}">
  <sheetPr codeName="Sheet3">
    <tabColor theme="1"/>
    <pageSetUpPr fitToPage="1"/>
  </sheetPr>
  <dimension ref="B2:DD18"/>
  <sheetViews>
    <sheetView workbookViewId="0">
      <selection activeCell="H14" sqref="H14"/>
    </sheetView>
  </sheetViews>
  <sheetFormatPr defaultRowHeight="15" x14ac:dyDescent="0.25"/>
  <cols>
    <col min="1" max="1" width="1.42578125" customWidth="1"/>
    <col min="2" max="2" width="7.42578125" customWidth="1"/>
    <col min="3" max="3" width="5.28515625" customWidth="1"/>
    <col min="4" max="4" width="12.42578125" customWidth="1"/>
    <col min="5" max="5" width="33.85546875" customWidth="1"/>
    <col min="6" max="6" width="9.5703125" bestFit="1" customWidth="1"/>
    <col min="7" max="7" width="8.5703125" customWidth="1"/>
    <col min="8" max="9" width="11.85546875" customWidth="1"/>
    <col min="10" max="10" width="12.7109375" customWidth="1"/>
    <col min="11" max="11" width="9.5703125" customWidth="1"/>
    <col min="12" max="12" width="7" hidden="1" customWidth="1"/>
    <col min="13" max="13" width="6.42578125" customWidth="1"/>
    <col min="14" max="14" width="5.7109375" style="11" customWidth="1"/>
    <col min="15" max="15" width="3.42578125" customWidth="1"/>
    <col min="16" max="16" width="6.140625" customWidth="1"/>
    <col min="17" max="17" width="4.28515625" customWidth="1"/>
    <col min="18" max="18" width="1" customWidth="1"/>
    <col min="19" max="19" width="28.7109375" hidden="1" customWidth="1"/>
    <col min="20" max="20" width="20.28515625" hidden="1" customWidth="1"/>
    <col min="21" max="45" width="5.42578125" hidden="1" customWidth="1"/>
    <col min="46" max="46" width="3.140625" customWidth="1"/>
    <col min="47" max="47" width="20.7109375" customWidth="1"/>
    <col min="48" max="48" width="6.7109375" customWidth="1"/>
    <col min="49" max="49" width="20.7109375" customWidth="1"/>
    <col min="50" max="50" width="6.7109375" customWidth="1"/>
    <col min="51" max="51" width="20.7109375" customWidth="1"/>
    <col min="52" max="52" width="6.7109375" customWidth="1"/>
    <col min="53" max="53" width="20.7109375" customWidth="1"/>
    <col min="54" max="54" width="6.7109375" customWidth="1"/>
    <col min="55" max="55" width="20.7109375" customWidth="1"/>
    <col min="56" max="56" width="6.7109375" customWidth="1"/>
    <col min="57" max="57" width="20.7109375" customWidth="1"/>
    <col min="58" max="58" width="6.7109375" customWidth="1"/>
    <col min="59" max="59" width="20.7109375" customWidth="1"/>
    <col min="60" max="60" width="6.7109375" customWidth="1"/>
    <col min="61" max="61" width="20.7109375" customWidth="1"/>
    <col min="62" max="62" width="6.7109375" customWidth="1"/>
    <col min="63" max="63" width="20.7109375" customWidth="1"/>
    <col min="64" max="64" width="6.7109375" customWidth="1"/>
    <col min="65" max="65" width="20.7109375" customWidth="1"/>
    <col min="66" max="66" width="6.7109375" customWidth="1"/>
    <col min="67" max="67" width="20.7109375" customWidth="1"/>
    <col min="68" max="68" width="6.7109375" customWidth="1"/>
    <col min="69" max="69" width="20.7109375" customWidth="1"/>
    <col min="70" max="70" width="6.7109375" customWidth="1"/>
    <col min="71" max="71" width="20.7109375" customWidth="1"/>
    <col min="72" max="72" width="6.7109375" customWidth="1"/>
    <col min="73" max="73" width="20.7109375" customWidth="1"/>
    <col min="74" max="74" width="6.7109375" customWidth="1"/>
    <col min="75" max="75" width="20.7109375" customWidth="1"/>
    <col min="76" max="76" width="6.7109375" customWidth="1"/>
    <col min="77" max="77" width="20.7109375" customWidth="1"/>
    <col min="78" max="78" width="6.7109375" customWidth="1"/>
    <col min="79" max="79" width="20.7109375" customWidth="1"/>
    <col min="80" max="80" width="6.7109375" customWidth="1"/>
    <col min="81" max="81" width="20.7109375" customWidth="1"/>
    <col min="82" max="82" width="6.7109375" customWidth="1"/>
    <col min="83" max="83" width="20.7109375" customWidth="1"/>
    <col min="84" max="84" width="6.7109375" customWidth="1"/>
    <col min="85" max="85" width="20.7109375" customWidth="1"/>
    <col min="86" max="86" width="6.7109375" customWidth="1"/>
    <col min="87" max="87" width="20.7109375" customWidth="1"/>
    <col min="88" max="88" width="6.7109375" customWidth="1"/>
    <col min="89" max="89" width="20.7109375" customWidth="1"/>
    <col min="90" max="90" width="6.7109375" customWidth="1"/>
    <col min="91" max="91" width="20.7109375" customWidth="1"/>
    <col min="92" max="92" width="6.7109375" customWidth="1"/>
    <col min="93" max="93" width="20.7109375" customWidth="1"/>
    <col min="94" max="94" width="6.7109375" customWidth="1"/>
    <col min="95" max="95" width="20.7109375" customWidth="1"/>
    <col min="96" max="96" width="6.7109375" customWidth="1"/>
  </cols>
  <sheetData>
    <row r="2" spans="2:108" ht="27.75" customHeight="1" x14ac:dyDescent="0.25">
      <c r="D2" s="21"/>
      <c r="E2" s="15"/>
      <c r="F2" s="15" t="s">
        <v>32</v>
      </c>
      <c r="I2" s="15"/>
      <c r="J2" s="15"/>
      <c r="L2" s="15" t="s">
        <v>1161</v>
      </c>
    </row>
    <row r="3" spans="2:108" ht="18.75" x14ac:dyDescent="0.3">
      <c r="D3" s="3"/>
      <c r="F3" s="345" t="s">
        <v>1584</v>
      </c>
      <c r="G3" s="346"/>
      <c r="H3" s="346"/>
      <c r="I3" s="346"/>
      <c r="J3" s="346"/>
      <c r="K3" s="346"/>
      <c r="L3" s="346"/>
      <c r="M3" s="346"/>
      <c r="N3" s="347" t="s">
        <v>54</v>
      </c>
      <c r="O3" s="348" t="s">
        <v>1532</v>
      </c>
      <c r="P3" s="349">
        <v>2019</v>
      </c>
      <c r="S3" s="31" t="s">
        <v>1533</v>
      </c>
      <c r="T3" s="77" t="s">
        <v>1534</v>
      </c>
    </row>
    <row r="4" spans="2:108" x14ac:dyDescent="0.25">
      <c r="AU4" s="31" t="s">
        <v>1535</v>
      </c>
      <c r="BC4" s="31"/>
      <c r="BK4" s="31"/>
      <c r="BS4" s="31"/>
      <c r="CA4" s="31"/>
      <c r="CI4" s="31"/>
      <c r="CQ4" s="31"/>
    </row>
    <row r="5" spans="2:108" x14ac:dyDescent="0.25">
      <c r="B5" s="43" t="s">
        <v>1536</v>
      </c>
      <c r="C5" s="40" t="s">
        <v>423</v>
      </c>
      <c r="D5" s="49" t="s">
        <v>55</v>
      </c>
      <c r="E5" s="49" t="s">
        <v>56</v>
      </c>
      <c r="F5" s="47" t="s">
        <v>57</v>
      </c>
      <c r="G5" s="50" t="s">
        <v>424</v>
      </c>
      <c r="H5" s="47" t="s">
        <v>58</v>
      </c>
      <c r="I5" s="47" t="s">
        <v>59</v>
      </c>
      <c r="J5" s="47" t="s">
        <v>1537</v>
      </c>
      <c r="K5" s="47" t="s">
        <v>60</v>
      </c>
      <c r="L5" s="48" t="s">
        <v>61</v>
      </c>
      <c r="M5" s="47" t="s">
        <v>62</v>
      </c>
      <c r="N5" s="43" t="s">
        <v>225</v>
      </c>
      <c r="O5" s="43" t="s">
        <v>422</v>
      </c>
      <c r="P5" s="43" t="s">
        <v>454</v>
      </c>
      <c r="Q5" s="43" t="s">
        <v>1538</v>
      </c>
      <c r="R5" s="43"/>
      <c r="S5" s="41" t="s">
        <v>63</v>
      </c>
      <c r="T5" s="58" t="s">
        <v>551</v>
      </c>
      <c r="U5">
        <v>1</v>
      </c>
      <c r="V5">
        <f>+U5+1</f>
        <v>2</v>
      </c>
      <c r="W5">
        <f t="shared" ref="W5:AS5" si="0">+V5+1</f>
        <v>3</v>
      </c>
      <c r="X5">
        <f t="shared" si="0"/>
        <v>4</v>
      </c>
      <c r="Y5">
        <f t="shared" si="0"/>
        <v>5</v>
      </c>
      <c r="Z5">
        <f t="shared" si="0"/>
        <v>6</v>
      </c>
      <c r="AA5">
        <f t="shared" si="0"/>
        <v>7</v>
      </c>
      <c r="AB5">
        <f t="shared" si="0"/>
        <v>8</v>
      </c>
      <c r="AC5">
        <f t="shared" si="0"/>
        <v>9</v>
      </c>
      <c r="AD5">
        <f t="shared" si="0"/>
        <v>10</v>
      </c>
      <c r="AE5">
        <f t="shared" si="0"/>
        <v>11</v>
      </c>
      <c r="AF5">
        <f t="shared" si="0"/>
        <v>12</v>
      </c>
      <c r="AG5">
        <f t="shared" si="0"/>
        <v>13</v>
      </c>
      <c r="AH5">
        <f t="shared" si="0"/>
        <v>14</v>
      </c>
      <c r="AI5">
        <f t="shared" si="0"/>
        <v>15</v>
      </c>
      <c r="AJ5">
        <f t="shared" si="0"/>
        <v>16</v>
      </c>
      <c r="AK5">
        <f t="shared" si="0"/>
        <v>17</v>
      </c>
      <c r="AL5">
        <f t="shared" si="0"/>
        <v>18</v>
      </c>
      <c r="AM5">
        <f t="shared" si="0"/>
        <v>19</v>
      </c>
      <c r="AN5">
        <f t="shared" si="0"/>
        <v>20</v>
      </c>
      <c r="AO5">
        <f t="shared" si="0"/>
        <v>21</v>
      </c>
      <c r="AP5">
        <f t="shared" si="0"/>
        <v>22</v>
      </c>
      <c r="AQ5">
        <f t="shared" si="0"/>
        <v>23</v>
      </c>
      <c r="AR5">
        <f t="shared" si="0"/>
        <v>24</v>
      </c>
      <c r="AS5">
        <f t="shared" si="0"/>
        <v>25</v>
      </c>
      <c r="AU5" s="2" t="s">
        <v>1539</v>
      </c>
      <c r="AV5" s="14" t="s">
        <v>586</v>
      </c>
      <c r="AW5" s="2" t="s">
        <v>1540</v>
      </c>
      <c r="AX5" s="14" t="s">
        <v>586</v>
      </c>
      <c r="AY5" s="2" t="s">
        <v>1541</v>
      </c>
      <c r="AZ5" s="14" t="s">
        <v>586</v>
      </c>
      <c r="BA5" s="2" t="s">
        <v>1542</v>
      </c>
      <c r="BB5" s="14" t="s">
        <v>586</v>
      </c>
      <c r="BC5" s="2" t="s">
        <v>1543</v>
      </c>
      <c r="BD5" s="14" t="s">
        <v>586</v>
      </c>
      <c r="BE5" s="2" t="s">
        <v>1544</v>
      </c>
      <c r="BF5" s="14" t="s">
        <v>586</v>
      </c>
      <c r="BG5" s="2" t="s">
        <v>1545</v>
      </c>
      <c r="BH5" s="14" t="s">
        <v>586</v>
      </c>
      <c r="BI5" s="2" t="s">
        <v>1546</v>
      </c>
      <c r="BJ5" s="14" t="s">
        <v>586</v>
      </c>
      <c r="BK5" s="2" t="s">
        <v>1547</v>
      </c>
      <c r="BL5" s="14" t="s">
        <v>586</v>
      </c>
      <c r="BM5" s="2" t="s">
        <v>1548</v>
      </c>
      <c r="BN5" s="14" t="s">
        <v>586</v>
      </c>
      <c r="BO5" s="2" t="s">
        <v>1549</v>
      </c>
      <c r="BP5" s="14" t="s">
        <v>586</v>
      </c>
      <c r="BQ5" s="2" t="s">
        <v>1550</v>
      </c>
      <c r="BR5" s="14" t="s">
        <v>586</v>
      </c>
      <c r="BS5" s="2" t="s">
        <v>1551</v>
      </c>
      <c r="BT5" s="14" t="s">
        <v>586</v>
      </c>
      <c r="BU5" s="2" t="s">
        <v>1552</v>
      </c>
      <c r="BV5" s="14" t="s">
        <v>586</v>
      </c>
      <c r="BW5" s="2" t="s">
        <v>1553</v>
      </c>
      <c r="BX5" s="14" t="s">
        <v>586</v>
      </c>
      <c r="BY5" s="2" t="s">
        <v>1554</v>
      </c>
      <c r="BZ5" s="14" t="s">
        <v>586</v>
      </c>
      <c r="CA5" s="2" t="s">
        <v>1555</v>
      </c>
      <c r="CB5" s="14" t="s">
        <v>586</v>
      </c>
      <c r="CC5" s="2" t="s">
        <v>1556</v>
      </c>
      <c r="CD5" s="14" t="s">
        <v>586</v>
      </c>
      <c r="CE5" s="2" t="s">
        <v>1557</v>
      </c>
      <c r="CF5" s="14" t="s">
        <v>586</v>
      </c>
      <c r="CG5" s="2" t="s">
        <v>1558</v>
      </c>
      <c r="CH5" s="14" t="s">
        <v>586</v>
      </c>
      <c r="CI5" s="2" t="s">
        <v>1559</v>
      </c>
      <c r="CJ5" s="14" t="s">
        <v>586</v>
      </c>
      <c r="CK5" s="2" t="s">
        <v>1560</v>
      </c>
      <c r="CL5" s="14" t="s">
        <v>586</v>
      </c>
      <c r="CM5" s="2" t="s">
        <v>1561</v>
      </c>
      <c r="CN5" s="14" t="s">
        <v>586</v>
      </c>
      <c r="CO5" s="2" t="s">
        <v>1562</v>
      </c>
      <c r="CP5" s="14" t="s">
        <v>586</v>
      </c>
      <c r="CQ5" s="2" t="s">
        <v>1563</v>
      </c>
      <c r="CR5" s="14" t="s">
        <v>586</v>
      </c>
    </row>
    <row r="6" spans="2:108" ht="7.5" customHeight="1" x14ac:dyDescent="0.25">
      <c r="C6" s="39"/>
      <c r="G6" s="45"/>
      <c r="Q6" s="11"/>
    </row>
    <row r="7" spans="2:108" x14ac:dyDescent="0.25">
      <c r="B7" s="224"/>
      <c r="C7" s="350"/>
      <c r="D7" s="62"/>
      <c r="E7" s="63"/>
      <c r="F7" s="64"/>
      <c r="G7" s="65"/>
      <c r="H7" s="199"/>
      <c r="I7" s="199"/>
      <c r="J7" s="94"/>
      <c r="K7" s="153"/>
      <c r="L7" s="11"/>
      <c r="M7" s="15"/>
      <c r="N7" s="35"/>
      <c r="O7" s="15"/>
      <c r="P7" s="35"/>
      <c r="Q7" s="35"/>
      <c r="R7" s="15"/>
      <c r="S7" s="24"/>
      <c r="T7" s="62"/>
      <c r="U7" s="351">
        <f t="shared" ref="U7:U15" si="1">+AV7</f>
        <v>0</v>
      </c>
      <c r="V7" s="351">
        <f t="shared" ref="V7:V15" si="2">+AX7</f>
        <v>0</v>
      </c>
      <c r="W7" s="351">
        <f t="shared" ref="W7:W15" si="3">+AZ7</f>
        <v>0</v>
      </c>
      <c r="X7" s="351">
        <f t="shared" ref="X7:X15" si="4">+BB7</f>
        <v>0</v>
      </c>
      <c r="Y7" s="351">
        <f t="shared" ref="Y7:Y15" si="5">+BD7</f>
        <v>0</v>
      </c>
      <c r="Z7" s="351">
        <f t="shared" ref="Z7:Z15" si="6">+BF7</f>
        <v>0</v>
      </c>
      <c r="AA7" s="351">
        <f t="shared" ref="AA7:AA15" si="7">+BH7</f>
        <v>0</v>
      </c>
      <c r="AB7" s="351">
        <f t="shared" ref="AB7:AB15" si="8">+BJ7</f>
        <v>0</v>
      </c>
      <c r="AC7" s="351">
        <f t="shared" ref="AC7:AC15" si="9">+BL7</f>
        <v>0</v>
      </c>
      <c r="AD7" s="351">
        <f t="shared" ref="AD7:AD15" si="10">+BN7</f>
        <v>0</v>
      </c>
      <c r="AE7" s="351">
        <f t="shared" ref="AE7:AE15" si="11">+BP7</f>
        <v>0</v>
      </c>
      <c r="AF7" s="351">
        <f t="shared" ref="AF7:AF15" si="12">+BR7</f>
        <v>0</v>
      </c>
      <c r="AG7" s="351">
        <f t="shared" ref="AG7:AG15" si="13">+BT7</f>
        <v>0</v>
      </c>
      <c r="AH7" s="351">
        <f t="shared" ref="AH7:AH15" si="14">+BV7</f>
        <v>0</v>
      </c>
      <c r="AI7" s="351">
        <f t="shared" ref="AI7:AI15" si="15">+BX7</f>
        <v>0</v>
      </c>
      <c r="AJ7" s="351">
        <f t="shared" ref="AJ7:AJ15" si="16">+BZ7</f>
        <v>0</v>
      </c>
      <c r="AK7" s="351">
        <f t="shared" ref="AK7:AK15" si="17">+CB7</f>
        <v>0</v>
      </c>
      <c r="AL7" s="351">
        <f t="shared" ref="AL7:AL15" si="18">+CD7</f>
        <v>0</v>
      </c>
      <c r="AM7" s="351">
        <f t="shared" ref="AM7:AM15" si="19">+CF7</f>
        <v>0</v>
      </c>
      <c r="AN7" s="351">
        <f t="shared" ref="AN7:AN15" si="20">+CH7</f>
        <v>0</v>
      </c>
      <c r="AO7" s="351">
        <f t="shared" ref="AO7:AO15" si="21">+CJ7</f>
        <v>0</v>
      </c>
      <c r="AP7" s="351">
        <f t="shared" ref="AP7:AP15" si="22">+CL7</f>
        <v>0</v>
      </c>
      <c r="AQ7" s="351">
        <f t="shared" ref="AQ7:AQ15" si="23">+CN7</f>
        <v>0</v>
      </c>
      <c r="AR7" s="351">
        <f t="shared" ref="AR7:AR15" si="24">+CP7</f>
        <v>0</v>
      </c>
      <c r="AS7" s="351">
        <f t="shared" ref="AS7:AS15" si="25">+CR7</f>
        <v>0</v>
      </c>
      <c r="AU7" s="352"/>
      <c r="AV7" s="353"/>
      <c r="AW7" s="352"/>
      <c r="AX7" s="353"/>
      <c r="AY7" s="352"/>
      <c r="AZ7" s="353"/>
      <c r="BA7" s="352"/>
      <c r="BB7" s="353"/>
      <c r="BC7" s="352"/>
      <c r="BD7" s="353"/>
      <c r="BE7" s="352"/>
      <c r="BF7" s="353"/>
      <c r="BG7" s="352"/>
      <c r="BH7" s="353"/>
      <c r="BI7" s="352"/>
      <c r="BJ7" s="353"/>
      <c r="BK7" s="352"/>
      <c r="BL7" s="353"/>
      <c r="BM7" s="352"/>
      <c r="BN7" s="353"/>
      <c r="BO7" s="352"/>
      <c r="BP7" s="353"/>
      <c r="BQ7" s="352"/>
      <c r="BR7" s="353"/>
      <c r="BS7" s="352"/>
      <c r="BT7" s="353"/>
      <c r="BU7" s="352"/>
      <c r="BV7" s="353"/>
      <c r="BW7" s="352"/>
      <c r="BX7" s="353"/>
      <c r="BY7" s="352"/>
      <c r="BZ7" s="353"/>
      <c r="CA7" s="352"/>
      <c r="CB7" s="353"/>
      <c r="CC7" s="352"/>
      <c r="CD7" s="353"/>
      <c r="CE7" s="352"/>
      <c r="CF7" s="353"/>
      <c r="CG7" s="352"/>
      <c r="CH7" s="353"/>
      <c r="CI7" s="352"/>
      <c r="CJ7" s="353"/>
      <c r="CK7" s="352"/>
      <c r="CL7" s="353"/>
      <c r="CM7" s="352"/>
      <c r="CN7" s="353"/>
      <c r="CO7" s="352"/>
      <c r="CP7" s="353"/>
      <c r="CQ7" s="352"/>
      <c r="CR7" s="353"/>
    </row>
    <row r="8" spans="2:108" x14ac:dyDescent="0.25">
      <c r="B8" s="224"/>
      <c r="C8" s="350"/>
      <c r="D8" s="62"/>
      <c r="E8" s="63"/>
      <c r="F8" s="64"/>
      <c r="G8" s="65"/>
      <c r="H8" s="199"/>
      <c r="I8" s="199"/>
      <c r="J8" s="94"/>
      <c r="K8" s="153"/>
      <c r="L8" s="11"/>
      <c r="M8" s="15"/>
      <c r="N8" s="35"/>
      <c r="O8" s="15"/>
      <c r="P8" s="35"/>
      <c r="Q8" s="35"/>
      <c r="R8" s="15"/>
      <c r="S8" s="24"/>
      <c r="T8" s="62"/>
      <c r="U8" s="351">
        <f t="shared" si="1"/>
        <v>0</v>
      </c>
      <c r="V8" s="351">
        <f t="shared" si="2"/>
        <v>0</v>
      </c>
      <c r="W8" s="351">
        <f t="shared" si="3"/>
        <v>0</v>
      </c>
      <c r="X8" s="351">
        <f t="shared" si="4"/>
        <v>0</v>
      </c>
      <c r="Y8" s="351">
        <f t="shared" si="5"/>
        <v>0</v>
      </c>
      <c r="Z8" s="351">
        <f t="shared" si="6"/>
        <v>0</v>
      </c>
      <c r="AA8" s="351">
        <f t="shared" si="7"/>
        <v>0</v>
      </c>
      <c r="AB8" s="351">
        <f t="shared" si="8"/>
        <v>0</v>
      </c>
      <c r="AC8" s="351">
        <f t="shared" si="9"/>
        <v>0</v>
      </c>
      <c r="AD8" s="351">
        <f t="shared" si="10"/>
        <v>0</v>
      </c>
      <c r="AE8" s="351">
        <f t="shared" si="11"/>
        <v>0</v>
      </c>
      <c r="AF8" s="351">
        <f t="shared" si="12"/>
        <v>0</v>
      </c>
      <c r="AG8" s="351">
        <f t="shared" si="13"/>
        <v>0</v>
      </c>
      <c r="AH8" s="351">
        <f t="shared" si="14"/>
        <v>0</v>
      </c>
      <c r="AI8" s="351">
        <f t="shared" si="15"/>
        <v>0</v>
      </c>
      <c r="AJ8" s="351">
        <f t="shared" si="16"/>
        <v>0</v>
      </c>
      <c r="AK8" s="351">
        <f t="shared" si="17"/>
        <v>0</v>
      </c>
      <c r="AL8" s="351">
        <f t="shared" si="18"/>
        <v>0</v>
      </c>
      <c r="AM8" s="351">
        <f t="shared" si="19"/>
        <v>0</v>
      </c>
      <c r="AN8" s="351">
        <f t="shared" si="20"/>
        <v>0</v>
      </c>
      <c r="AO8" s="351">
        <f t="shared" si="21"/>
        <v>0</v>
      </c>
      <c r="AP8" s="351">
        <f t="shared" si="22"/>
        <v>0</v>
      </c>
      <c r="AQ8" s="351">
        <f t="shared" si="23"/>
        <v>0</v>
      </c>
      <c r="AR8" s="351">
        <f t="shared" si="24"/>
        <v>0</v>
      </c>
      <c r="AS8" s="351">
        <f t="shared" si="25"/>
        <v>0</v>
      </c>
      <c r="AU8" s="367"/>
      <c r="AV8" s="368"/>
      <c r="AW8" s="367"/>
      <c r="AX8" s="368"/>
      <c r="AY8" s="367"/>
      <c r="AZ8" s="368"/>
      <c r="BA8" s="367"/>
      <c r="BB8" s="368"/>
      <c r="BC8" s="367"/>
      <c r="BD8" s="368"/>
      <c r="BE8" s="367"/>
      <c r="BF8" s="368"/>
      <c r="BG8" s="367"/>
      <c r="BH8" s="368"/>
      <c r="BI8" s="367"/>
      <c r="BJ8" s="368"/>
      <c r="BK8" s="367"/>
      <c r="BL8" s="368"/>
      <c r="BM8" s="367"/>
      <c r="BN8" s="368"/>
      <c r="BO8" s="367"/>
      <c r="BP8" s="368"/>
      <c r="BQ8" s="367"/>
      <c r="BR8" s="368"/>
      <c r="BS8" s="367"/>
      <c r="BT8" s="368"/>
      <c r="BU8" s="367"/>
      <c r="BV8" s="368"/>
      <c r="BW8" s="367"/>
      <c r="BX8" s="368"/>
      <c r="BY8" s="367"/>
      <c r="BZ8" s="368"/>
      <c r="CA8" s="367"/>
      <c r="CB8" s="368"/>
      <c r="CC8" s="367"/>
      <c r="CD8" s="368"/>
      <c r="CE8" s="367"/>
      <c r="CF8" s="368"/>
      <c r="CG8" s="367"/>
      <c r="CH8" s="368"/>
      <c r="CI8" s="367"/>
      <c r="CJ8" s="368"/>
      <c r="CK8" s="367"/>
      <c r="CL8" s="368"/>
      <c r="CM8" s="367"/>
      <c r="CN8" s="368"/>
      <c r="CO8" s="367"/>
      <c r="CP8" s="368"/>
      <c r="CQ8" s="367"/>
      <c r="CR8" s="368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</row>
    <row r="9" spans="2:108" x14ac:dyDescent="0.25">
      <c r="B9" s="224"/>
      <c r="C9" s="369">
        <v>2019</v>
      </c>
      <c r="D9" s="102" t="s">
        <v>1566</v>
      </c>
      <c r="E9" s="370" t="s">
        <v>1567</v>
      </c>
      <c r="F9" s="371">
        <v>43804</v>
      </c>
      <c r="G9" s="372" t="s">
        <v>1225</v>
      </c>
      <c r="H9" s="373">
        <v>0.3</v>
      </c>
      <c r="I9" s="373">
        <f t="shared" ref="I9:I15" si="26">(SMALL(U9:AT9,COUNTIF(U9:AT9,0)+1)/100)</f>
        <v>0.24</v>
      </c>
      <c r="J9" s="374">
        <v>2500000</v>
      </c>
      <c r="K9" s="375">
        <f t="shared" ref="K9:K15" si="27">+I9-H9</f>
        <v>-0.06</v>
      </c>
      <c r="L9" s="376"/>
      <c r="M9" s="377">
        <f t="shared" ref="M9:M15" si="28">COUNTIF(U9:AT9,"&gt;0")</f>
        <v>2</v>
      </c>
      <c r="N9" s="378" t="s">
        <v>93</v>
      </c>
      <c r="O9" s="377">
        <v>4</v>
      </c>
      <c r="P9" s="378" t="s">
        <v>458</v>
      </c>
      <c r="Q9" s="378"/>
      <c r="R9" s="15"/>
      <c r="S9" s="24"/>
      <c r="T9" s="62"/>
      <c r="U9" s="351">
        <f>+AV9</f>
        <v>24</v>
      </c>
      <c r="V9" s="351">
        <f>+AX9</f>
        <v>30</v>
      </c>
      <c r="W9" s="351">
        <f>+AZ9</f>
        <v>0</v>
      </c>
      <c r="X9" s="351">
        <f>+BB9</f>
        <v>0</v>
      </c>
      <c r="Y9" s="351">
        <f>+BD9</f>
        <v>0</v>
      </c>
      <c r="Z9" s="351">
        <f>+BF9</f>
        <v>0</v>
      </c>
      <c r="AA9" s="351">
        <f>+BH9</f>
        <v>0</v>
      </c>
      <c r="AB9" s="351">
        <f>+BJ9</f>
        <v>0</v>
      </c>
      <c r="AC9" s="351">
        <f>+BL9</f>
        <v>0</v>
      </c>
      <c r="AD9" s="351">
        <f>+BN9</f>
        <v>0</v>
      </c>
      <c r="AE9" s="351">
        <f>+BP9</f>
        <v>0</v>
      </c>
      <c r="AF9" s="351">
        <f>+BR9</f>
        <v>0</v>
      </c>
      <c r="AG9" s="351">
        <f>+BT9</f>
        <v>0</v>
      </c>
      <c r="AH9" s="351">
        <f>+BV9</f>
        <v>0</v>
      </c>
      <c r="AI9" s="351">
        <f>+BX9</f>
        <v>0</v>
      </c>
      <c r="AJ9" s="351">
        <f>+BZ9</f>
        <v>0</v>
      </c>
      <c r="AK9" s="351">
        <f>+CB9</f>
        <v>0</v>
      </c>
      <c r="AL9" s="351">
        <f>+CD9</f>
        <v>0</v>
      </c>
      <c r="AM9" s="351">
        <f>+CF9</f>
        <v>0</v>
      </c>
      <c r="AN9" s="351">
        <f>+CH9</f>
        <v>0</v>
      </c>
      <c r="AO9" s="351">
        <f>+CJ9</f>
        <v>0</v>
      </c>
      <c r="AP9" s="351">
        <f>+CL9</f>
        <v>0</v>
      </c>
      <c r="AQ9" s="351">
        <f>+CN9</f>
        <v>0</v>
      </c>
      <c r="AR9" s="351">
        <f>+CP9</f>
        <v>0</v>
      </c>
      <c r="AS9" s="351">
        <f>+CR9</f>
        <v>0</v>
      </c>
      <c r="AU9" s="379" t="s">
        <v>605</v>
      </c>
      <c r="AV9" s="380">
        <v>24</v>
      </c>
      <c r="AW9" s="379" t="s">
        <v>631</v>
      </c>
      <c r="AX9" s="380">
        <v>30</v>
      </c>
      <c r="AY9" s="379"/>
      <c r="AZ9" s="380"/>
      <c r="BA9" s="379"/>
      <c r="BB9" s="380"/>
      <c r="BC9" s="379"/>
      <c r="BD9" s="380"/>
      <c r="BE9" s="379"/>
      <c r="BF9" s="380"/>
      <c r="BG9" s="379"/>
      <c r="BH9" s="380"/>
      <c r="BI9" s="379"/>
      <c r="BJ9" s="380"/>
      <c r="BK9" s="379"/>
      <c r="BL9" s="380"/>
      <c r="BM9" s="379"/>
      <c r="BN9" s="380"/>
      <c r="BO9" s="379"/>
      <c r="BP9" s="380"/>
      <c r="BQ9" s="379"/>
      <c r="BR9" s="380"/>
      <c r="BS9" s="379"/>
      <c r="BT9" s="380"/>
      <c r="BU9" s="379"/>
      <c r="BV9" s="380"/>
      <c r="BW9" s="379"/>
      <c r="BX9" s="380"/>
      <c r="BY9" s="379"/>
      <c r="BZ9" s="380"/>
      <c r="CA9" s="379"/>
      <c r="CB9" s="380"/>
      <c r="CC9" s="379"/>
      <c r="CD9" s="380"/>
      <c r="CE9" s="379"/>
      <c r="CF9" s="380"/>
      <c r="CG9" s="379"/>
      <c r="CH9" s="380"/>
      <c r="CI9" s="379"/>
      <c r="CJ9" s="380"/>
      <c r="CK9" s="379"/>
      <c r="CL9" s="380"/>
      <c r="CM9" s="379"/>
      <c r="CN9" s="380"/>
      <c r="CO9" s="379"/>
      <c r="CP9" s="380"/>
      <c r="CQ9" s="379"/>
      <c r="CR9" s="380"/>
    </row>
    <row r="10" spans="2:108" x14ac:dyDescent="0.25">
      <c r="B10" s="224"/>
      <c r="C10" s="369">
        <v>2019</v>
      </c>
      <c r="D10" s="102" t="s">
        <v>1568</v>
      </c>
      <c r="E10" s="370" t="s">
        <v>1569</v>
      </c>
      <c r="F10" s="371">
        <v>43803</v>
      </c>
      <c r="G10" s="372" t="s">
        <v>1225</v>
      </c>
      <c r="H10" s="373">
        <v>0.35</v>
      </c>
      <c r="I10" s="373">
        <f t="shared" si="26"/>
        <v>0.19769999999999999</v>
      </c>
      <c r="J10" s="374">
        <v>2500000</v>
      </c>
      <c r="K10" s="375">
        <f t="shared" si="27"/>
        <v>-0.15229999999999999</v>
      </c>
      <c r="L10" s="376"/>
      <c r="M10" s="377">
        <f t="shared" si="28"/>
        <v>2</v>
      </c>
      <c r="N10" s="378" t="s">
        <v>93</v>
      </c>
      <c r="O10" s="377">
        <v>4</v>
      </c>
      <c r="P10" s="378" t="s">
        <v>458</v>
      </c>
      <c r="Q10" s="378"/>
      <c r="R10" s="15"/>
      <c r="S10" s="24"/>
      <c r="T10" s="62"/>
      <c r="U10" s="351">
        <f>+AV10</f>
        <v>19.77</v>
      </c>
      <c r="V10" s="351">
        <f>+AX10</f>
        <v>33</v>
      </c>
      <c r="W10" s="351">
        <f>+AZ10</f>
        <v>0</v>
      </c>
      <c r="X10" s="351">
        <f>+BB10</f>
        <v>0</v>
      </c>
      <c r="Y10" s="351">
        <f>+BD10</f>
        <v>0</v>
      </c>
      <c r="Z10" s="351">
        <f>+BF10</f>
        <v>0</v>
      </c>
      <c r="AA10" s="351">
        <f>+BH10</f>
        <v>0</v>
      </c>
      <c r="AB10" s="351">
        <f>+BJ10</f>
        <v>0</v>
      </c>
      <c r="AC10" s="351">
        <f>+BL10</f>
        <v>0</v>
      </c>
      <c r="AD10" s="351">
        <f>+BN10</f>
        <v>0</v>
      </c>
      <c r="AE10" s="351">
        <f>+BP10</f>
        <v>0</v>
      </c>
      <c r="AF10" s="351">
        <f>+BR10</f>
        <v>0</v>
      </c>
      <c r="AG10" s="351">
        <f>+BT10</f>
        <v>0</v>
      </c>
      <c r="AH10" s="351">
        <f>+BV10</f>
        <v>0</v>
      </c>
      <c r="AI10" s="351">
        <f>+BX10</f>
        <v>0</v>
      </c>
      <c r="AJ10" s="351">
        <f>+BZ10</f>
        <v>0</v>
      </c>
      <c r="AK10" s="351">
        <f>+CB10</f>
        <v>0</v>
      </c>
      <c r="AL10" s="351">
        <f>+CD10</f>
        <v>0</v>
      </c>
      <c r="AM10" s="351">
        <f>+CF10</f>
        <v>0</v>
      </c>
      <c r="AN10" s="351">
        <f>+CH10</f>
        <v>0</v>
      </c>
      <c r="AO10" s="351">
        <f>+CJ10</f>
        <v>0</v>
      </c>
      <c r="AP10" s="351">
        <f>+CL10</f>
        <v>0</v>
      </c>
      <c r="AQ10" s="351">
        <f>+CN10</f>
        <v>0</v>
      </c>
      <c r="AR10" s="351">
        <f>+CP10</f>
        <v>0</v>
      </c>
      <c r="AS10" s="351">
        <f>+CR10</f>
        <v>0</v>
      </c>
      <c r="AU10" s="352" t="s">
        <v>676</v>
      </c>
      <c r="AV10" s="353">
        <v>19.77</v>
      </c>
      <c r="AW10" s="352" t="s">
        <v>631</v>
      </c>
      <c r="AX10" s="353">
        <v>33</v>
      </c>
      <c r="AY10" s="352"/>
      <c r="AZ10" s="353"/>
      <c r="BA10" s="352"/>
      <c r="BB10" s="353"/>
      <c r="BC10" s="352"/>
      <c r="BD10" s="353"/>
      <c r="BE10" s="352"/>
      <c r="BF10" s="353"/>
      <c r="BG10" s="352"/>
      <c r="BH10" s="353"/>
      <c r="BI10" s="352"/>
      <c r="BJ10" s="353"/>
      <c r="BK10" s="352"/>
      <c r="BL10" s="353"/>
      <c r="BM10" s="352"/>
      <c r="BN10" s="353"/>
      <c r="BO10" s="352"/>
      <c r="BP10" s="353"/>
      <c r="BQ10" s="352"/>
      <c r="BR10" s="353"/>
      <c r="BS10" s="352"/>
      <c r="BT10" s="353"/>
      <c r="BU10" s="352"/>
      <c r="BV10" s="353"/>
      <c r="BW10" s="352"/>
      <c r="BX10" s="353"/>
      <c r="BY10" s="352"/>
      <c r="BZ10" s="353"/>
      <c r="CA10" s="352"/>
      <c r="CB10" s="353"/>
      <c r="CC10" s="352"/>
      <c r="CD10" s="353"/>
      <c r="CE10" s="352"/>
      <c r="CF10" s="353"/>
      <c r="CG10" s="352"/>
      <c r="CH10" s="353"/>
      <c r="CI10" s="352"/>
      <c r="CJ10" s="353"/>
      <c r="CK10" s="352"/>
      <c r="CL10" s="353"/>
      <c r="CM10" s="352"/>
      <c r="CN10" s="353"/>
      <c r="CO10" s="352"/>
      <c r="CP10" s="353"/>
      <c r="CQ10" s="352"/>
      <c r="CR10" s="353"/>
    </row>
    <row r="11" spans="2:108" x14ac:dyDescent="0.25">
      <c r="B11" s="224"/>
      <c r="C11" s="369">
        <v>2019</v>
      </c>
      <c r="D11" s="102" t="s">
        <v>1570</v>
      </c>
      <c r="E11" s="370" t="s">
        <v>1571</v>
      </c>
      <c r="F11" s="371">
        <v>43704</v>
      </c>
      <c r="G11" s="372" t="s">
        <v>1225</v>
      </c>
      <c r="H11" s="373">
        <v>0.3</v>
      </c>
      <c r="I11" s="373">
        <f t="shared" si="26"/>
        <v>0.11</v>
      </c>
      <c r="J11" s="374">
        <v>2000000</v>
      </c>
      <c r="K11" s="375">
        <f t="shared" si="27"/>
        <v>-0.19</v>
      </c>
      <c r="L11" s="376"/>
      <c r="M11" s="377">
        <f t="shared" si="28"/>
        <v>5</v>
      </c>
      <c r="N11" s="378" t="s">
        <v>226</v>
      </c>
      <c r="O11" s="377">
        <v>3</v>
      </c>
      <c r="P11" s="378" t="s">
        <v>459</v>
      </c>
      <c r="Q11" s="378"/>
      <c r="R11" s="15"/>
      <c r="S11" s="24"/>
      <c r="T11" s="62"/>
      <c r="U11" s="351">
        <f>+AV11</f>
        <v>11</v>
      </c>
      <c r="V11" s="351">
        <f>+AX11</f>
        <v>48</v>
      </c>
      <c r="W11" s="351">
        <f>+AZ11</f>
        <v>15.75</v>
      </c>
      <c r="X11" s="351">
        <f>+BB11</f>
        <v>31</v>
      </c>
      <c r="Y11" s="351">
        <f>+BD11</f>
        <v>33</v>
      </c>
      <c r="Z11" s="351">
        <f>+BF11</f>
        <v>0</v>
      </c>
      <c r="AA11" s="351">
        <f>+BH11</f>
        <v>0</v>
      </c>
      <c r="AB11" s="351">
        <f>+BJ11</f>
        <v>0</v>
      </c>
      <c r="AC11" s="351">
        <f>+BL11</f>
        <v>0</v>
      </c>
      <c r="AD11" s="351">
        <f>+BN11</f>
        <v>0</v>
      </c>
      <c r="AE11" s="351">
        <f>+BP11</f>
        <v>0</v>
      </c>
      <c r="AF11" s="351">
        <f>+BR11</f>
        <v>0</v>
      </c>
      <c r="AG11" s="351">
        <f>+BT11</f>
        <v>0</v>
      </c>
      <c r="AH11" s="351">
        <f>+BV11</f>
        <v>0</v>
      </c>
      <c r="AI11" s="351">
        <f>+BX11</f>
        <v>0</v>
      </c>
      <c r="AJ11" s="351">
        <f>+BZ11</f>
        <v>0</v>
      </c>
      <c r="AK11" s="351">
        <f>+CB11</f>
        <v>0</v>
      </c>
      <c r="AL11" s="351">
        <f>+CD11</f>
        <v>0</v>
      </c>
      <c r="AM11" s="351">
        <f>+CF11</f>
        <v>0</v>
      </c>
      <c r="AN11" s="351">
        <f>+CH11</f>
        <v>0</v>
      </c>
      <c r="AO11" s="351">
        <f>+CJ11</f>
        <v>0</v>
      </c>
      <c r="AP11" s="351">
        <f>+CL11</f>
        <v>0</v>
      </c>
      <c r="AQ11" s="351">
        <f>+CN11</f>
        <v>0</v>
      </c>
      <c r="AR11" s="351">
        <f>+CP11</f>
        <v>0</v>
      </c>
      <c r="AS11" s="351">
        <f>+CR11</f>
        <v>0</v>
      </c>
      <c r="AU11" s="352" t="s">
        <v>1040</v>
      </c>
      <c r="AV11" s="353">
        <v>11</v>
      </c>
      <c r="AW11" s="352" t="s">
        <v>1572</v>
      </c>
      <c r="AX11" s="353">
        <v>48</v>
      </c>
      <c r="AY11" s="352" t="s">
        <v>1573</v>
      </c>
      <c r="AZ11" s="353">
        <v>15.75</v>
      </c>
      <c r="BA11" s="352" t="s">
        <v>824</v>
      </c>
      <c r="BB11" s="353">
        <v>31</v>
      </c>
      <c r="BC11" s="352" t="s">
        <v>1574</v>
      </c>
      <c r="BD11" s="353">
        <v>33</v>
      </c>
      <c r="BE11" s="352"/>
      <c r="BF11" s="353"/>
      <c r="BG11" s="352"/>
      <c r="BH11" s="353"/>
      <c r="BI11" s="352"/>
      <c r="BJ11" s="353"/>
      <c r="BK11" s="352"/>
      <c r="BL11" s="353"/>
      <c r="BM11" s="352"/>
      <c r="BN11" s="353"/>
      <c r="BO11" s="352"/>
      <c r="BP11" s="353"/>
      <c r="BQ11" s="352"/>
      <c r="BR11" s="353"/>
      <c r="BS11" s="352"/>
      <c r="BT11" s="353"/>
      <c r="BU11" s="352"/>
      <c r="BV11" s="353"/>
      <c r="BW11" s="352"/>
      <c r="BX11" s="353"/>
      <c r="BY11" s="352"/>
      <c r="BZ11" s="353"/>
      <c r="CA11" s="352"/>
      <c r="CB11" s="353"/>
      <c r="CC11" s="352"/>
      <c r="CD11" s="353"/>
      <c r="CE11" s="352"/>
      <c r="CF11" s="353"/>
      <c r="CG11" s="352"/>
      <c r="CH11" s="353"/>
      <c r="CI11" s="352"/>
      <c r="CJ11" s="353"/>
      <c r="CK11" s="352"/>
      <c r="CL11" s="353"/>
      <c r="CM11" s="352"/>
      <c r="CN11" s="353"/>
      <c r="CO11" s="352"/>
      <c r="CP11" s="353"/>
      <c r="CQ11" s="352"/>
      <c r="CR11" s="353"/>
    </row>
    <row r="12" spans="2:108" x14ac:dyDescent="0.25">
      <c r="B12" s="224"/>
      <c r="C12" s="369">
        <v>2019</v>
      </c>
      <c r="D12" s="102" t="s">
        <v>1575</v>
      </c>
      <c r="E12" s="370" t="s">
        <v>1571</v>
      </c>
      <c r="F12" s="371">
        <v>43683</v>
      </c>
      <c r="G12" s="372" t="s">
        <v>1225</v>
      </c>
      <c r="H12" s="373">
        <v>0.35</v>
      </c>
      <c r="I12" s="373">
        <f t="shared" si="26"/>
        <v>0.14749999999999999</v>
      </c>
      <c r="J12" s="374">
        <v>1000000</v>
      </c>
      <c r="K12" s="375">
        <f t="shared" si="27"/>
        <v>-0.20249999999999999</v>
      </c>
      <c r="L12" s="376"/>
      <c r="M12" s="377">
        <f t="shared" si="28"/>
        <v>4</v>
      </c>
      <c r="N12" s="378" t="s">
        <v>93</v>
      </c>
      <c r="O12" s="377">
        <v>3</v>
      </c>
      <c r="P12" s="378" t="s">
        <v>458</v>
      </c>
      <c r="Q12" s="378"/>
      <c r="R12" s="15"/>
      <c r="S12" s="24"/>
      <c r="T12" s="62"/>
      <c r="U12" s="351">
        <f>+AV12</f>
        <v>16</v>
      </c>
      <c r="V12" s="351">
        <f>+AX12</f>
        <v>48</v>
      </c>
      <c r="W12" s="351">
        <f>+AZ12</f>
        <v>14.75</v>
      </c>
      <c r="X12" s="351">
        <f>+BB12</f>
        <v>65</v>
      </c>
      <c r="Y12" s="351">
        <f>+BD12</f>
        <v>0</v>
      </c>
      <c r="Z12" s="351">
        <f>+BF12</f>
        <v>0</v>
      </c>
      <c r="AA12" s="351">
        <f>+BH12</f>
        <v>0</v>
      </c>
      <c r="AB12" s="351">
        <f>+BJ12</f>
        <v>0</v>
      </c>
      <c r="AC12" s="351">
        <f>+BL12</f>
        <v>0</v>
      </c>
      <c r="AD12" s="351">
        <f>+BN12</f>
        <v>0</v>
      </c>
      <c r="AE12" s="351">
        <f>+BP12</f>
        <v>0</v>
      </c>
      <c r="AF12" s="351">
        <f>+BR12</f>
        <v>0</v>
      </c>
      <c r="AG12" s="351">
        <f>+BT12</f>
        <v>0</v>
      </c>
      <c r="AH12" s="351">
        <f>+BV12</f>
        <v>0</v>
      </c>
      <c r="AI12" s="351">
        <f>+BX12</f>
        <v>0</v>
      </c>
      <c r="AJ12" s="351">
        <f>+BZ12</f>
        <v>0</v>
      </c>
      <c r="AK12" s="351">
        <f>+CB12</f>
        <v>0</v>
      </c>
      <c r="AL12" s="351">
        <f>+CD12</f>
        <v>0</v>
      </c>
      <c r="AM12" s="351">
        <f>+CF12</f>
        <v>0</v>
      </c>
      <c r="AN12" s="351">
        <f>+CH12</f>
        <v>0</v>
      </c>
      <c r="AO12" s="351">
        <f>+CJ12</f>
        <v>0</v>
      </c>
      <c r="AP12" s="351">
        <f>+CL12</f>
        <v>0</v>
      </c>
      <c r="AQ12" s="351">
        <f>+CN12</f>
        <v>0</v>
      </c>
      <c r="AR12" s="351">
        <f>+CP12</f>
        <v>0</v>
      </c>
      <c r="AS12" s="351">
        <f>+CR12</f>
        <v>0</v>
      </c>
      <c r="AU12" s="352" t="s">
        <v>1040</v>
      </c>
      <c r="AV12" s="353">
        <v>16</v>
      </c>
      <c r="AW12" s="352" t="s">
        <v>1572</v>
      </c>
      <c r="AX12" s="353">
        <v>48</v>
      </c>
      <c r="AY12" s="352" t="s">
        <v>1573</v>
      </c>
      <c r="AZ12" s="353">
        <v>14.75</v>
      </c>
      <c r="BA12" s="352" t="s">
        <v>1576</v>
      </c>
      <c r="BB12" s="353">
        <v>65</v>
      </c>
      <c r="BC12" s="352"/>
      <c r="BD12" s="353"/>
      <c r="BE12" s="352"/>
      <c r="BF12" s="353"/>
      <c r="BG12" s="352"/>
      <c r="BH12" s="353"/>
      <c r="BI12" s="352"/>
      <c r="BJ12" s="353"/>
      <c r="BK12" s="352"/>
      <c r="BL12" s="353"/>
      <c r="BM12" s="352"/>
      <c r="BN12" s="353"/>
      <c r="BO12" s="352"/>
      <c r="BP12" s="353"/>
      <c r="BQ12" s="352"/>
      <c r="BR12" s="353"/>
      <c r="BS12" s="352"/>
      <c r="BT12" s="353"/>
      <c r="BU12" s="352"/>
      <c r="BV12" s="353"/>
      <c r="BW12" s="352"/>
      <c r="BX12" s="353"/>
      <c r="BY12" s="352"/>
      <c r="BZ12" s="353"/>
      <c r="CA12" s="352"/>
      <c r="CB12" s="353"/>
      <c r="CC12" s="352"/>
      <c r="CD12" s="353"/>
      <c r="CE12" s="352"/>
      <c r="CF12" s="353"/>
      <c r="CG12" s="352"/>
      <c r="CH12" s="353"/>
      <c r="CI12" s="352"/>
      <c r="CJ12" s="353"/>
      <c r="CK12" s="352"/>
      <c r="CL12" s="353"/>
      <c r="CM12" s="352"/>
      <c r="CN12" s="353"/>
      <c r="CO12" s="352"/>
      <c r="CP12" s="353"/>
      <c r="CQ12" s="352"/>
      <c r="CR12" s="353"/>
    </row>
    <row r="13" spans="2:108" x14ac:dyDescent="0.25">
      <c r="B13" s="224"/>
      <c r="C13" s="369">
        <v>2019</v>
      </c>
      <c r="D13" s="102" t="s">
        <v>1577</v>
      </c>
      <c r="E13" s="370" t="s">
        <v>1578</v>
      </c>
      <c r="F13" s="371">
        <v>43608</v>
      </c>
      <c r="G13" s="372" t="s">
        <v>1225</v>
      </c>
      <c r="H13" s="373">
        <v>0.3</v>
      </c>
      <c r="I13" s="373">
        <f t="shared" si="26"/>
        <v>0.17100000000000001</v>
      </c>
      <c r="J13" s="374">
        <v>2500000</v>
      </c>
      <c r="K13" s="375">
        <f t="shared" si="27"/>
        <v>-0.12899999999999998</v>
      </c>
      <c r="L13" s="376"/>
      <c r="M13" s="377">
        <f t="shared" si="28"/>
        <v>2</v>
      </c>
      <c r="N13" s="378" t="s">
        <v>226</v>
      </c>
      <c r="O13" s="377">
        <v>2</v>
      </c>
      <c r="P13" s="378" t="s">
        <v>457</v>
      </c>
      <c r="Q13" s="378"/>
      <c r="R13" s="15"/>
      <c r="S13" s="24"/>
      <c r="T13" s="62"/>
      <c r="U13" s="351">
        <f t="shared" si="1"/>
        <v>17.100000000000001</v>
      </c>
      <c r="V13" s="351">
        <f t="shared" si="2"/>
        <v>46</v>
      </c>
      <c r="W13" s="351">
        <f t="shared" si="3"/>
        <v>0</v>
      </c>
      <c r="X13" s="351">
        <f t="shared" si="4"/>
        <v>0</v>
      </c>
      <c r="Y13" s="351">
        <f t="shared" si="5"/>
        <v>0</v>
      </c>
      <c r="Z13" s="351">
        <f t="shared" si="6"/>
        <v>0</v>
      </c>
      <c r="AA13" s="351">
        <f t="shared" si="7"/>
        <v>0</v>
      </c>
      <c r="AB13" s="351">
        <f t="shared" si="8"/>
        <v>0</v>
      </c>
      <c r="AC13" s="351">
        <f t="shared" si="9"/>
        <v>0</v>
      </c>
      <c r="AD13" s="351">
        <f t="shared" si="10"/>
        <v>0</v>
      </c>
      <c r="AE13" s="351">
        <f t="shared" si="11"/>
        <v>0</v>
      </c>
      <c r="AF13" s="351">
        <f t="shared" si="12"/>
        <v>0</v>
      </c>
      <c r="AG13" s="351">
        <f t="shared" si="13"/>
        <v>0</v>
      </c>
      <c r="AH13" s="351">
        <f t="shared" si="14"/>
        <v>0</v>
      </c>
      <c r="AI13" s="351">
        <f t="shared" si="15"/>
        <v>0</v>
      </c>
      <c r="AJ13" s="351">
        <f t="shared" si="16"/>
        <v>0</v>
      </c>
      <c r="AK13" s="351">
        <f t="shared" si="17"/>
        <v>0</v>
      </c>
      <c r="AL13" s="351">
        <f t="shared" si="18"/>
        <v>0</v>
      </c>
      <c r="AM13" s="351">
        <f t="shared" si="19"/>
        <v>0</v>
      </c>
      <c r="AN13" s="351">
        <f t="shared" si="20"/>
        <v>0</v>
      </c>
      <c r="AO13" s="351">
        <f t="shared" si="21"/>
        <v>0</v>
      </c>
      <c r="AP13" s="351">
        <f t="shared" si="22"/>
        <v>0</v>
      </c>
      <c r="AQ13" s="351">
        <f t="shared" si="23"/>
        <v>0</v>
      </c>
      <c r="AR13" s="351">
        <f t="shared" si="24"/>
        <v>0</v>
      </c>
      <c r="AS13" s="351">
        <f t="shared" si="25"/>
        <v>0</v>
      </c>
      <c r="AU13" s="352" t="s">
        <v>676</v>
      </c>
      <c r="AV13" s="353">
        <v>17.100000000000001</v>
      </c>
      <c r="AW13" s="352" t="s">
        <v>725</v>
      </c>
      <c r="AX13" s="353">
        <v>46</v>
      </c>
      <c r="AY13" s="352"/>
      <c r="AZ13" s="353"/>
      <c r="BA13" s="352"/>
      <c r="BB13" s="353"/>
      <c r="BC13" s="352"/>
      <c r="BD13" s="353"/>
      <c r="BE13" s="352"/>
      <c r="BF13" s="353"/>
      <c r="BG13" s="352"/>
      <c r="BH13" s="353"/>
      <c r="BI13" s="352"/>
      <c r="BJ13" s="353"/>
      <c r="BK13" s="352"/>
      <c r="BL13" s="353"/>
      <c r="BM13" s="352"/>
      <c r="BN13" s="353"/>
      <c r="BO13" s="352"/>
      <c r="BP13" s="353"/>
      <c r="BQ13" s="352"/>
      <c r="BR13" s="353"/>
      <c r="BS13" s="352"/>
      <c r="BT13" s="353"/>
      <c r="BU13" s="352"/>
      <c r="BV13" s="353"/>
      <c r="BW13" s="352"/>
      <c r="BX13" s="353"/>
      <c r="BY13" s="352"/>
      <c r="BZ13" s="353"/>
      <c r="CA13" s="352"/>
      <c r="CB13" s="353"/>
      <c r="CC13" s="352"/>
      <c r="CD13" s="353"/>
      <c r="CE13" s="352"/>
      <c r="CF13" s="353"/>
      <c r="CG13" s="352"/>
      <c r="CH13" s="353"/>
      <c r="CI13" s="352"/>
      <c r="CJ13" s="353"/>
      <c r="CK13" s="352"/>
      <c r="CL13" s="353"/>
      <c r="CM13" s="352"/>
      <c r="CN13" s="353"/>
      <c r="CO13" s="352"/>
      <c r="CP13" s="353"/>
      <c r="CQ13" s="352"/>
      <c r="CR13" s="353"/>
    </row>
    <row r="14" spans="2:108" x14ac:dyDescent="0.25">
      <c r="B14" s="224"/>
      <c r="C14" s="369">
        <v>2019</v>
      </c>
      <c r="D14" s="102" t="s">
        <v>1579</v>
      </c>
      <c r="E14" s="370" t="s">
        <v>1580</v>
      </c>
      <c r="F14" s="371">
        <v>43545</v>
      </c>
      <c r="G14" s="372" t="s">
        <v>1225</v>
      </c>
      <c r="H14" s="373">
        <v>0.27</v>
      </c>
      <c r="I14" s="373">
        <f t="shared" si="26"/>
        <v>0.28999999999999998</v>
      </c>
      <c r="J14" s="374">
        <v>2400000</v>
      </c>
      <c r="K14" s="375">
        <f t="shared" si="27"/>
        <v>1.9999999999999962E-2</v>
      </c>
      <c r="L14" s="376"/>
      <c r="M14" s="377">
        <f t="shared" si="28"/>
        <v>3</v>
      </c>
      <c r="N14" s="378" t="s">
        <v>93</v>
      </c>
      <c r="O14" s="377">
        <v>1</v>
      </c>
      <c r="P14" s="378" t="s">
        <v>1474</v>
      </c>
      <c r="Q14" s="378"/>
      <c r="R14" s="15"/>
      <c r="S14" s="24"/>
      <c r="T14" s="62"/>
      <c r="U14" s="351">
        <f>+AV14</f>
        <v>42</v>
      </c>
      <c r="V14" s="351">
        <f>+AX14</f>
        <v>29</v>
      </c>
      <c r="W14" s="351">
        <f>+AZ14</f>
        <v>48</v>
      </c>
      <c r="X14" s="351">
        <f>+BB14</f>
        <v>0</v>
      </c>
      <c r="Y14" s="351">
        <f>+BD14</f>
        <v>0</v>
      </c>
      <c r="Z14" s="351">
        <f>+BF14</f>
        <v>0</v>
      </c>
      <c r="AA14" s="351">
        <f>+BH14</f>
        <v>0</v>
      </c>
      <c r="AB14" s="351">
        <f>+BJ14</f>
        <v>0</v>
      </c>
      <c r="AC14" s="351">
        <f>+BL14</f>
        <v>0</v>
      </c>
      <c r="AD14" s="351">
        <f>+BN14</f>
        <v>0</v>
      </c>
      <c r="AE14" s="351">
        <f>+BP14</f>
        <v>0</v>
      </c>
      <c r="AF14" s="351">
        <f>+BR14</f>
        <v>0</v>
      </c>
      <c r="AG14" s="351">
        <f>+BT14</f>
        <v>0</v>
      </c>
      <c r="AH14" s="351">
        <f>+BV14</f>
        <v>0</v>
      </c>
      <c r="AI14" s="351">
        <f>+BX14</f>
        <v>0</v>
      </c>
      <c r="AJ14" s="351">
        <f>+BZ14</f>
        <v>0</v>
      </c>
      <c r="AK14" s="351">
        <f>+CB14</f>
        <v>0</v>
      </c>
      <c r="AL14" s="351">
        <f>+CD14</f>
        <v>0</v>
      </c>
      <c r="AM14" s="351">
        <f>+CF14</f>
        <v>0</v>
      </c>
      <c r="AN14" s="351">
        <f>+CH14</f>
        <v>0</v>
      </c>
      <c r="AO14" s="351">
        <f>+CJ14</f>
        <v>0</v>
      </c>
      <c r="AP14" s="351">
        <f>+CL14</f>
        <v>0</v>
      </c>
      <c r="AQ14" s="351">
        <f>+CN14</f>
        <v>0</v>
      </c>
      <c r="AR14" s="351">
        <f>+CP14</f>
        <v>0</v>
      </c>
      <c r="AS14" s="351">
        <f>+CR14</f>
        <v>0</v>
      </c>
      <c r="AU14" s="352" t="s">
        <v>1054</v>
      </c>
      <c r="AV14" s="353">
        <v>42</v>
      </c>
      <c r="AW14" s="352" t="s">
        <v>1581</v>
      </c>
      <c r="AX14" s="353">
        <v>29</v>
      </c>
      <c r="AY14" s="352" t="s">
        <v>725</v>
      </c>
      <c r="AZ14" s="353">
        <v>48</v>
      </c>
      <c r="BA14" s="352"/>
      <c r="BB14" s="353"/>
      <c r="BC14" s="352"/>
      <c r="BD14" s="353"/>
      <c r="BE14" s="352"/>
      <c r="BF14" s="353"/>
      <c r="BG14" s="352"/>
      <c r="BH14" s="353"/>
      <c r="BI14" s="352"/>
      <c r="BJ14" s="353"/>
      <c r="BK14" s="352"/>
      <c r="BL14" s="353"/>
      <c r="BM14" s="352"/>
      <c r="BN14" s="353"/>
      <c r="BO14" s="352"/>
      <c r="BP14" s="353"/>
      <c r="BQ14" s="352"/>
      <c r="BR14" s="353"/>
      <c r="BS14" s="352"/>
      <c r="BT14" s="353"/>
      <c r="BU14" s="352"/>
      <c r="BV14" s="353"/>
      <c r="BW14" s="352"/>
      <c r="BX14" s="353"/>
      <c r="BY14" s="352"/>
      <c r="BZ14" s="353"/>
      <c r="CA14" s="352"/>
      <c r="CB14" s="353"/>
      <c r="CC14" s="352"/>
      <c r="CD14" s="353"/>
      <c r="CE14" s="352"/>
      <c r="CF14" s="353"/>
      <c r="CG14" s="352"/>
      <c r="CH14" s="353"/>
      <c r="CI14" s="352"/>
      <c r="CJ14" s="353"/>
      <c r="CK14" s="352"/>
      <c r="CL14" s="353"/>
      <c r="CM14" s="352"/>
      <c r="CN14" s="353"/>
      <c r="CO14" s="352"/>
      <c r="CP14" s="353"/>
      <c r="CQ14" s="352"/>
      <c r="CR14" s="353"/>
    </row>
    <row r="15" spans="2:108" x14ac:dyDescent="0.25">
      <c r="B15" s="224"/>
      <c r="C15" s="354">
        <v>2019</v>
      </c>
      <c r="D15" s="181" t="s">
        <v>1582</v>
      </c>
      <c r="E15" s="182" t="s">
        <v>1583</v>
      </c>
      <c r="F15" s="183">
        <v>43531</v>
      </c>
      <c r="G15" s="184" t="s">
        <v>1225</v>
      </c>
      <c r="H15" s="355">
        <v>0.3</v>
      </c>
      <c r="I15" s="355">
        <f t="shared" si="26"/>
        <v>0.1925</v>
      </c>
      <c r="J15" s="185">
        <v>2400000</v>
      </c>
      <c r="K15" s="356">
        <f t="shared" si="27"/>
        <v>-0.10749999999999998</v>
      </c>
      <c r="L15" s="13"/>
      <c r="M15" s="28">
        <f t="shared" si="28"/>
        <v>4</v>
      </c>
      <c r="N15" s="34" t="s">
        <v>226</v>
      </c>
      <c r="O15" s="28">
        <v>1</v>
      </c>
      <c r="P15" s="34" t="s">
        <v>457</v>
      </c>
      <c r="Q15" s="34"/>
      <c r="R15" s="15"/>
      <c r="S15" s="24"/>
      <c r="T15" s="62"/>
      <c r="U15" s="351">
        <f t="shared" si="1"/>
        <v>19.25</v>
      </c>
      <c r="V15" s="351">
        <f t="shared" si="2"/>
        <v>20</v>
      </c>
      <c r="W15" s="351">
        <f t="shared" si="3"/>
        <v>45</v>
      </c>
      <c r="X15" s="351">
        <f t="shared" si="4"/>
        <v>75</v>
      </c>
      <c r="Y15" s="351">
        <f t="shared" si="5"/>
        <v>0</v>
      </c>
      <c r="Z15" s="351">
        <f t="shared" si="6"/>
        <v>0</v>
      </c>
      <c r="AA15" s="351">
        <f t="shared" si="7"/>
        <v>0</v>
      </c>
      <c r="AB15" s="351">
        <f t="shared" si="8"/>
        <v>0</v>
      </c>
      <c r="AC15" s="351">
        <f t="shared" si="9"/>
        <v>0</v>
      </c>
      <c r="AD15" s="351">
        <f t="shared" si="10"/>
        <v>0</v>
      </c>
      <c r="AE15" s="351">
        <f t="shared" si="11"/>
        <v>0</v>
      </c>
      <c r="AF15" s="351">
        <f t="shared" si="12"/>
        <v>0</v>
      </c>
      <c r="AG15" s="351">
        <f t="shared" si="13"/>
        <v>0</v>
      </c>
      <c r="AH15" s="351">
        <f t="shared" si="14"/>
        <v>0</v>
      </c>
      <c r="AI15" s="351">
        <f t="shared" si="15"/>
        <v>0</v>
      </c>
      <c r="AJ15" s="351">
        <f t="shared" si="16"/>
        <v>0</v>
      </c>
      <c r="AK15" s="351">
        <f t="shared" si="17"/>
        <v>0</v>
      </c>
      <c r="AL15" s="351">
        <f t="shared" si="18"/>
        <v>0</v>
      </c>
      <c r="AM15" s="351">
        <f t="shared" si="19"/>
        <v>0</v>
      </c>
      <c r="AN15" s="351">
        <f t="shared" si="20"/>
        <v>0</v>
      </c>
      <c r="AO15" s="351">
        <f t="shared" si="21"/>
        <v>0</v>
      </c>
      <c r="AP15" s="351">
        <f t="shared" si="22"/>
        <v>0</v>
      </c>
      <c r="AQ15" s="351">
        <f t="shared" si="23"/>
        <v>0</v>
      </c>
      <c r="AR15" s="351">
        <f t="shared" si="24"/>
        <v>0</v>
      </c>
      <c r="AS15" s="351">
        <f t="shared" si="25"/>
        <v>0</v>
      </c>
      <c r="AU15" s="352" t="s">
        <v>605</v>
      </c>
      <c r="AV15" s="353">
        <v>19.25</v>
      </c>
      <c r="AW15" s="352" t="s">
        <v>1581</v>
      </c>
      <c r="AX15" s="353">
        <v>20</v>
      </c>
      <c r="AY15" s="352" t="s">
        <v>725</v>
      </c>
      <c r="AZ15" s="353">
        <v>45</v>
      </c>
      <c r="BA15" s="352" t="s">
        <v>1054</v>
      </c>
      <c r="BB15" s="353">
        <v>75</v>
      </c>
      <c r="BC15" s="352"/>
      <c r="BD15" s="353"/>
      <c r="BE15" s="352"/>
      <c r="BF15" s="353"/>
      <c r="BG15" s="352"/>
      <c r="BH15" s="353"/>
      <c r="BI15" s="352"/>
      <c r="BJ15" s="353"/>
      <c r="BK15" s="352"/>
      <c r="BL15" s="353"/>
      <c r="BM15" s="352"/>
      <c r="BN15" s="353"/>
      <c r="BO15" s="352"/>
      <c r="BP15" s="353"/>
      <c r="BQ15" s="352"/>
      <c r="BR15" s="353"/>
      <c r="BS15" s="352"/>
      <c r="BT15" s="353"/>
      <c r="BU15" s="352"/>
      <c r="BV15" s="353"/>
      <c r="BW15" s="352"/>
      <c r="BX15" s="353"/>
      <c r="BY15" s="352"/>
      <c r="BZ15" s="353"/>
      <c r="CA15" s="352"/>
      <c r="CB15" s="353"/>
      <c r="CC15" s="352"/>
      <c r="CD15" s="353"/>
      <c r="CE15" s="352"/>
      <c r="CF15" s="353"/>
      <c r="CG15" s="352"/>
      <c r="CH15" s="353"/>
      <c r="CI15" s="352"/>
      <c r="CJ15" s="353"/>
      <c r="CK15" s="352"/>
      <c r="CL15" s="353"/>
      <c r="CM15" s="352"/>
      <c r="CN15" s="353"/>
      <c r="CO15" s="352"/>
      <c r="CP15" s="353"/>
      <c r="CQ15" s="352"/>
      <c r="CR15" s="353"/>
    </row>
    <row r="16" spans="2:108" x14ac:dyDescent="0.25">
      <c r="B16" s="224"/>
      <c r="C16" s="357">
        <v>2019</v>
      </c>
      <c r="D16" s="358" t="s">
        <v>1564</v>
      </c>
      <c r="E16" s="359"/>
      <c r="F16" s="360">
        <f>COUNTA(F8:F15)</f>
        <v>7</v>
      </c>
      <c r="G16" s="360"/>
      <c r="H16" s="361"/>
      <c r="I16" s="361"/>
      <c r="J16" s="361">
        <f>SUM(J8:J15)</f>
        <v>15300000</v>
      </c>
      <c r="K16" s="362"/>
      <c r="L16" s="360"/>
      <c r="M16" s="363">
        <f>SUM(M8:M15)/F16</f>
        <v>3.1428571428571428</v>
      </c>
      <c r="N16" s="364"/>
      <c r="O16" s="360"/>
      <c r="P16" s="365"/>
      <c r="Q16" s="360"/>
      <c r="T16" s="62"/>
    </row>
    <row r="17" spans="2:20" x14ac:dyDescent="0.25">
      <c r="B17" s="224"/>
      <c r="C17" s="39"/>
      <c r="D17" s="62"/>
      <c r="E17" s="63"/>
      <c r="F17" s="64"/>
      <c r="G17" s="65"/>
      <c r="H17" s="94"/>
      <c r="I17" s="94"/>
      <c r="J17" s="94"/>
      <c r="K17" s="153"/>
      <c r="L17" s="11"/>
      <c r="M17" s="15"/>
      <c r="N17" s="35"/>
      <c r="O17" s="15"/>
      <c r="P17" s="35"/>
      <c r="Q17" s="35"/>
      <c r="R17" s="15"/>
      <c r="S17" s="24"/>
      <c r="T17" s="62"/>
    </row>
    <row r="18" spans="2:20" x14ac:dyDescent="0.25">
      <c r="F18" s="366" t="s">
        <v>1565</v>
      </c>
      <c r="G18" s="15"/>
      <c r="J18" s="94">
        <f>+J15+J14+J13+J12+J11+J10+J9</f>
        <v>15300000</v>
      </c>
    </row>
  </sheetData>
  <conditionalFormatting sqref="L17">
    <cfRule type="containsText" dxfId="7425" priority="100" operator="containsText" text="FAIL">
      <formula>NOT(ISERROR(SEARCH("FAIL",L17)))</formula>
    </cfRule>
  </conditionalFormatting>
  <conditionalFormatting sqref="L17">
    <cfRule type="containsText" dxfId="7424" priority="99" operator="containsText" text="GOOD">
      <formula>NOT(ISERROR(SEARCH("GOOD",L17)))</formula>
    </cfRule>
  </conditionalFormatting>
  <conditionalFormatting sqref="B17">
    <cfRule type="containsText" dxfId="7423" priority="98" operator="containsText" text="FAIL">
      <formula>NOT(ISERROR(SEARCH("FAIL",B17)))</formula>
    </cfRule>
  </conditionalFormatting>
  <conditionalFormatting sqref="B17">
    <cfRule type="containsText" dxfId="7422" priority="97" operator="containsText" text="GOOD">
      <formula>NOT(ISERROR(SEARCH("GOOD",B17)))</formula>
    </cfRule>
  </conditionalFormatting>
  <conditionalFormatting sqref="B16">
    <cfRule type="containsText" dxfId="7421" priority="96" operator="containsText" text="FAIL">
      <formula>NOT(ISERROR(SEARCH("FAIL",B16)))</formula>
    </cfRule>
  </conditionalFormatting>
  <conditionalFormatting sqref="B16">
    <cfRule type="containsText" dxfId="7420" priority="95" operator="containsText" text="GOOD">
      <formula>NOT(ISERROR(SEARCH("GOOD",B16)))</formula>
    </cfRule>
  </conditionalFormatting>
  <conditionalFormatting sqref="L8 L15">
    <cfRule type="containsText" dxfId="7419" priority="94" operator="containsText" text="FAIL">
      <formula>NOT(ISERROR(SEARCH("FAIL",L8)))</formula>
    </cfRule>
  </conditionalFormatting>
  <conditionalFormatting sqref="L8 L15">
    <cfRule type="containsText" dxfId="7418" priority="93" operator="containsText" text="GOOD">
      <formula>NOT(ISERROR(SEARCH("GOOD",L8)))</formula>
    </cfRule>
  </conditionalFormatting>
  <conditionalFormatting sqref="B8 B15">
    <cfRule type="containsText" dxfId="7417" priority="92" operator="containsText" text="FAIL">
      <formula>NOT(ISERROR(SEARCH("FAIL",B8)))</formula>
    </cfRule>
  </conditionalFormatting>
  <conditionalFormatting sqref="B8 B15">
    <cfRule type="containsText" dxfId="7416" priority="91" operator="containsText" text="GOOD">
      <formula>NOT(ISERROR(SEARCH("GOOD",B8)))</formula>
    </cfRule>
  </conditionalFormatting>
  <conditionalFormatting sqref="L14">
    <cfRule type="containsText" dxfId="7415" priority="90" operator="containsText" text="FAIL">
      <formula>NOT(ISERROR(SEARCH("FAIL",L14)))</formula>
    </cfRule>
  </conditionalFormatting>
  <conditionalFormatting sqref="L14">
    <cfRule type="containsText" dxfId="7414" priority="89" operator="containsText" text="GOOD">
      <formula>NOT(ISERROR(SEARCH("GOOD",L14)))</formula>
    </cfRule>
  </conditionalFormatting>
  <conditionalFormatting sqref="B14">
    <cfRule type="containsText" dxfId="7413" priority="88" operator="containsText" text="FAIL">
      <formula>NOT(ISERROR(SEARCH("FAIL",B14)))</formula>
    </cfRule>
  </conditionalFormatting>
  <conditionalFormatting sqref="B14">
    <cfRule type="containsText" dxfId="7412" priority="87" operator="containsText" text="GOOD">
      <formula>NOT(ISERROR(SEARCH("GOOD",B14)))</formula>
    </cfRule>
  </conditionalFormatting>
  <conditionalFormatting sqref="L13">
    <cfRule type="containsText" dxfId="7411" priority="62" operator="containsText" text="FAIL">
      <formula>NOT(ISERROR(SEARCH("FAIL",L13)))</formula>
    </cfRule>
  </conditionalFormatting>
  <conditionalFormatting sqref="L13">
    <cfRule type="containsText" dxfId="7410" priority="61" operator="containsText" text="GOOD">
      <formula>NOT(ISERROR(SEARCH("GOOD",L13)))</formula>
    </cfRule>
  </conditionalFormatting>
  <conditionalFormatting sqref="B13">
    <cfRule type="containsText" dxfId="7409" priority="60" operator="containsText" text="FAIL">
      <formula>NOT(ISERROR(SEARCH("FAIL",B13)))</formula>
    </cfRule>
  </conditionalFormatting>
  <conditionalFormatting sqref="B13">
    <cfRule type="containsText" dxfId="7408" priority="59" operator="containsText" text="GOOD">
      <formula>NOT(ISERROR(SEARCH("GOOD",B13)))</formula>
    </cfRule>
  </conditionalFormatting>
  <conditionalFormatting sqref="L12">
    <cfRule type="containsText" dxfId="7407" priority="42" operator="containsText" text="FAIL">
      <formula>NOT(ISERROR(SEARCH("FAIL",L12)))</formula>
    </cfRule>
  </conditionalFormatting>
  <conditionalFormatting sqref="L12">
    <cfRule type="containsText" dxfId="7406" priority="41" operator="containsText" text="GOOD">
      <formula>NOT(ISERROR(SEARCH("GOOD",L12)))</formula>
    </cfRule>
  </conditionalFormatting>
  <conditionalFormatting sqref="B12">
    <cfRule type="containsText" dxfId="7405" priority="40" operator="containsText" text="FAIL">
      <formula>NOT(ISERROR(SEARCH("FAIL",B12)))</formula>
    </cfRule>
  </conditionalFormatting>
  <conditionalFormatting sqref="B12">
    <cfRule type="containsText" dxfId="7404" priority="39" operator="containsText" text="GOOD">
      <formula>NOT(ISERROR(SEARCH("GOOD",B12)))</formula>
    </cfRule>
  </conditionalFormatting>
  <conditionalFormatting sqref="L11">
    <cfRule type="containsText" dxfId="7403" priority="38" operator="containsText" text="FAIL">
      <formula>NOT(ISERROR(SEARCH("FAIL",L11)))</formula>
    </cfRule>
  </conditionalFormatting>
  <conditionalFormatting sqref="L11">
    <cfRule type="containsText" dxfId="7402" priority="37" operator="containsText" text="GOOD">
      <formula>NOT(ISERROR(SEARCH("GOOD",L11)))</formula>
    </cfRule>
  </conditionalFormatting>
  <conditionalFormatting sqref="B11">
    <cfRule type="containsText" dxfId="7401" priority="36" operator="containsText" text="FAIL">
      <formula>NOT(ISERROR(SEARCH("FAIL",B11)))</formula>
    </cfRule>
  </conditionalFormatting>
  <conditionalFormatting sqref="B11">
    <cfRule type="containsText" dxfId="7400" priority="35" operator="containsText" text="GOOD">
      <formula>NOT(ISERROR(SEARCH("GOOD",B11)))</formula>
    </cfRule>
  </conditionalFormatting>
  <conditionalFormatting sqref="L10">
    <cfRule type="containsText" dxfId="7399" priority="22" operator="containsText" text="FAIL">
      <formula>NOT(ISERROR(SEARCH("FAIL",L10)))</formula>
    </cfRule>
  </conditionalFormatting>
  <conditionalFormatting sqref="L10">
    <cfRule type="containsText" dxfId="7398" priority="21" operator="containsText" text="GOOD">
      <formula>NOT(ISERROR(SEARCH("GOOD",L10)))</formula>
    </cfRule>
  </conditionalFormatting>
  <conditionalFormatting sqref="B10">
    <cfRule type="containsText" dxfId="7397" priority="20" operator="containsText" text="FAIL">
      <formula>NOT(ISERROR(SEARCH("FAIL",B10)))</formula>
    </cfRule>
  </conditionalFormatting>
  <conditionalFormatting sqref="B10">
    <cfRule type="containsText" dxfId="7396" priority="19" operator="containsText" text="GOOD">
      <formula>NOT(ISERROR(SEARCH("GOOD",B10)))</formula>
    </cfRule>
  </conditionalFormatting>
  <conditionalFormatting sqref="L9">
    <cfRule type="containsText" dxfId="7395" priority="18" operator="containsText" text="FAIL">
      <formula>NOT(ISERROR(SEARCH("FAIL",L9)))</formula>
    </cfRule>
  </conditionalFormatting>
  <conditionalFormatting sqref="L9">
    <cfRule type="containsText" dxfId="7394" priority="17" operator="containsText" text="GOOD">
      <formula>NOT(ISERROR(SEARCH("GOOD",L9)))</formula>
    </cfRule>
  </conditionalFormatting>
  <conditionalFormatting sqref="B9">
    <cfRule type="containsText" dxfId="7393" priority="16" operator="containsText" text="FAIL">
      <formula>NOT(ISERROR(SEARCH("FAIL",B9)))</formula>
    </cfRule>
  </conditionalFormatting>
  <conditionalFormatting sqref="B9">
    <cfRule type="containsText" dxfId="7392" priority="15" operator="containsText" text="GOOD">
      <formula>NOT(ISERROR(SEARCH("GOOD",B9)))</formula>
    </cfRule>
  </conditionalFormatting>
  <conditionalFormatting sqref="L7">
    <cfRule type="containsText" dxfId="7391" priority="14" operator="containsText" text="FAIL">
      <formula>NOT(ISERROR(SEARCH("FAIL",L7)))</formula>
    </cfRule>
  </conditionalFormatting>
  <conditionalFormatting sqref="L7">
    <cfRule type="containsText" dxfId="7390" priority="13" operator="containsText" text="GOOD">
      <formula>NOT(ISERROR(SEARCH("GOOD",L7)))</formula>
    </cfRule>
  </conditionalFormatting>
  <conditionalFormatting sqref="B7">
    <cfRule type="containsText" dxfId="7389" priority="12" operator="containsText" text="FAIL">
      <formula>NOT(ISERROR(SEARCH("FAIL",B7)))</formula>
    </cfRule>
  </conditionalFormatting>
  <conditionalFormatting sqref="B7">
    <cfRule type="containsText" dxfId="7388" priority="11" operator="containsText" text="GOOD">
      <formula>NOT(ISERROR(SEARCH("GOOD",B7)))</formula>
    </cfRule>
  </conditionalFormatting>
  <pageMargins left="0.7" right="0.7" top="0.75" bottom="0.75" header="0.3" footer="0.3"/>
  <pageSetup scale="88" orientation="landscape" r:id="rId1"/>
  <drawing r:id="rId2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400-000000000000}">
  <sheetPr codeName="Sheet102">
    <tabColor rgb="FFFF0000"/>
  </sheetPr>
  <dimension ref="A2:O47"/>
  <sheetViews>
    <sheetView zoomScaleNormal="100" workbookViewId="0">
      <selection activeCell="L31" sqref="L31"/>
    </sheetView>
  </sheetViews>
  <sheetFormatPr defaultRowHeight="15" x14ac:dyDescent="0.25"/>
  <cols>
    <col min="1" max="2" width="4.42578125" customWidth="1"/>
    <col min="3" max="3" width="3" customWidth="1"/>
    <col min="4" max="4" width="24.85546875" customWidth="1"/>
    <col min="5" max="5" width="3" customWidth="1"/>
    <col min="6" max="6" width="15.7109375" customWidth="1"/>
    <col min="7" max="7" width="8.5703125" customWidth="1"/>
    <col min="8" max="8" width="5.85546875" customWidth="1"/>
    <col min="9" max="15" width="15.7109375" customWidth="1"/>
  </cols>
  <sheetData>
    <row r="2" spans="1:11" x14ac:dyDescent="0.25">
      <c r="C2" s="15" t="s">
        <v>32</v>
      </c>
      <c r="E2" s="15"/>
      <c r="F2" s="15"/>
      <c r="G2" s="15" t="s">
        <v>33</v>
      </c>
      <c r="H2" s="15"/>
      <c r="I2" s="15"/>
      <c r="J2" s="15"/>
      <c r="K2" s="15"/>
    </row>
    <row r="3" spans="1:11" ht="18.75" x14ac:dyDescent="0.3">
      <c r="C3" s="3" t="s">
        <v>26</v>
      </c>
      <c r="J3" s="8" t="s">
        <v>17</v>
      </c>
    </row>
    <row r="4" spans="1:11" x14ac:dyDescent="0.25">
      <c r="D4" s="2" t="s">
        <v>0</v>
      </c>
      <c r="E4" s="1"/>
      <c r="F4" t="s">
        <v>711</v>
      </c>
      <c r="I4" s="2" t="s">
        <v>4</v>
      </c>
      <c r="J4" t="s">
        <v>630</v>
      </c>
    </row>
    <row r="5" spans="1:11" x14ac:dyDescent="0.25">
      <c r="D5" s="2" t="s">
        <v>1</v>
      </c>
      <c r="F5" t="s">
        <v>712</v>
      </c>
    </row>
    <row r="6" spans="1:11" x14ac:dyDescent="0.25">
      <c r="D6" s="2" t="s">
        <v>2</v>
      </c>
      <c r="F6" s="6">
        <v>42587</v>
      </c>
      <c r="H6" s="11"/>
    </row>
    <row r="7" spans="1:11" x14ac:dyDescent="0.25">
      <c r="D7" s="2" t="s">
        <v>3</v>
      </c>
      <c r="F7" s="5">
        <v>1030000</v>
      </c>
      <c r="G7" s="2" t="s">
        <v>34</v>
      </c>
      <c r="H7" s="11"/>
    </row>
    <row r="8" spans="1:11" x14ac:dyDescent="0.25">
      <c r="D8" s="2" t="s">
        <v>18</v>
      </c>
      <c r="F8" s="5">
        <f>MIN(I23:I43)</f>
        <v>2879200</v>
      </c>
      <c r="H8" s="11"/>
    </row>
    <row r="9" spans="1:11" x14ac:dyDescent="0.25">
      <c r="D9" s="2" t="s">
        <v>67</v>
      </c>
      <c r="F9" s="4">
        <f>+F8-F7</f>
        <v>1849200</v>
      </c>
      <c r="G9" s="16">
        <f>+F9/F7</f>
        <v>1.7953398058252428</v>
      </c>
      <c r="H9" s="12" t="s">
        <v>20</v>
      </c>
      <c r="I9" s="11" t="str">
        <f>(IF(G9&lt;-0.1,"FAIL",IF(G9&gt;0.05,"FAIL","GOOD")))</f>
        <v>FAIL</v>
      </c>
      <c r="J9" s="14" t="s">
        <v>72</v>
      </c>
    </row>
    <row r="10" spans="1:11" x14ac:dyDescent="0.25">
      <c r="D10" s="2" t="s">
        <v>68</v>
      </c>
      <c r="F10" s="4">
        <f>+F7-F12</f>
        <v>-2639732</v>
      </c>
      <c r="H10" s="11"/>
    </row>
    <row r="11" spans="1:11" x14ac:dyDescent="0.25">
      <c r="A11" s="52"/>
      <c r="D11" s="2" t="s">
        <v>71</v>
      </c>
      <c r="F11" s="11" t="str">
        <f>(IF(F7&lt;J12,"FAIL",IF(F7&gt;J13,"FAIL","GOOD")))</f>
        <v>FAIL</v>
      </c>
      <c r="H11" s="11"/>
    </row>
    <row r="12" spans="1:11" x14ac:dyDescent="0.25">
      <c r="D12" s="2" t="s">
        <v>28</v>
      </c>
      <c r="F12" s="4">
        <f>SUM(I23:I43)/H12</f>
        <v>3669732</v>
      </c>
      <c r="G12" s="14"/>
      <c r="H12" s="11">
        <f>COUNT(I23:I43)</f>
        <v>4</v>
      </c>
      <c r="I12" s="1" t="s">
        <v>31</v>
      </c>
      <c r="J12" s="4">
        <f>+F8*0.9</f>
        <v>2591280</v>
      </c>
      <c r="K12" s="1" t="s">
        <v>69</v>
      </c>
    </row>
    <row r="13" spans="1:11" x14ac:dyDescent="0.25">
      <c r="D13" s="2" t="s">
        <v>29</v>
      </c>
      <c r="F13" s="4">
        <f>MAX(I23:I43)-MIN(I23:I43)</f>
        <v>1260800</v>
      </c>
      <c r="G13" s="399">
        <f>MEDIAN(I23:I43)</f>
        <v>3829864</v>
      </c>
      <c r="H13" s="400"/>
      <c r="I13" s="1" t="s">
        <v>30</v>
      </c>
      <c r="J13" s="4">
        <f>+F12*1.1</f>
        <v>4036705.2</v>
      </c>
      <c r="K13" s="1" t="s">
        <v>70</v>
      </c>
    </row>
    <row r="14" spans="1:11" x14ac:dyDescent="0.25">
      <c r="H14" s="11"/>
    </row>
    <row r="15" spans="1:11" x14ac:dyDescent="0.25">
      <c r="D15" s="2" t="s">
        <v>8</v>
      </c>
      <c r="F15" s="4"/>
      <c r="G15" s="1" t="s">
        <v>9</v>
      </c>
      <c r="H15" s="11"/>
      <c r="I15" t="s">
        <v>15</v>
      </c>
      <c r="J15" s="7" t="e">
        <f>+F16/F15</f>
        <v>#DIV/0!</v>
      </c>
    </row>
    <row r="16" spans="1:11" x14ac:dyDescent="0.25">
      <c r="F16" s="4"/>
      <c r="G16" s="1" t="s">
        <v>10</v>
      </c>
      <c r="H16" s="11"/>
      <c r="I16" t="s">
        <v>14</v>
      </c>
      <c r="J16" s="7" t="e">
        <f>+F17/F16</f>
        <v>#DIV/0!</v>
      </c>
    </row>
    <row r="17" spans="3:15" x14ac:dyDescent="0.25">
      <c r="F17" s="4"/>
      <c r="G17" s="1" t="s">
        <v>11</v>
      </c>
      <c r="H17" s="11"/>
      <c r="I17" t="s">
        <v>13</v>
      </c>
      <c r="J17" s="7" t="e">
        <f>+F18/F17</f>
        <v>#DIV/0!</v>
      </c>
      <c r="M17" s="21"/>
      <c r="N17" s="21"/>
      <c r="O17" s="21"/>
    </row>
    <row r="18" spans="3:15" x14ac:dyDescent="0.25">
      <c r="F18" s="4"/>
      <c r="G18" s="1" t="s">
        <v>12</v>
      </c>
      <c r="H18" s="11"/>
      <c r="I18" t="s">
        <v>16</v>
      </c>
      <c r="J18" s="7" t="e">
        <f>+F8/F18</f>
        <v>#DIV/0!</v>
      </c>
      <c r="M18" s="21"/>
      <c r="N18" s="21"/>
      <c r="O18" s="21"/>
    </row>
    <row r="19" spans="3:15" x14ac:dyDescent="0.25">
      <c r="F19" s="2" t="s">
        <v>51</v>
      </c>
      <c r="G19">
        <v>0</v>
      </c>
      <c r="H19" s="11" t="s">
        <v>52</v>
      </c>
      <c r="I19" t="s">
        <v>41</v>
      </c>
      <c r="J19" s="7" t="e">
        <f>+F8/F15</f>
        <v>#DIV/0!</v>
      </c>
      <c r="M19" s="21"/>
      <c r="N19" s="21"/>
      <c r="O19" s="21"/>
    </row>
    <row r="20" spans="3:15" x14ac:dyDescent="0.25">
      <c r="H20" s="11"/>
      <c r="M20" s="21"/>
      <c r="N20" s="21"/>
      <c r="O20" s="21"/>
    </row>
    <row r="21" spans="3:15" x14ac:dyDescent="0.25">
      <c r="C21" s="9"/>
      <c r="D21" s="13" t="s">
        <v>21</v>
      </c>
      <c r="E21" s="9"/>
      <c r="F21" s="9" t="s">
        <v>22</v>
      </c>
      <c r="G21" s="9" t="s">
        <v>23</v>
      </c>
      <c r="H21" s="13" t="s">
        <v>27</v>
      </c>
      <c r="I21" s="10" t="s">
        <v>24</v>
      </c>
      <c r="J21" s="9"/>
      <c r="K21" s="9"/>
      <c r="L21" s="9"/>
      <c r="M21" s="21"/>
      <c r="N21" s="21"/>
      <c r="O21" s="21"/>
    </row>
    <row r="22" spans="3:15" ht="6" customHeight="1" x14ac:dyDescent="0.25">
      <c r="M22" s="21"/>
      <c r="N22" s="21"/>
      <c r="O22" s="21"/>
    </row>
    <row r="23" spans="3:15" x14ac:dyDescent="0.25">
      <c r="C23" s="33" t="str">
        <f>IF(H23=1,"u","")</f>
        <v/>
      </c>
      <c r="D23" s="11" t="s">
        <v>713</v>
      </c>
      <c r="E23" s="33"/>
      <c r="F23" t="s">
        <v>549</v>
      </c>
      <c r="G23" t="s">
        <v>25</v>
      </c>
      <c r="H23">
        <f>RANK(I23,I$23:I$43,1)</f>
        <v>4</v>
      </c>
      <c r="I23" s="4">
        <v>4140000</v>
      </c>
      <c r="J23" s="4"/>
      <c r="K23" s="4"/>
      <c r="L23" s="4"/>
      <c r="M23" s="22"/>
      <c r="N23" s="22"/>
      <c r="O23" s="22"/>
    </row>
    <row r="24" spans="3:15" x14ac:dyDescent="0.25">
      <c r="C24" s="33" t="str">
        <f>IF(H24=1,"u","")</f>
        <v/>
      </c>
      <c r="D24" s="11" t="s">
        <v>714</v>
      </c>
      <c r="E24" s="33"/>
      <c r="F24" t="s">
        <v>92</v>
      </c>
      <c r="G24" t="s">
        <v>93</v>
      </c>
      <c r="H24">
        <f>RANK(I24,I$23:I$43,1)</f>
        <v>2</v>
      </c>
      <c r="I24" s="4">
        <v>3700728</v>
      </c>
      <c r="J24" s="4"/>
      <c r="K24" s="4"/>
      <c r="L24" s="4"/>
      <c r="M24" s="22"/>
      <c r="N24" s="22"/>
      <c r="O24" s="22"/>
    </row>
    <row r="25" spans="3:15" x14ac:dyDescent="0.25">
      <c r="C25" s="33" t="str">
        <f>IF(H25=1,"u","")</f>
        <v>u</v>
      </c>
      <c r="D25" s="11" t="s">
        <v>715</v>
      </c>
      <c r="E25" s="33"/>
      <c r="F25" t="s">
        <v>95</v>
      </c>
      <c r="G25" t="s">
        <v>93</v>
      </c>
      <c r="H25">
        <f>RANK(I25,I$23:I$43,1)</f>
        <v>1</v>
      </c>
      <c r="I25" s="4">
        <v>2879200</v>
      </c>
      <c r="J25" s="4"/>
      <c r="K25" s="4"/>
      <c r="L25" s="4"/>
      <c r="M25" s="22"/>
      <c r="N25" s="22"/>
      <c r="O25" s="22"/>
    </row>
    <row r="26" spans="3:15" x14ac:dyDescent="0.25">
      <c r="C26" s="33" t="str">
        <f t="shared" ref="C26:C43" si="0">IF(H26=1,"u","")</f>
        <v/>
      </c>
      <c r="D26" s="11" t="s">
        <v>606</v>
      </c>
      <c r="E26" s="33"/>
      <c r="F26" t="s">
        <v>100</v>
      </c>
      <c r="G26" t="s">
        <v>93</v>
      </c>
      <c r="H26">
        <f>RANK(I26,I$23:I$43,1)</f>
        <v>3</v>
      </c>
      <c r="I26" s="4">
        <v>3959000</v>
      </c>
      <c r="J26" s="4"/>
      <c r="K26" s="4"/>
      <c r="L26" s="4"/>
      <c r="M26" s="22"/>
      <c r="N26" s="22"/>
      <c r="O26" s="22"/>
    </row>
    <row r="27" spans="3:15" x14ac:dyDescent="0.25">
      <c r="C27" s="33" t="str">
        <f t="shared" si="0"/>
        <v/>
      </c>
      <c r="D27" s="11"/>
      <c r="E27" s="33"/>
      <c r="I27" s="4"/>
      <c r="J27" s="4"/>
      <c r="K27" s="4"/>
      <c r="L27" s="4"/>
      <c r="M27" s="22"/>
      <c r="N27" s="22"/>
      <c r="O27" s="22"/>
    </row>
    <row r="28" spans="3:15" x14ac:dyDescent="0.25">
      <c r="C28" s="33" t="str">
        <f t="shared" si="0"/>
        <v/>
      </c>
      <c r="D28" s="11"/>
      <c r="E28" s="33"/>
      <c r="I28" s="4"/>
      <c r="J28" s="4"/>
      <c r="K28" s="4"/>
      <c r="L28" s="4"/>
      <c r="M28" s="22"/>
      <c r="N28" s="22"/>
      <c r="O28" s="22"/>
    </row>
    <row r="29" spans="3:15" x14ac:dyDescent="0.25">
      <c r="C29" s="33" t="str">
        <f t="shared" si="0"/>
        <v/>
      </c>
      <c r="D29" s="11"/>
      <c r="E29" s="33"/>
      <c r="I29" s="4"/>
      <c r="J29" s="4"/>
      <c r="K29" s="4"/>
      <c r="L29" s="4"/>
      <c r="M29" s="22"/>
      <c r="N29" s="22"/>
      <c r="O29" s="22"/>
    </row>
    <row r="30" spans="3:15" x14ac:dyDescent="0.25">
      <c r="C30" s="33" t="str">
        <f t="shared" si="0"/>
        <v/>
      </c>
      <c r="D30" s="11"/>
      <c r="E30" s="33"/>
      <c r="I30" s="4"/>
      <c r="J30" s="4"/>
      <c r="K30" s="4"/>
      <c r="L30" s="4"/>
      <c r="M30" s="22"/>
      <c r="N30" s="22"/>
      <c r="O30" s="22"/>
    </row>
    <row r="31" spans="3:15" x14ac:dyDescent="0.25">
      <c r="C31" s="33" t="str">
        <f t="shared" si="0"/>
        <v/>
      </c>
      <c r="D31" s="11"/>
      <c r="E31" s="33"/>
      <c r="I31" s="4"/>
      <c r="J31" s="4"/>
      <c r="K31" s="4"/>
      <c r="L31" s="4"/>
      <c r="M31" s="22"/>
      <c r="N31" s="22"/>
      <c r="O31" s="22"/>
    </row>
    <row r="32" spans="3:15" x14ac:dyDescent="0.25">
      <c r="C32" s="33" t="str">
        <f t="shared" si="0"/>
        <v/>
      </c>
      <c r="D32" s="11"/>
      <c r="E32" s="33"/>
      <c r="I32" s="4"/>
      <c r="J32" s="4"/>
      <c r="K32" s="4"/>
      <c r="L32" s="4"/>
      <c r="M32" s="22"/>
      <c r="N32" s="22"/>
      <c r="O32" s="22"/>
    </row>
    <row r="33" spans="3:15" x14ac:dyDescent="0.25">
      <c r="C33" s="33" t="str">
        <f t="shared" si="0"/>
        <v/>
      </c>
      <c r="D33" s="11"/>
      <c r="E33" s="33"/>
      <c r="I33" s="4"/>
      <c r="M33" s="21"/>
      <c r="N33" s="21"/>
      <c r="O33" s="21"/>
    </row>
    <row r="34" spans="3:15" x14ac:dyDescent="0.25">
      <c r="C34" s="33" t="str">
        <f t="shared" si="0"/>
        <v/>
      </c>
      <c r="D34" s="11"/>
      <c r="E34" s="33" t="str">
        <f t="shared" ref="E34:E43" si="1">IF(H34=1,"t","")</f>
        <v/>
      </c>
      <c r="M34" s="21"/>
      <c r="N34" s="21"/>
      <c r="O34" s="21"/>
    </row>
    <row r="35" spans="3:15" x14ac:dyDescent="0.25">
      <c r="C35" s="33" t="str">
        <f t="shared" si="0"/>
        <v/>
      </c>
      <c r="D35" s="11"/>
      <c r="E35" s="33" t="str">
        <f t="shared" si="1"/>
        <v/>
      </c>
      <c r="M35" s="21"/>
      <c r="N35" s="21"/>
      <c r="O35" s="21"/>
    </row>
    <row r="36" spans="3:15" x14ac:dyDescent="0.25">
      <c r="C36" s="33" t="str">
        <f t="shared" si="0"/>
        <v/>
      </c>
      <c r="D36" s="11"/>
      <c r="E36" s="33" t="str">
        <f t="shared" si="1"/>
        <v/>
      </c>
      <c r="M36" s="21"/>
      <c r="N36" s="21"/>
      <c r="O36" s="21"/>
    </row>
    <row r="37" spans="3:15" x14ac:dyDescent="0.25">
      <c r="C37" s="33" t="str">
        <f t="shared" si="0"/>
        <v/>
      </c>
      <c r="D37" s="11"/>
      <c r="E37" s="33" t="str">
        <f t="shared" si="1"/>
        <v/>
      </c>
      <c r="M37" s="21"/>
      <c r="N37" s="21"/>
      <c r="O37" s="21"/>
    </row>
    <row r="38" spans="3:15" x14ac:dyDescent="0.25">
      <c r="C38" s="33" t="str">
        <f t="shared" si="0"/>
        <v/>
      </c>
      <c r="D38" s="11"/>
      <c r="E38" s="33" t="str">
        <f t="shared" si="1"/>
        <v/>
      </c>
      <c r="M38" s="21"/>
      <c r="N38" s="21"/>
      <c r="O38" s="21"/>
    </row>
    <row r="39" spans="3:15" x14ac:dyDescent="0.25">
      <c r="C39" s="33" t="str">
        <f t="shared" si="0"/>
        <v/>
      </c>
      <c r="D39" s="11"/>
      <c r="E39" s="33" t="str">
        <f t="shared" si="1"/>
        <v/>
      </c>
      <c r="M39" s="21"/>
      <c r="N39" s="21"/>
      <c r="O39" s="21"/>
    </row>
    <row r="40" spans="3:15" x14ac:dyDescent="0.25">
      <c r="C40" s="33" t="str">
        <f t="shared" si="0"/>
        <v/>
      </c>
      <c r="D40" s="11"/>
      <c r="E40" s="33" t="str">
        <f t="shared" si="1"/>
        <v/>
      </c>
      <c r="M40" s="21"/>
      <c r="N40" s="21"/>
      <c r="O40" s="21"/>
    </row>
    <row r="41" spans="3:15" x14ac:dyDescent="0.25">
      <c r="C41" s="33" t="str">
        <f t="shared" si="0"/>
        <v/>
      </c>
      <c r="D41" s="11"/>
      <c r="E41" s="33" t="str">
        <f t="shared" si="1"/>
        <v/>
      </c>
      <c r="M41" s="21"/>
      <c r="N41" s="21"/>
      <c r="O41" s="21"/>
    </row>
    <row r="42" spans="3:15" x14ac:dyDescent="0.25">
      <c r="C42" s="33" t="str">
        <f t="shared" si="0"/>
        <v/>
      </c>
      <c r="D42" s="11"/>
      <c r="E42" s="33" t="str">
        <f t="shared" si="1"/>
        <v/>
      </c>
      <c r="M42" s="21"/>
      <c r="N42" s="21"/>
      <c r="O42" s="21"/>
    </row>
    <row r="43" spans="3:15" x14ac:dyDescent="0.25">
      <c r="C43" s="33" t="str">
        <f t="shared" si="0"/>
        <v/>
      </c>
      <c r="D43" s="11"/>
      <c r="E43" s="33" t="str">
        <f t="shared" si="1"/>
        <v/>
      </c>
      <c r="M43" s="21"/>
      <c r="N43" s="21"/>
      <c r="O43" s="21"/>
    </row>
    <row r="44" spans="3:15" ht="6" customHeight="1" x14ac:dyDescent="0.25">
      <c r="C44" s="9"/>
      <c r="D44" s="9"/>
      <c r="E44" s="9"/>
      <c r="F44" s="9"/>
      <c r="G44" s="9"/>
      <c r="H44" s="9"/>
      <c r="I44" s="9"/>
      <c r="J44" s="9"/>
      <c r="K44" s="9"/>
      <c r="L44" s="9"/>
      <c r="M44" s="21"/>
      <c r="N44" s="21"/>
      <c r="O44" s="21"/>
    </row>
    <row r="45" spans="3:15" ht="6" customHeight="1" x14ac:dyDescent="0.25">
      <c r="M45" s="21"/>
      <c r="N45" s="21"/>
      <c r="O45" s="21"/>
    </row>
    <row r="46" spans="3:15" x14ac:dyDescent="0.25">
      <c r="C46" s="15" t="s">
        <v>79</v>
      </c>
      <c r="M46" s="21"/>
      <c r="N46" s="21"/>
      <c r="O46" s="21"/>
    </row>
    <row r="47" spans="3:15" x14ac:dyDescent="0.25">
      <c r="C47" s="15" t="s">
        <v>78</v>
      </c>
    </row>
  </sheetData>
  <mergeCells count="1">
    <mergeCell ref="G13:H13"/>
  </mergeCells>
  <conditionalFormatting sqref="I9">
    <cfRule type="containsText" dxfId="903" priority="10" operator="containsText" text="FAIL">
      <formula>NOT(ISERROR(SEARCH("FAIL",I9)))</formula>
    </cfRule>
  </conditionalFormatting>
  <conditionalFormatting sqref="I9">
    <cfRule type="containsText" dxfId="902" priority="9" operator="containsText" text="GOOD">
      <formula>NOT(ISERROR(SEARCH("GOOD",I9)))</formula>
    </cfRule>
  </conditionalFormatting>
  <conditionalFormatting sqref="F11">
    <cfRule type="containsText" dxfId="901" priority="8" operator="containsText" text="FAIL">
      <formula>NOT(ISERROR(SEARCH("FAIL",F11)))</formula>
    </cfRule>
  </conditionalFormatting>
  <conditionalFormatting sqref="F11">
    <cfRule type="containsText" dxfId="900" priority="7" operator="containsText" text="GOOD">
      <formula>NOT(ISERROR(SEARCH("GOOD",F11)))</formula>
    </cfRule>
  </conditionalFormatting>
  <conditionalFormatting sqref="D25">
    <cfRule type="expression" dxfId="899" priority="6" stopIfTrue="1">
      <formula>IF($H$25=1,0)</formula>
    </cfRule>
  </conditionalFormatting>
  <conditionalFormatting sqref="D23:D43">
    <cfRule type="expression" dxfId="898" priority="5">
      <formula>H23=1</formula>
    </cfRule>
  </conditionalFormatting>
  <conditionalFormatting sqref="C23:C43">
    <cfRule type="expression" dxfId="897" priority="4">
      <formula>H23=1</formula>
    </cfRule>
  </conditionalFormatting>
  <conditionalFormatting sqref="E23:E43">
    <cfRule type="expression" dxfId="896" priority="3">
      <formula>H23=1</formula>
    </cfRule>
  </conditionalFormatting>
  <conditionalFormatting sqref="F11">
    <cfRule type="containsText" dxfId="895" priority="2" operator="containsText" text="FAIL">
      <formula>NOT(ISERROR(SEARCH("FAIL",F11)))</formula>
    </cfRule>
  </conditionalFormatting>
  <conditionalFormatting sqref="F11">
    <cfRule type="containsText" dxfId="894" priority="1" operator="containsText" text="GOOD">
      <formula>NOT(ISERROR(SEARCH("GOOD",F11)))</formula>
    </cfRule>
  </conditionalFormatting>
  <pageMargins left="0.7" right="0.7" top="0.75" bottom="0.75" header="0.3" footer="0.3"/>
  <pageSetup scale="68"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Sheet36"/>
  <dimension ref="A2:O56"/>
  <sheetViews>
    <sheetView zoomScaleNormal="100" workbookViewId="0">
      <selection activeCell="G8" sqref="G8"/>
    </sheetView>
  </sheetViews>
  <sheetFormatPr defaultRowHeight="15" x14ac:dyDescent="0.25"/>
  <cols>
    <col min="1" max="2" width="4.42578125" customWidth="1"/>
    <col min="3" max="3" width="3" customWidth="1"/>
    <col min="4" max="4" width="24.7109375" customWidth="1"/>
    <col min="5" max="5" width="3" customWidth="1"/>
    <col min="6" max="6" width="15.7109375" customWidth="1"/>
    <col min="7" max="7" width="8.5703125" customWidth="1"/>
    <col min="8" max="8" width="5.85546875" customWidth="1"/>
    <col min="9" max="15" width="15.7109375" customWidth="1"/>
  </cols>
  <sheetData>
    <row r="2" spans="1:11" x14ac:dyDescent="0.25">
      <c r="C2" s="15" t="s">
        <v>32</v>
      </c>
      <c r="E2" s="15"/>
      <c r="F2" s="15"/>
      <c r="G2" s="15" t="s">
        <v>33</v>
      </c>
      <c r="H2" s="15"/>
      <c r="I2" s="15"/>
      <c r="J2" s="15"/>
      <c r="K2" s="15"/>
    </row>
    <row r="3" spans="1:11" ht="18.75" x14ac:dyDescent="0.3">
      <c r="C3" s="3" t="s">
        <v>26</v>
      </c>
      <c r="J3" s="8" t="s">
        <v>47</v>
      </c>
    </row>
    <row r="4" spans="1:11" x14ac:dyDescent="0.25">
      <c r="D4" s="2" t="s">
        <v>0</v>
      </c>
      <c r="E4" s="1"/>
      <c r="F4" t="s">
        <v>1070</v>
      </c>
      <c r="I4" s="2" t="s">
        <v>4</v>
      </c>
      <c r="J4" t="s">
        <v>784</v>
      </c>
    </row>
    <row r="5" spans="1:11" x14ac:dyDescent="0.25">
      <c r="D5" s="2" t="s">
        <v>1</v>
      </c>
      <c r="F5" t="s">
        <v>1071</v>
      </c>
    </row>
    <row r="6" spans="1:11" x14ac:dyDescent="0.25">
      <c r="D6" s="2" t="s">
        <v>2</v>
      </c>
      <c r="F6" s="6">
        <v>42997</v>
      </c>
      <c r="H6" s="11"/>
    </row>
    <row r="7" spans="1:11" x14ac:dyDescent="0.25">
      <c r="D7" s="2" t="s">
        <v>3</v>
      </c>
      <c r="F7" s="5">
        <f>+I7+J7</f>
        <v>1326000</v>
      </c>
      <c r="G7" s="2" t="s">
        <v>34</v>
      </c>
      <c r="H7" s="11"/>
      <c r="I7" s="19">
        <v>561859</v>
      </c>
      <c r="J7" s="19">
        <v>764141</v>
      </c>
    </row>
    <row r="8" spans="1:11" x14ac:dyDescent="0.25">
      <c r="D8" s="2" t="s">
        <v>18</v>
      </c>
      <c r="F8" s="5">
        <f>MIN(K23:K43)</f>
        <v>1976491</v>
      </c>
      <c r="H8" s="11"/>
      <c r="I8" s="18" t="s">
        <v>43</v>
      </c>
      <c r="J8" s="18" t="s">
        <v>44</v>
      </c>
    </row>
    <row r="9" spans="1:11" x14ac:dyDescent="0.25">
      <c r="D9" s="2" t="s">
        <v>19</v>
      </c>
      <c r="F9" s="4">
        <f>+F8-F7</f>
        <v>650491</v>
      </c>
      <c r="G9" s="16">
        <f>+F9/F7</f>
        <v>0.49056636500754147</v>
      </c>
      <c r="H9" s="12" t="s">
        <v>20</v>
      </c>
      <c r="I9" s="11" t="str">
        <f>(IF(G9&lt;-0.1,"FAIL",IF(G9&gt;0.05,"FAIL","GOOD")))</f>
        <v>FAIL</v>
      </c>
      <c r="J9" s="14" t="s">
        <v>72</v>
      </c>
    </row>
    <row r="10" spans="1:11" x14ac:dyDescent="0.25">
      <c r="D10" s="2" t="s">
        <v>68</v>
      </c>
      <c r="F10" s="4">
        <f>+F7-F12</f>
        <v>-2611777.75</v>
      </c>
      <c r="H10" s="11"/>
    </row>
    <row r="11" spans="1:11" x14ac:dyDescent="0.25">
      <c r="A11" s="30"/>
      <c r="D11" s="2" t="s">
        <v>71</v>
      </c>
      <c r="F11" s="11" t="str">
        <f>(IF(F7&lt;J12,"FAIL",IF(F7&gt;J13,"FAIL","GOOD")))</f>
        <v>FAIL</v>
      </c>
      <c r="H11" s="11"/>
    </row>
    <row r="12" spans="1:11" x14ac:dyDescent="0.25">
      <c r="D12" s="2" t="s">
        <v>28</v>
      </c>
      <c r="F12" s="4">
        <f>SUM(K23:K43)/H12</f>
        <v>3937777.75</v>
      </c>
      <c r="G12" s="14"/>
      <c r="H12" s="11">
        <f>COUNT(K23:K43)</f>
        <v>4</v>
      </c>
      <c r="I12" s="1" t="s">
        <v>31</v>
      </c>
      <c r="J12" s="4">
        <f>+F8*0.9</f>
        <v>1778841.9000000001</v>
      </c>
      <c r="K12" s="1" t="s">
        <v>69</v>
      </c>
    </row>
    <row r="13" spans="1:11" x14ac:dyDescent="0.25">
      <c r="D13" s="2" t="s">
        <v>29</v>
      </c>
      <c r="F13" s="4">
        <f>MAX(K23:K43)-MIN(K23:K43)</f>
        <v>2983429</v>
      </c>
      <c r="G13" s="399">
        <f>MEDIAN(K23:K43)</f>
        <v>4407350</v>
      </c>
      <c r="H13" s="400"/>
      <c r="I13" s="1" t="s">
        <v>30</v>
      </c>
      <c r="J13" s="4">
        <f>+F12*1.1</f>
        <v>4331555.5250000004</v>
      </c>
      <c r="K13" s="1" t="s">
        <v>70</v>
      </c>
    </row>
    <row r="14" spans="1:11" x14ac:dyDescent="0.25">
      <c r="H14" s="11"/>
    </row>
    <row r="15" spans="1:11" hidden="1" x14ac:dyDescent="0.25">
      <c r="D15" s="2" t="s">
        <v>8</v>
      </c>
      <c r="F15" s="4">
        <v>30000000</v>
      </c>
      <c r="G15" s="1" t="s">
        <v>9</v>
      </c>
      <c r="H15" s="11"/>
      <c r="I15" t="s">
        <v>15</v>
      </c>
      <c r="J15" s="7">
        <f>+F16/F15</f>
        <v>0.93333333333333335</v>
      </c>
    </row>
    <row r="16" spans="1:11" hidden="1" x14ac:dyDescent="0.25">
      <c r="F16" s="4">
        <v>28000000</v>
      </c>
      <c r="G16" s="1" t="s">
        <v>10</v>
      </c>
      <c r="H16" s="11"/>
      <c r="I16" t="s">
        <v>14</v>
      </c>
      <c r="J16" s="7">
        <f>+F17/F16</f>
        <v>1.0535714285714286</v>
      </c>
    </row>
    <row r="17" spans="3:15" hidden="1" x14ac:dyDescent="0.25">
      <c r="F17" s="4">
        <v>29500000</v>
      </c>
      <c r="G17" s="1" t="s">
        <v>11</v>
      </c>
      <c r="H17" s="11"/>
      <c r="I17" t="s">
        <v>13</v>
      </c>
      <c r="J17" s="7">
        <f>+F18/F17</f>
        <v>4.4949152542372882E-2</v>
      </c>
    </row>
    <row r="18" spans="3:15" hidden="1" x14ac:dyDescent="0.25">
      <c r="F18" s="4">
        <f>+F7</f>
        <v>1326000</v>
      </c>
      <c r="G18" s="1" t="s">
        <v>12</v>
      </c>
      <c r="H18" s="11"/>
      <c r="I18" t="s">
        <v>16</v>
      </c>
      <c r="J18" s="7">
        <f>+F8/F18</f>
        <v>1.4905663650075416</v>
      </c>
    </row>
    <row r="19" spans="3:15" hidden="1" x14ac:dyDescent="0.25">
      <c r="F19" s="2" t="s">
        <v>51</v>
      </c>
      <c r="G19">
        <v>0</v>
      </c>
      <c r="H19" s="11" t="s">
        <v>52</v>
      </c>
      <c r="I19" t="s">
        <v>41</v>
      </c>
      <c r="J19" s="7">
        <f>+F8/F15</f>
        <v>6.5883033333333327E-2</v>
      </c>
    </row>
    <row r="20" spans="3:15" x14ac:dyDescent="0.25">
      <c r="H20" s="11"/>
      <c r="M20" s="21"/>
      <c r="N20" s="21"/>
      <c r="O20" s="21"/>
    </row>
    <row r="21" spans="3:15" x14ac:dyDescent="0.25">
      <c r="C21" s="9"/>
      <c r="D21" s="13" t="s">
        <v>21</v>
      </c>
      <c r="E21" s="9"/>
      <c r="F21" s="9" t="s">
        <v>22</v>
      </c>
      <c r="G21" s="9" t="s">
        <v>23</v>
      </c>
      <c r="H21" s="13" t="s">
        <v>27</v>
      </c>
      <c r="I21" s="10" t="s">
        <v>38</v>
      </c>
      <c r="J21" s="10" t="s">
        <v>37</v>
      </c>
      <c r="K21" s="10" t="s">
        <v>39</v>
      </c>
      <c r="L21" s="9"/>
      <c r="M21" s="21"/>
      <c r="N21" s="21"/>
      <c r="O21" s="21"/>
    </row>
    <row r="22" spans="3:15" ht="6" customHeight="1" x14ac:dyDescent="0.25">
      <c r="M22" s="21"/>
      <c r="N22" s="21"/>
      <c r="O22" s="21"/>
    </row>
    <row r="23" spans="3:15" x14ac:dyDescent="0.25">
      <c r="C23" s="33" t="str">
        <f>IF(H23=1,"u","")</f>
        <v/>
      </c>
      <c r="D23" s="11" t="s">
        <v>1072</v>
      </c>
      <c r="E23" s="33"/>
      <c r="F23" t="s">
        <v>1073</v>
      </c>
      <c r="G23" t="s">
        <v>25</v>
      </c>
      <c r="H23">
        <f>RANK(K23,K$23:K$43,1)</f>
        <v>2</v>
      </c>
      <c r="I23" s="4">
        <v>1062524</v>
      </c>
      <c r="J23" s="4">
        <v>3135176</v>
      </c>
      <c r="K23" s="4">
        <f>+J23+I23</f>
        <v>4197700</v>
      </c>
      <c r="L23" s="4"/>
      <c r="M23" s="22"/>
      <c r="N23" s="22"/>
      <c r="O23" s="22"/>
    </row>
    <row r="24" spans="3:15" x14ac:dyDescent="0.25">
      <c r="C24" s="33" t="str">
        <f>IF(H24=1,"u","")</f>
        <v>u</v>
      </c>
      <c r="D24" s="11" t="s">
        <v>1074</v>
      </c>
      <c r="E24" s="33"/>
      <c r="F24" t="s">
        <v>131</v>
      </c>
      <c r="G24" t="s">
        <v>25</v>
      </c>
      <c r="H24">
        <f>RANK(K24,K$23:K$43,1)</f>
        <v>1</v>
      </c>
      <c r="I24" s="4">
        <v>574441</v>
      </c>
      <c r="J24" s="4">
        <v>1402050</v>
      </c>
      <c r="K24" s="4">
        <f>+J24+I24</f>
        <v>1976491</v>
      </c>
      <c r="L24" s="4"/>
      <c r="M24" s="22"/>
      <c r="N24" s="22"/>
      <c r="O24" s="22"/>
    </row>
    <row r="25" spans="3:15" x14ac:dyDescent="0.25">
      <c r="C25" s="33" t="str">
        <f>IF(H25=1,"u","")</f>
        <v/>
      </c>
      <c r="D25" s="11" t="s">
        <v>680</v>
      </c>
      <c r="E25" s="33"/>
      <c r="F25" t="s">
        <v>532</v>
      </c>
      <c r="G25" t="s">
        <v>93</v>
      </c>
      <c r="H25">
        <f>RANK(K25,K$23:K$43,1)</f>
        <v>3</v>
      </c>
      <c r="I25" s="4">
        <v>1470470</v>
      </c>
      <c r="J25" s="4">
        <v>3146530</v>
      </c>
      <c r="K25" s="4">
        <f>+J25+I25</f>
        <v>4617000</v>
      </c>
      <c r="L25" s="4"/>
      <c r="M25" s="22"/>
      <c r="N25" s="22"/>
      <c r="O25" s="22"/>
    </row>
    <row r="26" spans="3:15" x14ac:dyDescent="0.25">
      <c r="C26" s="33" t="str">
        <f t="shared" ref="C26:C43" si="0">IF(H26=1,"u","")</f>
        <v/>
      </c>
      <c r="D26" s="11" t="s">
        <v>485</v>
      </c>
      <c r="E26" s="33"/>
      <c r="F26" t="s">
        <v>486</v>
      </c>
      <c r="G26" t="s">
        <v>25</v>
      </c>
      <c r="H26">
        <f>RANK(K26,K$23:K$43,1)</f>
        <v>4</v>
      </c>
      <c r="I26" s="4">
        <v>2641140</v>
      </c>
      <c r="J26" s="4">
        <v>2318780</v>
      </c>
      <c r="K26" s="4">
        <f>+J26+I26</f>
        <v>4959920</v>
      </c>
      <c r="L26" s="4"/>
      <c r="M26" s="22"/>
      <c r="N26" s="22"/>
      <c r="O26" s="22"/>
    </row>
    <row r="27" spans="3:15" x14ac:dyDescent="0.25">
      <c r="C27" s="33" t="str">
        <f t="shared" si="0"/>
        <v/>
      </c>
      <c r="D27" s="11"/>
      <c r="E27" s="33"/>
      <c r="I27" s="4"/>
      <c r="J27" s="4"/>
      <c r="K27" s="4"/>
      <c r="L27" s="4"/>
      <c r="M27" s="22"/>
      <c r="N27" s="22"/>
      <c r="O27" s="22"/>
    </row>
    <row r="28" spans="3:15" x14ac:dyDescent="0.25">
      <c r="C28" s="33" t="str">
        <f t="shared" si="0"/>
        <v/>
      </c>
      <c r="D28" s="11"/>
      <c r="E28" s="33"/>
      <c r="I28" s="4"/>
      <c r="J28" s="4"/>
      <c r="K28" s="4"/>
      <c r="L28" s="4"/>
      <c r="M28" s="22"/>
      <c r="N28" s="22"/>
      <c r="O28" s="22"/>
    </row>
    <row r="29" spans="3:15" x14ac:dyDescent="0.25">
      <c r="C29" s="33" t="str">
        <f t="shared" si="0"/>
        <v/>
      </c>
      <c r="D29" s="11"/>
      <c r="E29" s="33"/>
      <c r="I29" s="4"/>
      <c r="J29" s="4"/>
      <c r="K29" s="4"/>
      <c r="L29" s="4"/>
      <c r="M29" s="22"/>
      <c r="N29" s="22"/>
      <c r="O29" s="22"/>
    </row>
    <row r="30" spans="3:15" x14ac:dyDescent="0.25">
      <c r="C30" s="33" t="str">
        <f t="shared" si="0"/>
        <v/>
      </c>
      <c r="D30" s="11"/>
      <c r="E30" s="33"/>
      <c r="I30" s="4"/>
      <c r="J30" s="4"/>
      <c r="K30" s="4"/>
      <c r="L30" s="4"/>
      <c r="M30" s="22"/>
      <c r="N30" s="22"/>
      <c r="O30" s="22"/>
    </row>
    <row r="31" spans="3:15" x14ac:dyDescent="0.25">
      <c r="C31" s="33" t="str">
        <f t="shared" si="0"/>
        <v/>
      </c>
      <c r="D31" s="11"/>
      <c r="E31" s="33"/>
      <c r="I31" s="4"/>
      <c r="J31" s="4"/>
      <c r="K31" s="4"/>
      <c r="L31" s="4"/>
      <c r="M31" s="22"/>
      <c r="N31" s="22"/>
      <c r="O31" s="22"/>
    </row>
    <row r="32" spans="3:15" x14ac:dyDescent="0.25">
      <c r="C32" s="33" t="str">
        <f t="shared" si="0"/>
        <v/>
      </c>
      <c r="D32" s="11"/>
      <c r="E32" s="33"/>
      <c r="I32" s="4"/>
      <c r="J32" s="4"/>
      <c r="K32" s="4"/>
      <c r="L32" s="4"/>
      <c r="M32" s="22"/>
      <c r="N32" s="22"/>
      <c r="O32" s="22"/>
    </row>
    <row r="33" spans="3:15" x14ac:dyDescent="0.25">
      <c r="C33" s="33" t="str">
        <f t="shared" si="0"/>
        <v/>
      </c>
      <c r="D33" s="11"/>
      <c r="E33" s="33"/>
      <c r="I33" s="4"/>
      <c r="J33" s="4"/>
      <c r="K33" s="4"/>
      <c r="M33" s="21"/>
      <c r="N33" s="21"/>
      <c r="O33" s="21"/>
    </row>
    <row r="34" spans="3:15" x14ac:dyDescent="0.25">
      <c r="C34" s="33" t="str">
        <f t="shared" si="0"/>
        <v/>
      </c>
      <c r="D34" s="11"/>
      <c r="E34" s="33"/>
      <c r="I34" s="4"/>
      <c r="J34" s="4"/>
      <c r="K34" s="4"/>
      <c r="M34" s="21"/>
      <c r="N34" s="21"/>
      <c r="O34" s="21"/>
    </row>
    <row r="35" spans="3:15" x14ac:dyDescent="0.25">
      <c r="C35" s="33" t="str">
        <f t="shared" si="0"/>
        <v/>
      </c>
      <c r="D35" s="11"/>
      <c r="E35" s="33"/>
      <c r="I35" s="4"/>
      <c r="J35" s="4"/>
      <c r="K35" s="4"/>
      <c r="M35" s="21"/>
      <c r="N35" s="21"/>
      <c r="O35" s="21"/>
    </row>
    <row r="36" spans="3:15" x14ac:dyDescent="0.25">
      <c r="C36" s="33" t="str">
        <f t="shared" si="0"/>
        <v/>
      </c>
      <c r="D36" s="11"/>
      <c r="E36" s="33"/>
      <c r="I36" s="4"/>
      <c r="J36" s="4"/>
      <c r="K36" s="4"/>
      <c r="M36" s="21"/>
      <c r="N36" s="21"/>
      <c r="O36" s="21"/>
    </row>
    <row r="37" spans="3:15" x14ac:dyDescent="0.25">
      <c r="C37" s="33" t="str">
        <f t="shared" si="0"/>
        <v/>
      </c>
      <c r="D37" s="11"/>
      <c r="E37" s="33"/>
      <c r="I37" s="4"/>
      <c r="J37" s="4"/>
      <c r="K37" s="4"/>
      <c r="M37" s="21"/>
      <c r="N37" s="21"/>
      <c r="O37" s="21"/>
    </row>
    <row r="38" spans="3:15" x14ac:dyDescent="0.25">
      <c r="C38" s="33" t="str">
        <f t="shared" si="0"/>
        <v/>
      </c>
      <c r="D38" s="11"/>
      <c r="E38" s="33"/>
      <c r="I38" s="4"/>
      <c r="J38" s="4"/>
      <c r="K38" s="4"/>
      <c r="M38" s="21"/>
      <c r="N38" s="21"/>
      <c r="O38" s="21"/>
    </row>
    <row r="39" spans="3:15" x14ac:dyDescent="0.25">
      <c r="C39" s="33" t="str">
        <f t="shared" si="0"/>
        <v/>
      </c>
      <c r="D39" s="11"/>
      <c r="E39" s="33" t="str">
        <f>IF(H39=1,"t","")</f>
        <v/>
      </c>
      <c r="K39" s="4"/>
      <c r="M39" s="21"/>
      <c r="N39" s="21"/>
      <c r="O39" s="21"/>
    </row>
    <row r="40" spans="3:15" x14ac:dyDescent="0.25">
      <c r="C40" s="33" t="str">
        <f t="shared" si="0"/>
        <v/>
      </c>
      <c r="D40" s="11"/>
      <c r="E40" s="33" t="str">
        <f>IF(H40=1,"t","")</f>
        <v/>
      </c>
      <c r="K40" s="4"/>
      <c r="M40" s="21"/>
      <c r="N40" s="21"/>
      <c r="O40" s="21"/>
    </row>
    <row r="41" spans="3:15" x14ac:dyDescent="0.25">
      <c r="C41" s="33" t="str">
        <f t="shared" si="0"/>
        <v/>
      </c>
      <c r="D41" s="11"/>
      <c r="E41" s="33" t="str">
        <f>IF(H41=1,"t","")</f>
        <v/>
      </c>
      <c r="K41" s="4"/>
      <c r="M41" s="21"/>
      <c r="N41" s="21"/>
      <c r="O41" s="21"/>
    </row>
    <row r="42" spans="3:15" x14ac:dyDescent="0.25">
      <c r="C42" s="33" t="str">
        <f t="shared" si="0"/>
        <v/>
      </c>
      <c r="D42" s="11"/>
      <c r="E42" s="33" t="str">
        <f>IF(H42=1,"t","")</f>
        <v/>
      </c>
      <c r="K42" s="4"/>
      <c r="M42" s="21"/>
      <c r="N42" s="21"/>
      <c r="O42" s="21"/>
    </row>
    <row r="43" spans="3:15" x14ac:dyDescent="0.25">
      <c r="C43" s="33" t="str">
        <f t="shared" si="0"/>
        <v/>
      </c>
      <c r="D43" s="11"/>
      <c r="E43" s="33" t="str">
        <f>IF(H43=1,"t","")</f>
        <v/>
      </c>
      <c r="K43" s="4"/>
      <c r="M43" s="21"/>
      <c r="N43" s="21"/>
      <c r="O43" s="21"/>
    </row>
    <row r="44" spans="3:15" ht="6" customHeight="1" x14ac:dyDescent="0.25">
      <c r="C44" s="9"/>
      <c r="D44" s="9"/>
      <c r="E44" s="9"/>
      <c r="F44" s="9"/>
      <c r="G44" s="9"/>
      <c r="H44" s="9"/>
      <c r="I44" s="9"/>
      <c r="J44" s="9"/>
      <c r="K44" s="9"/>
      <c r="L44" s="9"/>
      <c r="M44" s="21"/>
      <c r="N44" s="21"/>
      <c r="O44" s="21"/>
    </row>
    <row r="45" spans="3:15" ht="6" customHeight="1" x14ac:dyDescent="0.25">
      <c r="M45" s="21"/>
      <c r="N45" s="21"/>
      <c r="O45" s="21"/>
    </row>
    <row r="46" spans="3:15" x14ac:dyDescent="0.25">
      <c r="C46" s="15" t="s">
        <v>79</v>
      </c>
      <c r="M46" s="21"/>
      <c r="N46" s="21"/>
      <c r="O46" s="21"/>
    </row>
    <row r="47" spans="3:15" x14ac:dyDescent="0.25">
      <c r="C47" s="15" t="s">
        <v>78</v>
      </c>
    </row>
    <row r="49" spans="3:10" x14ac:dyDescent="0.25">
      <c r="C49" s="31" t="s">
        <v>948</v>
      </c>
      <c r="D49" s="31"/>
      <c r="H49" t="s">
        <v>949</v>
      </c>
      <c r="I49" t="s">
        <v>784</v>
      </c>
      <c r="J49" s="6">
        <v>42802</v>
      </c>
    </row>
    <row r="50" spans="3:10" ht="6" customHeight="1" x14ac:dyDescent="0.25"/>
    <row r="51" spans="3:10" x14ac:dyDescent="0.25">
      <c r="D51" s="93" t="s">
        <v>950</v>
      </c>
    </row>
    <row r="52" spans="3:10" x14ac:dyDescent="0.25">
      <c r="D52" s="93" t="s">
        <v>951</v>
      </c>
    </row>
    <row r="53" spans="3:10" x14ac:dyDescent="0.25">
      <c r="D53" s="93" t="s">
        <v>952</v>
      </c>
    </row>
    <row r="54" spans="3:10" x14ac:dyDescent="0.25">
      <c r="D54" s="93" t="s">
        <v>953</v>
      </c>
    </row>
    <row r="55" spans="3:10" x14ac:dyDescent="0.25">
      <c r="D55" s="93" t="s">
        <v>954</v>
      </c>
    </row>
    <row r="56" spans="3:10" x14ac:dyDescent="0.25">
      <c r="D56" s="93" t="s">
        <v>955</v>
      </c>
    </row>
  </sheetData>
  <mergeCells count="1">
    <mergeCell ref="G13:H13"/>
  </mergeCells>
  <conditionalFormatting sqref="I9">
    <cfRule type="containsText" dxfId="2013" priority="32" operator="containsText" text="FAIL">
      <formula>NOT(ISERROR(SEARCH("FAIL",I9)))</formula>
    </cfRule>
  </conditionalFormatting>
  <conditionalFormatting sqref="I9">
    <cfRule type="containsText" dxfId="2012" priority="31" operator="containsText" text="GOOD">
      <formula>NOT(ISERROR(SEARCH("GOOD",I9)))</formula>
    </cfRule>
  </conditionalFormatting>
  <conditionalFormatting sqref="I9">
    <cfRule type="containsText" dxfId="2011" priority="30" operator="containsText" text="FAIL">
      <formula>NOT(ISERROR(SEARCH("FAIL",I9)))</formula>
    </cfRule>
  </conditionalFormatting>
  <conditionalFormatting sqref="I9">
    <cfRule type="containsText" dxfId="2010" priority="29" operator="containsText" text="GOOD">
      <formula>NOT(ISERROR(SEARCH("GOOD",I9)))</formula>
    </cfRule>
  </conditionalFormatting>
  <conditionalFormatting sqref="I9">
    <cfRule type="containsText" dxfId="2009" priority="28" operator="containsText" text="FAIL">
      <formula>NOT(ISERROR(SEARCH("FAIL",I9)))</formula>
    </cfRule>
  </conditionalFormatting>
  <conditionalFormatting sqref="I9">
    <cfRule type="containsText" dxfId="2008" priority="27" operator="containsText" text="GOOD">
      <formula>NOT(ISERROR(SEARCH("GOOD",I9)))</formula>
    </cfRule>
  </conditionalFormatting>
  <conditionalFormatting sqref="F11">
    <cfRule type="containsText" dxfId="2007" priority="26" operator="containsText" text="FAIL">
      <formula>NOT(ISERROR(SEARCH("FAIL",F11)))</formula>
    </cfRule>
  </conditionalFormatting>
  <conditionalFormatting sqref="F11">
    <cfRule type="containsText" dxfId="2006" priority="25" operator="containsText" text="GOOD">
      <formula>NOT(ISERROR(SEARCH("GOOD",F11)))</formula>
    </cfRule>
  </conditionalFormatting>
  <conditionalFormatting sqref="I9">
    <cfRule type="containsText" dxfId="2005" priority="24" operator="containsText" text="FAIL">
      <formula>NOT(ISERROR(SEARCH("FAIL",I9)))</formula>
    </cfRule>
  </conditionalFormatting>
  <conditionalFormatting sqref="I9">
    <cfRule type="containsText" dxfId="2004" priority="23" operator="containsText" text="GOOD">
      <formula>NOT(ISERROR(SEARCH("GOOD",I9)))</formula>
    </cfRule>
  </conditionalFormatting>
  <conditionalFormatting sqref="F11">
    <cfRule type="containsText" dxfId="2003" priority="22" operator="containsText" text="FAIL">
      <formula>NOT(ISERROR(SEARCH("FAIL",F11)))</formula>
    </cfRule>
  </conditionalFormatting>
  <conditionalFormatting sqref="F11">
    <cfRule type="containsText" dxfId="2002" priority="21" operator="containsText" text="GOOD">
      <formula>NOT(ISERROR(SEARCH("GOOD",F11)))</formula>
    </cfRule>
  </conditionalFormatting>
  <conditionalFormatting sqref="D25">
    <cfRule type="expression" dxfId="2001" priority="20" stopIfTrue="1">
      <formula>IF($H$25=1,0)</formula>
    </cfRule>
  </conditionalFormatting>
  <conditionalFormatting sqref="D23 D39:D43 D25:D33">
    <cfRule type="expression" dxfId="2000" priority="19">
      <formula>H23=1</formula>
    </cfRule>
  </conditionalFormatting>
  <conditionalFormatting sqref="C23 C39:C43 C25:C33">
    <cfRule type="expression" dxfId="1999" priority="18">
      <formula>H23=1</formula>
    </cfRule>
  </conditionalFormatting>
  <conditionalFormatting sqref="E23 E39:E43 E25:E33">
    <cfRule type="expression" dxfId="1998" priority="17">
      <formula>H23=1</formula>
    </cfRule>
  </conditionalFormatting>
  <conditionalFormatting sqref="E23 E39:E43 E25:E33">
    <cfRule type="expression" dxfId="1997" priority="16">
      <formula>H23=1</formula>
    </cfRule>
  </conditionalFormatting>
  <conditionalFormatting sqref="F11">
    <cfRule type="containsText" dxfId="1996" priority="15" operator="containsText" text="FAIL">
      <formula>NOT(ISERROR(SEARCH("FAIL",F11)))</formula>
    </cfRule>
  </conditionalFormatting>
  <conditionalFormatting sqref="F11">
    <cfRule type="containsText" dxfId="1995" priority="14" operator="containsText" text="GOOD">
      <formula>NOT(ISERROR(SEARCH("GOOD",F11)))</formula>
    </cfRule>
  </conditionalFormatting>
  <conditionalFormatting sqref="D34:D37">
    <cfRule type="expression" dxfId="1994" priority="13">
      <formula>H34=1</formula>
    </cfRule>
  </conditionalFormatting>
  <conditionalFormatting sqref="C34:C37">
    <cfRule type="expression" dxfId="1993" priority="12">
      <formula>H34=1</formula>
    </cfRule>
  </conditionalFormatting>
  <conditionalFormatting sqref="E34:E37">
    <cfRule type="expression" dxfId="1992" priority="11">
      <formula>H34=1</formula>
    </cfRule>
  </conditionalFormatting>
  <conditionalFormatting sqref="E34:E37">
    <cfRule type="expression" dxfId="1991" priority="10">
      <formula>H34=1</formula>
    </cfRule>
  </conditionalFormatting>
  <conditionalFormatting sqref="D38">
    <cfRule type="expression" dxfId="1990" priority="9">
      <formula>H38=1</formula>
    </cfRule>
  </conditionalFormatting>
  <conditionalFormatting sqref="C38">
    <cfRule type="expression" dxfId="1989" priority="8">
      <formula>H38=1</formula>
    </cfRule>
  </conditionalFormatting>
  <conditionalFormatting sqref="E38">
    <cfRule type="expression" dxfId="1988" priority="7">
      <formula>H38=1</formula>
    </cfRule>
  </conditionalFormatting>
  <conditionalFormatting sqref="E38">
    <cfRule type="expression" dxfId="1987" priority="6">
      <formula>H38=1</formula>
    </cfRule>
  </conditionalFormatting>
  <conditionalFormatting sqref="E24">
    <cfRule type="expression" dxfId="1986" priority="1">
      <formula>H24=1</formula>
    </cfRule>
  </conditionalFormatting>
  <conditionalFormatting sqref="D24">
    <cfRule type="expression" dxfId="1985" priority="5" stopIfTrue="1">
      <formula>IF($H$25=1,0)</formula>
    </cfRule>
  </conditionalFormatting>
  <conditionalFormatting sqref="D24">
    <cfRule type="expression" dxfId="1984" priority="4">
      <formula>H24=1</formula>
    </cfRule>
  </conditionalFormatting>
  <conditionalFormatting sqref="C24">
    <cfRule type="expression" dxfId="1983" priority="3">
      <formula>H24=1</formula>
    </cfRule>
  </conditionalFormatting>
  <conditionalFormatting sqref="E24">
    <cfRule type="expression" dxfId="1982" priority="2">
      <formula>H24=1</formula>
    </cfRule>
  </conditionalFormatting>
  <pageMargins left="0.7" right="0.7" top="0.75" bottom="0.75" header="0.3" footer="0.3"/>
  <pageSetup scale="68"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400-000000000000}">
  <sheetPr codeName="Sheet134"/>
  <dimension ref="A2:O47"/>
  <sheetViews>
    <sheetView zoomScaleNormal="100" workbookViewId="0">
      <selection activeCell="G7" sqref="G7"/>
    </sheetView>
  </sheetViews>
  <sheetFormatPr defaultRowHeight="15" x14ac:dyDescent="0.25"/>
  <cols>
    <col min="1" max="2" width="4.42578125" customWidth="1"/>
    <col min="3" max="3" width="2.7109375" customWidth="1"/>
    <col min="4" max="4" width="24.7109375" customWidth="1"/>
    <col min="5" max="5" width="2.7109375" customWidth="1"/>
    <col min="6" max="6" width="15.7109375" customWidth="1"/>
    <col min="7" max="7" width="8.5703125" customWidth="1"/>
    <col min="8" max="8" width="5.85546875" customWidth="1"/>
    <col min="9" max="15" width="15.7109375" customWidth="1"/>
  </cols>
  <sheetData>
    <row r="2" spans="1:14" x14ac:dyDescent="0.25">
      <c r="C2" s="15" t="s">
        <v>32</v>
      </c>
      <c r="E2" s="15"/>
      <c r="F2" s="15"/>
      <c r="G2" s="15" t="s">
        <v>33</v>
      </c>
      <c r="H2" s="15"/>
      <c r="I2" s="15"/>
      <c r="J2" s="15"/>
      <c r="K2" s="15"/>
    </row>
    <row r="3" spans="1:14" ht="18.75" x14ac:dyDescent="0.3">
      <c r="C3" s="3" t="s">
        <v>26</v>
      </c>
      <c r="J3" s="8" t="s">
        <v>48</v>
      </c>
    </row>
    <row r="4" spans="1:14" x14ac:dyDescent="0.25">
      <c r="C4" s="1"/>
      <c r="D4" s="2" t="s">
        <v>0</v>
      </c>
      <c r="E4" s="1"/>
      <c r="F4" t="s">
        <v>188</v>
      </c>
      <c r="I4" s="2" t="s">
        <v>4</v>
      </c>
    </row>
    <row r="5" spans="1:14" x14ac:dyDescent="0.25">
      <c r="D5" s="2" t="s">
        <v>1</v>
      </c>
      <c r="F5" t="s">
        <v>189</v>
      </c>
    </row>
    <row r="6" spans="1:14" x14ac:dyDescent="0.25">
      <c r="D6" s="2" t="s">
        <v>2</v>
      </c>
      <c r="F6" s="6">
        <v>42310</v>
      </c>
      <c r="H6" s="11"/>
    </row>
    <row r="7" spans="1:14" x14ac:dyDescent="0.25">
      <c r="D7" s="2" t="s">
        <v>3</v>
      </c>
      <c r="F7" s="5">
        <f>+(K7*L7)+K7+J7+I7</f>
        <v>7055100</v>
      </c>
      <c r="G7" s="2" t="s">
        <v>190</v>
      </c>
      <c r="H7" s="11"/>
      <c r="I7" s="19">
        <v>5041000</v>
      </c>
      <c r="J7" s="19">
        <v>0</v>
      </c>
      <c r="K7" s="19">
        <v>1831000</v>
      </c>
      <c r="L7" s="20">
        <v>0.1</v>
      </c>
    </row>
    <row r="8" spans="1:14" x14ac:dyDescent="0.25">
      <c r="D8" s="2" t="s">
        <v>18</v>
      </c>
      <c r="F8" s="5">
        <f>MIN(L23:L43)</f>
        <v>5774440</v>
      </c>
      <c r="H8" s="11"/>
      <c r="I8" s="18" t="s">
        <v>43</v>
      </c>
      <c r="J8" s="18" t="s">
        <v>44</v>
      </c>
      <c r="K8" s="18" t="s">
        <v>49</v>
      </c>
      <c r="L8" s="18" t="s">
        <v>50</v>
      </c>
    </row>
    <row r="9" spans="1:14" x14ac:dyDescent="0.25">
      <c r="D9" s="2" t="s">
        <v>19</v>
      </c>
      <c r="F9" s="4">
        <f>+F8-F7</f>
        <v>-1280660</v>
      </c>
      <c r="G9" s="16">
        <f>+F9/F7</f>
        <v>-0.18152258649771089</v>
      </c>
      <c r="H9" s="12" t="s">
        <v>20</v>
      </c>
      <c r="I9" s="11" t="str">
        <f>(IF(G9&lt;-0.1,"FAIL",IF(G9&gt;0.05,"FAIL","GOOD")))</f>
        <v>FAIL</v>
      </c>
      <c r="J9" s="14" t="s">
        <v>72</v>
      </c>
    </row>
    <row r="10" spans="1:14" x14ac:dyDescent="0.25">
      <c r="D10" s="2" t="s">
        <v>68</v>
      </c>
      <c r="F10" s="4">
        <f>+F7-F12</f>
        <v>689553.33333333302</v>
      </c>
      <c r="H10" s="11"/>
      <c r="K10" s="31"/>
      <c r="N10" t="e">
        <f>LOOKUP(1,D23:D43)</f>
        <v>#N/A</v>
      </c>
    </row>
    <row r="11" spans="1:14" x14ac:dyDescent="0.25">
      <c r="A11" s="30"/>
      <c r="D11" s="2" t="s">
        <v>71</v>
      </c>
      <c r="F11" s="11" t="str">
        <f>(IF(F7&lt;J12,"FAIL",IF(F7&gt;J13,"FAIL","GOOD")))</f>
        <v>FAIL</v>
      </c>
      <c r="H11" s="11"/>
      <c r="L11" s="31"/>
      <c r="N11" t="e">
        <f>MATCH(1,D23:H43,0)</f>
        <v>#N/A</v>
      </c>
    </row>
    <row r="12" spans="1:14" x14ac:dyDescent="0.25">
      <c r="D12" s="2" t="s">
        <v>28</v>
      </c>
      <c r="F12" s="4">
        <f>SUM(L23:L43)/H12</f>
        <v>6365546.666666667</v>
      </c>
      <c r="G12" s="14"/>
      <c r="H12" s="11">
        <f>COUNT(L23:L43)</f>
        <v>3</v>
      </c>
      <c r="I12" s="1" t="s">
        <v>31</v>
      </c>
      <c r="J12" s="4">
        <f>+F8*0.9</f>
        <v>5196996</v>
      </c>
      <c r="K12" s="1" t="s">
        <v>69</v>
      </c>
      <c r="N12" t="str">
        <f>INDEX(D23:D43,MATCH(1,H23:H43,0))</f>
        <v>Tilcon New York, Inc.</v>
      </c>
    </row>
    <row r="13" spans="1:14" x14ac:dyDescent="0.25">
      <c r="D13" s="2" t="s">
        <v>29</v>
      </c>
      <c r="F13" s="4">
        <f>MAX(L23:L43)-MIN(L23:L43)</f>
        <v>1159810</v>
      </c>
      <c r="G13" s="399">
        <f>MEDIAN(L23:L43)</f>
        <v>6387950</v>
      </c>
      <c r="H13" s="400"/>
      <c r="I13" s="1" t="s">
        <v>30</v>
      </c>
      <c r="J13" s="4">
        <f>+F12*1.1</f>
        <v>7002101.333333334</v>
      </c>
      <c r="K13" s="1" t="s">
        <v>70</v>
      </c>
    </row>
    <row r="14" spans="1:14" x14ac:dyDescent="0.25">
      <c r="H14" s="11"/>
    </row>
    <row r="15" spans="1:14" x14ac:dyDescent="0.25">
      <c r="D15" s="2" t="s">
        <v>8</v>
      </c>
      <c r="F15" s="4"/>
      <c r="G15" s="1" t="s">
        <v>9</v>
      </c>
      <c r="H15" s="11"/>
      <c r="I15" t="s">
        <v>15</v>
      </c>
      <c r="J15" s="7" t="e">
        <f>+F16/F15</f>
        <v>#DIV/0!</v>
      </c>
    </row>
    <row r="16" spans="1:14" x14ac:dyDescent="0.25">
      <c r="F16" s="4"/>
      <c r="G16" s="1" t="s">
        <v>10</v>
      </c>
      <c r="H16" s="11"/>
      <c r="I16" t="s">
        <v>14</v>
      </c>
      <c r="J16" s="7" t="e">
        <f>+F17/F16</f>
        <v>#DIV/0!</v>
      </c>
    </row>
    <row r="17" spans="3:15" x14ac:dyDescent="0.25">
      <c r="F17" s="4"/>
      <c r="G17" s="1" t="s">
        <v>11</v>
      </c>
      <c r="H17" s="11"/>
      <c r="I17" t="s">
        <v>13</v>
      </c>
      <c r="J17" s="7" t="e">
        <f>+F18/F17</f>
        <v>#DIV/0!</v>
      </c>
    </row>
    <row r="18" spans="3:15" x14ac:dyDescent="0.25">
      <c r="F18" s="4"/>
      <c r="G18" s="1" t="s">
        <v>12</v>
      </c>
      <c r="H18" s="11"/>
      <c r="I18" t="s">
        <v>16</v>
      </c>
      <c r="J18" s="7" t="e">
        <f>+F8/F18</f>
        <v>#DIV/0!</v>
      </c>
    </row>
    <row r="19" spans="3:15" x14ac:dyDescent="0.25">
      <c r="F19" s="2" t="s">
        <v>51</v>
      </c>
      <c r="G19">
        <v>0</v>
      </c>
      <c r="H19" s="11" t="s">
        <v>52</v>
      </c>
      <c r="I19" t="s">
        <v>41</v>
      </c>
      <c r="J19" s="7" t="e">
        <f>+F8/F15</f>
        <v>#DIV/0!</v>
      </c>
    </row>
    <row r="20" spans="3:15" x14ac:dyDescent="0.25">
      <c r="H20" s="11"/>
    </row>
    <row r="21" spans="3:15" x14ac:dyDescent="0.25">
      <c r="C21" s="9"/>
      <c r="D21" s="13" t="s">
        <v>21</v>
      </c>
      <c r="E21" s="9"/>
      <c r="F21" s="9" t="s">
        <v>22</v>
      </c>
      <c r="G21" s="9" t="s">
        <v>23</v>
      </c>
      <c r="H21" s="13" t="s">
        <v>27</v>
      </c>
      <c r="I21" s="10" t="s">
        <v>38</v>
      </c>
      <c r="J21" s="10" t="s">
        <v>37</v>
      </c>
      <c r="K21" s="17" t="s">
        <v>42</v>
      </c>
      <c r="L21" s="10" t="s">
        <v>39</v>
      </c>
      <c r="M21" s="21"/>
      <c r="N21" s="21"/>
      <c r="O21" s="21"/>
    </row>
    <row r="22" spans="3:15" ht="6" customHeight="1" x14ac:dyDescent="0.25">
      <c r="M22" s="21"/>
      <c r="N22" s="21"/>
      <c r="O22" s="21"/>
    </row>
    <row r="23" spans="3:15" x14ac:dyDescent="0.25">
      <c r="C23" s="33" t="str">
        <f>IF(H23=1,"u","")</f>
        <v>u</v>
      </c>
      <c r="D23" s="23" t="s">
        <v>191</v>
      </c>
      <c r="E23" s="33"/>
      <c r="F23" t="s">
        <v>192</v>
      </c>
      <c r="G23" t="s">
        <v>25</v>
      </c>
      <c r="H23">
        <f>RANK(L23,L$23:L$43,1)</f>
        <v>1</v>
      </c>
      <c r="I23" s="4">
        <v>3851890</v>
      </c>
      <c r="J23" s="4">
        <v>0</v>
      </c>
      <c r="K23" s="7">
        <v>0.05</v>
      </c>
      <c r="L23" s="4">
        <f>+I23+J23+(K23*K$7)+$K$7</f>
        <v>5774440</v>
      </c>
      <c r="M23" s="22"/>
      <c r="N23" s="22"/>
      <c r="O23" s="22"/>
    </row>
    <row r="24" spans="3:15" x14ac:dyDescent="0.25">
      <c r="C24" s="33" t="str">
        <f>IF(H24=1,"u","")</f>
        <v/>
      </c>
      <c r="D24" s="23" t="s">
        <v>138</v>
      </c>
      <c r="E24" s="33"/>
      <c r="F24" t="s">
        <v>193</v>
      </c>
      <c r="G24" t="s">
        <v>25</v>
      </c>
      <c r="H24">
        <f>RANK(L24,L$23:L$43,1)</f>
        <v>2</v>
      </c>
      <c r="I24" s="4">
        <v>4465400</v>
      </c>
      <c r="J24" s="4">
        <v>0</v>
      </c>
      <c r="K24" s="7">
        <v>0.05</v>
      </c>
      <c r="L24" s="4">
        <f>+I24+J24+(K24*K$7)+$K$7</f>
        <v>6387950</v>
      </c>
      <c r="M24" s="22"/>
      <c r="N24" s="22"/>
      <c r="O24" s="22"/>
    </row>
    <row r="25" spans="3:15" x14ac:dyDescent="0.25">
      <c r="C25" s="33" t="str">
        <f>IF(H25=1,"u","")</f>
        <v/>
      </c>
      <c r="D25" s="23" t="s">
        <v>194</v>
      </c>
      <c r="E25" s="33"/>
      <c r="F25" t="s">
        <v>195</v>
      </c>
      <c r="G25" t="s">
        <v>93</v>
      </c>
      <c r="H25">
        <f>RANK(L25,L$23:L$43,1)</f>
        <v>3</v>
      </c>
      <c r="I25" s="4">
        <v>5011700</v>
      </c>
      <c r="J25" s="4">
        <v>0</v>
      </c>
      <c r="K25" s="7">
        <v>0.05</v>
      </c>
      <c r="L25" s="4">
        <f>+I25+J25+(K25*K$7)+$K$7</f>
        <v>6934250</v>
      </c>
      <c r="M25" s="22"/>
      <c r="N25" s="22"/>
      <c r="O25" s="22"/>
    </row>
    <row r="26" spans="3:15" x14ac:dyDescent="0.25">
      <c r="C26" s="33"/>
      <c r="D26" s="23"/>
      <c r="E26" s="33"/>
      <c r="I26" s="4"/>
      <c r="J26" s="4"/>
      <c r="K26" s="7"/>
      <c r="L26" s="4"/>
      <c r="M26" s="22"/>
      <c r="N26" s="22"/>
      <c r="O26" s="22"/>
    </row>
    <row r="27" spans="3:15" x14ac:dyDescent="0.25">
      <c r="C27" s="33"/>
      <c r="D27" s="23"/>
      <c r="E27" s="33"/>
      <c r="I27" s="4"/>
      <c r="J27" s="4"/>
      <c r="K27" s="7"/>
      <c r="L27" s="4"/>
      <c r="M27" s="22"/>
      <c r="N27" s="22"/>
      <c r="O27" s="22"/>
    </row>
    <row r="28" spans="3:15" x14ac:dyDescent="0.25">
      <c r="C28" s="33"/>
      <c r="D28" s="23"/>
      <c r="E28" s="33"/>
      <c r="I28" s="4"/>
      <c r="J28" s="4"/>
      <c r="K28" s="7"/>
      <c r="L28" s="4"/>
      <c r="M28" s="22"/>
      <c r="N28" s="22"/>
      <c r="O28" s="22"/>
    </row>
    <row r="29" spans="3:15" x14ac:dyDescent="0.25">
      <c r="C29" s="33"/>
      <c r="D29" s="23"/>
      <c r="E29" s="33"/>
      <c r="I29" s="4"/>
      <c r="J29" s="4"/>
      <c r="K29" s="7"/>
      <c r="L29" s="4"/>
      <c r="M29" s="22"/>
      <c r="N29" s="22"/>
      <c r="O29" s="22"/>
    </row>
    <row r="30" spans="3:15" x14ac:dyDescent="0.25">
      <c r="C30" s="33"/>
      <c r="D30" s="11"/>
      <c r="E30" s="33"/>
      <c r="I30" s="4"/>
      <c r="J30" s="4"/>
      <c r="K30" s="7"/>
      <c r="L30" s="4"/>
      <c r="M30" s="22"/>
      <c r="N30" s="22"/>
      <c r="O30" s="22"/>
    </row>
    <row r="31" spans="3:15" x14ac:dyDescent="0.25">
      <c r="C31" s="33" t="str">
        <f t="shared" ref="C31:C43" si="0">IF(H31=1,"u","")</f>
        <v/>
      </c>
      <c r="D31" s="11"/>
      <c r="E31" s="33" t="str">
        <f t="shared" ref="E31:E43" si="1">IF(H31=1,"t","")</f>
        <v/>
      </c>
      <c r="I31" s="4"/>
      <c r="J31" s="4"/>
      <c r="K31" s="7"/>
      <c r="L31" s="4"/>
      <c r="M31" s="22"/>
      <c r="N31" s="22"/>
      <c r="O31" s="22"/>
    </row>
    <row r="32" spans="3:15" x14ac:dyDescent="0.25">
      <c r="C32" s="33" t="str">
        <f t="shared" si="0"/>
        <v/>
      </c>
      <c r="D32" s="11"/>
      <c r="E32" s="33" t="str">
        <f t="shared" si="1"/>
        <v/>
      </c>
      <c r="I32" s="4"/>
      <c r="J32" s="4"/>
      <c r="K32" s="7"/>
      <c r="L32" s="4"/>
      <c r="M32" s="22"/>
      <c r="N32" s="22"/>
      <c r="O32" s="22"/>
    </row>
    <row r="33" spans="3:15" x14ac:dyDescent="0.25">
      <c r="C33" s="33" t="str">
        <f t="shared" si="0"/>
        <v/>
      </c>
      <c r="D33" s="11"/>
      <c r="E33" s="33" t="str">
        <f t="shared" si="1"/>
        <v/>
      </c>
      <c r="I33" s="4"/>
      <c r="J33" s="4"/>
      <c r="K33" s="7"/>
      <c r="L33" s="4"/>
      <c r="M33" s="21"/>
      <c r="N33" s="21"/>
      <c r="O33" s="21"/>
    </row>
    <row r="34" spans="3:15" x14ac:dyDescent="0.25">
      <c r="C34" s="33" t="str">
        <f t="shared" si="0"/>
        <v/>
      </c>
      <c r="D34" s="11"/>
      <c r="E34" s="33" t="str">
        <f t="shared" si="1"/>
        <v/>
      </c>
      <c r="K34" s="7"/>
      <c r="M34" s="21"/>
      <c r="N34" s="21"/>
      <c r="O34" s="21"/>
    </row>
    <row r="35" spans="3:15" x14ac:dyDescent="0.25">
      <c r="C35" s="33" t="str">
        <f t="shared" si="0"/>
        <v/>
      </c>
      <c r="D35" s="11"/>
      <c r="E35" s="33" t="str">
        <f t="shared" si="1"/>
        <v/>
      </c>
      <c r="K35" s="7"/>
      <c r="M35" s="21"/>
      <c r="N35" s="21"/>
      <c r="O35" s="21"/>
    </row>
    <row r="36" spans="3:15" x14ac:dyDescent="0.25">
      <c r="C36" s="33" t="str">
        <f t="shared" si="0"/>
        <v/>
      </c>
      <c r="D36" s="11"/>
      <c r="E36" s="33" t="str">
        <f t="shared" si="1"/>
        <v/>
      </c>
      <c r="K36" s="7"/>
      <c r="M36" s="21"/>
      <c r="N36" s="21"/>
      <c r="O36" s="21"/>
    </row>
    <row r="37" spans="3:15" x14ac:dyDescent="0.25">
      <c r="C37" s="33" t="str">
        <f t="shared" si="0"/>
        <v/>
      </c>
      <c r="D37" s="11"/>
      <c r="E37" s="33" t="str">
        <f t="shared" si="1"/>
        <v/>
      </c>
      <c r="K37" s="7"/>
      <c r="M37" s="21"/>
      <c r="N37" s="21"/>
      <c r="O37" s="21"/>
    </row>
    <row r="38" spans="3:15" x14ac:dyDescent="0.25">
      <c r="C38" s="33" t="str">
        <f t="shared" si="0"/>
        <v/>
      </c>
      <c r="D38" s="11"/>
      <c r="E38" s="33" t="str">
        <f t="shared" si="1"/>
        <v/>
      </c>
      <c r="K38" s="7"/>
      <c r="M38" s="21"/>
      <c r="N38" s="21"/>
      <c r="O38" s="21"/>
    </row>
    <row r="39" spans="3:15" x14ac:dyDescent="0.25">
      <c r="C39" s="33" t="str">
        <f t="shared" si="0"/>
        <v/>
      </c>
      <c r="D39" s="11"/>
      <c r="E39" s="33" t="str">
        <f t="shared" si="1"/>
        <v/>
      </c>
      <c r="K39" s="7"/>
      <c r="M39" s="21"/>
      <c r="N39" s="21"/>
      <c r="O39" s="21"/>
    </row>
    <row r="40" spans="3:15" x14ac:dyDescent="0.25">
      <c r="C40" s="33" t="str">
        <f t="shared" si="0"/>
        <v/>
      </c>
      <c r="D40" s="11"/>
      <c r="E40" s="33" t="str">
        <f t="shared" si="1"/>
        <v/>
      </c>
      <c r="K40" s="7"/>
      <c r="M40" s="21"/>
      <c r="N40" s="21"/>
      <c r="O40" s="21"/>
    </row>
    <row r="41" spans="3:15" x14ac:dyDescent="0.25">
      <c r="C41" s="33" t="str">
        <f t="shared" si="0"/>
        <v/>
      </c>
      <c r="D41" s="11"/>
      <c r="E41" s="33" t="str">
        <f t="shared" si="1"/>
        <v/>
      </c>
      <c r="K41" s="7"/>
      <c r="M41" s="21"/>
      <c r="N41" s="21"/>
      <c r="O41" s="21"/>
    </row>
    <row r="42" spans="3:15" x14ac:dyDescent="0.25">
      <c r="C42" s="33" t="str">
        <f t="shared" si="0"/>
        <v/>
      </c>
      <c r="D42" s="11"/>
      <c r="E42" s="33" t="str">
        <f t="shared" si="1"/>
        <v/>
      </c>
      <c r="K42" s="7"/>
      <c r="M42" s="21"/>
      <c r="N42" s="21"/>
      <c r="O42" s="21"/>
    </row>
    <row r="43" spans="3:15" x14ac:dyDescent="0.25">
      <c r="C43" s="33" t="str">
        <f t="shared" si="0"/>
        <v/>
      </c>
      <c r="D43" s="11"/>
      <c r="E43" s="33" t="str">
        <f t="shared" si="1"/>
        <v/>
      </c>
      <c r="K43" s="7"/>
      <c r="M43" s="21"/>
      <c r="N43" s="21"/>
      <c r="O43" s="21"/>
    </row>
    <row r="44" spans="3:15" ht="6" customHeight="1" x14ac:dyDescent="0.25">
      <c r="C44" s="9"/>
      <c r="D44" s="9"/>
      <c r="E44" s="9"/>
      <c r="F44" s="9"/>
      <c r="G44" s="9"/>
      <c r="H44" s="9"/>
      <c r="I44" s="9"/>
      <c r="J44" s="9"/>
      <c r="K44" s="9"/>
      <c r="L44" s="9"/>
      <c r="M44" s="21"/>
      <c r="N44" s="21"/>
      <c r="O44" s="21"/>
    </row>
    <row r="45" spans="3:15" ht="6" customHeight="1" x14ac:dyDescent="0.25">
      <c r="M45" s="21"/>
      <c r="N45" s="21"/>
      <c r="O45" s="21"/>
    </row>
    <row r="46" spans="3:15" x14ac:dyDescent="0.25">
      <c r="C46" s="15" t="s">
        <v>79</v>
      </c>
      <c r="M46" s="21"/>
      <c r="N46" s="21"/>
      <c r="O46" s="21"/>
    </row>
    <row r="47" spans="3:15" x14ac:dyDescent="0.25">
      <c r="C47" s="15" t="s">
        <v>78</v>
      </c>
      <c r="M47" s="21"/>
      <c r="N47" s="21"/>
      <c r="O47" s="21"/>
    </row>
  </sheetData>
  <mergeCells count="1">
    <mergeCell ref="G13:H13"/>
  </mergeCells>
  <conditionalFormatting sqref="I9 F11">
    <cfRule type="containsText" dxfId="489" priority="8" operator="containsText" text="FAIL">
      <formula>NOT(ISERROR(SEARCH("FAIL",F9)))</formula>
    </cfRule>
  </conditionalFormatting>
  <conditionalFormatting sqref="I9 F11">
    <cfRule type="containsText" dxfId="488" priority="7" operator="containsText" text="GOOD">
      <formula>NOT(ISERROR(SEARCH("GOOD",F9)))</formula>
    </cfRule>
  </conditionalFormatting>
  <conditionalFormatting sqref="I9">
    <cfRule type="containsText" dxfId="487" priority="6" operator="containsText" text="FAIL">
      <formula>NOT(ISERROR(SEARCH("FAIL",I9)))</formula>
    </cfRule>
  </conditionalFormatting>
  <conditionalFormatting sqref="I9">
    <cfRule type="containsText" dxfId="486" priority="5" operator="containsText" text="GOOD">
      <formula>NOT(ISERROR(SEARCH("GOOD",I9)))</formula>
    </cfRule>
  </conditionalFormatting>
  <conditionalFormatting sqref="D25">
    <cfRule type="expression" dxfId="485" priority="4" stopIfTrue="1">
      <formula>IF($H$25=1,0)</formula>
    </cfRule>
  </conditionalFormatting>
  <conditionalFormatting sqref="D23:D43">
    <cfRule type="expression" dxfId="484" priority="3">
      <formula>H23=1</formula>
    </cfRule>
  </conditionalFormatting>
  <conditionalFormatting sqref="C23:C43">
    <cfRule type="expression" dxfId="483" priority="2">
      <formula>H23=1</formula>
    </cfRule>
  </conditionalFormatting>
  <conditionalFormatting sqref="E23:E43">
    <cfRule type="expression" dxfId="482" priority="1">
      <formula>H23=1</formula>
    </cfRule>
  </conditionalFormatting>
  <pageMargins left="0.7" right="0.7" top="0.75" bottom="0.75" header="0.3" footer="0.3"/>
  <pageSetup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sheetPr codeName="Sheet66"/>
  <dimension ref="A2:O47"/>
  <sheetViews>
    <sheetView zoomScaleNormal="100" workbookViewId="0">
      <selection activeCell="K25" sqref="K25"/>
    </sheetView>
  </sheetViews>
  <sheetFormatPr defaultRowHeight="15" x14ac:dyDescent="0.25"/>
  <cols>
    <col min="1" max="2" width="4.42578125" customWidth="1"/>
    <col min="3" max="3" width="3" customWidth="1"/>
    <col min="4" max="4" width="24.85546875" customWidth="1"/>
    <col min="5" max="5" width="3" customWidth="1"/>
    <col min="6" max="6" width="15.7109375" customWidth="1"/>
    <col min="7" max="7" width="8.5703125" customWidth="1"/>
    <col min="8" max="8" width="5.85546875" customWidth="1"/>
    <col min="9" max="15" width="15.7109375" customWidth="1"/>
  </cols>
  <sheetData>
    <row r="2" spans="1:11" x14ac:dyDescent="0.25">
      <c r="C2" s="15" t="s">
        <v>32</v>
      </c>
      <c r="E2" s="15"/>
      <c r="F2" s="15"/>
      <c r="G2" s="15" t="s">
        <v>33</v>
      </c>
      <c r="H2" s="15"/>
      <c r="I2" s="15"/>
      <c r="J2" s="15"/>
      <c r="K2" s="15"/>
    </row>
    <row r="3" spans="1:11" ht="18.75" x14ac:dyDescent="0.3">
      <c r="C3" s="3" t="s">
        <v>26</v>
      </c>
      <c r="J3" s="8" t="s">
        <v>17</v>
      </c>
    </row>
    <row r="4" spans="1:11" x14ac:dyDescent="0.25">
      <c r="D4" s="2" t="s">
        <v>0</v>
      </c>
      <c r="E4" s="1"/>
      <c r="F4" t="s">
        <v>956</v>
      </c>
      <c r="I4" s="2" t="s">
        <v>4</v>
      </c>
      <c r="J4" t="s">
        <v>816</v>
      </c>
    </row>
    <row r="5" spans="1:11" x14ac:dyDescent="0.25">
      <c r="D5" s="2" t="s">
        <v>1</v>
      </c>
      <c r="F5" t="s">
        <v>957</v>
      </c>
    </row>
    <row r="6" spans="1:11" x14ac:dyDescent="0.25">
      <c r="D6" s="2" t="s">
        <v>2</v>
      </c>
      <c r="F6" s="6">
        <v>42810</v>
      </c>
      <c r="H6" s="11"/>
    </row>
    <row r="7" spans="1:11" x14ac:dyDescent="0.25">
      <c r="D7" s="2" t="s">
        <v>3</v>
      </c>
      <c r="F7" s="5">
        <v>1425000</v>
      </c>
      <c r="G7" s="2" t="s">
        <v>693</v>
      </c>
      <c r="H7" s="11"/>
    </row>
    <row r="8" spans="1:11" x14ac:dyDescent="0.25">
      <c r="D8" s="2" t="s">
        <v>18</v>
      </c>
      <c r="F8" s="5">
        <f>MIN(I23:I43)</f>
        <v>1087425</v>
      </c>
      <c r="H8" s="11"/>
    </row>
    <row r="9" spans="1:11" x14ac:dyDescent="0.25">
      <c r="D9" s="2" t="s">
        <v>67</v>
      </c>
      <c r="F9" s="4">
        <f>+F8-F7</f>
        <v>-337575</v>
      </c>
      <c r="G9" s="16">
        <f>+F9/F7</f>
        <v>-0.23689473684210527</v>
      </c>
      <c r="H9" s="12" t="s">
        <v>20</v>
      </c>
      <c r="I9" s="11" t="str">
        <f>(IF(G9&lt;-0.1,"FAIL",IF(G9&gt;0.05,"FAIL","GOOD")))</f>
        <v>FAIL</v>
      </c>
      <c r="J9" s="14" t="s">
        <v>72</v>
      </c>
    </row>
    <row r="10" spans="1:11" x14ac:dyDescent="0.25">
      <c r="D10" s="2" t="s">
        <v>68</v>
      </c>
      <c r="F10" s="4">
        <f>+F7-F12</f>
        <v>-660729.33333333326</v>
      </c>
      <c r="H10" s="11"/>
    </row>
    <row r="11" spans="1:11" x14ac:dyDescent="0.25">
      <c r="A11" s="52"/>
      <c r="D11" s="2" t="s">
        <v>71</v>
      </c>
      <c r="F11" s="11" t="str">
        <f>(IF(F7&lt;J12,"FAIL",IF(F7&gt;J13,"FAIL","GOOD")))</f>
        <v>GOOD</v>
      </c>
      <c r="H11" s="11"/>
    </row>
    <row r="12" spans="1:11" x14ac:dyDescent="0.25">
      <c r="D12" s="2" t="s">
        <v>28</v>
      </c>
      <c r="F12" s="4">
        <f>SUM(I23:I43)/H12</f>
        <v>2085729.3333333333</v>
      </c>
      <c r="G12" s="14"/>
      <c r="H12" s="11">
        <f>COUNT(I23:I43)</f>
        <v>6</v>
      </c>
      <c r="I12" s="1" t="s">
        <v>31</v>
      </c>
      <c r="J12" s="4">
        <f>+F8*0.9</f>
        <v>978682.5</v>
      </c>
      <c r="K12" s="1" t="s">
        <v>69</v>
      </c>
    </row>
    <row r="13" spans="1:11" x14ac:dyDescent="0.25">
      <c r="D13" s="2" t="s">
        <v>29</v>
      </c>
      <c r="F13" s="4">
        <f>MAX(I23:I43)-MIN(I23:I43)</f>
        <v>2224831</v>
      </c>
      <c r="G13" s="399">
        <f>MEDIAN(I23:I43)</f>
        <v>1783817.5</v>
      </c>
      <c r="H13" s="400"/>
      <c r="I13" s="1" t="s">
        <v>30</v>
      </c>
      <c r="J13" s="4">
        <f>+F12*1.1</f>
        <v>2294302.2666666666</v>
      </c>
      <c r="K13" s="1" t="s">
        <v>70</v>
      </c>
    </row>
    <row r="14" spans="1:11" x14ac:dyDescent="0.25">
      <c r="H14" s="11"/>
    </row>
    <row r="15" spans="1:11" x14ac:dyDescent="0.25">
      <c r="D15" s="2" t="s">
        <v>8</v>
      </c>
      <c r="F15" s="4"/>
      <c r="G15" s="1" t="s">
        <v>9</v>
      </c>
      <c r="H15" s="11"/>
      <c r="I15" t="s">
        <v>15</v>
      </c>
      <c r="J15" s="7" t="e">
        <f>+F16/F15</f>
        <v>#DIV/0!</v>
      </c>
    </row>
    <row r="16" spans="1:11" x14ac:dyDescent="0.25">
      <c r="F16" s="4"/>
      <c r="G16" s="1" t="s">
        <v>10</v>
      </c>
      <c r="H16" s="11"/>
      <c r="I16" t="s">
        <v>14</v>
      </c>
      <c r="J16" s="7" t="e">
        <f>+F17/F16</f>
        <v>#DIV/0!</v>
      </c>
    </row>
    <row r="17" spans="3:15" x14ac:dyDescent="0.25">
      <c r="F17" s="4"/>
      <c r="G17" s="1" t="s">
        <v>11</v>
      </c>
      <c r="H17" s="11"/>
      <c r="I17" t="s">
        <v>13</v>
      </c>
      <c r="J17" s="7" t="e">
        <f>+F18/F17</f>
        <v>#DIV/0!</v>
      </c>
      <c r="M17" s="21"/>
      <c r="N17" s="21"/>
      <c r="O17" s="21"/>
    </row>
    <row r="18" spans="3:15" x14ac:dyDescent="0.25">
      <c r="F18" s="4"/>
      <c r="G18" s="1" t="s">
        <v>12</v>
      </c>
      <c r="H18" s="11"/>
      <c r="I18" t="s">
        <v>16</v>
      </c>
      <c r="J18" s="7" t="e">
        <f>+F8/F18</f>
        <v>#DIV/0!</v>
      </c>
      <c r="M18" s="21"/>
      <c r="N18" s="21"/>
      <c r="O18" s="21"/>
    </row>
    <row r="19" spans="3:15" x14ac:dyDescent="0.25">
      <c r="F19" s="2" t="s">
        <v>51</v>
      </c>
      <c r="G19">
        <v>0</v>
      </c>
      <c r="H19" s="11" t="s">
        <v>52</v>
      </c>
      <c r="I19" t="s">
        <v>41</v>
      </c>
      <c r="J19" s="7" t="e">
        <f>+F8/F15</f>
        <v>#DIV/0!</v>
      </c>
      <c r="M19" s="21"/>
      <c r="N19" s="21"/>
      <c r="O19" s="21"/>
    </row>
    <row r="20" spans="3:15" x14ac:dyDescent="0.25">
      <c r="H20" s="11"/>
      <c r="M20" s="21"/>
      <c r="N20" s="21"/>
      <c r="O20" s="21"/>
    </row>
    <row r="21" spans="3:15" x14ac:dyDescent="0.25">
      <c r="C21" s="9"/>
      <c r="D21" s="13" t="s">
        <v>21</v>
      </c>
      <c r="E21" s="9"/>
      <c r="F21" s="9" t="s">
        <v>22</v>
      </c>
      <c r="G21" s="9" t="s">
        <v>23</v>
      </c>
      <c r="H21" s="13" t="s">
        <v>27</v>
      </c>
      <c r="I21" s="10" t="s">
        <v>24</v>
      </c>
      <c r="J21" s="9"/>
      <c r="K21" s="9"/>
      <c r="L21" s="9"/>
      <c r="M21" s="21"/>
      <c r="N21" s="21"/>
      <c r="O21" s="21"/>
    </row>
    <row r="22" spans="3:15" ht="6" customHeight="1" x14ac:dyDescent="0.25">
      <c r="M22" s="21"/>
      <c r="N22" s="21"/>
      <c r="O22" s="21"/>
    </row>
    <row r="23" spans="3:15" x14ac:dyDescent="0.25">
      <c r="C23" s="33" t="str">
        <f>IF(H23=1,"u","")</f>
        <v/>
      </c>
      <c r="D23" s="11" t="s">
        <v>676</v>
      </c>
      <c r="E23" s="33"/>
      <c r="F23" t="s">
        <v>85</v>
      </c>
      <c r="G23" t="s">
        <v>25</v>
      </c>
      <c r="H23">
        <f t="shared" ref="H23:H28" si="0">RANK(I23,I$23:I$43,1)</f>
        <v>3</v>
      </c>
      <c r="I23" s="4">
        <v>1687060</v>
      </c>
      <c r="J23" s="4"/>
      <c r="K23" s="4"/>
      <c r="L23" s="4"/>
      <c r="M23" s="22"/>
      <c r="N23" s="22"/>
      <c r="O23" s="22"/>
    </row>
    <row r="24" spans="3:15" x14ac:dyDescent="0.25">
      <c r="C24" s="33" t="str">
        <f>IF(H24=1,"u","")</f>
        <v/>
      </c>
      <c r="D24" s="11" t="s">
        <v>958</v>
      </c>
      <c r="E24" s="33"/>
      <c r="F24" t="s">
        <v>95</v>
      </c>
      <c r="G24" t="s">
        <v>93</v>
      </c>
      <c r="H24">
        <f t="shared" si="0"/>
        <v>6</v>
      </c>
      <c r="I24" s="4">
        <v>3312256</v>
      </c>
      <c r="J24" s="4"/>
      <c r="K24" s="4"/>
      <c r="L24" s="4"/>
      <c r="M24" s="22"/>
      <c r="N24" s="22"/>
      <c r="O24" s="22"/>
    </row>
    <row r="25" spans="3:15" x14ac:dyDescent="0.25">
      <c r="C25" s="33" t="str">
        <f>IF(H25=1,"u","")</f>
        <v>u</v>
      </c>
      <c r="D25" s="11" t="s">
        <v>347</v>
      </c>
      <c r="E25" s="33"/>
      <c r="F25" t="s">
        <v>147</v>
      </c>
      <c r="G25" t="s">
        <v>93</v>
      </c>
      <c r="H25">
        <f t="shared" si="0"/>
        <v>1</v>
      </c>
      <c r="I25" s="4">
        <v>1087425</v>
      </c>
      <c r="J25" s="4"/>
      <c r="K25" s="4"/>
      <c r="L25" s="4"/>
      <c r="M25" s="22"/>
      <c r="N25" s="22"/>
      <c r="O25" s="22"/>
    </row>
    <row r="26" spans="3:15" x14ac:dyDescent="0.25">
      <c r="C26" s="33" t="str">
        <f t="shared" ref="C26:C43" si="1">IF(H26=1,"u","")</f>
        <v/>
      </c>
      <c r="D26" s="11" t="s">
        <v>631</v>
      </c>
      <c r="E26" s="33"/>
      <c r="F26" t="s">
        <v>131</v>
      </c>
      <c r="G26" t="s">
        <v>25</v>
      </c>
      <c r="H26">
        <f t="shared" si="0"/>
        <v>2</v>
      </c>
      <c r="I26" s="4">
        <v>1668410</v>
      </c>
      <c r="J26" s="4"/>
      <c r="K26" s="4"/>
      <c r="L26" s="4"/>
      <c r="M26" s="22"/>
      <c r="N26" s="22"/>
      <c r="O26" s="22"/>
    </row>
    <row r="27" spans="3:15" x14ac:dyDescent="0.25">
      <c r="C27" s="33" t="str">
        <f t="shared" si="1"/>
        <v/>
      </c>
      <c r="D27" s="11" t="s">
        <v>959</v>
      </c>
      <c r="E27" s="33"/>
      <c r="F27" t="s">
        <v>199</v>
      </c>
      <c r="G27" t="s">
        <v>93</v>
      </c>
      <c r="H27">
        <f t="shared" si="0"/>
        <v>5</v>
      </c>
      <c r="I27" s="4">
        <v>2878650</v>
      </c>
      <c r="J27" s="4"/>
      <c r="K27" s="4"/>
      <c r="L27" s="4"/>
      <c r="M27" s="22"/>
      <c r="N27" s="22"/>
      <c r="O27" s="22"/>
    </row>
    <row r="28" spans="3:15" x14ac:dyDescent="0.25">
      <c r="C28" s="33" t="str">
        <f t="shared" si="1"/>
        <v/>
      </c>
      <c r="D28" s="11" t="s">
        <v>960</v>
      </c>
      <c r="E28" s="33"/>
      <c r="F28" t="s">
        <v>432</v>
      </c>
      <c r="G28" t="s">
        <v>93</v>
      </c>
      <c r="H28">
        <f t="shared" si="0"/>
        <v>4</v>
      </c>
      <c r="I28" s="4">
        <v>1880575</v>
      </c>
      <c r="J28" s="4"/>
      <c r="K28" s="4"/>
      <c r="L28" s="4"/>
      <c r="M28" s="22"/>
      <c r="N28" s="22"/>
      <c r="O28" s="22"/>
    </row>
    <row r="29" spans="3:15" x14ac:dyDescent="0.25">
      <c r="C29" s="33" t="str">
        <f t="shared" si="1"/>
        <v/>
      </c>
      <c r="D29" s="11"/>
      <c r="E29" s="33"/>
      <c r="I29" s="4"/>
      <c r="J29" s="4"/>
      <c r="K29" s="4"/>
      <c r="L29" s="4"/>
      <c r="M29" s="22"/>
      <c r="N29" s="22"/>
      <c r="O29" s="22"/>
    </row>
    <row r="30" spans="3:15" x14ac:dyDescent="0.25">
      <c r="C30" s="33" t="str">
        <f t="shared" si="1"/>
        <v/>
      </c>
      <c r="D30" s="11"/>
      <c r="E30" s="33"/>
      <c r="I30" s="4"/>
      <c r="J30" s="4"/>
      <c r="K30" s="4"/>
      <c r="L30" s="4"/>
      <c r="M30" s="22"/>
      <c r="N30" s="22"/>
      <c r="O30" s="22"/>
    </row>
    <row r="31" spans="3:15" x14ac:dyDescent="0.25">
      <c r="C31" s="33" t="str">
        <f t="shared" si="1"/>
        <v/>
      </c>
      <c r="D31" s="11"/>
      <c r="E31" s="33"/>
      <c r="I31" s="4"/>
      <c r="J31" s="4"/>
      <c r="K31" s="4"/>
      <c r="L31" s="4"/>
      <c r="M31" s="22"/>
      <c r="N31" s="22"/>
      <c r="O31" s="22"/>
    </row>
    <row r="32" spans="3:15" x14ac:dyDescent="0.25">
      <c r="C32" s="33" t="str">
        <f t="shared" si="1"/>
        <v/>
      </c>
      <c r="D32" s="11"/>
      <c r="E32" s="33"/>
      <c r="I32" s="4"/>
      <c r="J32" s="4"/>
      <c r="K32" s="4"/>
      <c r="L32" s="4"/>
      <c r="M32" s="22"/>
      <c r="N32" s="22"/>
      <c r="O32" s="22"/>
    </row>
    <row r="33" spans="3:15" x14ac:dyDescent="0.25">
      <c r="C33" s="33" t="str">
        <f t="shared" si="1"/>
        <v/>
      </c>
      <c r="D33" s="11"/>
      <c r="E33" s="33"/>
      <c r="I33" s="4"/>
      <c r="M33" s="21"/>
      <c r="N33" s="21"/>
      <c r="O33" s="21"/>
    </row>
    <row r="34" spans="3:15" x14ac:dyDescent="0.25">
      <c r="C34" s="33" t="str">
        <f t="shared" si="1"/>
        <v/>
      </c>
      <c r="D34" s="11"/>
      <c r="E34" s="33"/>
      <c r="I34" s="4"/>
      <c r="M34" s="21"/>
      <c r="N34" s="21"/>
      <c r="O34" s="21"/>
    </row>
    <row r="35" spans="3:15" x14ac:dyDescent="0.25">
      <c r="C35" s="33" t="str">
        <f t="shared" si="1"/>
        <v/>
      </c>
      <c r="D35" s="11"/>
      <c r="E35" s="33"/>
      <c r="I35" s="4"/>
      <c r="M35" s="21"/>
      <c r="N35" s="21"/>
      <c r="O35" s="21"/>
    </row>
    <row r="36" spans="3:15" x14ac:dyDescent="0.25">
      <c r="C36" s="33" t="str">
        <f t="shared" si="1"/>
        <v/>
      </c>
      <c r="D36" s="11"/>
      <c r="E36" s="33"/>
      <c r="I36" s="4"/>
      <c r="M36" s="21"/>
      <c r="N36" s="21"/>
      <c r="O36" s="21"/>
    </row>
    <row r="37" spans="3:15" x14ac:dyDescent="0.25">
      <c r="C37" s="33" t="str">
        <f t="shared" si="1"/>
        <v/>
      </c>
      <c r="D37" s="11"/>
      <c r="E37" s="33" t="str">
        <f t="shared" ref="E37:E43" si="2">IF(H37=1,"t","")</f>
        <v/>
      </c>
      <c r="M37" s="21"/>
      <c r="N37" s="21"/>
      <c r="O37" s="21"/>
    </row>
    <row r="38" spans="3:15" x14ac:dyDescent="0.25">
      <c r="C38" s="33" t="str">
        <f t="shared" si="1"/>
        <v/>
      </c>
      <c r="D38" s="11"/>
      <c r="E38" s="33" t="str">
        <f t="shared" si="2"/>
        <v/>
      </c>
      <c r="M38" s="21"/>
      <c r="N38" s="21"/>
      <c r="O38" s="21"/>
    </row>
    <row r="39" spans="3:15" x14ac:dyDescent="0.25">
      <c r="C39" s="33" t="str">
        <f t="shared" si="1"/>
        <v/>
      </c>
      <c r="D39" s="11"/>
      <c r="E39" s="33" t="str">
        <f t="shared" si="2"/>
        <v/>
      </c>
      <c r="M39" s="21"/>
      <c r="N39" s="21"/>
      <c r="O39" s="21"/>
    </row>
    <row r="40" spans="3:15" x14ac:dyDescent="0.25">
      <c r="C40" s="33" t="str">
        <f t="shared" si="1"/>
        <v/>
      </c>
      <c r="D40" s="11"/>
      <c r="E40" s="33" t="str">
        <f t="shared" si="2"/>
        <v/>
      </c>
      <c r="M40" s="21"/>
      <c r="N40" s="21"/>
      <c r="O40" s="21"/>
    </row>
    <row r="41" spans="3:15" x14ac:dyDescent="0.25">
      <c r="C41" s="33" t="str">
        <f t="shared" si="1"/>
        <v/>
      </c>
      <c r="D41" s="11"/>
      <c r="E41" s="33" t="str">
        <f t="shared" si="2"/>
        <v/>
      </c>
      <c r="M41" s="21"/>
      <c r="N41" s="21"/>
      <c r="O41" s="21"/>
    </row>
    <row r="42" spans="3:15" x14ac:dyDescent="0.25">
      <c r="C42" s="33" t="str">
        <f t="shared" si="1"/>
        <v/>
      </c>
      <c r="D42" s="11"/>
      <c r="E42" s="33" t="str">
        <f t="shared" si="2"/>
        <v/>
      </c>
      <c r="M42" s="21"/>
      <c r="N42" s="21"/>
      <c r="O42" s="21"/>
    </row>
    <row r="43" spans="3:15" x14ac:dyDescent="0.25">
      <c r="C43" s="33" t="str">
        <f t="shared" si="1"/>
        <v/>
      </c>
      <c r="D43" s="11"/>
      <c r="E43" s="33" t="str">
        <f t="shared" si="2"/>
        <v/>
      </c>
      <c r="M43" s="21"/>
      <c r="N43" s="21"/>
      <c r="O43" s="21"/>
    </row>
    <row r="44" spans="3:15" ht="6" customHeight="1" x14ac:dyDescent="0.25">
      <c r="C44" s="9"/>
      <c r="D44" s="9"/>
      <c r="E44" s="9"/>
      <c r="F44" s="9"/>
      <c r="G44" s="9"/>
      <c r="H44" s="9"/>
      <c r="I44" s="9"/>
      <c r="J44" s="9"/>
      <c r="K44" s="9"/>
      <c r="L44" s="9"/>
      <c r="M44" s="21"/>
      <c r="N44" s="21"/>
      <c r="O44" s="21"/>
    </row>
    <row r="45" spans="3:15" ht="6" customHeight="1" x14ac:dyDescent="0.25">
      <c r="M45" s="21"/>
      <c r="N45" s="21"/>
      <c r="O45" s="21"/>
    </row>
    <row r="46" spans="3:15" x14ac:dyDescent="0.25">
      <c r="C46" s="15" t="s">
        <v>79</v>
      </c>
      <c r="M46" s="21"/>
      <c r="N46" s="21"/>
      <c r="O46" s="21"/>
    </row>
    <row r="47" spans="3:15" x14ac:dyDescent="0.25">
      <c r="C47" s="15" t="s">
        <v>78</v>
      </c>
    </row>
  </sheetData>
  <mergeCells count="1">
    <mergeCell ref="G13:H13"/>
  </mergeCells>
  <conditionalFormatting sqref="I9">
    <cfRule type="containsText" dxfId="1434" priority="17" operator="containsText" text="FAIL">
      <formula>NOT(ISERROR(SEARCH("FAIL",I9)))</formula>
    </cfRule>
  </conditionalFormatting>
  <conditionalFormatting sqref="I9">
    <cfRule type="containsText" dxfId="1433" priority="16" operator="containsText" text="GOOD">
      <formula>NOT(ISERROR(SEARCH("GOOD",I9)))</formula>
    </cfRule>
  </conditionalFormatting>
  <conditionalFormatting sqref="F11">
    <cfRule type="containsText" dxfId="1432" priority="15" operator="containsText" text="FAIL">
      <formula>NOT(ISERROR(SEARCH("FAIL",F11)))</formula>
    </cfRule>
  </conditionalFormatting>
  <conditionalFormatting sqref="F11">
    <cfRule type="containsText" dxfId="1431" priority="14" operator="containsText" text="GOOD">
      <formula>NOT(ISERROR(SEARCH("GOOD",F11)))</formula>
    </cfRule>
  </conditionalFormatting>
  <conditionalFormatting sqref="D25">
    <cfRule type="expression" dxfId="1430" priority="13" stopIfTrue="1">
      <formula>IF($H$25=1,0)</formula>
    </cfRule>
  </conditionalFormatting>
  <conditionalFormatting sqref="D23:D25 D32:D43">
    <cfRule type="expression" dxfId="1429" priority="12">
      <formula>H23=1</formula>
    </cfRule>
  </conditionalFormatting>
  <conditionalFormatting sqref="C23:C26 C32:C43">
    <cfRule type="expression" dxfId="1428" priority="11">
      <formula>H23=1</formula>
    </cfRule>
  </conditionalFormatting>
  <conditionalFormatting sqref="E23:E26 E32:E43">
    <cfRule type="expression" dxfId="1427" priority="10">
      <formula>H23=1</formula>
    </cfRule>
  </conditionalFormatting>
  <conditionalFormatting sqref="F11">
    <cfRule type="containsText" dxfId="1426" priority="9" operator="containsText" text="FAIL">
      <formula>NOT(ISERROR(SEARCH("FAIL",F11)))</formula>
    </cfRule>
  </conditionalFormatting>
  <conditionalFormatting sqref="F11">
    <cfRule type="containsText" dxfId="1425" priority="8" operator="containsText" text="GOOD">
      <formula>NOT(ISERROR(SEARCH("GOOD",F11)))</formula>
    </cfRule>
  </conditionalFormatting>
  <conditionalFormatting sqref="D27:D28">
    <cfRule type="expression" dxfId="1424" priority="7">
      <formula>H27=1</formula>
    </cfRule>
  </conditionalFormatting>
  <conditionalFormatting sqref="C27:C28">
    <cfRule type="expression" dxfId="1423" priority="6">
      <formula>H27=1</formula>
    </cfRule>
  </conditionalFormatting>
  <conditionalFormatting sqref="E27:E28">
    <cfRule type="expression" dxfId="1422" priority="5">
      <formula>H27=1</formula>
    </cfRule>
  </conditionalFormatting>
  <conditionalFormatting sqref="D26">
    <cfRule type="expression" dxfId="1421" priority="4">
      <formula>H26=1</formula>
    </cfRule>
  </conditionalFormatting>
  <conditionalFormatting sqref="D29:D31">
    <cfRule type="expression" dxfId="1420" priority="3">
      <formula>H29=1</formula>
    </cfRule>
  </conditionalFormatting>
  <conditionalFormatting sqref="C29:C31">
    <cfRule type="expression" dxfId="1419" priority="2">
      <formula>H29=1</formula>
    </cfRule>
  </conditionalFormatting>
  <conditionalFormatting sqref="E29:E31">
    <cfRule type="expression" dxfId="1418" priority="1">
      <formula>H29=1</formula>
    </cfRule>
  </conditionalFormatting>
  <pageMargins left="0.7" right="0.7" top="0.75" bottom="0.75" header="0.3" footer="0.3"/>
  <pageSetup scale="68" orientation="portrait" r:id="rId1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500-000000000000}">
  <sheetPr codeName="Sheet151"/>
  <dimension ref="A2:O47"/>
  <sheetViews>
    <sheetView topLeftCell="A4" workbookViewId="0">
      <selection activeCell="I28" sqref="I28"/>
    </sheetView>
  </sheetViews>
  <sheetFormatPr defaultRowHeight="15" x14ac:dyDescent="0.25"/>
  <cols>
    <col min="1" max="2" width="4.42578125" customWidth="1"/>
    <col min="3" max="3" width="3" customWidth="1"/>
    <col min="4" max="4" width="24.85546875" customWidth="1"/>
    <col min="5" max="5" width="3" customWidth="1"/>
    <col min="6" max="6" width="15.7109375" customWidth="1"/>
    <col min="7" max="7" width="8.5703125" customWidth="1"/>
    <col min="8" max="8" width="5.85546875" customWidth="1"/>
    <col min="9" max="15" width="15.7109375" customWidth="1"/>
  </cols>
  <sheetData>
    <row r="2" spans="1:11" x14ac:dyDescent="0.25">
      <c r="C2" s="15" t="s">
        <v>32</v>
      </c>
      <c r="E2" s="15"/>
      <c r="F2" s="15"/>
      <c r="G2" s="15" t="s">
        <v>33</v>
      </c>
      <c r="H2" s="15"/>
      <c r="I2" s="15"/>
      <c r="J2" s="15"/>
      <c r="K2" s="15"/>
    </row>
    <row r="3" spans="1:11" ht="18.75" x14ac:dyDescent="0.3">
      <c r="C3" s="3" t="s">
        <v>26</v>
      </c>
      <c r="J3" s="8" t="s">
        <v>17</v>
      </c>
    </row>
    <row r="4" spans="1:11" x14ac:dyDescent="0.25">
      <c r="D4" s="2" t="s">
        <v>0</v>
      </c>
      <c r="E4" s="1"/>
      <c r="F4" t="s">
        <v>279</v>
      </c>
      <c r="I4" s="2" t="s">
        <v>4</v>
      </c>
    </row>
    <row r="5" spans="1:11" x14ac:dyDescent="0.25">
      <c r="D5" s="2" t="s">
        <v>1</v>
      </c>
      <c r="F5" t="s">
        <v>280</v>
      </c>
    </row>
    <row r="6" spans="1:11" x14ac:dyDescent="0.25">
      <c r="D6" s="2" t="s">
        <v>2</v>
      </c>
      <c r="F6" s="6">
        <v>42159</v>
      </c>
      <c r="H6" s="11"/>
    </row>
    <row r="7" spans="1:11" x14ac:dyDescent="0.25">
      <c r="D7" s="2" t="s">
        <v>3</v>
      </c>
      <c r="F7" s="5">
        <v>1600000</v>
      </c>
      <c r="G7" s="2" t="s">
        <v>34</v>
      </c>
      <c r="H7" s="11"/>
    </row>
    <row r="8" spans="1:11" x14ac:dyDescent="0.25">
      <c r="D8" s="2" t="s">
        <v>18</v>
      </c>
      <c r="F8" s="5">
        <f>MIN(I23:I43)</f>
        <v>1298005</v>
      </c>
      <c r="H8" s="11"/>
    </row>
    <row r="9" spans="1:11" x14ac:dyDescent="0.25">
      <c r="D9" s="2" t="s">
        <v>67</v>
      </c>
      <c r="F9" s="4">
        <f>+F8-F7</f>
        <v>-301995</v>
      </c>
      <c r="G9" s="16">
        <f>+F9/F7</f>
        <v>-0.18874687500000001</v>
      </c>
      <c r="H9" s="12" t="s">
        <v>20</v>
      </c>
      <c r="I9" s="11" t="str">
        <f>(IF(G9&lt;-0.1,"FAIL",IF(G9&gt;0.05,"FAIL","GOOD")))</f>
        <v>FAIL</v>
      </c>
      <c r="J9" s="14" t="s">
        <v>72</v>
      </c>
    </row>
    <row r="10" spans="1:11" x14ac:dyDescent="0.25">
      <c r="D10" s="2" t="s">
        <v>68</v>
      </c>
      <c r="F10" s="4">
        <f>+F7-F12</f>
        <v>-143752</v>
      </c>
      <c r="H10" s="11"/>
    </row>
    <row r="11" spans="1:11" x14ac:dyDescent="0.25">
      <c r="A11" s="30"/>
      <c r="D11" s="2" t="s">
        <v>71</v>
      </c>
      <c r="F11" s="11" t="str">
        <f>(IF(F7&lt;J12,"FAIL",IF(F7&gt;J13,"FAIL","GOOD")))</f>
        <v>GOOD</v>
      </c>
      <c r="H11" s="11"/>
    </row>
    <row r="12" spans="1:11" x14ac:dyDescent="0.25">
      <c r="D12" s="2" t="s">
        <v>28</v>
      </c>
      <c r="F12" s="4">
        <f>SUM(I23:I43)/H12</f>
        <v>1743752</v>
      </c>
      <c r="G12" s="14"/>
      <c r="H12" s="11">
        <f>COUNT(I23:I43)</f>
        <v>6</v>
      </c>
      <c r="I12" s="1" t="s">
        <v>31</v>
      </c>
      <c r="J12" s="4">
        <f>+F8*0.9</f>
        <v>1168204.5</v>
      </c>
      <c r="K12" s="1" t="s">
        <v>69</v>
      </c>
    </row>
    <row r="13" spans="1:11" x14ac:dyDescent="0.25">
      <c r="D13" s="2" t="s">
        <v>29</v>
      </c>
      <c r="F13" s="4">
        <f>MAX(I23:I43)-MIN(I23:I43)</f>
        <v>924547</v>
      </c>
      <c r="G13" s="399">
        <f>MEDIAN(I23:I43)</f>
        <v>1858402.5</v>
      </c>
      <c r="H13" s="400"/>
      <c r="I13" s="1" t="s">
        <v>30</v>
      </c>
      <c r="J13" s="4">
        <f>+F12*1.1</f>
        <v>1918127.2000000002</v>
      </c>
      <c r="K13" s="1" t="s">
        <v>70</v>
      </c>
    </row>
    <row r="14" spans="1:11" x14ac:dyDescent="0.25">
      <c r="H14" s="11"/>
    </row>
    <row r="15" spans="1:11" x14ac:dyDescent="0.25">
      <c r="D15" s="2" t="s">
        <v>8</v>
      </c>
      <c r="F15" s="4"/>
      <c r="G15" s="1" t="s">
        <v>9</v>
      </c>
      <c r="H15" s="11"/>
      <c r="I15" t="s">
        <v>15</v>
      </c>
      <c r="J15" s="7" t="e">
        <f>+F16/F15</f>
        <v>#DIV/0!</v>
      </c>
    </row>
    <row r="16" spans="1:11" x14ac:dyDescent="0.25">
      <c r="F16" s="4"/>
      <c r="G16" s="1" t="s">
        <v>10</v>
      </c>
      <c r="H16" s="11"/>
      <c r="I16" t="s">
        <v>14</v>
      </c>
      <c r="J16" s="7" t="e">
        <f>+F17/F16</f>
        <v>#DIV/0!</v>
      </c>
    </row>
    <row r="17" spans="3:15" x14ac:dyDescent="0.25">
      <c r="F17" s="4"/>
      <c r="G17" s="1" t="s">
        <v>11</v>
      </c>
      <c r="H17" s="11"/>
      <c r="I17" t="s">
        <v>13</v>
      </c>
      <c r="J17" s="7" t="e">
        <f>+F18/F17</f>
        <v>#DIV/0!</v>
      </c>
      <c r="M17" s="21"/>
      <c r="N17" s="21"/>
      <c r="O17" s="21"/>
    </row>
    <row r="18" spans="3:15" x14ac:dyDescent="0.25">
      <c r="F18" s="4"/>
      <c r="G18" s="1" t="s">
        <v>12</v>
      </c>
      <c r="H18" s="11"/>
      <c r="I18" t="s">
        <v>16</v>
      </c>
      <c r="J18" s="7" t="e">
        <f>+F8/F18</f>
        <v>#DIV/0!</v>
      </c>
      <c r="M18" s="21"/>
      <c r="N18" s="21"/>
      <c r="O18" s="21"/>
    </row>
    <row r="19" spans="3:15" x14ac:dyDescent="0.25">
      <c r="F19" s="2" t="s">
        <v>51</v>
      </c>
      <c r="G19">
        <v>0</v>
      </c>
      <c r="H19" s="11" t="s">
        <v>52</v>
      </c>
      <c r="I19" t="s">
        <v>41</v>
      </c>
      <c r="J19" s="7" t="e">
        <f>+F8/F15</f>
        <v>#DIV/0!</v>
      </c>
      <c r="M19" s="21"/>
      <c r="N19" s="21"/>
      <c r="O19" s="21"/>
    </row>
    <row r="20" spans="3:15" x14ac:dyDescent="0.25">
      <c r="H20" s="11"/>
      <c r="M20" s="21"/>
      <c r="N20" s="21"/>
      <c r="O20" s="21"/>
    </row>
    <row r="21" spans="3:15" x14ac:dyDescent="0.25">
      <c r="C21" s="9"/>
      <c r="D21" s="13" t="s">
        <v>21</v>
      </c>
      <c r="E21" s="9"/>
      <c r="F21" s="9" t="s">
        <v>22</v>
      </c>
      <c r="G21" s="9" t="s">
        <v>23</v>
      </c>
      <c r="H21" s="13" t="s">
        <v>27</v>
      </c>
      <c r="I21" s="10" t="s">
        <v>24</v>
      </c>
      <c r="J21" s="9"/>
      <c r="K21" s="9"/>
      <c r="L21" s="9"/>
      <c r="M21" s="21"/>
      <c r="N21" s="21"/>
      <c r="O21" s="21"/>
    </row>
    <row r="22" spans="3:15" ht="6" customHeight="1" x14ac:dyDescent="0.25">
      <c r="M22" s="21"/>
      <c r="N22" s="21"/>
      <c r="O22" s="21"/>
    </row>
    <row r="23" spans="3:15" x14ac:dyDescent="0.25">
      <c r="C23" s="33" t="str">
        <f>IF(H23=1,"u","")</f>
        <v>u</v>
      </c>
      <c r="D23" s="23" t="s">
        <v>257</v>
      </c>
      <c r="E23" s="33"/>
      <c r="F23" t="s">
        <v>147</v>
      </c>
      <c r="G23" t="s">
        <v>93</v>
      </c>
      <c r="H23">
        <f t="shared" ref="H23:H28" si="0">RANK(I23,I$23:I$43,1)</f>
        <v>1</v>
      </c>
      <c r="I23" s="4">
        <v>1298005</v>
      </c>
      <c r="J23" s="4"/>
      <c r="K23" s="4"/>
      <c r="L23" s="4"/>
      <c r="M23" s="22"/>
      <c r="N23" s="22"/>
      <c r="O23" s="22"/>
    </row>
    <row r="24" spans="3:15" x14ac:dyDescent="0.25">
      <c r="C24" s="33" t="str">
        <f>IF(H24=1,"u","")</f>
        <v/>
      </c>
      <c r="D24" s="23" t="s">
        <v>146</v>
      </c>
      <c r="E24" s="33"/>
      <c r="F24" t="s">
        <v>147</v>
      </c>
      <c r="G24" t="s">
        <v>93</v>
      </c>
      <c r="H24">
        <f t="shared" si="0"/>
        <v>2</v>
      </c>
      <c r="I24" s="4">
        <v>1346150</v>
      </c>
      <c r="J24" s="4"/>
      <c r="K24" s="4"/>
      <c r="L24" s="4"/>
      <c r="M24" s="22"/>
      <c r="N24" s="22"/>
      <c r="O24" s="22"/>
    </row>
    <row r="25" spans="3:15" x14ac:dyDescent="0.25">
      <c r="C25" s="33" t="str">
        <f>IF(H25=1,"u","")</f>
        <v/>
      </c>
      <c r="D25" s="23" t="s">
        <v>262</v>
      </c>
      <c r="E25" s="33"/>
      <c r="F25" t="s">
        <v>161</v>
      </c>
      <c r="G25" t="s">
        <v>93</v>
      </c>
      <c r="H25">
        <f t="shared" si="0"/>
        <v>3</v>
      </c>
      <c r="I25" s="4">
        <v>1838200</v>
      </c>
      <c r="J25" s="4"/>
      <c r="K25" s="4"/>
      <c r="L25" s="4"/>
      <c r="M25" s="22"/>
      <c r="N25" s="22"/>
      <c r="O25" s="22"/>
    </row>
    <row r="26" spans="3:15" x14ac:dyDescent="0.25">
      <c r="C26" s="33" t="str">
        <f t="shared" ref="C26:C43" si="1">IF(H26=1,"u","")</f>
        <v/>
      </c>
      <c r="D26" s="23" t="s">
        <v>281</v>
      </c>
      <c r="E26" s="33"/>
      <c r="F26" t="s">
        <v>282</v>
      </c>
      <c r="G26" t="s">
        <v>93</v>
      </c>
      <c r="H26">
        <f t="shared" si="0"/>
        <v>4</v>
      </c>
      <c r="I26" s="4">
        <v>1878605</v>
      </c>
      <c r="J26" s="4"/>
      <c r="K26" s="4"/>
      <c r="L26" s="4"/>
      <c r="M26" s="22"/>
      <c r="N26" s="22"/>
      <c r="O26" s="22"/>
    </row>
    <row r="27" spans="3:15" x14ac:dyDescent="0.25">
      <c r="C27" s="33" t="str">
        <f t="shared" si="1"/>
        <v/>
      </c>
      <c r="D27" s="23" t="s">
        <v>138</v>
      </c>
      <c r="E27" s="33" t="str">
        <f t="shared" ref="E27:E43" si="2">IF(H27=1,"t","")</f>
        <v/>
      </c>
      <c r="F27" t="s">
        <v>139</v>
      </c>
      <c r="G27" t="s">
        <v>25</v>
      </c>
      <c r="H27">
        <f t="shared" si="0"/>
        <v>5</v>
      </c>
      <c r="I27" s="4">
        <v>1879000</v>
      </c>
      <c r="J27" s="4"/>
      <c r="K27" s="4"/>
      <c r="L27" s="4"/>
      <c r="M27" s="22"/>
      <c r="N27" s="22"/>
      <c r="O27" s="22"/>
    </row>
    <row r="28" spans="3:15" x14ac:dyDescent="0.25">
      <c r="C28" s="33" t="str">
        <f t="shared" si="1"/>
        <v/>
      </c>
      <c r="D28" s="23" t="s">
        <v>283</v>
      </c>
      <c r="E28" s="33" t="str">
        <f t="shared" si="2"/>
        <v/>
      </c>
      <c r="F28" t="s">
        <v>147</v>
      </c>
      <c r="G28" t="s">
        <v>93</v>
      </c>
      <c r="H28">
        <f t="shared" si="0"/>
        <v>6</v>
      </c>
      <c r="I28" s="4">
        <v>2222552</v>
      </c>
      <c r="J28" s="4"/>
      <c r="K28" s="4"/>
      <c r="L28" s="4"/>
      <c r="M28" s="22"/>
      <c r="N28" s="22"/>
      <c r="O28" s="22"/>
    </row>
    <row r="29" spans="3:15" x14ac:dyDescent="0.25">
      <c r="C29" s="33" t="str">
        <f t="shared" si="1"/>
        <v/>
      </c>
      <c r="D29" s="23"/>
      <c r="E29" s="33" t="str">
        <f t="shared" si="2"/>
        <v/>
      </c>
      <c r="I29" s="4"/>
      <c r="J29" s="4"/>
      <c r="K29" s="4"/>
      <c r="L29" s="4"/>
      <c r="M29" s="22"/>
      <c r="N29" s="22"/>
      <c r="O29" s="22"/>
    </row>
    <row r="30" spans="3:15" x14ac:dyDescent="0.25">
      <c r="C30" s="33" t="str">
        <f t="shared" si="1"/>
        <v/>
      </c>
      <c r="D30" s="23"/>
      <c r="E30" s="33" t="str">
        <f t="shared" si="2"/>
        <v/>
      </c>
      <c r="I30" s="4"/>
      <c r="J30" s="4"/>
      <c r="K30" s="4"/>
      <c r="L30" s="4"/>
      <c r="M30" s="22"/>
      <c r="N30" s="22"/>
      <c r="O30" s="22"/>
    </row>
    <row r="31" spans="3:15" x14ac:dyDescent="0.25">
      <c r="C31" s="33" t="str">
        <f t="shared" si="1"/>
        <v/>
      </c>
      <c r="D31" s="23"/>
      <c r="E31" s="33" t="str">
        <f t="shared" si="2"/>
        <v/>
      </c>
      <c r="I31" s="4"/>
      <c r="J31" s="4"/>
      <c r="K31" s="4"/>
      <c r="L31" s="4"/>
      <c r="M31" s="22"/>
      <c r="N31" s="22"/>
      <c r="O31" s="22"/>
    </row>
    <row r="32" spans="3:15" x14ac:dyDescent="0.25">
      <c r="C32" s="33" t="str">
        <f t="shared" si="1"/>
        <v/>
      </c>
      <c r="D32" s="11"/>
      <c r="E32" s="33" t="str">
        <f t="shared" si="2"/>
        <v/>
      </c>
      <c r="I32" s="4"/>
      <c r="J32" s="4"/>
      <c r="K32" s="4"/>
      <c r="L32" s="4"/>
      <c r="M32" s="22"/>
      <c r="N32" s="22"/>
      <c r="O32" s="22"/>
    </row>
    <row r="33" spans="3:15" x14ac:dyDescent="0.25">
      <c r="C33" s="33" t="str">
        <f t="shared" si="1"/>
        <v/>
      </c>
      <c r="D33" s="11"/>
      <c r="E33" s="33" t="str">
        <f t="shared" si="2"/>
        <v/>
      </c>
      <c r="M33" s="21"/>
      <c r="N33" s="21"/>
      <c r="O33" s="21"/>
    </row>
    <row r="34" spans="3:15" x14ac:dyDescent="0.25">
      <c r="C34" s="33" t="str">
        <f t="shared" si="1"/>
        <v/>
      </c>
      <c r="D34" s="11"/>
      <c r="E34" s="33" t="str">
        <f t="shared" si="2"/>
        <v/>
      </c>
      <c r="M34" s="21"/>
      <c r="N34" s="21"/>
      <c r="O34" s="21"/>
    </row>
    <row r="35" spans="3:15" x14ac:dyDescent="0.25">
      <c r="C35" s="33" t="str">
        <f t="shared" si="1"/>
        <v/>
      </c>
      <c r="D35" s="11"/>
      <c r="E35" s="33" t="str">
        <f t="shared" si="2"/>
        <v/>
      </c>
      <c r="M35" s="21"/>
      <c r="N35" s="21"/>
      <c r="O35" s="21"/>
    </row>
    <row r="36" spans="3:15" x14ac:dyDescent="0.25">
      <c r="C36" s="33" t="str">
        <f t="shared" si="1"/>
        <v/>
      </c>
      <c r="D36" s="11"/>
      <c r="E36" s="33" t="str">
        <f t="shared" si="2"/>
        <v/>
      </c>
      <c r="M36" s="21"/>
      <c r="N36" s="21"/>
      <c r="O36" s="21"/>
    </row>
    <row r="37" spans="3:15" x14ac:dyDescent="0.25">
      <c r="C37" s="33" t="str">
        <f t="shared" si="1"/>
        <v/>
      </c>
      <c r="D37" s="11"/>
      <c r="E37" s="33" t="str">
        <f t="shared" si="2"/>
        <v/>
      </c>
      <c r="M37" s="21"/>
      <c r="N37" s="21"/>
      <c r="O37" s="21"/>
    </row>
    <row r="38" spans="3:15" x14ac:dyDescent="0.25">
      <c r="C38" s="33" t="str">
        <f t="shared" si="1"/>
        <v/>
      </c>
      <c r="D38" s="11"/>
      <c r="E38" s="33" t="str">
        <f t="shared" si="2"/>
        <v/>
      </c>
      <c r="M38" s="21"/>
      <c r="N38" s="21"/>
      <c r="O38" s="21"/>
    </row>
    <row r="39" spans="3:15" x14ac:dyDescent="0.25">
      <c r="C39" s="33" t="str">
        <f t="shared" si="1"/>
        <v/>
      </c>
      <c r="D39" s="11"/>
      <c r="E39" s="33" t="str">
        <f t="shared" si="2"/>
        <v/>
      </c>
      <c r="M39" s="21"/>
      <c r="N39" s="21"/>
      <c r="O39" s="21"/>
    </row>
    <row r="40" spans="3:15" x14ac:dyDescent="0.25">
      <c r="C40" s="33" t="str">
        <f t="shared" si="1"/>
        <v/>
      </c>
      <c r="D40" s="11"/>
      <c r="E40" s="33" t="str">
        <f t="shared" si="2"/>
        <v/>
      </c>
      <c r="M40" s="21"/>
      <c r="N40" s="21"/>
      <c r="O40" s="21"/>
    </row>
    <row r="41" spans="3:15" x14ac:dyDescent="0.25">
      <c r="C41" s="33" t="str">
        <f t="shared" si="1"/>
        <v/>
      </c>
      <c r="D41" s="11"/>
      <c r="E41" s="33" t="str">
        <f t="shared" si="2"/>
        <v/>
      </c>
      <c r="M41" s="21"/>
      <c r="N41" s="21"/>
      <c r="O41" s="21"/>
    </row>
    <row r="42" spans="3:15" x14ac:dyDescent="0.25">
      <c r="C42" s="33" t="str">
        <f t="shared" si="1"/>
        <v/>
      </c>
      <c r="D42" s="11"/>
      <c r="E42" s="33" t="str">
        <f t="shared" si="2"/>
        <v/>
      </c>
      <c r="M42" s="21"/>
      <c r="N42" s="21"/>
      <c r="O42" s="21"/>
    </row>
    <row r="43" spans="3:15" x14ac:dyDescent="0.25">
      <c r="C43" s="33" t="str">
        <f t="shared" si="1"/>
        <v/>
      </c>
      <c r="D43" s="11"/>
      <c r="E43" s="33" t="str">
        <f t="shared" si="2"/>
        <v/>
      </c>
      <c r="M43" s="21"/>
      <c r="N43" s="21"/>
      <c r="O43" s="21"/>
    </row>
    <row r="44" spans="3:15" ht="6" customHeight="1" x14ac:dyDescent="0.25">
      <c r="C44" s="9"/>
      <c r="D44" s="9"/>
      <c r="E44" s="9"/>
      <c r="F44" s="9"/>
      <c r="G44" s="9"/>
      <c r="H44" s="9"/>
      <c r="I44" s="9"/>
      <c r="J44" s="9"/>
      <c r="K44" s="9"/>
      <c r="L44" s="9"/>
      <c r="M44" s="21"/>
      <c r="N44" s="21"/>
      <c r="O44" s="21"/>
    </row>
    <row r="45" spans="3:15" ht="6" customHeight="1" x14ac:dyDescent="0.25">
      <c r="M45" s="21"/>
      <c r="N45" s="21"/>
      <c r="O45" s="21"/>
    </row>
    <row r="46" spans="3:15" x14ac:dyDescent="0.25">
      <c r="C46" s="15" t="s">
        <v>79</v>
      </c>
      <c r="M46" s="21"/>
      <c r="N46" s="21"/>
      <c r="O46" s="21"/>
    </row>
    <row r="47" spans="3:15" x14ac:dyDescent="0.25">
      <c r="C47" s="15" t="s">
        <v>78</v>
      </c>
    </row>
  </sheetData>
  <mergeCells count="1">
    <mergeCell ref="G13:H13"/>
  </mergeCells>
  <conditionalFormatting sqref="I9">
    <cfRule type="containsText" dxfId="300" priority="10" operator="containsText" text="FAIL">
      <formula>NOT(ISERROR(SEARCH("FAIL",I9)))</formula>
    </cfRule>
  </conditionalFormatting>
  <conditionalFormatting sqref="I9">
    <cfRule type="containsText" dxfId="299" priority="9" operator="containsText" text="GOOD">
      <formula>NOT(ISERROR(SEARCH("GOOD",I9)))</formula>
    </cfRule>
  </conditionalFormatting>
  <conditionalFormatting sqref="F11">
    <cfRule type="containsText" dxfId="298" priority="8" operator="containsText" text="FAIL">
      <formula>NOT(ISERROR(SEARCH("FAIL",F11)))</formula>
    </cfRule>
  </conditionalFormatting>
  <conditionalFormatting sqref="F11">
    <cfRule type="containsText" dxfId="297" priority="7" operator="containsText" text="GOOD">
      <formula>NOT(ISERROR(SEARCH("GOOD",F11)))</formula>
    </cfRule>
  </conditionalFormatting>
  <conditionalFormatting sqref="D25">
    <cfRule type="expression" dxfId="296" priority="6" stopIfTrue="1">
      <formula>IF($H$25=1,0)</formula>
    </cfRule>
  </conditionalFormatting>
  <conditionalFormatting sqref="D23:D43">
    <cfRule type="expression" dxfId="295" priority="5">
      <formula>H23=1</formula>
    </cfRule>
  </conditionalFormatting>
  <conditionalFormatting sqref="C23:C43">
    <cfRule type="expression" dxfId="294" priority="4">
      <formula>H23=1</formula>
    </cfRule>
  </conditionalFormatting>
  <conditionalFormatting sqref="E23:E43">
    <cfRule type="expression" dxfId="293" priority="3">
      <formula>H23=1</formula>
    </cfRule>
  </conditionalFormatting>
  <conditionalFormatting sqref="F11">
    <cfRule type="containsText" dxfId="292" priority="2" operator="containsText" text="FAIL">
      <formula>NOT(ISERROR(SEARCH("FAIL",F11)))</formula>
    </cfRule>
  </conditionalFormatting>
  <conditionalFormatting sqref="F11">
    <cfRule type="containsText" dxfId="291" priority="1" operator="containsText" text="GOOD">
      <formula>NOT(ISERROR(SEARCH("GOOD",F11)))</formula>
    </cfRule>
  </conditionalFormatting>
  <pageMargins left="0.7" right="0.7" top="0.75" bottom="0.75" header="0.3" footer="0.3"/>
  <pageSetup orientation="portrait" r:id="rId1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D00-000000000000}">
  <sheetPr codeName="Sheet159"/>
  <dimension ref="A2:O47"/>
  <sheetViews>
    <sheetView topLeftCell="A4" workbookViewId="0">
      <selection activeCell="I31" sqref="I31"/>
    </sheetView>
  </sheetViews>
  <sheetFormatPr defaultRowHeight="15" x14ac:dyDescent="0.25"/>
  <cols>
    <col min="1" max="2" width="4.42578125" customWidth="1"/>
    <col min="3" max="3" width="3" customWidth="1"/>
    <col min="4" max="4" width="24.85546875" customWidth="1"/>
    <col min="5" max="5" width="3" customWidth="1"/>
    <col min="6" max="6" width="15.7109375" customWidth="1"/>
    <col min="7" max="7" width="8.5703125" customWidth="1"/>
    <col min="8" max="8" width="5.85546875" customWidth="1"/>
    <col min="9" max="15" width="15.7109375" customWidth="1"/>
  </cols>
  <sheetData>
    <row r="2" spans="1:11" x14ac:dyDescent="0.25">
      <c r="C2" s="15" t="s">
        <v>32</v>
      </c>
      <c r="E2" s="15"/>
      <c r="F2" s="15"/>
      <c r="G2" s="15" t="s">
        <v>33</v>
      </c>
      <c r="H2" s="15"/>
      <c r="I2" s="15"/>
      <c r="J2" s="15"/>
      <c r="K2" s="15"/>
    </row>
    <row r="3" spans="1:11" ht="18.75" x14ac:dyDescent="0.3">
      <c r="C3" s="3" t="s">
        <v>26</v>
      </c>
      <c r="J3" s="8" t="s">
        <v>17</v>
      </c>
    </row>
    <row r="4" spans="1:11" x14ac:dyDescent="0.25">
      <c r="D4" s="2" t="s">
        <v>0</v>
      </c>
      <c r="E4" s="1"/>
      <c r="F4" t="s">
        <v>334</v>
      </c>
      <c r="I4" s="2" t="s">
        <v>4</v>
      </c>
    </row>
    <row r="5" spans="1:11" x14ac:dyDescent="0.25">
      <c r="D5" s="2" t="s">
        <v>1</v>
      </c>
      <c r="F5" t="s">
        <v>335</v>
      </c>
    </row>
    <row r="6" spans="1:11" x14ac:dyDescent="0.25">
      <c r="D6" s="2" t="s">
        <v>2</v>
      </c>
      <c r="F6" s="6">
        <v>42108</v>
      </c>
      <c r="H6" s="11"/>
    </row>
    <row r="7" spans="1:11" x14ac:dyDescent="0.25">
      <c r="D7" s="2" t="s">
        <v>3</v>
      </c>
      <c r="F7" s="5">
        <v>2320000</v>
      </c>
      <c r="G7" s="2" t="s">
        <v>34</v>
      </c>
      <c r="H7" s="11"/>
    </row>
    <row r="8" spans="1:11" x14ac:dyDescent="0.25">
      <c r="D8" s="2" t="s">
        <v>18</v>
      </c>
      <c r="F8" s="5">
        <f>MIN(I23:I43)</f>
        <v>1550780</v>
      </c>
      <c r="H8" s="11"/>
    </row>
    <row r="9" spans="1:11" x14ac:dyDescent="0.25">
      <c r="D9" s="2" t="s">
        <v>67</v>
      </c>
      <c r="F9" s="4">
        <f>+F8-F7</f>
        <v>-769220</v>
      </c>
      <c r="G9" s="16">
        <f>+F9/F7</f>
        <v>-0.33156034482758623</v>
      </c>
      <c r="H9" s="12" t="s">
        <v>20</v>
      </c>
      <c r="I9" s="11" t="str">
        <f>(IF(G9&lt;-0.1,"FAIL",IF(G9&gt;0.05,"FAIL","GOOD")))</f>
        <v>FAIL</v>
      </c>
      <c r="J9" s="14" t="s">
        <v>72</v>
      </c>
    </row>
    <row r="10" spans="1:11" x14ac:dyDescent="0.25">
      <c r="D10" s="2" t="s">
        <v>68</v>
      </c>
      <c r="F10" s="4">
        <f>+F7-F12</f>
        <v>-247351.41111111082</v>
      </c>
      <c r="H10" s="11"/>
    </row>
    <row r="11" spans="1:11" x14ac:dyDescent="0.25">
      <c r="A11" s="30"/>
      <c r="D11" s="2" t="s">
        <v>71</v>
      </c>
      <c r="F11" s="11" t="str">
        <f>(IF(F7&lt;J12,"FAIL",IF(F7&gt;J13,"FAIL","GOOD")))</f>
        <v>GOOD</v>
      </c>
      <c r="H11" s="11"/>
    </row>
    <row r="12" spans="1:11" x14ac:dyDescent="0.25">
      <c r="D12" s="2" t="s">
        <v>28</v>
      </c>
      <c r="F12" s="4">
        <f>SUM(I23:I43)/H12</f>
        <v>2567351.4111111108</v>
      </c>
      <c r="G12" s="14"/>
      <c r="H12" s="11">
        <f>COUNT(I23:I43)</f>
        <v>9</v>
      </c>
      <c r="I12" s="1" t="s">
        <v>31</v>
      </c>
      <c r="J12" s="4">
        <f>+F8*0.9</f>
        <v>1395702</v>
      </c>
      <c r="K12" s="1" t="s">
        <v>69</v>
      </c>
    </row>
    <row r="13" spans="1:11" x14ac:dyDescent="0.25">
      <c r="D13" s="2" t="s">
        <v>29</v>
      </c>
      <c r="F13" s="4">
        <f>MAX(I23:I43)-MIN(I23:I43)</f>
        <v>5449185</v>
      </c>
      <c r="G13" s="399">
        <f>MEDIAN(I23:I43)</f>
        <v>2050166.2</v>
      </c>
      <c r="H13" s="400"/>
      <c r="I13" s="1" t="s">
        <v>30</v>
      </c>
      <c r="J13" s="4">
        <f>+F12*1.1</f>
        <v>2824086.5522222221</v>
      </c>
      <c r="K13" s="1" t="s">
        <v>70</v>
      </c>
    </row>
    <row r="14" spans="1:11" x14ac:dyDescent="0.25">
      <c r="H14" s="11"/>
    </row>
    <row r="15" spans="1:11" x14ac:dyDescent="0.25">
      <c r="D15" s="2" t="s">
        <v>8</v>
      </c>
      <c r="F15" s="4"/>
      <c r="G15" s="1" t="s">
        <v>9</v>
      </c>
      <c r="H15" s="11"/>
      <c r="I15" t="s">
        <v>15</v>
      </c>
      <c r="J15" s="7" t="e">
        <f>+F16/F15</f>
        <v>#DIV/0!</v>
      </c>
    </row>
    <row r="16" spans="1:11" x14ac:dyDescent="0.25">
      <c r="F16" s="4"/>
      <c r="G16" s="1" t="s">
        <v>10</v>
      </c>
      <c r="H16" s="11"/>
      <c r="I16" t="s">
        <v>14</v>
      </c>
      <c r="J16" s="7" t="e">
        <f>+F17/F16</f>
        <v>#DIV/0!</v>
      </c>
    </row>
    <row r="17" spans="3:15" x14ac:dyDescent="0.25">
      <c r="F17" s="4"/>
      <c r="G17" s="1" t="s">
        <v>11</v>
      </c>
      <c r="H17" s="11"/>
      <c r="I17" t="s">
        <v>13</v>
      </c>
      <c r="J17" s="7" t="e">
        <f>+F18/F17</f>
        <v>#DIV/0!</v>
      </c>
      <c r="M17" s="21"/>
      <c r="N17" s="21"/>
      <c r="O17" s="21"/>
    </row>
    <row r="18" spans="3:15" x14ac:dyDescent="0.25">
      <c r="F18" s="4"/>
      <c r="G18" s="1" t="s">
        <v>12</v>
      </c>
      <c r="H18" s="11"/>
      <c r="I18" t="s">
        <v>16</v>
      </c>
      <c r="J18" s="7" t="e">
        <f>+F8/F18</f>
        <v>#DIV/0!</v>
      </c>
      <c r="M18" s="21"/>
      <c r="N18" s="21"/>
      <c r="O18" s="21"/>
    </row>
    <row r="19" spans="3:15" x14ac:dyDescent="0.25">
      <c r="F19" s="2" t="s">
        <v>51</v>
      </c>
      <c r="G19">
        <v>0</v>
      </c>
      <c r="H19" s="11" t="s">
        <v>52</v>
      </c>
      <c r="I19" t="s">
        <v>41</v>
      </c>
      <c r="J19" s="7" t="e">
        <f>+F8/F15</f>
        <v>#DIV/0!</v>
      </c>
      <c r="M19" s="21"/>
      <c r="N19" s="21"/>
      <c r="O19" s="21"/>
    </row>
    <row r="20" spans="3:15" x14ac:dyDescent="0.25">
      <c r="H20" s="11"/>
      <c r="M20" s="21"/>
      <c r="N20" s="21"/>
      <c r="O20" s="21"/>
    </row>
    <row r="21" spans="3:15" x14ac:dyDescent="0.25">
      <c r="C21" s="9"/>
      <c r="D21" s="13" t="s">
        <v>21</v>
      </c>
      <c r="E21" s="9"/>
      <c r="F21" s="9" t="s">
        <v>22</v>
      </c>
      <c r="G21" s="9" t="s">
        <v>23</v>
      </c>
      <c r="H21" s="13" t="s">
        <v>27</v>
      </c>
      <c r="I21" s="10" t="s">
        <v>24</v>
      </c>
      <c r="J21" s="9"/>
      <c r="K21" s="9"/>
      <c r="L21" s="9"/>
      <c r="M21" s="21"/>
      <c r="N21" s="21"/>
      <c r="O21" s="21"/>
    </row>
    <row r="22" spans="3:15" ht="6" customHeight="1" x14ac:dyDescent="0.25">
      <c r="M22" s="21"/>
      <c r="N22" s="21"/>
      <c r="O22" s="21"/>
    </row>
    <row r="23" spans="3:15" x14ac:dyDescent="0.25">
      <c r="C23" s="33" t="str">
        <f>IF(H23=1,"u","")</f>
        <v>u</v>
      </c>
      <c r="D23" s="23" t="s">
        <v>148</v>
      </c>
      <c r="E23" s="33"/>
      <c r="F23" t="s">
        <v>149</v>
      </c>
      <c r="G23" t="s">
        <v>25</v>
      </c>
      <c r="H23">
        <f>RANK(I23,I$23:I$43,1)</f>
        <v>1</v>
      </c>
      <c r="I23" s="4">
        <v>1550780</v>
      </c>
      <c r="J23" s="4"/>
      <c r="K23" s="4"/>
      <c r="L23" s="4"/>
      <c r="M23" s="22"/>
      <c r="N23" s="22"/>
      <c r="O23" s="22"/>
    </row>
    <row r="24" spans="3:15" x14ac:dyDescent="0.25">
      <c r="C24" s="33" t="str">
        <f>IF(H24=1,"u","")</f>
        <v/>
      </c>
      <c r="D24" s="23" t="s">
        <v>336</v>
      </c>
      <c r="E24" s="33"/>
      <c r="F24" t="s">
        <v>337</v>
      </c>
      <c r="G24" t="s">
        <v>25</v>
      </c>
      <c r="H24">
        <f t="shared" ref="H24:H31" si="0">RANK(I24,I$23:I$43,1)</f>
        <v>2</v>
      </c>
      <c r="I24" s="4">
        <v>1631620</v>
      </c>
      <c r="J24" s="4"/>
      <c r="K24" s="4"/>
      <c r="L24" s="4"/>
      <c r="M24" s="22"/>
      <c r="N24" s="22"/>
      <c r="O24" s="22"/>
    </row>
    <row r="25" spans="3:15" x14ac:dyDescent="0.25">
      <c r="C25" s="33" t="str">
        <f>IF(H25=1,"u","")</f>
        <v/>
      </c>
      <c r="D25" s="23" t="s">
        <v>257</v>
      </c>
      <c r="E25" s="33"/>
      <c r="F25" t="s">
        <v>147</v>
      </c>
      <c r="G25" t="s">
        <v>93</v>
      </c>
      <c r="H25">
        <f t="shared" si="0"/>
        <v>3</v>
      </c>
      <c r="I25" s="4">
        <v>1876150</v>
      </c>
      <c r="J25" s="4"/>
      <c r="K25" s="4"/>
      <c r="L25" s="4"/>
      <c r="M25" s="22"/>
      <c r="N25" s="22"/>
      <c r="O25" s="22"/>
    </row>
    <row r="26" spans="3:15" x14ac:dyDescent="0.25">
      <c r="C26" s="33" t="str">
        <f t="shared" ref="C26:C43" si="1">IF(H26=1,"u","")</f>
        <v/>
      </c>
      <c r="D26" s="23" t="s">
        <v>191</v>
      </c>
      <c r="E26" s="33"/>
      <c r="F26" t="s">
        <v>192</v>
      </c>
      <c r="G26" t="s">
        <v>25</v>
      </c>
      <c r="H26">
        <f t="shared" si="0"/>
        <v>4</v>
      </c>
      <c r="I26" s="4">
        <v>1881822.75</v>
      </c>
      <c r="J26" s="4"/>
      <c r="K26" s="4"/>
      <c r="L26" s="4"/>
      <c r="M26" s="22"/>
      <c r="N26" s="22"/>
      <c r="O26" s="22"/>
    </row>
    <row r="27" spans="3:15" x14ac:dyDescent="0.25">
      <c r="C27" s="33" t="str">
        <f t="shared" si="1"/>
        <v/>
      </c>
      <c r="D27" s="23" t="s">
        <v>338</v>
      </c>
      <c r="E27" s="33" t="str">
        <f t="shared" ref="E27:E43" si="2">IF(H27=1,"t","")</f>
        <v/>
      </c>
      <c r="F27" t="s">
        <v>147</v>
      </c>
      <c r="G27" t="s">
        <v>93</v>
      </c>
      <c r="H27">
        <f t="shared" si="0"/>
        <v>5</v>
      </c>
      <c r="I27" s="4">
        <v>2050166.2</v>
      </c>
      <c r="J27" s="4"/>
      <c r="K27" s="4"/>
      <c r="L27" s="4"/>
      <c r="M27" s="22"/>
      <c r="N27" s="22"/>
      <c r="O27" s="22"/>
    </row>
    <row r="28" spans="3:15" x14ac:dyDescent="0.25">
      <c r="C28" s="33" t="str">
        <f t="shared" si="1"/>
        <v/>
      </c>
      <c r="D28" s="23" t="s">
        <v>138</v>
      </c>
      <c r="E28" s="33" t="str">
        <f t="shared" si="2"/>
        <v/>
      </c>
      <c r="F28" t="s">
        <v>139</v>
      </c>
      <c r="G28" t="s">
        <v>25</v>
      </c>
      <c r="H28">
        <f t="shared" si="0"/>
        <v>6</v>
      </c>
      <c r="I28" s="4">
        <v>2131570</v>
      </c>
      <c r="J28" s="4"/>
      <c r="K28" s="4"/>
      <c r="L28" s="4"/>
      <c r="M28" s="22"/>
      <c r="N28" s="22"/>
      <c r="O28" s="22"/>
    </row>
    <row r="29" spans="3:15" x14ac:dyDescent="0.25">
      <c r="C29" s="33" t="str">
        <f t="shared" si="1"/>
        <v/>
      </c>
      <c r="D29" s="23" t="s">
        <v>128</v>
      </c>
      <c r="E29" s="33" t="str">
        <f t="shared" si="2"/>
        <v/>
      </c>
      <c r="F29" t="s">
        <v>129</v>
      </c>
      <c r="G29" t="s">
        <v>25</v>
      </c>
      <c r="H29">
        <f t="shared" si="0"/>
        <v>7</v>
      </c>
      <c r="I29" s="4">
        <v>2355224.75</v>
      </c>
      <c r="J29" s="4"/>
      <c r="K29" s="4"/>
      <c r="L29" s="4"/>
      <c r="M29" s="22"/>
      <c r="N29" s="22"/>
      <c r="O29" s="22"/>
    </row>
    <row r="30" spans="3:15" x14ac:dyDescent="0.25">
      <c r="C30" s="33" t="str">
        <f t="shared" si="1"/>
        <v/>
      </c>
      <c r="D30" s="23" t="s">
        <v>339</v>
      </c>
      <c r="E30" s="33" t="str">
        <f t="shared" si="2"/>
        <v/>
      </c>
      <c r="F30" t="s">
        <v>323</v>
      </c>
      <c r="G30" t="s">
        <v>93</v>
      </c>
      <c r="H30">
        <f t="shared" si="0"/>
        <v>8</v>
      </c>
      <c r="I30" s="4">
        <v>2628864</v>
      </c>
      <c r="J30" s="4"/>
      <c r="K30" s="4"/>
      <c r="L30" s="4"/>
      <c r="M30" s="22"/>
      <c r="N30" s="22"/>
      <c r="O30" s="22"/>
    </row>
    <row r="31" spans="3:15" x14ac:dyDescent="0.25">
      <c r="C31" s="33" t="str">
        <f t="shared" si="1"/>
        <v/>
      </c>
      <c r="D31" s="23" t="s">
        <v>340</v>
      </c>
      <c r="E31" s="33" t="str">
        <f t="shared" si="2"/>
        <v/>
      </c>
      <c r="F31" t="s">
        <v>341</v>
      </c>
      <c r="G31" t="s">
        <v>25</v>
      </c>
      <c r="H31">
        <f t="shared" si="0"/>
        <v>9</v>
      </c>
      <c r="I31" s="4">
        <v>6999965</v>
      </c>
      <c r="J31" s="4"/>
      <c r="K31" s="4"/>
      <c r="L31" s="4"/>
      <c r="M31" s="22"/>
      <c r="N31" s="22"/>
      <c r="O31" s="22"/>
    </row>
    <row r="32" spans="3:15" x14ac:dyDescent="0.25">
      <c r="C32" s="33" t="str">
        <f t="shared" si="1"/>
        <v/>
      </c>
      <c r="D32" s="23"/>
      <c r="E32" s="33" t="str">
        <f t="shared" si="2"/>
        <v/>
      </c>
      <c r="I32" s="4"/>
      <c r="J32" s="4"/>
      <c r="K32" s="4"/>
      <c r="L32" s="4"/>
      <c r="M32" s="22"/>
      <c r="N32" s="22"/>
      <c r="O32" s="22"/>
    </row>
    <row r="33" spans="3:15" x14ac:dyDescent="0.25">
      <c r="C33" s="33" t="str">
        <f t="shared" si="1"/>
        <v/>
      </c>
      <c r="D33" s="23"/>
      <c r="E33" s="33" t="str">
        <f t="shared" si="2"/>
        <v/>
      </c>
      <c r="M33" s="21"/>
      <c r="N33" s="21"/>
      <c r="O33" s="21"/>
    </row>
    <row r="34" spans="3:15" x14ac:dyDescent="0.25">
      <c r="C34" s="33" t="str">
        <f t="shared" si="1"/>
        <v/>
      </c>
      <c r="D34" s="23"/>
      <c r="E34" s="33" t="str">
        <f t="shared" si="2"/>
        <v/>
      </c>
      <c r="M34" s="21"/>
      <c r="N34" s="21"/>
      <c r="O34" s="21"/>
    </row>
    <row r="35" spans="3:15" x14ac:dyDescent="0.25">
      <c r="C35" s="33" t="str">
        <f t="shared" si="1"/>
        <v/>
      </c>
      <c r="D35" s="23"/>
      <c r="E35" s="33" t="str">
        <f t="shared" si="2"/>
        <v/>
      </c>
      <c r="M35" s="21"/>
      <c r="N35" s="21"/>
      <c r="O35" s="21"/>
    </row>
    <row r="36" spans="3:15" x14ac:dyDescent="0.25">
      <c r="C36" s="33" t="str">
        <f t="shared" si="1"/>
        <v/>
      </c>
      <c r="D36" s="23"/>
      <c r="E36" s="33" t="str">
        <f t="shared" si="2"/>
        <v/>
      </c>
      <c r="M36" s="21"/>
      <c r="N36" s="21"/>
      <c r="O36" s="21"/>
    </row>
    <row r="37" spans="3:15" x14ac:dyDescent="0.25">
      <c r="C37" s="33" t="str">
        <f t="shared" si="1"/>
        <v/>
      </c>
      <c r="D37" s="23"/>
      <c r="E37" s="33" t="str">
        <f t="shared" si="2"/>
        <v/>
      </c>
      <c r="M37" s="21"/>
      <c r="N37" s="21"/>
      <c r="O37" s="21"/>
    </row>
    <row r="38" spans="3:15" x14ac:dyDescent="0.25">
      <c r="C38" s="33" t="str">
        <f t="shared" si="1"/>
        <v/>
      </c>
      <c r="D38" s="11"/>
      <c r="E38" s="33" t="str">
        <f t="shared" si="2"/>
        <v/>
      </c>
      <c r="M38" s="21"/>
      <c r="N38" s="21"/>
      <c r="O38" s="21"/>
    </row>
    <row r="39" spans="3:15" x14ac:dyDescent="0.25">
      <c r="C39" s="33" t="str">
        <f t="shared" si="1"/>
        <v/>
      </c>
      <c r="D39" s="11"/>
      <c r="E39" s="33" t="str">
        <f t="shared" si="2"/>
        <v/>
      </c>
      <c r="M39" s="21"/>
      <c r="N39" s="21"/>
      <c r="O39" s="21"/>
    </row>
    <row r="40" spans="3:15" x14ac:dyDescent="0.25">
      <c r="C40" s="33" t="str">
        <f t="shared" si="1"/>
        <v/>
      </c>
      <c r="D40" s="11"/>
      <c r="E40" s="33" t="str">
        <f t="shared" si="2"/>
        <v/>
      </c>
      <c r="M40" s="21"/>
      <c r="N40" s="21"/>
      <c r="O40" s="21"/>
    </row>
    <row r="41" spans="3:15" x14ac:dyDescent="0.25">
      <c r="C41" s="33" t="str">
        <f t="shared" si="1"/>
        <v/>
      </c>
      <c r="D41" s="11"/>
      <c r="E41" s="33" t="str">
        <f t="shared" si="2"/>
        <v/>
      </c>
      <c r="M41" s="21"/>
      <c r="N41" s="21"/>
      <c r="O41" s="21"/>
    </row>
    <row r="42" spans="3:15" x14ac:dyDescent="0.25">
      <c r="C42" s="33" t="str">
        <f t="shared" si="1"/>
        <v/>
      </c>
      <c r="D42" s="11"/>
      <c r="E42" s="33" t="str">
        <f t="shared" si="2"/>
        <v/>
      </c>
      <c r="M42" s="21"/>
      <c r="N42" s="21"/>
      <c r="O42" s="21"/>
    </row>
    <row r="43" spans="3:15" x14ac:dyDescent="0.25">
      <c r="C43" s="33" t="str">
        <f t="shared" si="1"/>
        <v/>
      </c>
      <c r="D43" s="11"/>
      <c r="E43" s="33" t="str">
        <f t="shared" si="2"/>
        <v/>
      </c>
      <c r="M43" s="21"/>
      <c r="N43" s="21"/>
      <c r="O43" s="21"/>
    </row>
    <row r="44" spans="3:15" ht="6" customHeight="1" x14ac:dyDescent="0.25">
      <c r="C44" s="9"/>
      <c r="D44" s="9"/>
      <c r="E44" s="9"/>
      <c r="F44" s="9"/>
      <c r="G44" s="9"/>
      <c r="H44" s="9"/>
      <c r="I44" s="9"/>
      <c r="J44" s="9"/>
      <c r="K44" s="9"/>
      <c r="L44" s="9"/>
      <c r="M44" s="21"/>
      <c r="N44" s="21"/>
      <c r="O44" s="21"/>
    </row>
    <row r="45" spans="3:15" ht="6" customHeight="1" x14ac:dyDescent="0.25">
      <c r="M45" s="21"/>
      <c r="N45" s="21"/>
      <c r="O45" s="21"/>
    </row>
    <row r="46" spans="3:15" x14ac:dyDescent="0.25">
      <c r="C46" s="15" t="s">
        <v>79</v>
      </c>
      <c r="M46" s="21"/>
      <c r="N46" s="21"/>
      <c r="O46" s="21"/>
    </row>
    <row r="47" spans="3:15" x14ac:dyDescent="0.25">
      <c r="C47" s="15" t="s">
        <v>78</v>
      </c>
    </row>
  </sheetData>
  <mergeCells count="1">
    <mergeCell ref="G13:H13"/>
  </mergeCells>
  <conditionalFormatting sqref="I9">
    <cfRule type="containsText" dxfId="204" priority="10" operator="containsText" text="FAIL">
      <formula>NOT(ISERROR(SEARCH("FAIL",I9)))</formula>
    </cfRule>
  </conditionalFormatting>
  <conditionalFormatting sqref="I9">
    <cfRule type="containsText" dxfId="203" priority="9" operator="containsText" text="GOOD">
      <formula>NOT(ISERROR(SEARCH("GOOD",I9)))</formula>
    </cfRule>
  </conditionalFormatting>
  <conditionalFormatting sqref="F11">
    <cfRule type="containsText" dxfId="202" priority="8" operator="containsText" text="FAIL">
      <formula>NOT(ISERROR(SEARCH("FAIL",F11)))</formula>
    </cfRule>
  </conditionalFormatting>
  <conditionalFormatting sqref="F11">
    <cfRule type="containsText" dxfId="201" priority="7" operator="containsText" text="GOOD">
      <formula>NOT(ISERROR(SEARCH("GOOD",F11)))</formula>
    </cfRule>
  </conditionalFormatting>
  <conditionalFormatting sqref="D25">
    <cfRule type="expression" dxfId="200" priority="6" stopIfTrue="1">
      <formula>IF($H$25=1,0)</formula>
    </cfRule>
  </conditionalFormatting>
  <conditionalFormatting sqref="D23:D43">
    <cfRule type="expression" dxfId="199" priority="5">
      <formula>H23=1</formula>
    </cfRule>
  </conditionalFormatting>
  <conditionalFormatting sqref="C23:C43">
    <cfRule type="expression" dxfId="198" priority="4">
      <formula>H23=1</formula>
    </cfRule>
  </conditionalFormatting>
  <conditionalFormatting sqref="E23:E43">
    <cfRule type="expression" dxfId="197" priority="3">
      <formula>H23=1</formula>
    </cfRule>
  </conditionalFormatting>
  <conditionalFormatting sqref="F11">
    <cfRule type="containsText" dxfId="196" priority="2" operator="containsText" text="FAIL">
      <formula>NOT(ISERROR(SEARCH("FAIL",F11)))</formula>
    </cfRule>
  </conditionalFormatting>
  <conditionalFormatting sqref="F11">
    <cfRule type="containsText" dxfId="195" priority="1" operator="containsText" text="GOOD">
      <formula>NOT(ISERROR(SEARCH("GOOD",F11)))</formula>
    </cfRule>
  </conditionalFormatting>
  <pageMargins left="0.7" right="0.7" top="0.75" bottom="0.75" header="0.3" footer="0.3"/>
  <pageSetup orientation="portrait" r:id="rId1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sheetPr codeName="Sheet63"/>
  <dimension ref="A2:O47"/>
  <sheetViews>
    <sheetView zoomScaleNormal="100" workbookViewId="0">
      <selection activeCell="K26" sqref="K26"/>
    </sheetView>
  </sheetViews>
  <sheetFormatPr defaultRowHeight="15" x14ac:dyDescent="0.25"/>
  <cols>
    <col min="1" max="2" width="4.42578125" customWidth="1"/>
    <col min="3" max="3" width="3" customWidth="1"/>
    <col min="4" max="4" width="24.85546875" customWidth="1"/>
    <col min="5" max="5" width="3" customWidth="1"/>
    <col min="6" max="6" width="15.7109375" customWidth="1"/>
    <col min="7" max="7" width="8.5703125" customWidth="1"/>
    <col min="8" max="8" width="5.85546875" customWidth="1"/>
    <col min="9" max="15" width="15.7109375" customWidth="1"/>
  </cols>
  <sheetData>
    <row r="2" spans="1:11" x14ac:dyDescent="0.25">
      <c r="C2" s="15" t="s">
        <v>32</v>
      </c>
      <c r="E2" s="15"/>
      <c r="F2" s="15"/>
      <c r="G2" s="15" t="s">
        <v>33</v>
      </c>
      <c r="H2" s="15"/>
      <c r="I2" s="15"/>
      <c r="J2" s="15"/>
      <c r="K2" s="15"/>
    </row>
    <row r="3" spans="1:11" ht="18.75" x14ac:dyDescent="0.3">
      <c r="C3" s="3" t="s">
        <v>26</v>
      </c>
      <c r="J3" s="8" t="s">
        <v>17</v>
      </c>
    </row>
    <row r="4" spans="1:11" x14ac:dyDescent="0.25">
      <c r="D4" s="2" t="s">
        <v>0</v>
      </c>
      <c r="E4" s="1"/>
      <c r="F4" t="s">
        <v>977</v>
      </c>
      <c r="I4" s="2" t="s">
        <v>4</v>
      </c>
      <c r="J4" t="s">
        <v>816</v>
      </c>
    </row>
    <row r="5" spans="1:11" x14ac:dyDescent="0.25">
      <c r="D5" s="2" t="s">
        <v>1</v>
      </c>
      <c r="F5" t="s">
        <v>978</v>
      </c>
    </row>
    <row r="6" spans="1:11" x14ac:dyDescent="0.25">
      <c r="D6" s="2" t="s">
        <v>2</v>
      </c>
      <c r="F6" s="6">
        <v>42831</v>
      </c>
      <c r="H6" s="11"/>
    </row>
    <row r="7" spans="1:11" x14ac:dyDescent="0.25">
      <c r="D7" s="2" t="s">
        <v>3</v>
      </c>
      <c r="F7" s="5">
        <v>1655000</v>
      </c>
      <c r="G7" s="2" t="s">
        <v>34</v>
      </c>
      <c r="H7" s="11"/>
    </row>
    <row r="8" spans="1:11" x14ac:dyDescent="0.25">
      <c r="D8" s="2" t="s">
        <v>18</v>
      </c>
      <c r="F8" s="5">
        <f>MIN(I23:I43)</f>
        <v>1398667</v>
      </c>
      <c r="H8" s="11"/>
    </row>
    <row r="9" spans="1:11" x14ac:dyDescent="0.25">
      <c r="D9" s="2" t="s">
        <v>67</v>
      </c>
      <c r="F9" s="4">
        <f>+F8-F7</f>
        <v>-256333</v>
      </c>
      <c r="G9" s="16">
        <f>+F9/F7</f>
        <v>-0.15488398791540786</v>
      </c>
      <c r="H9" s="12" t="s">
        <v>20</v>
      </c>
      <c r="I9" s="11" t="str">
        <f>(IF(G9&lt;-0.1,"FAIL",IF(G9&gt;0.05,"FAIL","GOOD")))</f>
        <v>FAIL</v>
      </c>
      <c r="J9" s="14" t="s">
        <v>72</v>
      </c>
    </row>
    <row r="10" spans="1:11" x14ac:dyDescent="0.25">
      <c r="D10" s="2" t="s">
        <v>68</v>
      </c>
      <c r="F10" s="4">
        <f>+F7-F12</f>
        <v>78606</v>
      </c>
      <c r="H10" s="11"/>
    </row>
    <row r="11" spans="1:11" x14ac:dyDescent="0.25">
      <c r="A11" s="52"/>
      <c r="D11" s="2" t="s">
        <v>71</v>
      </c>
      <c r="F11" s="11" t="str">
        <f>(IF(F7&lt;J12,"FAIL",IF(F7&gt;J13,"FAIL","GOOD")))</f>
        <v>GOOD</v>
      </c>
      <c r="H11" s="11"/>
    </row>
    <row r="12" spans="1:11" x14ac:dyDescent="0.25">
      <c r="D12" s="2" t="s">
        <v>28</v>
      </c>
      <c r="F12" s="4">
        <f>SUM(I23:I43)/H12</f>
        <v>1576394</v>
      </c>
      <c r="G12" s="14"/>
      <c r="H12" s="11">
        <f>COUNT(I23:I43)</f>
        <v>3</v>
      </c>
      <c r="I12" s="1" t="s">
        <v>31</v>
      </c>
      <c r="J12" s="4">
        <f>+F8*0.9</f>
        <v>1258800.3</v>
      </c>
      <c r="K12" s="1" t="s">
        <v>69</v>
      </c>
    </row>
    <row r="13" spans="1:11" x14ac:dyDescent="0.25">
      <c r="D13" s="2" t="s">
        <v>29</v>
      </c>
      <c r="F13" s="4">
        <f>MAX(I23:I43)-MIN(I23:I43)</f>
        <v>380388</v>
      </c>
      <c r="G13" s="399">
        <f>MEDIAN(I23:I43)</f>
        <v>1551460</v>
      </c>
      <c r="H13" s="400"/>
      <c r="I13" s="1" t="s">
        <v>30</v>
      </c>
      <c r="J13" s="4">
        <f>+F12*1.1</f>
        <v>1734033.4000000001</v>
      </c>
      <c r="K13" s="1" t="s">
        <v>70</v>
      </c>
    </row>
    <row r="14" spans="1:11" x14ac:dyDescent="0.25">
      <c r="H14" s="11"/>
    </row>
    <row r="15" spans="1:11" x14ac:dyDescent="0.25">
      <c r="D15" s="2" t="s">
        <v>8</v>
      </c>
      <c r="F15" s="4"/>
      <c r="G15" s="1" t="s">
        <v>9</v>
      </c>
      <c r="H15" s="11"/>
      <c r="I15" t="s">
        <v>15</v>
      </c>
      <c r="J15" s="7" t="e">
        <f>+F16/F15</f>
        <v>#DIV/0!</v>
      </c>
    </row>
    <row r="16" spans="1:11" x14ac:dyDescent="0.25">
      <c r="F16" s="4"/>
      <c r="G16" s="1" t="s">
        <v>10</v>
      </c>
      <c r="H16" s="11"/>
      <c r="I16" t="s">
        <v>14</v>
      </c>
      <c r="J16" s="7" t="e">
        <f>+F17/F16</f>
        <v>#DIV/0!</v>
      </c>
    </row>
    <row r="17" spans="3:15" x14ac:dyDescent="0.25">
      <c r="F17" s="4"/>
      <c r="G17" s="1" t="s">
        <v>11</v>
      </c>
      <c r="H17" s="11"/>
      <c r="I17" t="s">
        <v>13</v>
      </c>
      <c r="J17" s="7" t="e">
        <f>+F18/F17</f>
        <v>#DIV/0!</v>
      </c>
      <c r="M17" s="21"/>
      <c r="N17" s="21"/>
      <c r="O17" s="21"/>
    </row>
    <row r="18" spans="3:15" x14ac:dyDescent="0.25">
      <c r="F18" s="4"/>
      <c r="G18" s="1" t="s">
        <v>12</v>
      </c>
      <c r="H18" s="11"/>
      <c r="I18" t="s">
        <v>16</v>
      </c>
      <c r="J18" s="7" t="e">
        <f>+F8/F18</f>
        <v>#DIV/0!</v>
      </c>
      <c r="M18" s="21"/>
      <c r="N18" s="21"/>
      <c r="O18" s="21"/>
    </row>
    <row r="19" spans="3:15" x14ac:dyDescent="0.25">
      <c r="F19" s="2" t="s">
        <v>51</v>
      </c>
      <c r="G19">
        <v>0</v>
      </c>
      <c r="H19" s="11" t="s">
        <v>52</v>
      </c>
      <c r="I19" t="s">
        <v>41</v>
      </c>
      <c r="J19" s="7" t="e">
        <f>+F8/F15</f>
        <v>#DIV/0!</v>
      </c>
      <c r="M19" s="21"/>
      <c r="N19" s="21"/>
      <c r="O19" s="21"/>
    </row>
    <row r="20" spans="3:15" x14ac:dyDescent="0.25">
      <c r="H20" s="11"/>
      <c r="M20" s="21"/>
      <c r="N20" s="21"/>
      <c r="O20" s="21"/>
    </row>
    <row r="21" spans="3:15" x14ac:dyDescent="0.25">
      <c r="C21" s="9"/>
      <c r="D21" s="13" t="s">
        <v>21</v>
      </c>
      <c r="E21" s="9"/>
      <c r="F21" s="9" t="s">
        <v>22</v>
      </c>
      <c r="G21" s="9" t="s">
        <v>23</v>
      </c>
      <c r="H21" s="13" t="s">
        <v>27</v>
      </c>
      <c r="I21" s="10" t="s">
        <v>24</v>
      </c>
      <c r="J21" s="9"/>
      <c r="K21" s="9"/>
      <c r="L21" s="9"/>
      <c r="M21" s="21"/>
      <c r="N21" s="21"/>
      <c r="O21" s="21"/>
    </row>
    <row r="22" spans="3:15" ht="6" customHeight="1" x14ac:dyDescent="0.25">
      <c r="M22" s="21"/>
      <c r="N22" s="21"/>
      <c r="O22" s="21"/>
    </row>
    <row r="23" spans="3:15" x14ac:dyDescent="0.25">
      <c r="C23" s="33" t="str">
        <f>IF(H23=1,"u","")</f>
        <v/>
      </c>
      <c r="D23" s="11" t="s">
        <v>836</v>
      </c>
      <c r="E23" s="33"/>
      <c r="F23" t="s">
        <v>486</v>
      </c>
      <c r="G23" t="s">
        <v>25</v>
      </c>
      <c r="H23">
        <f>RANK(I23,I$23:I$43,1)</f>
        <v>2</v>
      </c>
      <c r="I23" s="4">
        <v>1551460</v>
      </c>
      <c r="J23" s="4"/>
      <c r="K23" s="4"/>
      <c r="L23" s="4"/>
      <c r="M23" s="22"/>
      <c r="N23" s="22"/>
      <c r="O23" s="22"/>
    </row>
    <row r="24" spans="3:15" x14ac:dyDescent="0.25">
      <c r="C24" s="33" t="str">
        <f>IF(H24=1,"u","")</f>
        <v>u</v>
      </c>
      <c r="D24" s="11" t="s">
        <v>979</v>
      </c>
      <c r="E24" s="33"/>
      <c r="F24" t="s">
        <v>201</v>
      </c>
      <c r="G24" t="s">
        <v>25</v>
      </c>
      <c r="H24">
        <f>RANK(I24,I$23:I$43,1)</f>
        <v>1</v>
      </c>
      <c r="I24" s="4">
        <v>1398667</v>
      </c>
      <c r="J24" s="4"/>
      <c r="K24" s="4"/>
      <c r="L24" s="4"/>
      <c r="M24" s="22"/>
      <c r="N24" s="22"/>
      <c r="O24" s="22"/>
    </row>
    <row r="25" spans="3:15" x14ac:dyDescent="0.25">
      <c r="C25" s="33" t="str">
        <f>IF(H25=1,"u","")</f>
        <v/>
      </c>
      <c r="D25" s="11" t="s">
        <v>533</v>
      </c>
      <c r="E25" s="33"/>
      <c r="F25" t="s">
        <v>92</v>
      </c>
      <c r="G25" t="s">
        <v>93</v>
      </c>
      <c r="H25">
        <f>RANK(I25,I$23:I$43,1)</f>
        <v>3</v>
      </c>
      <c r="I25" s="4">
        <v>1779055</v>
      </c>
      <c r="J25" s="4"/>
      <c r="K25" s="4"/>
      <c r="L25" s="4"/>
      <c r="M25" s="22"/>
      <c r="N25" s="22"/>
      <c r="O25" s="22"/>
    </row>
    <row r="26" spans="3:15" x14ac:dyDescent="0.25">
      <c r="C26" s="33" t="str">
        <f t="shared" ref="C26:C43" si="0">IF(H26=1,"u","")</f>
        <v/>
      </c>
      <c r="D26" s="11"/>
      <c r="E26" s="33"/>
      <c r="I26" s="4"/>
      <c r="J26" s="4"/>
      <c r="K26" s="4"/>
      <c r="L26" s="4"/>
      <c r="M26" s="22"/>
      <c r="N26" s="22"/>
      <c r="O26" s="22"/>
    </row>
    <row r="27" spans="3:15" x14ac:dyDescent="0.25">
      <c r="C27" s="33" t="str">
        <f t="shared" si="0"/>
        <v/>
      </c>
      <c r="D27" s="11"/>
      <c r="E27" s="33"/>
      <c r="I27" s="4"/>
      <c r="J27" s="4"/>
      <c r="K27" s="4"/>
      <c r="L27" s="4"/>
      <c r="M27" s="22"/>
      <c r="N27" s="22"/>
      <c r="O27" s="22"/>
    </row>
    <row r="28" spans="3:15" x14ac:dyDescent="0.25">
      <c r="C28" s="33" t="str">
        <f t="shared" si="0"/>
        <v/>
      </c>
      <c r="D28" s="11"/>
      <c r="E28" s="33"/>
      <c r="I28" s="4"/>
      <c r="J28" s="4"/>
      <c r="K28" s="4"/>
      <c r="L28" s="4"/>
      <c r="M28" s="22"/>
      <c r="N28" s="22"/>
      <c r="O28" s="22"/>
    </row>
    <row r="29" spans="3:15" x14ac:dyDescent="0.25">
      <c r="C29" s="33" t="str">
        <f t="shared" si="0"/>
        <v/>
      </c>
      <c r="D29" s="11"/>
      <c r="E29" s="33"/>
      <c r="I29" s="4"/>
      <c r="J29" s="4"/>
      <c r="K29" s="4"/>
      <c r="L29" s="4"/>
      <c r="M29" s="22"/>
      <c r="N29" s="22"/>
      <c r="O29" s="22"/>
    </row>
    <row r="30" spans="3:15" x14ac:dyDescent="0.25">
      <c r="C30" s="33" t="str">
        <f t="shared" si="0"/>
        <v/>
      </c>
      <c r="D30" s="11"/>
      <c r="E30" s="33"/>
      <c r="I30" s="4"/>
      <c r="J30" s="4"/>
      <c r="K30" s="4"/>
      <c r="L30" s="4"/>
      <c r="M30" s="22"/>
      <c r="N30" s="22"/>
      <c r="O30" s="22"/>
    </row>
    <row r="31" spans="3:15" x14ac:dyDescent="0.25">
      <c r="C31" s="33" t="str">
        <f t="shared" si="0"/>
        <v/>
      </c>
      <c r="D31" s="11"/>
      <c r="E31" s="33"/>
      <c r="I31" s="4"/>
      <c r="J31" s="4"/>
      <c r="K31" s="4"/>
      <c r="L31" s="4"/>
      <c r="M31" s="22"/>
      <c r="N31" s="22"/>
      <c r="O31" s="22"/>
    </row>
    <row r="32" spans="3:15" x14ac:dyDescent="0.25">
      <c r="C32" s="33" t="str">
        <f t="shared" si="0"/>
        <v/>
      </c>
      <c r="D32" s="11"/>
      <c r="E32" s="33"/>
      <c r="I32" s="4"/>
      <c r="J32" s="4"/>
      <c r="K32" s="4"/>
      <c r="L32" s="4"/>
      <c r="M32" s="22"/>
      <c r="N32" s="22"/>
      <c r="O32" s="22"/>
    </row>
    <row r="33" spans="3:15" x14ac:dyDescent="0.25">
      <c r="C33" s="33" t="str">
        <f t="shared" si="0"/>
        <v/>
      </c>
      <c r="D33" s="11"/>
      <c r="E33" s="33"/>
      <c r="I33" s="4"/>
      <c r="M33" s="21"/>
      <c r="N33" s="21"/>
      <c r="O33" s="21"/>
    </row>
    <row r="34" spans="3:15" x14ac:dyDescent="0.25">
      <c r="C34" s="33" t="str">
        <f t="shared" si="0"/>
        <v/>
      </c>
      <c r="D34" s="11"/>
      <c r="E34" s="33"/>
      <c r="I34" s="4"/>
      <c r="M34" s="21"/>
      <c r="N34" s="21"/>
      <c r="O34" s="21"/>
    </row>
    <row r="35" spans="3:15" x14ac:dyDescent="0.25">
      <c r="C35" s="33" t="str">
        <f t="shared" si="0"/>
        <v/>
      </c>
      <c r="D35" s="11"/>
      <c r="E35" s="33"/>
      <c r="I35" s="4"/>
      <c r="M35" s="21"/>
      <c r="N35" s="21"/>
      <c r="O35" s="21"/>
    </row>
    <row r="36" spans="3:15" x14ac:dyDescent="0.25">
      <c r="C36" s="33" t="str">
        <f t="shared" si="0"/>
        <v/>
      </c>
      <c r="D36" s="11"/>
      <c r="E36" s="33"/>
      <c r="I36" s="4"/>
      <c r="M36" s="21"/>
      <c r="N36" s="21"/>
      <c r="O36" s="21"/>
    </row>
    <row r="37" spans="3:15" x14ac:dyDescent="0.25">
      <c r="C37" s="33" t="str">
        <f t="shared" si="0"/>
        <v/>
      </c>
      <c r="D37" s="11"/>
      <c r="E37" s="33" t="str">
        <f t="shared" ref="E37:E43" si="1">IF(H37=1,"t","")</f>
        <v/>
      </c>
      <c r="M37" s="21"/>
      <c r="N37" s="21"/>
      <c r="O37" s="21"/>
    </row>
    <row r="38" spans="3:15" x14ac:dyDescent="0.25">
      <c r="C38" s="33" t="str">
        <f t="shared" si="0"/>
        <v/>
      </c>
      <c r="D38" s="11"/>
      <c r="E38" s="33" t="str">
        <f t="shared" si="1"/>
        <v/>
      </c>
      <c r="M38" s="21"/>
      <c r="N38" s="21"/>
      <c r="O38" s="21"/>
    </row>
    <row r="39" spans="3:15" x14ac:dyDescent="0.25">
      <c r="C39" s="33" t="str">
        <f t="shared" si="0"/>
        <v/>
      </c>
      <c r="D39" s="11"/>
      <c r="E39" s="33" t="str">
        <f t="shared" si="1"/>
        <v/>
      </c>
      <c r="M39" s="21"/>
      <c r="N39" s="21"/>
      <c r="O39" s="21"/>
    </row>
    <row r="40" spans="3:15" x14ac:dyDescent="0.25">
      <c r="C40" s="33" t="str">
        <f t="shared" si="0"/>
        <v/>
      </c>
      <c r="D40" s="11"/>
      <c r="E40" s="33" t="str">
        <f t="shared" si="1"/>
        <v/>
      </c>
      <c r="M40" s="21"/>
      <c r="N40" s="21"/>
      <c r="O40" s="21"/>
    </row>
    <row r="41" spans="3:15" x14ac:dyDescent="0.25">
      <c r="C41" s="33" t="str">
        <f t="shared" si="0"/>
        <v/>
      </c>
      <c r="D41" s="11"/>
      <c r="E41" s="33" t="str">
        <f t="shared" si="1"/>
        <v/>
      </c>
      <c r="M41" s="21"/>
      <c r="N41" s="21"/>
      <c r="O41" s="21"/>
    </row>
    <row r="42" spans="3:15" x14ac:dyDescent="0.25">
      <c r="C42" s="33" t="str">
        <f t="shared" si="0"/>
        <v/>
      </c>
      <c r="D42" s="11"/>
      <c r="E42" s="33" t="str">
        <f t="shared" si="1"/>
        <v/>
      </c>
      <c r="M42" s="21"/>
      <c r="N42" s="21"/>
      <c r="O42" s="21"/>
    </row>
    <row r="43" spans="3:15" x14ac:dyDescent="0.25">
      <c r="C43" s="33" t="str">
        <f t="shared" si="0"/>
        <v/>
      </c>
      <c r="D43" s="11"/>
      <c r="E43" s="33" t="str">
        <f t="shared" si="1"/>
        <v/>
      </c>
      <c r="M43" s="21"/>
      <c r="N43" s="21"/>
      <c r="O43" s="21"/>
    </row>
    <row r="44" spans="3:15" ht="6" customHeight="1" x14ac:dyDescent="0.25">
      <c r="C44" s="9"/>
      <c r="D44" s="9"/>
      <c r="E44" s="9"/>
      <c r="F44" s="9"/>
      <c r="G44" s="9"/>
      <c r="H44" s="9"/>
      <c r="I44" s="9"/>
      <c r="J44" s="9"/>
      <c r="K44" s="9"/>
      <c r="L44" s="9"/>
      <c r="M44" s="21"/>
      <c r="N44" s="21"/>
      <c r="O44" s="21"/>
    </row>
    <row r="45" spans="3:15" ht="6" customHeight="1" x14ac:dyDescent="0.25">
      <c r="M45" s="21"/>
      <c r="N45" s="21"/>
      <c r="O45" s="21"/>
    </row>
    <row r="46" spans="3:15" x14ac:dyDescent="0.25">
      <c r="C46" s="15" t="s">
        <v>79</v>
      </c>
      <c r="M46" s="21"/>
      <c r="N46" s="21"/>
      <c r="O46" s="21"/>
    </row>
    <row r="47" spans="3:15" x14ac:dyDescent="0.25">
      <c r="C47" s="15" t="s">
        <v>78</v>
      </c>
    </row>
  </sheetData>
  <mergeCells count="1">
    <mergeCell ref="G13:H13"/>
  </mergeCells>
  <conditionalFormatting sqref="I9">
    <cfRule type="containsText" dxfId="1485" priority="17" operator="containsText" text="FAIL">
      <formula>NOT(ISERROR(SEARCH("FAIL",I9)))</formula>
    </cfRule>
  </conditionalFormatting>
  <conditionalFormatting sqref="I9">
    <cfRule type="containsText" dxfId="1484" priority="16" operator="containsText" text="GOOD">
      <formula>NOT(ISERROR(SEARCH("GOOD",I9)))</formula>
    </cfRule>
  </conditionalFormatting>
  <conditionalFormatting sqref="F11">
    <cfRule type="containsText" dxfId="1483" priority="15" operator="containsText" text="FAIL">
      <formula>NOT(ISERROR(SEARCH("FAIL",F11)))</formula>
    </cfRule>
  </conditionalFormatting>
  <conditionalFormatting sqref="F11">
    <cfRule type="containsText" dxfId="1482" priority="14" operator="containsText" text="GOOD">
      <formula>NOT(ISERROR(SEARCH("GOOD",F11)))</formula>
    </cfRule>
  </conditionalFormatting>
  <conditionalFormatting sqref="D25">
    <cfRule type="expression" dxfId="1481" priority="13" stopIfTrue="1">
      <formula>IF($H$25=1,0)</formula>
    </cfRule>
  </conditionalFormatting>
  <conditionalFormatting sqref="D23:D25 D32:D43">
    <cfRule type="expression" dxfId="1480" priority="12">
      <formula>H23=1</formula>
    </cfRule>
  </conditionalFormatting>
  <conditionalFormatting sqref="C23:C26 C32:C43">
    <cfRule type="expression" dxfId="1479" priority="11">
      <formula>H23=1</formula>
    </cfRule>
  </conditionalFormatting>
  <conditionalFormatting sqref="E23:E26 E32:E43">
    <cfRule type="expression" dxfId="1478" priority="10">
      <formula>H23=1</formula>
    </cfRule>
  </conditionalFormatting>
  <conditionalFormatting sqref="F11">
    <cfRule type="containsText" dxfId="1477" priority="9" operator="containsText" text="FAIL">
      <formula>NOT(ISERROR(SEARCH("FAIL",F11)))</formula>
    </cfRule>
  </conditionalFormatting>
  <conditionalFormatting sqref="F11">
    <cfRule type="containsText" dxfId="1476" priority="8" operator="containsText" text="GOOD">
      <formula>NOT(ISERROR(SEARCH("GOOD",F11)))</formula>
    </cfRule>
  </conditionalFormatting>
  <conditionalFormatting sqref="D27:D28">
    <cfRule type="expression" dxfId="1475" priority="7">
      <formula>H27=1</formula>
    </cfRule>
  </conditionalFormatting>
  <conditionalFormatting sqref="C27:C28">
    <cfRule type="expression" dxfId="1474" priority="6">
      <formula>H27=1</formula>
    </cfRule>
  </conditionalFormatting>
  <conditionalFormatting sqref="E27:E28">
    <cfRule type="expression" dxfId="1473" priority="5">
      <formula>H27=1</formula>
    </cfRule>
  </conditionalFormatting>
  <conditionalFormatting sqref="D26">
    <cfRule type="expression" dxfId="1472" priority="4">
      <formula>H26=1</formula>
    </cfRule>
  </conditionalFormatting>
  <conditionalFormatting sqref="D29:D31">
    <cfRule type="expression" dxfId="1471" priority="3">
      <formula>H29=1</formula>
    </cfRule>
  </conditionalFormatting>
  <conditionalFormatting sqref="C29:C31">
    <cfRule type="expression" dxfId="1470" priority="2">
      <formula>H29=1</formula>
    </cfRule>
  </conditionalFormatting>
  <conditionalFormatting sqref="E29:E31">
    <cfRule type="expression" dxfId="1469" priority="1">
      <formula>H29=1</formula>
    </cfRule>
  </conditionalFormatting>
  <pageMargins left="0.7" right="0.7" top="0.75" bottom="0.75" header="0.3" footer="0.3"/>
  <pageSetup scale="68" orientation="portrait" r:id="rId1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500-000000000000}">
  <sheetPr codeName="Sheet119"/>
  <dimension ref="A2:O47"/>
  <sheetViews>
    <sheetView view="pageBreakPreview" zoomScale="60" zoomScaleNormal="100" workbookViewId="0">
      <selection activeCell="M19" sqref="M19"/>
    </sheetView>
  </sheetViews>
  <sheetFormatPr defaultRowHeight="15" x14ac:dyDescent="0.25"/>
  <cols>
    <col min="1" max="2" width="4.42578125" customWidth="1"/>
    <col min="3" max="3" width="3" customWidth="1"/>
    <col min="4" max="4" width="24.85546875" customWidth="1"/>
    <col min="5" max="5" width="3" customWidth="1"/>
    <col min="6" max="6" width="15.7109375" customWidth="1"/>
    <col min="7" max="7" width="8.5703125" customWidth="1"/>
    <col min="8" max="8" width="5.85546875" customWidth="1"/>
    <col min="9" max="15" width="15.7109375" customWidth="1"/>
  </cols>
  <sheetData>
    <row r="2" spans="1:11" x14ac:dyDescent="0.25">
      <c r="C2" s="15" t="s">
        <v>32</v>
      </c>
      <c r="E2" s="15"/>
      <c r="F2" s="15"/>
      <c r="G2" s="15" t="s">
        <v>33</v>
      </c>
      <c r="H2" s="15"/>
      <c r="I2" s="15"/>
      <c r="J2" s="15"/>
      <c r="K2" s="15"/>
    </row>
    <row r="3" spans="1:11" ht="18.75" x14ac:dyDescent="0.3">
      <c r="C3" s="3" t="s">
        <v>26</v>
      </c>
      <c r="J3" s="8" t="s">
        <v>17</v>
      </c>
    </row>
    <row r="4" spans="1:11" x14ac:dyDescent="0.25">
      <c r="D4" s="2" t="s">
        <v>0</v>
      </c>
      <c r="E4" s="1"/>
      <c r="F4" t="s">
        <v>565</v>
      </c>
      <c r="I4" s="2" t="s">
        <v>4</v>
      </c>
      <c r="J4" t="s">
        <v>442</v>
      </c>
    </row>
    <row r="5" spans="1:11" x14ac:dyDescent="0.25">
      <c r="D5" s="2" t="s">
        <v>1</v>
      </c>
      <c r="F5" t="s">
        <v>566</v>
      </c>
    </row>
    <row r="6" spans="1:11" x14ac:dyDescent="0.25">
      <c r="D6" s="2" t="s">
        <v>2</v>
      </c>
      <c r="F6" s="6">
        <v>42450</v>
      </c>
      <c r="H6" s="11"/>
    </row>
    <row r="7" spans="1:11" x14ac:dyDescent="0.25">
      <c r="D7" s="2" t="s">
        <v>3</v>
      </c>
      <c r="F7" s="5">
        <v>13100000</v>
      </c>
      <c r="G7" s="2" t="s">
        <v>190</v>
      </c>
      <c r="H7" s="11"/>
    </row>
    <row r="8" spans="1:11" x14ac:dyDescent="0.25">
      <c r="D8" s="2" t="s">
        <v>18</v>
      </c>
      <c r="F8" s="5">
        <f>MIN(I23:I43)</f>
        <v>14145813</v>
      </c>
      <c r="H8" s="11"/>
    </row>
    <row r="9" spans="1:11" x14ac:dyDescent="0.25">
      <c r="D9" s="2" t="s">
        <v>67</v>
      </c>
      <c r="F9" s="4">
        <f>+F8-F7</f>
        <v>1045813</v>
      </c>
      <c r="G9" s="16">
        <f>+F9/F7</f>
        <v>7.9833053435114501E-2</v>
      </c>
      <c r="H9" s="12" t="s">
        <v>20</v>
      </c>
      <c r="I9" s="11" t="str">
        <f>(IF(G9&lt;-0.1,"FAIL",IF(G9&gt;0.05,"FAIL","GOOD")))</f>
        <v>FAIL</v>
      </c>
      <c r="J9" s="14" t="s">
        <v>72</v>
      </c>
    </row>
    <row r="10" spans="1:11" x14ac:dyDescent="0.25">
      <c r="D10" s="2" t="s">
        <v>68</v>
      </c>
      <c r="F10" s="4">
        <f>+F7-F12</f>
        <v>-3560915.5999999996</v>
      </c>
      <c r="H10" s="11"/>
    </row>
    <row r="11" spans="1:11" x14ac:dyDescent="0.25">
      <c r="A11" s="52"/>
      <c r="D11" s="2" t="s">
        <v>71</v>
      </c>
      <c r="F11" s="11" t="str">
        <f>(IF(F7&lt;J12,"FAIL",IF(F7&gt;J13,"FAIL","GOOD")))</f>
        <v>GOOD</v>
      </c>
      <c r="H11" s="11"/>
    </row>
    <row r="12" spans="1:11" x14ac:dyDescent="0.25">
      <c r="D12" s="2" t="s">
        <v>28</v>
      </c>
      <c r="F12" s="4">
        <f>SUM(I23:I43)/H12</f>
        <v>16660915.6</v>
      </c>
      <c r="G12" s="14"/>
      <c r="H12" s="11">
        <f>COUNT(I23:I43)</f>
        <v>5</v>
      </c>
      <c r="I12" s="1" t="s">
        <v>31</v>
      </c>
      <c r="J12" s="4">
        <f>+F8*0.9</f>
        <v>12731231.700000001</v>
      </c>
      <c r="K12" s="1" t="s">
        <v>69</v>
      </c>
    </row>
    <row r="13" spans="1:11" x14ac:dyDescent="0.25">
      <c r="D13" s="2" t="s">
        <v>29</v>
      </c>
      <c r="F13" s="4">
        <f>MAX(I23:I43)-MIN(I23:I43)</f>
        <v>5244187</v>
      </c>
      <c r="G13" s="399">
        <f>MEDIAN(I23:I43)</f>
        <v>16114265</v>
      </c>
      <c r="H13" s="400"/>
      <c r="I13" s="1" t="s">
        <v>30</v>
      </c>
      <c r="J13" s="4">
        <f>+F12*1.1</f>
        <v>18327007.16</v>
      </c>
      <c r="K13" s="1" t="s">
        <v>70</v>
      </c>
    </row>
    <row r="14" spans="1:11" x14ac:dyDescent="0.25">
      <c r="H14" s="11"/>
    </row>
    <row r="15" spans="1:11" x14ac:dyDescent="0.25">
      <c r="D15" s="2" t="s">
        <v>8</v>
      </c>
      <c r="F15" s="4"/>
      <c r="G15" s="1" t="s">
        <v>9</v>
      </c>
      <c r="H15" s="11"/>
      <c r="I15" t="s">
        <v>15</v>
      </c>
      <c r="J15" s="7" t="e">
        <f>+F16/F15</f>
        <v>#DIV/0!</v>
      </c>
    </row>
    <row r="16" spans="1:11" x14ac:dyDescent="0.25">
      <c r="F16" s="4"/>
      <c r="G16" s="1" t="s">
        <v>10</v>
      </c>
      <c r="H16" s="11"/>
      <c r="I16" t="s">
        <v>14</v>
      </c>
      <c r="J16" s="7" t="e">
        <f>+F17/F16</f>
        <v>#DIV/0!</v>
      </c>
    </row>
    <row r="17" spans="3:15" x14ac:dyDescent="0.25">
      <c r="F17" s="4"/>
      <c r="G17" s="1" t="s">
        <v>11</v>
      </c>
      <c r="H17" s="11"/>
      <c r="I17" t="s">
        <v>13</v>
      </c>
      <c r="J17" s="7" t="e">
        <f>+F18/F17</f>
        <v>#DIV/0!</v>
      </c>
      <c r="M17" s="21"/>
      <c r="N17" s="21"/>
      <c r="O17" s="21"/>
    </row>
    <row r="18" spans="3:15" x14ac:dyDescent="0.25">
      <c r="F18" s="4"/>
      <c r="G18" s="1" t="s">
        <v>12</v>
      </c>
      <c r="H18" s="11"/>
      <c r="I18" t="s">
        <v>16</v>
      </c>
      <c r="J18" s="7" t="e">
        <f>+F8/F18</f>
        <v>#DIV/0!</v>
      </c>
      <c r="M18" s="21"/>
      <c r="N18" s="21"/>
      <c r="O18" s="21"/>
    </row>
    <row r="19" spans="3:15" x14ac:dyDescent="0.25">
      <c r="F19" s="2" t="s">
        <v>51</v>
      </c>
      <c r="G19">
        <v>245000</v>
      </c>
      <c r="H19" s="11" t="s">
        <v>567</v>
      </c>
      <c r="I19" t="s">
        <v>41</v>
      </c>
      <c r="J19" s="7" t="e">
        <f>+F8/F15</f>
        <v>#DIV/0!</v>
      </c>
      <c r="K19" s="53">
        <f>+F8/G19</f>
        <v>57.738012244897959</v>
      </c>
      <c r="M19" s="21"/>
      <c r="N19" s="21"/>
      <c r="O19" s="21"/>
    </row>
    <row r="20" spans="3:15" x14ac:dyDescent="0.25">
      <c r="H20" s="11"/>
      <c r="M20" s="21"/>
      <c r="N20" s="21"/>
      <c r="O20" s="21"/>
    </row>
    <row r="21" spans="3:15" x14ac:dyDescent="0.25">
      <c r="C21" s="9"/>
      <c r="D21" s="13" t="s">
        <v>21</v>
      </c>
      <c r="E21" s="9"/>
      <c r="F21" s="9" t="s">
        <v>22</v>
      </c>
      <c r="G21" s="9" t="s">
        <v>23</v>
      </c>
      <c r="H21" s="13" t="s">
        <v>27</v>
      </c>
      <c r="I21" s="10" t="s">
        <v>24</v>
      </c>
      <c r="J21" s="9"/>
      <c r="K21" s="9"/>
      <c r="L21" s="9"/>
      <c r="M21" s="21"/>
      <c r="N21" s="21"/>
      <c r="O21" s="21"/>
    </row>
    <row r="22" spans="3:15" ht="6" customHeight="1" x14ac:dyDescent="0.25">
      <c r="M22" s="21"/>
      <c r="N22" s="21"/>
      <c r="O22" s="21"/>
    </row>
    <row r="23" spans="3:15" x14ac:dyDescent="0.25">
      <c r="C23" s="33" t="str">
        <f>IF(H23=1,"u","")</f>
        <v/>
      </c>
      <c r="D23" s="11" t="s">
        <v>568</v>
      </c>
      <c r="E23" s="33"/>
      <c r="F23" t="s">
        <v>569</v>
      </c>
      <c r="G23" t="s">
        <v>570</v>
      </c>
      <c r="H23">
        <f>RANK(I23,I$23:I$43,1)</f>
        <v>2</v>
      </c>
      <c r="I23" s="4">
        <v>15521750</v>
      </c>
      <c r="J23" s="4"/>
      <c r="K23" s="4"/>
      <c r="L23" s="4"/>
      <c r="M23" s="22"/>
      <c r="N23" s="22"/>
      <c r="O23" s="22"/>
    </row>
    <row r="24" spans="3:15" x14ac:dyDescent="0.25">
      <c r="C24" s="33" t="str">
        <f>IF(H24=1,"u","")</f>
        <v>u</v>
      </c>
      <c r="D24" s="11" t="s">
        <v>571</v>
      </c>
      <c r="E24" s="33"/>
      <c r="F24" t="s">
        <v>572</v>
      </c>
      <c r="G24" t="s">
        <v>321</v>
      </c>
      <c r="H24">
        <f>RANK(I24,I$23:I$43,1)</f>
        <v>1</v>
      </c>
      <c r="I24" s="4">
        <v>14145813</v>
      </c>
      <c r="J24" s="4"/>
      <c r="K24" s="4"/>
      <c r="L24" s="4"/>
      <c r="M24" s="22"/>
      <c r="N24" s="22"/>
      <c r="O24" s="22"/>
    </row>
    <row r="25" spans="3:15" x14ac:dyDescent="0.25">
      <c r="C25" s="33" t="str">
        <f>IF(H25=1,"u","")</f>
        <v/>
      </c>
      <c r="D25" s="11" t="s">
        <v>573</v>
      </c>
      <c r="E25" s="33"/>
      <c r="F25" t="s">
        <v>490</v>
      </c>
      <c r="G25" t="s">
        <v>25</v>
      </c>
      <c r="H25">
        <f>RANK(I25,I$23:I$43,1)</f>
        <v>5</v>
      </c>
      <c r="I25" s="4">
        <v>19390000</v>
      </c>
      <c r="J25" s="4"/>
      <c r="K25" s="4"/>
      <c r="L25" s="4"/>
      <c r="M25" s="22"/>
      <c r="N25" s="22"/>
      <c r="O25" s="22"/>
    </row>
    <row r="26" spans="3:15" x14ac:dyDescent="0.25">
      <c r="C26" s="33" t="str">
        <f t="shared" ref="C26:C43" si="0">IF(H26=1,"u","")</f>
        <v/>
      </c>
      <c r="D26" s="11" t="s">
        <v>574</v>
      </c>
      <c r="E26" s="33"/>
      <c r="F26" t="s">
        <v>575</v>
      </c>
      <c r="G26" t="s">
        <v>333</v>
      </c>
      <c r="H26">
        <f>RANK(I26,I$23:I$43,1)</f>
        <v>3</v>
      </c>
      <c r="I26" s="4">
        <v>16114265</v>
      </c>
      <c r="J26" s="4"/>
      <c r="K26" s="4"/>
      <c r="L26" s="4"/>
      <c r="M26" s="22"/>
      <c r="N26" s="22"/>
      <c r="O26" s="22"/>
    </row>
    <row r="27" spans="3:15" x14ac:dyDescent="0.25">
      <c r="C27" s="33" t="str">
        <f>IF(H27=1,"u","")</f>
        <v/>
      </c>
      <c r="D27" s="11" t="s">
        <v>576</v>
      </c>
      <c r="E27" s="33"/>
      <c r="F27" t="s">
        <v>577</v>
      </c>
      <c r="G27" t="s">
        <v>355</v>
      </c>
      <c r="H27">
        <f>RANK(I27,I$23:I$43,1)</f>
        <v>4</v>
      </c>
      <c r="I27" s="4">
        <v>18132750</v>
      </c>
      <c r="J27" s="4"/>
      <c r="K27" s="4"/>
      <c r="L27" s="4"/>
      <c r="M27" s="22"/>
      <c r="N27" s="22"/>
      <c r="O27" s="22"/>
    </row>
    <row r="28" spans="3:15" x14ac:dyDescent="0.25">
      <c r="C28" s="33" t="str">
        <f t="shared" si="0"/>
        <v/>
      </c>
      <c r="D28" s="11"/>
      <c r="E28" s="33" t="str">
        <f t="shared" ref="E28:E43" si="1">IF(H28=1,"t","")</f>
        <v/>
      </c>
      <c r="I28" s="4"/>
      <c r="J28" s="4"/>
      <c r="K28" s="4"/>
      <c r="L28" s="4"/>
      <c r="M28" s="22"/>
      <c r="N28" s="22"/>
      <c r="O28" s="22"/>
    </row>
    <row r="29" spans="3:15" x14ac:dyDescent="0.25">
      <c r="C29" s="33" t="str">
        <f t="shared" si="0"/>
        <v/>
      </c>
      <c r="D29" s="11"/>
      <c r="E29" s="33" t="str">
        <f t="shared" si="1"/>
        <v/>
      </c>
      <c r="I29" s="4"/>
      <c r="J29" s="4"/>
      <c r="K29" s="4"/>
      <c r="L29" s="4"/>
      <c r="M29" s="22"/>
      <c r="N29" s="22"/>
      <c r="O29" s="22"/>
    </row>
    <row r="30" spans="3:15" x14ac:dyDescent="0.25">
      <c r="C30" s="33" t="str">
        <f t="shared" si="0"/>
        <v/>
      </c>
      <c r="D30" s="11"/>
      <c r="E30" s="33" t="str">
        <f t="shared" si="1"/>
        <v/>
      </c>
      <c r="I30" s="4"/>
      <c r="J30" s="4"/>
      <c r="K30" s="4"/>
      <c r="L30" s="4"/>
      <c r="M30" s="22"/>
      <c r="N30" s="22"/>
      <c r="O30" s="22"/>
    </row>
    <row r="31" spans="3:15" x14ac:dyDescent="0.25">
      <c r="C31" s="33" t="str">
        <f t="shared" si="0"/>
        <v/>
      </c>
      <c r="D31" s="11"/>
      <c r="E31" s="33" t="str">
        <f t="shared" si="1"/>
        <v/>
      </c>
      <c r="I31" s="4"/>
      <c r="J31" s="4"/>
      <c r="K31" s="4"/>
      <c r="L31" s="4"/>
      <c r="M31" s="22"/>
      <c r="N31" s="22"/>
      <c r="O31" s="22"/>
    </row>
    <row r="32" spans="3:15" x14ac:dyDescent="0.25">
      <c r="C32" s="33" t="str">
        <f t="shared" si="0"/>
        <v/>
      </c>
      <c r="D32" s="11"/>
      <c r="E32" s="33" t="str">
        <f t="shared" si="1"/>
        <v/>
      </c>
      <c r="I32" s="4"/>
      <c r="J32" s="4"/>
      <c r="K32" s="4"/>
      <c r="L32" s="4"/>
      <c r="M32" s="22"/>
      <c r="N32" s="22"/>
      <c r="O32" s="22"/>
    </row>
    <row r="33" spans="3:15" x14ac:dyDescent="0.25">
      <c r="C33" s="33" t="str">
        <f t="shared" si="0"/>
        <v/>
      </c>
      <c r="D33" s="11"/>
      <c r="E33" s="33" t="str">
        <f t="shared" si="1"/>
        <v/>
      </c>
      <c r="M33" s="21"/>
      <c r="N33" s="21"/>
      <c r="O33" s="21"/>
    </row>
    <row r="34" spans="3:15" x14ac:dyDescent="0.25">
      <c r="C34" s="33" t="str">
        <f t="shared" si="0"/>
        <v/>
      </c>
      <c r="D34" s="11"/>
      <c r="E34" s="33" t="str">
        <f t="shared" si="1"/>
        <v/>
      </c>
      <c r="M34" s="21"/>
      <c r="N34" s="21"/>
      <c r="O34" s="21"/>
    </row>
    <row r="35" spans="3:15" x14ac:dyDescent="0.25">
      <c r="C35" s="33" t="str">
        <f t="shared" si="0"/>
        <v/>
      </c>
      <c r="D35" s="11"/>
      <c r="E35" s="33" t="str">
        <f t="shared" si="1"/>
        <v/>
      </c>
      <c r="M35" s="21"/>
      <c r="N35" s="21"/>
      <c r="O35" s="21"/>
    </row>
    <row r="36" spans="3:15" x14ac:dyDescent="0.25">
      <c r="C36" s="33" t="str">
        <f t="shared" si="0"/>
        <v/>
      </c>
      <c r="D36" s="11"/>
      <c r="E36" s="33" t="str">
        <f t="shared" si="1"/>
        <v/>
      </c>
      <c r="M36" s="21"/>
      <c r="N36" s="21"/>
      <c r="O36" s="21"/>
    </row>
    <row r="37" spans="3:15" x14ac:dyDescent="0.25">
      <c r="C37" s="33" t="str">
        <f t="shared" si="0"/>
        <v/>
      </c>
      <c r="D37" s="11"/>
      <c r="E37" s="33" t="str">
        <f t="shared" si="1"/>
        <v/>
      </c>
      <c r="M37" s="21"/>
      <c r="N37" s="21"/>
      <c r="O37" s="21"/>
    </row>
    <row r="38" spans="3:15" x14ac:dyDescent="0.25">
      <c r="C38" s="33" t="str">
        <f t="shared" si="0"/>
        <v/>
      </c>
      <c r="D38" s="11"/>
      <c r="E38" s="33" t="str">
        <f t="shared" si="1"/>
        <v/>
      </c>
      <c r="M38" s="21"/>
      <c r="N38" s="21"/>
      <c r="O38" s="21"/>
    </row>
    <row r="39" spans="3:15" x14ac:dyDescent="0.25">
      <c r="C39" s="33" t="str">
        <f t="shared" si="0"/>
        <v/>
      </c>
      <c r="D39" s="11"/>
      <c r="E39" s="33" t="str">
        <f t="shared" si="1"/>
        <v/>
      </c>
      <c r="M39" s="21"/>
      <c r="N39" s="21"/>
      <c r="O39" s="21"/>
    </row>
    <row r="40" spans="3:15" x14ac:dyDescent="0.25">
      <c r="C40" s="33" t="str">
        <f t="shared" si="0"/>
        <v/>
      </c>
      <c r="D40" s="11"/>
      <c r="E40" s="33" t="str">
        <f t="shared" si="1"/>
        <v/>
      </c>
      <c r="M40" s="21"/>
      <c r="N40" s="21"/>
      <c r="O40" s="21"/>
    </row>
    <row r="41" spans="3:15" x14ac:dyDescent="0.25">
      <c r="C41" s="33" t="str">
        <f t="shared" si="0"/>
        <v/>
      </c>
      <c r="D41" s="11"/>
      <c r="E41" s="33" t="str">
        <f t="shared" si="1"/>
        <v/>
      </c>
      <c r="M41" s="21"/>
      <c r="N41" s="21"/>
      <c r="O41" s="21"/>
    </row>
    <row r="42" spans="3:15" x14ac:dyDescent="0.25">
      <c r="C42" s="33" t="str">
        <f t="shared" si="0"/>
        <v/>
      </c>
      <c r="D42" s="11"/>
      <c r="E42" s="33" t="str">
        <f t="shared" si="1"/>
        <v/>
      </c>
      <c r="M42" s="21"/>
      <c r="N42" s="21"/>
      <c r="O42" s="21"/>
    </row>
    <row r="43" spans="3:15" x14ac:dyDescent="0.25">
      <c r="C43" s="33" t="str">
        <f t="shared" si="0"/>
        <v/>
      </c>
      <c r="D43" s="11"/>
      <c r="E43" s="33" t="str">
        <f t="shared" si="1"/>
        <v/>
      </c>
      <c r="M43" s="21"/>
      <c r="N43" s="21"/>
      <c r="O43" s="21"/>
    </row>
    <row r="44" spans="3:15" ht="6" customHeight="1" x14ac:dyDescent="0.25">
      <c r="C44" s="9"/>
      <c r="D44" s="9"/>
      <c r="E44" s="9"/>
      <c r="F44" s="9"/>
      <c r="G44" s="9"/>
      <c r="H44" s="9"/>
      <c r="I44" s="9"/>
      <c r="J44" s="9"/>
      <c r="K44" s="9"/>
      <c r="L44" s="9"/>
      <c r="M44" s="21"/>
      <c r="N44" s="21"/>
      <c r="O44" s="21"/>
    </row>
    <row r="45" spans="3:15" ht="6" customHeight="1" x14ac:dyDescent="0.25">
      <c r="M45" s="21"/>
      <c r="N45" s="21"/>
      <c r="O45" s="21"/>
    </row>
    <row r="46" spans="3:15" x14ac:dyDescent="0.25">
      <c r="C46" s="15" t="s">
        <v>79</v>
      </c>
      <c r="M46" s="21"/>
      <c r="N46" s="21"/>
      <c r="O46" s="21"/>
    </row>
    <row r="47" spans="3:15" x14ac:dyDescent="0.25">
      <c r="C47" s="15" t="s">
        <v>78</v>
      </c>
    </row>
  </sheetData>
  <mergeCells count="1">
    <mergeCell ref="G13:H13"/>
  </mergeCells>
  <conditionalFormatting sqref="I9">
    <cfRule type="containsText" dxfId="689" priority="13" operator="containsText" text="FAIL">
      <formula>NOT(ISERROR(SEARCH("FAIL",I9)))</formula>
    </cfRule>
  </conditionalFormatting>
  <conditionalFormatting sqref="I9">
    <cfRule type="containsText" dxfId="688" priority="12" operator="containsText" text="GOOD">
      <formula>NOT(ISERROR(SEARCH("GOOD",I9)))</formula>
    </cfRule>
  </conditionalFormatting>
  <conditionalFormatting sqref="F11">
    <cfRule type="containsText" dxfId="687" priority="11" operator="containsText" text="FAIL">
      <formula>NOT(ISERROR(SEARCH("FAIL",F11)))</formula>
    </cfRule>
  </conditionalFormatting>
  <conditionalFormatting sqref="F11">
    <cfRule type="containsText" dxfId="686" priority="10" operator="containsText" text="GOOD">
      <formula>NOT(ISERROR(SEARCH("GOOD",F11)))</formula>
    </cfRule>
  </conditionalFormatting>
  <conditionalFormatting sqref="D25">
    <cfRule type="expression" dxfId="685" priority="9" stopIfTrue="1">
      <formula>IF($H$25=1,0)</formula>
    </cfRule>
  </conditionalFormatting>
  <conditionalFormatting sqref="D23:D26 D28:D43">
    <cfRule type="expression" dxfId="684" priority="8">
      <formula>H23=1</formula>
    </cfRule>
  </conditionalFormatting>
  <conditionalFormatting sqref="C23:C26 C28:C43">
    <cfRule type="expression" dxfId="683" priority="7">
      <formula>H23=1</formula>
    </cfRule>
  </conditionalFormatting>
  <conditionalFormatting sqref="E23:E26 E28:E43">
    <cfRule type="expression" dxfId="682" priority="6">
      <formula>H23=1</formula>
    </cfRule>
  </conditionalFormatting>
  <conditionalFormatting sqref="F11">
    <cfRule type="containsText" dxfId="681" priority="5" operator="containsText" text="FAIL">
      <formula>NOT(ISERROR(SEARCH("FAIL",F11)))</formula>
    </cfRule>
  </conditionalFormatting>
  <conditionalFormatting sqref="F11">
    <cfRule type="containsText" dxfId="680" priority="4" operator="containsText" text="GOOD">
      <formula>NOT(ISERROR(SEARCH("GOOD",F11)))</formula>
    </cfRule>
  </conditionalFormatting>
  <conditionalFormatting sqref="E27">
    <cfRule type="expression" dxfId="679" priority="1">
      <formula>H27=1</formula>
    </cfRule>
  </conditionalFormatting>
  <conditionalFormatting sqref="D27">
    <cfRule type="expression" dxfId="678" priority="3">
      <formula>H27=1</formula>
    </cfRule>
  </conditionalFormatting>
  <conditionalFormatting sqref="C27">
    <cfRule type="expression" dxfId="677" priority="2">
      <formula>H27=1</formula>
    </cfRule>
  </conditionalFormatting>
  <pageMargins left="0.7" right="0.7" top="0.75" bottom="0.75" header="0.3" footer="0.3"/>
  <pageSetup scale="68" orientation="portrait" r:id="rId1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sheetPr codeName="Sheet54"/>
  <dimension ref="A2:P47"/>
  <sheetViews>
    <sheetView zoomScaleNormal="100" workbookViewId="0">
      <selection activeCell="J33" sqref="J33"/>
    </sheetView>
  </sheetViews>
  <sheetFormatPr defaultRowHeight="15" x14ac:dyDescent="0.25"/>
  <cols>
    <col min="1" max="2" width="4.42578125" customWidth="1"/>
    <col min="3" max="3" width="3" customWidth="1"/>
    <col min="4" max="4" width="24.85546875" customWidth="1"/>
    <col min="5" max="5" width="3" customWidth="1"/>
    <col min="6" max="6" width="15.7109375" customWidth="1"/>
    <col min="7" max="7" width="8.5703125" customWidth="1"/>
    <col min="8" max="8" width="5.85546875" customWidth="1"/>
    <col min="9" max="15" width="15.7109375" customWidth="1"/>
  </cols>
  <sheetData>
    <row r="2" spans="1:16" x14ac:dyDescent="0.25">
      <c r="C2" s="15" t="s">
        <v>32</v>
      </c>
      <c r="E2" s="15"/>
      <c r="F2" s="15"/>
      <c r="G2" s="15" t="s">
        <v>33</v>
      </c>
      <c r="H2" s="15"/>
      <c r="I2" s="15"/>
      <c r="J2" s="15"/>
      <c r="K2" s="15"/>
    </row>
    <row r="3" spans="1:16" ht="18.75" x14ac:dyDescent="0.3">
      <c r="C3" s="3" t="s">
        <v>26</v>
      </c>
      <c r="J3" s="8" t="s">
        <v>17</v>
      </c>
      <c r="P3" s="100"/>
    </row>
    <row r="4" spans="1:16" x14ac:dyDescent="0.25">
      <c r="D4" s="2" t="s">
        <v>0</v>
      </c>
      <c r="E4" s="1"/>
      <c r="F4" t="s">
        <v>1001</v>
      </c>
      <c r="I4" s="2" t="s">
        <v>4</v>
      </c>
      <c r="J4" t="s">
        <v>816</v>
      </c>
    </row>
    <row r="5" spans="1:16" x14ac:dyDescent="0.25">
      <c r="D5" s="2" t="s">
        <v>1</v>
      </c>
      <c r="F5" t="s">
        <v>1008</v>
      </c>
    </row>
    <row r="6" spans="1:16" x14ac:dyDescent="0.25">
      <c r="D6" s="2" t="s">
        <v>2</v>
      </c>
      <c r="F6" s="6">
        <v>42872</v>
      </c>
      <c r="H6" s="11"/>
    </row>
    <row r="7" spans="1:16" x14ac:dyDescent="0.25">
      <c r="D7" s="2" t="s">
        <v>3</v>
      </c>
      <c r="F7" s="5">
        <v>5000000</v>
      </c>
      <c r="G7" s="2" t="s">
        <v>34</v>
      </c>
      <c r="H7" s="11"/>
    </row>
    <row r="8" spans="1:16" x14ac:dyDescent="0.25">
      <c r="D8" s="2" t="s">
        <v>18</v>
      </c>
      <c r="F8" s="5">
        <f>MIN(I23:I43)</f>
        <v>5210665</v>
      </c>
      <c r="H8" s="11"/>
    </row>
    <row r="9" spans="1:16" x14ac:dyDescent="0.25">
      <c r="D9" s="2" t="s">
        <v>67</v>
      </c>
      <c r="F9" s="4">
        <f>+F8-F7</f>
        <v>210665</v>
      </c>
      <c r="G9" s="16">
        <f>+F9/F7</f>
        <v>4.2132999999999997E-2</v>
      </c>
      <c r="H9" s="12" t="s">
        <v>20</v>
      </c>
      <c r="I9" s="11" t="str">
        <f>(IF(G9&lt;-0.1,"FAIL",IF(G9&gt;0.05,"FAIL","GOOD")))</f>
        <v>GOOD</v>
      </c>
      <c r="J9" s="14" t="s">
        <v>72</v>
      </c>
    </row>
    <row r="10" spans="1:16" x14ac:dyDescent="0.25">
      <c r="D10" s="2" t="s">
        <v>68</v>
      </c>
      <c r="F10" s="4">
        <f>+F7-F12</f>
        <v>-2226667.222222222</v>
      </c>
      <c r="H10" s="11"/>
    </row>
    <row r="11" spans="1:16" x14ac:dyDescent="0.25">
      <c r="A11" s="52"/>
      <c r="D11" s="2" t="s">
        <v>71</v>
      </c>
      <c r="F11" s="11" t="str">
        <f>(IF(F7&lt;J12,"FAIL",IF(F7&gt;J13,"FAIL","GOOD")))</f>
        <v>GOOD</v>
      </c>
      <c r="H11" s="11"/>
    </row>
    <row r="12" spans="1:16" x14ac:dyDescent="0.25">
      <c r="D12" s="2" t="s">
        <v>28</v>
      </c>
      <c r="F12" s="4">
        <f>SUM(I23:I43)/H12</f>
        <v>7226667.222222222</v>
      </c>
      <c r="G12" s="14"/>
      <c r="H12" s="11">
        <f>COUNT(I23:I43)</f>
        <v>9</v>
      </c>
      <c r="I12" s="1" t="s">
        <v>31</v>
      </c>
      <c r="J12" s="4">
        <f>+F8*0.9</f>
        <v>4689598.5</v>
      </c>
      <c r="K12" s="1" t="s">
        <v>69</v>
      </c>
    </row>
    <row r="13" spans="1:16" x14ac:dyDescent="0.25">
      <c r="D13" s="2" t="s">
        <v>29</v>
      </c>
      <c r="F13" s="4">
        <f>MAX(I23:I43)-MIN(I23:I43)</f>
        <v>3828960</v>
      </c>
      <c r="G13" s="399">
        <f>MEDIAN(I23:I43)</f>
        <v>6895120</v>
      </c>
      <c r="H13" s="400"/>
      <c r="I13" s="1" t="s">
        <v>30</v>
      </c>
      <c r="J13" s="4">
        <f>+F12*1.1</f>
        <v>7949333.944444445</v>
      </c>
      <c r="K13" s="1" t="s">
        <v>70</v>
      </c>
    </row>
    <row r="14" spans="1:16" x14ac:dyDescent="0.25">
      <c r="H14" s="11"/>
    </row>
    <row r="15" spans="1:16" x14ac:dyDescent="0.25">
      <c r="D15" s="2" t="s">
        <v>8</v>
      </c>
      <c r="F15" s="4"/>
      <c r="G15" s="1" t="s">
        <v>9</v>
      </c>
      <c r="H15" s="11"/>
      <c r="I15" t="s">
        <v>15</v>
      </c>
      <c r="J15" s="7" t="e">
        <f>+F16/F15</f>
        <v>#DIV/0!</v>
      </c>
    </row>
    <row r="16" spans="1:16" x14ac:dyDescent="0.25">
      <c r="F16" s="4"/>
      <c r="G16" s="1" t="s">
        <v>10</v>
      </c>
      <c r="H16" s="11"/>
      <c r="I16" t="s">
        <v>14</v>
      </c>
      <c r="J16" s="7" t="e">
        <f>+F17/F16</f>
        <v>#DIV/0!</v>
      </c>
    </row>
    <row r="17" spans="3:15" x14ac:dyDescent="0.25">
      <c r="F17" s="4"/>
      <c r="G17" s="1" t="s">
        <v>11</v>
      </c>
      <c r="H17" s="11"/>
      <c r="I17" t="s">
        <v>13</v>
      </c>
      <c r="J17" s="7" t="e">
        <f>+F18/F17</f>
        <v>#DIV/0!</v>
      </c>
      <c r="M17" s="21"/>
      <c r="N17" s="21"/>
      <c r="O17" s="21"/>
    </row>
    <row r="18" spans="3:15" x14ac:dyDescent="0.25">
      <c r="F18" s="4"/>
      <c r="G18" s="1" t="s">
        <v>12</v>
      </c>
      <c r="H18" s="11"/>
      <c r="I18" t="s">
        <v>16</v>
      </c>
      <c r="J18" s="7" t="e">
        <f>+F8/F18</f>
        <v>#DIV/0!</v>
      </c>
      <c r="M18" s="21"/>
      <c r="N18" s="21"/>
      <c r="O18" s="21"/>
    </row>
    <row r="19" spans="3:15" x14ac:dyDescent="0.25">
      <c r="F19" s="2" t="s">
        <v>51</v>
      </c>
      <c r="G19">
        <v>0</v>
      </c>
      <c r="H19" s="11" t="s">
        <v>52</v>
      </c>
      <c r="I19" t="s">
        <v>41</v>
      </c>
      <c r="J19" s="7" t="e">
        <f>+F8/F15</f>
        <v>#DIV/0!</v>
      </c>
      <c r="M19" s="21"/>
      <c r="N19" s="21"/>
      <c r="O19" s="21"/>
    </row>
    <row r="20" spans="3:15" x14ac:dyDescent="0.25">
      <c r="H20" s="11"/>
      <c r="M20" s="21"/>
      <c r="N20" s="21"/>
      <c r="O20" s="21"/>
    </row>
    <row r="21" spans="3:15" x14ac:dyDescent="0.25">
      <c r="C21" s="9"/>
      <c r="D21" s="13" t="s">
        <v>21</v>
      </c>
      <c r="E21" s="9"/>
      <c r="F21" s="9" t="s">
        <v>22</v>
      </c>
      <c r="G21" s="9" t="s">
        <v>23</v>
      </c>
      <c r="H21" s="13" t="s">
        <v>27</v>
      </c>
      <c r="I21" s="10" t="s">
        <v>24</v>
      </c>
      <c r="J21" s="9"/>
      <c r="K21" s="9"/>
      <c r="L21" s="9"/>
      <c r="M21" s="21"/>
      <c r="N21" s="21"/>
      <c r="O21" s="21"/>
    </row>
    <row r="22" spans="3:15" ht="6" customHeight="1" x14ac:dyDescent="0.25">
      <c r="M22" s="21"/>
      <c r="N22" s="21"/>
      <c r="O22" s="21"/>
    </row>
    <row r="23" spans="3:15" x14ac:dyDescent="0.25">
      <c r="C23" s="33" t="str">
        <f>IF(H23=1,"u","")</f>
        <v/>
      </c>
      <c r="D23" s="11" t="s">
        <v>1002</v>
      </c>
      <c r="E23" s="33"/>
      <c r="H23">
        <f>RANK(I23,I$23:I$43,1)</f>
        <v>3</v>
      </c>
      <c r="I23" s="4">
        <v>6418925</v>
      </c>
      <c r="J23" s="4"/>
      <c r="K23" s="4"/>
      <c r="L23" s="4"/>
      <c r="M23" s="22"/>
      <c r="N23" s="22"/>
      <c r="O23" s="22"/>
    </row>
    <row r="24" spans="3:15" x14ac:dyDescent="0.25">
      <c r="C24" s="33" t="str">
        <f>IF(H24=1,"u","")</f>
        <v/>
      </c>
      <c r="D24" s="11" t="s">
        <v>657</v>
      </c>
      <c r="E24" s="33"/>
      <c r="H24">
        <f>RANK(I24,I$23:I$43,1)</f>
        <v>4</v>
      </c>
      <c r="I24" s="4">
        <v>6678910</v>
      </c>
      <c r="J24" s="4"/>
      <c r="K24" s="4"/>
      <c r="L24" s="4"/>
      <c r="M24" s="22"/>
      <c r="N24" s="22"/>
      <c r="O24" s="22"/>
    </row>
    <row r="25" spans="3:15" x14ac:dyDescent="0.25">
      <c r="C25" s="33" t="str">
        <f>IF(H25=1,"u","")</f>
        <v/>
      </c>
      <c r="D25" s="11" t="s">
        <v>1003</v>
      </c>
      <c r="E25" s="33"/>
      <c r="H25">
        <f t="shared" ref="H25:H31" si="0">RANK(I25,I$23:I$43,1)</f>
        <v>5</v>
      </c>
      <c r="I25" s="4">
        <v>6895120</v>
      </c>
      <c r="J25" s="4"/>
      <c r="K25" s="4"/>
      <c r="L25" s="4"/>
      <c r="M25" s="22"/>
      <c r="N25" s="22"/>
      <c r="O25" s="22"/>
    </row>
    <row r="26" spans="3:15" x14ac:dyDescent="0.25">
      <c r="C26" s="33"/>
      <c r="D26" s="11" t="s">
        <v>626</v>
      </c>
      <c r="E26" s="33"/>
      <c r="F26" t="s">
        <v>308</v>
      </c>
      <c r="G26" t="s">
        <v>25</v>
      </c>
      <c r="H26">
        <f t="shared" si="0"/>
        <v>8</v>
      </c>
      <c r="I26" s="4">
        <v>8601310</v>
      </c>
      <c r="J26" s="4"/>
      <c r="K26" s="4"/>
      <c r="L26" s="4"/>
      <c r="M26" s="22"/>
      <c r="N26" s="22"/>
      <c r="O26" s="22"/>
    </row>
    <row r="27" spans="3:15" x14ac:dyDescent="0.25">
      <c r="C27" s="33"/>
      <c r="D27" s="11" t="s">
        <v>653</v>
      </c>
      <c r="E27" s="33"/>
      <c r="H27">
        <f t="shared" si="0"/>
        <v>1</v>
      </c>
      <c r="I27" s="4">
        <v>5210665</v>
      </c>
      <c r="J27" s="4"/>
      <c r="K27" s="4"/>
      <c r="L27" s="4"/>
      <c r="M27" s="22"/>
      <c r="N27" s="22"/>
      <c r="O27" s="22"/>
    </row>
    <row r="28" spans="3:15" x14ac:dyDescent="0.25">
      <c r="C28" s="33"/>
      <c r="D28" s="11" t="s">
        <v>1004</v>
      </c>
      <c r="E28" s="33"/>
      <c r="H28">
        <f t="shared" si="0"/>
        <v>7</v>
      </c>
      <c r="I28" s="4">
        <v>8095030</v>
      </c>
      <c r="J28" s="4"/>
      <c r="K28" s="4"/>
      <c r="L28" s="4"/>
      <c r="M28" s="22"/>
      <c r="N28" s="22"/>
      <c r="O28" s="22"/>
    </row>
    <row r="29" spans="3:15" x14ac:dyDescent="0.25">
      <c r="C29" s="33" t="str">
        <f t="shared" ref="C29:C43" si="1">IF(H29=1,"u","")</f>
        <v/>
      </c>
      <c r="D29" s="11" t="s">
        <v>1005</v>
      </c>
      <c r="E29" s="33"/>
      <c r="H29">
        <f t="shared" si="0"/>
        <v>2</v>
      </c>
      <c r="I29" s="4">
        <v>6078068</v>
      </c>
      <c r="J29" s="4"/>
      <c r="K29" s="4"/>
      <c r="L29" s="4"/>
      <c r="M29" s="22"/>
      <c r="N29" s="22"/>
      <c r="O29" s="22"/>
    </row>
    <row r="30" spans="3:15" x14ac:dyDescent="0.25">
      <c r="C30" s="33" t="str">
        <f t="shared" si="1"/>
        <v/>
      </c>
      <c r="D30" s="11" t="s">
        <v>1006</v>
      </c>
      <c r="E30" s="33"/>
      <c r="H30">
        <f t="shared" si="0"/>
        <v>6</v>
      </c>
      <c r="I30" s="4">
        <v>8022352</v>
      </c>
      <c r="J30" s="4"/>
      <c r="K30" s="4"/>
      <c r="L30" s="4"/>
      <c r="M30" s="22"/>
      <c r="N30" s="22"/>
      <c r="O30" s="22"/>
    </row>
    <row r="31" spans="3:15" x14ac:dyDescent="0.25">
      <c r="C31" s="33" t="str">
        <f t="shared" si="1"/>
        <v/>
      </c>
      <c r="D31" s="11" t="s">
        <v>1007</v>
      </c>
      <c r="E31" s="33"/>
      <c r="H31">
        <f t="shared" si="0"/>
        <v>9</v>
      </c>
      <c r="I31" s="4">
        <v>9039625</v>
      </c>
      <c r="J31" s="4"/>
      <c r="K31" s="4"/>
      <c r="L31" s="4"/>
      <c r="M31" s="22"/>
      <c r="N31" s="22"/>
      <c r="O31" s="22"/>
    </row>
    <row r="32" spans="3:15" x14ac:dyDescent="0.25">
      <c r="C32" s="33" t="str">
        <f t="shared" si="1"/>
        <v/>
      </c>
      <c r="D32" s="11"/>
      <c r="E32" s="33"/>
      <c r="I32" s="4"/>
      <c r="J32" s="4"/>
      <c r="K32" s="4"/>
      <c r="L32" s="4"/>
      <c r="M32" s="22"/>
      <c r="N32" s="22"/>
      <c r="O32" s="22"/>
    </row>
    <row r="33" spans="3:15" x14ac:dyDescent="0.25">
      <c r="C33" s="33" t="str">
        <f t="shared" si="1"/>
        <v/>
      </c>
      <c r="D33" s="11"/>
      <c r="E33" s="33"/>
      <c r="I33" s="4"/>
      <c r="M33" s="21"/>
      <c r="N33" s="21"/>
      <c r="O33" s="21"/>
    </row>
    <row r="34" spans="3:15" x14ac:dyDescent="0.25">
      <c r="C34" s="33" t="str">
        <f t="shared" si="1"/>
        <v/>
      </c>
      <c r="D34" s="11"/>
      <c r="E34" s="33" t="str">
        <f t="shared" ref="E34:E43" si="2">IF(H34=1,"t","")</f>
        <v/>
      </c>
      <c r="M34" s="21"/>
      <c r="N34" s="21"/>
      <c r="O34" s="21"/>
    </row>
    <row r="35" spans="3:15" x14ac:dyDescent="0.25">
      <c r="C35" s="33" t="str">
        <f t="shared" si="1"/>
        <v/>
      </c>
      <c r="D35" s="11"/>
      <c r="E35" s="33" t="str">
        <f t="shared" si="2"/>
        <v/>
      </c>
      <c r="M35" s="21"/>
      <c r="N35" s="21"/>
      <c r="O35" s="21"/>
    </row>
    <row r="36" spans="3:15" x14ac:dyDescent="0.25">
      <c r="C36" s="33" t="str">
        <f t="shared" si="1"/>
        <v/>
      </c>
      <c r="D36" s="11"/>
      <c r="E36" s="33" t="str">
        <f t="shared" si="2"/>
        <v/>
      </c>
      <c r="M36" s="21"/>
      <c r="N36" s="21"/>
      <c r="O36" s="21"/>
    </row>
    <row r="37" spans="3:15" x14ac:dyDescent="0.25">
      <c r="C37" s="33" t="str">
        <f t="shared" si="1"/>
        <v/>
      </c>
      <c r="D37" s="11"/>
      <c r="E37" s="33" t="str">
        <f t="shared" si="2"/>
        <v/>
      </c>
      <c r="M37" s="21"/>
      <c r="N37" s="21"/>
      <c r="O37" s="21"/>
    </row>
    <row r="38" spans="3:15" x14ac:dyDescent="0.25">
      <c r="C38" s="33" t="str">
        <f t="shared" si="1"/>
        <v/>
      </c>
      <c r="D38" s="11"/>
      <c r="E38" s="33" t="str">
        <f t="shared" si="2"/>
        <v/>
      </c>
      <c r="M38" s="21"/>
      <c r="N38" s="21"/>
      <c r="O38" s="21"/>
    </row>
    <row r="39" spans="3:15" x14ac:dyDescent="0.25">
      <c r="C39" s="33" t="str">
        <f t="shared" si="1"/>
        <v/>
      </c>
      <c r="D39" s="11"/>
      <c r="E39" s="33" t="str">
        <f t="shared" si="2"/>
        <v/>
      </c>
      <c r="M39" s="21"/>
      <c r="N39" s="21"/>
      <c r="O39" s="21"/>
    </row>
    <row r="40" spans="3:15" x14ac:dyDescent="0.25">
      <c r="C40" s="33" t="str">
        <f t="shared" si="1"/>
        <v/>
      </c>
      <c r="D40" s="11"/>
      <c r="E40" s="33" t="str">
        <f t="shared" si="2"/>
        <v/>
      </c>
      <c r="M40" s="21"/>
      <c r="N40" s="21"/>
      <c r="O40" s="21"/>
    </row>
    <row r="41" spans="3:15" x14ac:dyDescent="0.25">
      <c r="C41" s="33" t="str">
        <f t="shared" si="1"/>
        <v/>
      </c>
      <c r="D41" s="11"/>
      <c r="E41" s="33" t="str">
        <f t="shared" si="2"/>
        <v/>
      </c>
      <c r="M41" s="21"/>
      <c r="N41" s="21"/>
      <c r="O41" s="21"/>
    </row>
    <row r="42" spans="3:15" x14ac:dyDescent="0.25">
      <c r="C42" s="33" t="str">
        <f t="shared" si="1"/>
        <v/>
      </c>
      <c r="D42" s="11"/>
      <c r="E42" s="33" t="str">
        <f t="shared" si="2"/>
        <v/>
      </c>
      <c r="M42" s="21"/>
      <c r="N42" s="21"/>
      <c r="O42" s="21"/>
    </row>
    <row r="43" spans="3:15" x14ac:dyDescent="0.25">
      <c r="C43" s="33" t="str">
        <f t="shared" si="1"/>
        <v/>
      </c>
      <c r="D43" s="11"/>
      <c r="E43" s="33" t="str">
        <f t="shared" si="2"/>
        <v/>
      </c>
      <c r="M43" s="21"/>
      <c r="N43" s="21"/>
      <c r="O43" s="21"/>
    </row>
    <row r="44" spans="3:15" ht="6" customHeight="1" x14ac:dyDescent="0.25">
      <c r="C44" s="9"/>
      <c r="D44" s="9"/>
      <c r="E44" s="9"/>
      <c r="F44" s="9"/>
      <c r="G44" s="9"/>
      <c r="H44" s="9"/>
      <c r="I44" s="9"/>
      <c r="J44" s="9"/>
      <c r="K44" s="9"/>
      <c r="L44" s="9"/>
      <c r="M44" s="21"/>
      <c r="N44" s="21"/>
      <c r="O44" s="21"/>
    </row>
    <row r="45" spans="3:15" ht="6" customHeight="1" x14ac:dyDescent="0.25">
      <c r="M45" s="21"/>
      <c r="N45" s="21"/>
      <c r="O45" s="21"/>
    </row>
    <row r="46" spans="3:15" x14ac:dyDescent="0.25">
      <c r="C46" s="15" t="s">
        <v>79</v>
      </c>
      <c r="M46" s="21"/>
      <c r="N46" s="21"/>
      <c r="O46" s="21"/>
    </row>
    <row r="47" spans="3:15" x14ac:dyDescent="0.25">
      <c r="C47" s="15" t="s">
        <v>78</v>
      </c>
    </row>
  </sheetData>
  <mergeCells count="1">
    <mergeCell ref="G13:H13"/>
  </mergeCells>
  <conditionalFormatting sqref="I9">
    <cfRule type="containsText" dxfId="1661" priority="16" operator="containsText" text="FAIL">
      <formula>NOT(ISERROR(SEARCH("FAIL",I9)))</formula>
    </cfRule>
  </conditionalFormatting>
  <conditionalFormatting sqref="I9">
    <cfRule type="containsText" dxfId="1660" priority="15" operator="containsText" text="GOOD">
      <formula>NOT(ISERROR(SEARCH("GOOD",I9)))</formula>
    </cfRule>
  </conditionalFormatting>
  <conditionalFormatting sqref="F11">
    <cfRule type="containsText" dxfId="1659" priority="14" operator="containsText" text="FAIL">
      <formula>NOT(ISERROR(SEARCH("FAIL",F11)))</formula>
    </cfRule>
  </conditionalFormatting>
  <conditionalFormatting sqref="F11">
    <cfRule type="containsText" dxfId="1658" priority="13" operator="containsText" text="GOOD">
      <formula>NOT(ISERROR(SEARCH("GOOD",F11)))</formula>
    </cfRule>
  </conditionalFormatting>
  <conditionalFormatting sqref="D25">
    <cfRule type="expression" dxfId="1657" priority="12" stopIfTrue="1">
      <formula>IF($H$25=1,0)</formula>
    </cfRule>
  </conditionalFormatting>
  <conditionalFormatting sqref="D23 D29:D43 D25:D26">
    <cfRule type="expression" dxfId="1656" priority="11">
      <formula>H23=1</formula>
    </cfRule>
  </conditionalFormatting>
  <conditionalFormatting sqref="C23:C26 C29:C43">
    <cfRule type="expression" dxfId="1655" priority="10">
      <formula>H23=1</formula>
    </cfRule>
  </conditionalFormatting>
  <conditionalFormatting sqref="E23 E29:E43 E25:E26">
    <cfRule type="expression" dxfId="1654" priority="9">
      <formula>H23=1</formula>
    </cfRule>
  </conditionalFormatting>
  <conditionalFormatting sqref="F11">
    <cfRule type="containsText" dxfId="1653" priority="8" operator="containsText" text="FAIL">
      <formula>NOT(ISERROR(SEARCH("FAIL",F11)))</formula>
    </cfRule>
  </conditionalFormatting>
  <conditionalFormatting sqref="F11">
    <cfRule type="containsText" dxfId="1652" priority="7" operator="containsText" text="GOOD">
      <formula>NOT(ISERROR(SEARCH("GOOD",F11)))</formula>
    </cfRule>
  </conditionalFormatting>
  <conditionalFormatting sqref="D27:D28">
    <cfRule type="expression" dxfId="1651" priority="6">
      <formula>H27=1</formula>
    </cfRule>
  </conditionalFormatting>
  <conditionalFormatting sqref="C27:C28">
    <cfRule type="expression" dxfId="1650" priority="5">
      <formula>H27=1</formula>
    </cfRule>
  </conditionalFormatting>
  <conditionalFormatting sqref="E27:E28">
    <cfRule type="expression" dxfId="1649" priority="4">
      <formula>H27=1</formula>
    </cfRule>
  </conditionalFormatting>
  <conditionalFormatting sqref="D24">
    <cfRule type="expression" dxfId="1648" priority="3" stopIfTrue="1">
      <formula>IF($H$25=1,0)</formula>
    </cfRule>
  </conditionalFormatting>
  <conditionalFormatting sqref="D24">
    <cfRule type="expression" dxfId="1647" priority="2">
      <formula>H24=1</formula>
    </cfRule>
  </conditionalFormatting>
  <conditionalFormatting sqref="E24">
    <cfRule type="expression" dxfId="1646" priority="1">
      <formula>H24=1</formula>
    </cfRule>
  </conditionalFormatting>
  <pageMargins left="0.7" right="0.7" top="0.75" bottom="0.75" header="0.3" footer="0.3"/>
  <pageSetup scale="68" orientation="portrait" r:id="rId1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sheetPr codeName="Sheet79"/>
  <dimension ref="A2:O47"/>
  <sheetViews>
    <sheetView zoomScaleNormal="100" workbookViewId="0">
      <selection activeCell="J5" sqref="J5"/>
    </sheetView>
  </sheetViews>
  <sheetFormatPr defaultRowHeight="15" x14ac:dyDescent="0.25"/>
  <cols>
    <col min="1" max="2" width="4.42578125" customWidth="1"/>
    <col min="3" max="3" width="3" customWidth="1"/>
    <col min="4" max="4" width="24.85546875" customWidth="1"/>
    <col min="5" max="5" width="3" customWidth="1"/>
    <col min="6" max="6" width="15.7109375" customWidth="1"/>
    <col min="7" max="7" width="8.5703125" customWidth="1"/>
    <col min="8" max="8" width="5.85546875" customWidth="1"/>
    <col min="9" max="15" width="15.7109375" customWidth="1"/>
  </cols>
  <sheetData>
    <row r="2" spans="1:11" x14ac:dyDescent="0.25">
      <c r="C2" s="15" t="s">
        <v>32</v>
      </c>
      <c r="E2" s="15"/>
      <c r="F2" s="15"/>
      <c r="G2" s="15" t="s">
        <v>33</v>
      </c>
      <c r="H2" s="15"/>
      <c r="I2" s="15"/>
      <c r="J2" s="15"/>
      <c r="K2" s="15"/>
    </row>
    <row r="3" spans="1:11" ht="18.75" x14ac:dyDescent="0.3">
      <c r="C3" s="3" t="s">
        <v>26</v>
      </c>
      <c r="J3" s="8" t="s">
        <v>17</v>
      </c>
    </row>
    <row r="4" spans="1:11" x14ac:dyDescent="0.25">
      <c r="D4" s="2" t="s">
        <v>0</v>
      </c>
      <c r="E4" s="1"/>
      <c r="F4" t="s">
        <v>832</v>
      </c>
      <c r="I4" s="2" t="s">
        <v>4</v>
      </c>
      <c r="J4" t="s">
        <v>816</v>
      </c>
    </row>
    <row r="5" spans="1:11" x14ac:dyDescent="0.25">
      <c r="D5" s="2" t="s">
        <v>1</v>
      </c>
      <c r="F5" t="s">
        <v>833</v>
      </c>
    </row>
    <row r="6" spans="1:11" x14ac:dyDescent="0.25">
      <c r="D6" s="2" t="s">
        <v>2</v>
      </c>
      <c r="F6" s="6">
        <v>42752</v>
      </c>
      <c r="H6" s="11"/>
    </row>
    <row r="7" spans="1:11" x14ac:dyDescent="0.25">
      <c r="D7" s="2" t="s">
        <v>3</v>
      </c>
      <c r="F7" s="5">
        <v>4200000</v>
      </c>
      <c r="G7" s="2" t="s">
        <v>34</v>
      </c>
      <c r="H7" s="11"/>
    </row>
    <row r="8" spans="1:11" x14ac:dyDescent="0.25">
      <c r="D8" s="2" t="s">
        <v>18</v>
      </c>
      <c r="F8" s="5">
        <f>MIN(I23:I43)</f>
        <v>3987114</v>
      </c>
      <c r="H8" s="11"/>
    </row>
    <row r="9" spans="1:11" x14ac:dyDescent="0.25">
      <c r="D9" s="2" t="s">
        <v>67</v>
      </c>
      <c r="F9" s="4">
        <f>+F8-F7</f>
        <v>-212886</v>
      </c>
      <c r="G9" s="16">
        <f>+F9/F7</f>
        <v>-5.0687142857142854E-2</v>
      </c>
      <c r="H9" s="12" t="s">
        <v>20</v>
      </c>
      <c r="I9" s="11" t="str">
        <f>(IF(G9&lt;-0.1,"FAIL",IF(G9&gt;0.05,"FAIL","GOOD")))</f>
        <v>GOOD</v>
      </c>
      <c r="J9" s="14" t="s">
        <v>72</v>
      </c>
    </row>
    <row r="10" spans="1:11" x14ac:dyDescent="0.25">
      <c r="D10" s="2" t="s">
        <v>68</v>
      </c>
      <c r="F10" s="4">
        <f>+F7-F12</f>
        <v>36490.333333333489</v>
      </c>
      <c r="H10" s="11"/>
    </row>
    <row r="11" spans="1:11" x14ac:dyDescent="0.25">
      <c r="A11" s="52"/>
      <c r="D11" s="2" t="s">
        <v>71</v>
      </c>
      <c r="F11" s="11" t="str">
        <f>(IF(F7&lt;J12,"FAIL",IF(F7&gt;J13,"FAIL","GOOD")))</f>
        <v>GOOD</v>
      </c>
      <c r="H11" s="11"/>
    </row>
    <row r="12" spans="1:11" x14ac:dyDescent="0.25">
      <c r="D12" s="2" t="s">
        <v>28</v>
      </c>
      <c r="F12" s="4">
        <f>SUM(I23:I43)/H12</f>
        <v>4163509.6666666665</v>
      </c>
      <c r="G12" s="14"/>
      <c r="H12" s="11">
        <f>COUNT(I23:I43)</f>
        <v>3</v>
      </c>
      <c r="I12" s="1" t="s">
        <v>31</v>
      </c>
      <c r="J12" s="4">
        <f>+F8*0.9</f>
        <v>3588402.6</v>
      </c>
      <c r="K12" s="1" t="s">
        <v>69</v>
      </c>
    </row>
    <row r="13" spans="1:11" x14ac:dyDescent="0.25">
      <c r="D13" s="2" t="s">
        <v>29</v>
      </c>
      <c r="F13" s="4">
        <f>MAX(I23:I43)-MIN(I23:I43)</f>
        <v>298401</v>
      </c>
      <c r="G13" s="399">
        <f>MEDIAN(I23:I43)</f>
        <v>4217900</v>
      </c>
      <c r="H13" s="400"/>
      <c r="I13" s="1" t="s">
        <v>30</v>
      </c>
      <c r="J13" s="4">
        <f>+F12*1.1</f>
        <v>4579860.6333333338</v>
      </c>
      <c r="K13" s="1" t="s">
        <v>70</v>
      </c>
    </row>
    <row r="14" spans="1:11" x14ac:dyDescent="0.25">
      <c r="H14" s="11"/>
    </row>
    <row r="15" spans="1:11" x14ac:dyDescent="0.25">
      <c r="D15" s="2" t="s">
        <v>8</v>
      </c>
      <c r="F15" s="4"/>
      <c r="G15" s="1" t="s">
        <v>9</v>
      </c>
      <c r="H15" s="11"/>
      <c r="I15" t="s">
        <v>15</v>
      </c>
      <c r="J15" s="7" t="e">
        <f>+F16/F15</f>
        <v>#DIV/0!</v>
      </c>
    </row>
    <row r="16" spans="1:11" x14ac:dyDescent="0.25">
      <c r="F16" s="4"/>
      <c r="G16" s="1" t="s">
        <v>10</v>
      </c>
      <c r="H16" s="11"/>
      <c r="I16" t="s">
        <v>14</v>
      </c>
      <c r="J16" s="7" t="e">
        <f>+F17/F16</f>
        <v>#DIV/0!</v>
      </c>
    </row>
    <row r="17" spans="3:15" x14ac:dyDescent="0.25">
      <c r="F17" s="4"/>
      <c r="G17" s="1" t="s">
        <v>11</v>
      </c>
      <c r="H17" s="11"/>
      <c r="I17" t="s">
        <v>13</v>
      </c>
      <c r="J17" s="7" t="e">
        <f>+F18/F17</f>
        <v>#DIV/0!</v>
      </c>
      <c r="M17" s="21"/>
      <c r="N17" s="21"/>
      <c r="O17" s="21"/>
    </row>
    <row r="18" spans="3:15" x14ac:dyDescent="0.25">
      <c r="F18" s="4"/>
      <c r="G18" s="1" t="s">
        <v>12</v>
      </c>
      <c r="H18" s="11"/>
      <c r="I18" t="s">
        <v>16</v>
      </c>
      <c r="J18" s="7" t="e">
        <f>+F8/F18</f>
        <v>#DIV/0!</v>
      </c>
      <c r="M18" s="21"/>
      <c r="N18" s="21"/>
      <c r="O18" s="21"/>
    </row>
    <row r="19" spans="3:15" x14ac:dyDescent="0.25">
      <c r="F19" s="2" t="s">
        <v>51</v>
      </c>
      <c r="G19">
        <v>0</v>
      </c>
      <c r="H19" s="11" t="s">
        <v>52</v>
      </c>
      <c r="I19" t="s">
        <v>41</v>
      </c>
      <c r="J19" s="7" t="e">
        <f>+F8/F15</f>
        <v>#DIV/0!</v>
      </c>
      <c r="M19" s="21"/>
      <c r="N19" s="21"/>
      <c r="O19" s="21"/>
    </row>
    <row r="20" spans="3:15" x14ac:dyDescent="0.25">
      <c r="H20" s="11"/>
      <c r="M20" s="21"/>
      <c r="N20" s="21"/>
      <c r="O20" s="21"/>
    </row>
    <row r="21" spans="3:15" x14ac:dyDescent="0.25">
      <c r="C21" s="9"/>
      <c r="D21" s="13" t="s">
        <v>21</v>
      </c>
      <c r="E21" s="9"/>
      <c r="F21" s="9" t="s">
        <v>22</v>
      </c>
      <c r="G21" s="9" t="s">
        <v>23</v>
      </c>
      <c r="H21" s="13" t="s">
        <v>27</v>
      </c>
      <c r="I21" s="10" t="s">
        <v>24</v>
      </c>
      <c r="J21" s="9"/>
      <c r="K21" s="9"/>
      <c r="L21" s="9"/>
      <c r="M21" s="21"/>
      <c r="N21" s="21"/>
      <c r="O21" s="21"/>
    </row>
    <row r="22" spans="3:15" ht="6" customHeight="1" x14ac:dyDescent="0.25">
      <c r="M22" s="21"/>
      <c r="N22" s="21"/>
      <c r="O22" s="21"/>
    </row>
    <row r="23" spans="3:15" x14ac:dyDescent="0.25">
      <c r="C23" s="33" t="str">
        <f>IF(H23=1,"u","")</f>
        <v/>
      </c>
      <c r="D23" s="11" t="s">
        <v>556</v>
      </c>
      <c r="E23" s="33"/>
      <c r="F23" t="s">
        <v>201</v>
      </c>
      <c r="G23" t="s">
        <v>25</v>
      </c>
      <c r="H23">
        <f>RANK(I23,I$23:I$43,1)</f>
        <v>2</v>
      </c>
      <c r="I23" s="4">
        <v>4217900</v>
      </c>
      <c r="J23" s="4"/>
      <c r="K23" s="4"/>
      <c r="L23" s="4"/>
      <c r="M23" s="22"/>
      <c r="N23" s="22"/>
      <c r="O23" s="22"/>
    </row>
    <row r="24" spans="3:15" x14ac:dyDescent="0.25">
      <c r="C24" s="33" t="str">
        <f>IF(H24=1,"u","")</f>
        <v/>
      </c>
      <c r="D24" s="11" t="s">
        <v>834</v>
      </c>
      <c r="E24" s="33"/>
      <c r="F24" t="s">
        <v>835</v>
      </c>
      <c r="G24" t="s">
        <v>25</v>
      </c>
      <c r="H24">
        <f>RANK(I24,I$23:I$43,1)</f>
        <v>3</v>
      </c>
      <c r="I24" s="4">
        <v>4285515</v>
      </c>
      <c r="J24" s="4"/>
      <c r="K24" s="4"/>
      <c r="L24" s="4"/>
      <c r="M24" s="22"/>
      <c r="N24" s="22"/>
      <c r="O24" s="22"/>
    </row>
    <row r="25" spans="3:15" x14ac:dyDescent="0.25">
      <c r="C25" s="33" t="str">
        <f>IF(H25=1,"u","")</f>
        <v>u</v>
      </c>
      <c r="D25" s="11" t="s">
        <v>836</v>
      </c>
      <c r="E25" s="33"/>
      <c r="F25" t="s">
        <v>486</v>
      </c>
      <c r="G25" t="s">
        <v>25</v>
      </c>
      <c r="H25">
        <f>RANK(I25,I$23:I$43,1)</f>
        <v>1</v>
      </c>
      <c r="I25" s="4">
        <v>3987114</v>
      </c>
      <c r="J25" s="4"/>
      <c r="K25" s="4"/>
      <c r="L25" s="4"/>
      <c r="M25" s="22"/>
      <c r="N25" s="22"/>
      <c r="O25" s="22"/>
    </row>
    <row r="26" spans="3:15" x14ac:dyDescent="0.25">
      <c r="C26" s="33" t="str">
        <f t="shared" ref="C26:C43" si="0">IF(H26=1,"u","")</f>
        <v/>
      </c>
      <c r="D26" s="11"/>
      <c r="E26" s="33"/>
      <c r="I26" s="4"/>
      <c r="J26" s="4"/>
      <c r="K26" s="4"/>
      <c r="L26" s="4"/>
      <c r="M26" s="22"/>
      <c r="N26" s="22"/>
      <c r="O26" s="22"/>
    </row>
    <row r="27" spans="3:15" x14ac:dyDescent="0.25">
      <c r="C27" s="33" t="str">
        <f t="shared" si="0"/>
        <v/>
      </c>
      <c r="D27" s="11"/>
      <c r="E27" s="33"/>
      <c r="I27" s="4"/>
      <c r="J27" s="4"/>
      <c r="K27" s="4"/>
      <c r="L27" s="4"/>
      <c r="M27" s="22"/>
      <c r="N27" s="22"/>
      <c r="O27" s="22"/>
    </row>
    <row r="28" spans="3:15" x14ac:dyDescent="0.25">
      <c r="C28" s="33" t="str">
        <f t="shared" si="0"/>
        <v/>
      </c>
      <c r="D28" s="11"/>
      <c r="E28" s="33"/>
      <c r="I28" s="4"/>
      <c r="J28" s="4"/>
      <c r="K28" s="4"/>
      <c r="L28" s="4"/>
      <c r="M28" s="22"/>
      <c r="N28" s="22"/>
      <c r="O28" s="22"/>
    </row>
    <row r="29" spans="3:15" x14ac:dyDescent="0.25">
      <c r="C29" s="33" t="str">
        <f t="shared" si="0"/>
        <v/>
      </c>
      <c r="D29" s="11"/>
      <c r="E29" s="33"/>
      <c r="I29" s="4"/>
      <c r="J29" s="4"/>
      <c r="K29" s="4"/>
      <c r="L29" s="4"/>
      <c r="M29" s="22"/>
      <c r="N29" s="22"/>
      <c r="O29" s="22"/>
    </row>
    <row r="30" spans="3:15" x14ac:dyDescent="0.25">
      <c r="C30" s="33" t="str">
        <f t="shared" si="0"/>
        <v/>
      </c>
      <c r="D30" s="11"/>
      <c r="E30" s="33"/>
      <c r="I30" s="4"/>
      <c r="J30" s="4"/>
      <c r="K30" s="4"/>
      <c r="L30" s="4"/>
      <c r="M30" s="22"/>
      <c r="N30" s="22"/>
      <c r="O30" s="22"/>
    </row>
    <row r="31" spans="3:15" x14ac:dyDescent="0.25">
      <c r="C31" s="33" t="str">
        <f t="shared" si="0"/>
        <v/>
      </c>
      <c r="D31" s="11"/>
      <c r="E31" s="33"/>
      <c r="I31" s="4"/>
      <c r="J31" s="4"/>
      <c r="K31" s="4"/>
      <c r="L31" s="4"/>
      <c r="M31" s="22"/>
      <c r="N31" s="22"/>
      <c r="O31" s="22"/>
    </row>
    <row r="32" spans="3:15" x14ac:dyDescent="0.25">
      <c r="C32" s="33" t="str">
        <f t="shared" si="0"/>
        <v/>
      </c>
      <c r="D32" s="11"/>
      <c r="E32" s="33"/>
      <c r="I32" s="4"/>
      <c r="J32" s="4"/>
      <c r="K32" s="4"/>
      <c r="L32" s="4"/>
      <c r="M32" s="22"/>
      <c r="N32" s="22"/>
      <c r="O32" s="22"/>
    </row>
    <row r="33" spans="3:15" x14ac:dyDescent="0.25">
      <c r="C33" s="33" t="str">
        <f t="shared" si="0"/>
        <v/>
      </c>
      <c r="D33" s="11"/>
      <c r="E33" s="33"/>
      <c r="I33" s="4"/>
      <c r="M33" s="21"/>
      <c r="N33" s="21"/>
      <c r="O33" s="21"/>
    </row>
    <row r="34" spans="3:15" x14ac:dyDescent="0.25">
      <c r="C34" s="33" t="str">
        <f t="shared" si="0"/>
        <v/>
      </c>
      <c r="D34" s="11"/>
      <c r="E34" s="33" t="str">
        <f t="shared" ref="E34:E43" si="1">IF(H34=1,"t","")</f>
        <v/>
      </c>
      <c r="M34" s="21"/>
      <c r="N34" s="21"/>
      <c r="O34" s="21"/>
    </row>
    <row r="35" spans="3:15" x14ac:dyDescent="0.25">
      <c r="C35" s="33" t="str">
        <f t="shared" si="0"/>
        <v/>
      </c>
      <c r="D35" s="11"/>
      <c r="E35" s="33" t="str">
        <f t="shared" si="1"/>
        <v/>
      </c>
      <c r="M35" s="21"/>
      <c r="N35" s="21"/>
      <c r="O35" s="21"/>
    </row>
    <row r="36" spans="3:15" x14ac:dyDescent="0.25">
      <c r="C36" s="33" t="str">
        <f t="shared" si="0"/>
        <v/>
      </c>
      <c r="D36" s="11"/>
      <c r="E36" s="33" t="str">
        <f t="shared" si="1"/>
        <v/>
      </c>
      <c r="M36" s="21"/>
      <c r="N36" s="21"/>
      <c r="O36" s="21"/>
    </row>
    <row r="37" spans="3:15" x14ac:dyDescent="0.25">
      <c r="C37" s="33" t="str">
        <f t="shared" si="0"/>
        <v/>
      </c>
      <c r="D37" s="11"/>
      <c r="E37" s="33" t="str">
        <f t="shared" si="1"/>
        <v/>
      </c>
      <c r="M37" s="21"/>
      <c r="N37" s="21"/>
      <c r="O37" s="21"/>
    </row>
    <row r="38" spans="3:15" x14ac:dyDescent="0.25">
      <c r="C38" s="33" t="str">
        <f t="shared" si="0"/>
        <v/>
      </c>
      <c r="D38" s="11"/>
      <c r="E38" s="33" t="str">
        <f t="shared" si="1"/>
        <v/>
      </c>
      <c r="M38" s="21"/>
      <c r="N38" s="21"/>
      <c r="O38" s="21"/>
    </row>
    <row r="39" spans="3:15" x14ac:dyDescent="0.25">
      <c r="C39" s="33" t="str">
        <f t="shared" si="0"/>
        <v/>
      </c>
      <c r="D39" s="11"/>
      <c r="E39" s="33" t="str">
        <f t="shared" si="1"/>
        <v/>
      </c>
      <c r="M39" s="21"/>
      <c r="N39" s="21"/>
      <c r="O39" s="21"/>
    </row>
    <row r="40" spans="3:15" x14ac:dyDescent="0.25">
      <c r="C40" s="33" t="str">
        <f t="shared" si="0"/>
        <v/>
      </c>
      <c r="D40" s="11"/>
      <c r="E40" s="33" t="str">
        <f t="shared" si="1"/>
        <v/>
      </c>
      <c r="M40" s="21"/>
      <c r="N40" s="21"/>
      <c r="O40" s="21"/>
    </row>
    <row r="41" spans="3:15" x14ac:dyDescent="0.25">
      <c r="C41" s="33" t="str">
        <f t="shared" si="0"/>
        <v/>
      </c>
      <c r="D41" s="11"/>
      <c r="E41" s="33" t="str">
        <f t="shared" si="1"/>
        <v/>
      </c>
      <c r="M41" s="21"/>
      <c r="N41" s="21"/>
      <c r="O41" s="21"/>
    </row>
    <row r="42" spans="3:15" x14ac:dyDescent="0.25">
      <c r="C42" s="33" t="str">
        <f t="shared" si="0"/>
        <v/>
      </c>
      <c r="D42" s="11"/>
      <c r="E42" s="33" t="str">
        <f t="shared" si="1"/>
        <v/>
      </c>
      <c r="M42" s="21"/>
      <c r="N42" s="21"/>
      <c r="O42" s="21"/>
    </row>
    <row r="43" spans="3:15" x14ac:dyDescent="0.25">
      <c r="C43" s="33" t="str">
        <f t="shared" si="0"/>
        <v/>
      </c>
      <c r="D43" s="11"/>
      <c r="E43" s="33" t="str">
        <f t="shared" si="1"/>
        <v/>
      </c>
      <c r="M43" s="21"/>
      <c r="N43" s="21"/>
      <c r="O43" s="21"/>
    </row>
    <row r="44" spans="3:15" ht="6" customHeight="1" x14ac:dyDescent="0.25">
      <c r="C44" s="9"/>
      <c r="D44" s="9"/>
      <c r="E44" s="9"/>
      <c r="F44" s="9"/>
      <c r="G44" s="9"/>
      <c r="H44" s="9"/>
      <c r="I44" s="9"/>
      <c r="J44" s="9"/>
      <c r="K44" s="9"/>
      <c r="L44" s="9"/>
      <c r="M44" s="21"/>
      <c r="N44" s="21"/>
      <c r="O44" s="21"/>
    </row>
    <row r="45" spans="3:15" ht="6" customHeight="1" x14ac:dyDescent="0.25">
      <c r="M45" s="21"/>
      <c r="N45" s="21"/>
      <c r="O45" s="21"/>
    </row>
    <row r="46" spans="3:15" x14ac:dyDescent="0.25">
      <c r="C46" s="15" t="s">
        <v>79</v>
      </c>
      <c r="M46" s="21"/>
      <c r="N46" s="21"/>
      <c r="O46" s="21"/>
    </row>
    <row r="47" spans="3:15" x14ac:dyDescent="0.25">
      <c r="C47" s="15" t="s">
        <v>78</v>
      </c>
    </row>
  </sheetData>
  <mergeCells count="1">
    <mergeCell ref="G13:H13"/>
  </mergeCells>
  <conditionalFormatting sqref="I9">
    <cfRule type="containsText" dxfId="1228" priority="13" operator="containsText" text="FAIL">
      <formula>NOT(ISERROR(SEARCH("FAIL",I9)))</formula>
    </cfRule>
  </conditionalFormatting>
  <conditionalFormatting sqref="I9">
    <cfRule type="containsText" dxfId="1227" priority="12" operator="containsText" text="GOOD">
      <formula>NOT(ISERROR(SEARCH("GOOD",I9)))</formula>
    </cfRule>
  </conditionalFormatting>
  <conditionalFormatting sqref="F11">
    <cfRule type="containsText" dxfId="1226" priority="11" operator="containsText" text="FAIL">
      <formula>NOT(ISERROR(SEARCH("FAIL",F11)))</formula>
    </cfRule>
  </conditionalFormatting>
  <conditionalFormatting sqref="F11">
    <cfRule type="containsText" dxfId="1225" priority="10" operator="containsText" text="GOOD">
      <formula>NOT(ISERROR(SEARCH("GOOD",F11)))</formula>
    </cfRule>
  </conditionalFormatting>
  <conditionalFormatting sqref="D25">
    <cfRule type="expression" dxfId="1224" priority="9" stopIfTrue="1">
      <formula>IF($H$25=1,0)</formula>
    </cfRule>
  </conditionalFormatting>
  <conditionalFormatting sqref="D23:D26 D29:D43">
    <cfRule type="expression" dxfId="1223" priority="8">
      <formula>H23=1</formula>
    </cfRule>
  </conditionalFormatting>
  <conditionalFormatting sqref="C23:C26 C29:C43">
    <cfRule type="expression" dxfId="1222" priority="7">
      <formula>H23=1</formula>
    </cfRule>
  </conditionalFormatting>
  <conditionalFormatting sqref="E23:E26 E29:E43">
    <cfRule type="expression" dxfId="1221" priority="6">
      <formula>H23=1</formula>
    </cfRule>
  </conditionalFormatting>
  <conditionalFormatting sqref="F11">
    <cfRule type="containsText" dxfId="1220" priority="5" operator="containsText" text="FAIL">
      <formula>NOT(ISERROR(SEARCH("FAIL",F11)))</formula>
    </cfRule>
  </conditionalFormatting>
  <conditionalFormatting sqref="F11">
    <cfRule type="containsText" dxfId="1219" priority="4" operator="containsText" text="GOOD">
      <formula>NOT(ISERROR(SEARCH("GOOD",F11)))</formula>
    </cfRule>
  </conditionalFormatting>
  <conditionalFormatting sqref="D27:D28">
    <cfRule type="expression" dxfId="1218" priority="3">
      <formula>H27=1</formula>
    </cfRule>
  </conditionalFormatting>
  <conditionalFormatting sqref="C27:C28">
    <cfRule type="expression" dxfId="1217" priority="2">
      <formula>H27=1</formula>
    </cfRule>
  </conditionalFormatting>
  <conditionalFormatting sqref="E27:E28">
    <cfRule type="expression" dxfId="1216" priority="1">
      <formula>H27=1</formula>
    </cfRule>
  </conditionalFormatting>
  <pageMargins left="0.7" right="0.7" top="0.75" bottom="0.75" header="0.3" footer="0.3"/>
  <pageSetup scale="68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4">
    <tabColor theme="5" tint="-0.249977111117893"/>
    <pageSetUpPr fitToPage="1"/>
  </sheetPr>
  <dimension ref="C2:AB836"/>
  <sheetViews>
    <sheetView zoomScaleNormal="100" workbookViewId="0">
      <pane ySplit="5" topLeftCell="A15" activePane="bottomLeft" state="frozen"/>
      <selection activeCell="H14" sqref="H14"/>
      <selection pane="bottomLeft" activeCell="H14" sqref="H14"/>
    </sheetView>
  </sheetViews>
  <sheetFormatPr defaultRowHeight="15" x14ac:dyDescent="0.25"/>
  <cols>
    <col min="1" max="1" width="3.140625" customWidth="1"/>
    <col min="2" max="2" width="2.85546875" customWidth="1"/>
    <col min="3" max="3" width="5.28515625" customWidth="1"/>
    <col min="4" max="4" width="13.42578125" customWidth="1"/>
    <col min="5" max="5" width="51.5703125" customWidth="1"/>
    <col min="6" max="6" width="9.5703125" bestFit="1" customWidth="1"/>
    <col min="7" max="7" width="8.5703125" customWidth="1"/>
    <col min="8" max="10" width="13.7109375" customWidth="1"/>
    <col min="11" max="11" width="9.5703125" customWidth="1"/>
    <col min="12" max="12" width="7" customWidth="1"/>
    <col min="13" max="13" width="6.42578125" customWidth="1"/>
    <col min="14" max="14" width="5.7109375" style="11" customWidth="1"/>
    <col min="15" max="15" width="3.42578125" customWidth="1"/>
    <col min="16" max="16" width="6.140625" customWidth="1"/>
    <col min="17" max="17" width="3.42578125" customWidth="1"/>
    <col min="18" max="18" width="44.7109375" customWidth="1"/>
    <col min="19" max="19" width="27" customWidth="1"/>
    <col min="22" max="22" width="11.140625" bestFit="1" customWidth="1"/>
    <col min="23" max="23" width="12.42578125" bestFit="1" customWidth="1"/>
    <col min="24" max="24" width="12" bestFit="1" customWidth="1"/>
    <col min="26" max="27" width="12.140625" bestFit="1" customWidth="1"/>
  </cols>
  <sheetData>
    <row r="2" spans="3:24" ht="27.75" customHeight="1" x14ac:dyDescent="0.25">
      <c r="D2" s="21"/>
      <c r="E2" s="15"/>
      <c r="F2" s="15" t="s">
        <v>32</v>
      </c>
      <c r="I2" s="15"/>
      <c r="J2" s="15"/>
      <c r="L2" s="15" t="s">
        <v>1161</v>
      </c>
    </row>
    <row r="3" spans="3:24" ht="18.75" x14ac:dyDescent="0.3">
      <c r="D3" s="3"/>
      <c r="F3" s="3" t="s">
        <v>53</v>
      </c>
      <c r="K3" s="36" t="s">
        <v>54</v>
      </c>
      <c r="L3" s="37">
        <v>2018</v>
      </c>
      <c r="S3" s="77" t="s">
        <v>1160</v>
      </c>
    </row>
    <row r="5" spans="3:24" x14ac:dyDescent="0.25">
      <c r="C5" s="40" t="s">
        <v>423</v>
      </c>
      <c r="D5" s="49" t="s">
        <v>55</v>
      </c>
      <c r="E5" s="49" t="s">
        <v>56</v>
      </c>
      <c r="F5" s="49" t="s">
        <v>57</v>
      </c>
      <c r="G5" s="50" t="s">
        <v>424</v>
      </c>
      <c r="H5" s="47" t="s">
        <v>58</v>
      </c>
      <c r="I5" s="47" t="s">
        <v>59</v>
      </c>
      <c r="J5" s="42" t="s">
        <v>456</v>
      </c>
      <c r="K5" s="47" t="s">
        <v>60</v>
      </c>
      <c r="L5" s="48" t="s">
        <v>61</v>
      </c>
      <c r="M5" s="47" t="s">
        <v>62</v>
      </c>
      <c r="N5" s="43" t="s">
        <v>225</v>
      </c>
      <c r="O5" s="43" t="s">
        <v>422</v>
      </c>
      <c r="P5" s="43" t="s">
        <v>454</v>
      </c>
      <c r="Q5" s="43"/>
      <c r="R5" s="41" t="s">
        <v>63</v>
      </c>
      <c r="S5" s="9" t="s">
        <v>551</v>
      </c>
      <c r="T5" s="9"/>
      <c r="U5" s="9"/>
      <c r="V5" s="9"/>
    </row>
    <row r="6" spans="3:24" ht="7.5" customHeight="1" x14ac:dyDescent="0.25">
      <c r="C6" s="39"/>
      <c r="G6" s="45"/>
    </row>
    <row r="7" spans="3:24" x14ac:dyDescent="0.25">
      <c r="C7" s="39">
        <v>2018</v>
      </c>
      <c r="D7" s="109" t="str">
        <f>+'EWR-924.384'!$F$4</f>
        <v>EWR-924.384</v>
      </c>
      <c r="E7" s="103" t="str">
        <f>+'EWR-924.384'!$F$5</f>
        <v>Bus Canopy B1, C1 and Gas Island Improvements and Roofing</v>
      </c>
      <c r="F7" s="110">
        <f>+'EWR-924.384'!$F$6</f>
        <v>43013</v>
      </c>
      <c r="G7" s="111" t="str">
        <f>+'EWR-924.384'!$G$7</f>
        <v>Public</v>
      </c>
      <c r="H7" s="112">
        <f>+'EWR-924.384'!$F$7</f>
        <v>970000</v>
      </c>
      <c r="I7" s="112">
        <f>+'EWR-924.384'!$F$8</f>
        <v>1285000</v>
      </c>
      <c r="J7" s="27"/>
      <c r="K7" s="26">
        <f>+'EWR-924.384'!$G$9</f>
        <v>0.32474226804123713</v>
      </c>
      <c r="L7" s="11" t="str">
        <f>+'EWR-924.384'!$F$11</f>
        <v>FAIL</v>
      </c>
      <c r="M7" s="15">
        <f>+'EWR-924.384'!$H$12</f>
        <v>6</v>
      </c>
      <c r="N7" s="35"/>
      <c r="O7" s="15">
        <v>1</v>
      </c>
      <c r="P7" s="35"/>
      <c r="Q7" s="15"/>
      <c r="R7" s="24"/>
      <c r="S7" s="109" t="str">
        <f>+'EWR-924.384'!$J$4</f>
        <v>Henry Yu</v>
      </c>
      <c r="T7" s="15"/>
      <c r="U7" s="15"/>
      <c r="V7" s="54">
        <f t="shared" ref="V7" si="0">+H7</f>
        <v>970000</v>
      </c>
      <c r="W7" s="54">
        <f t="shared" ref="W7" si="1">+I7</f>
        <v>1285000</v>
      </c>
      <c r="X7" s="54">
        <f t="shared" ref="X7" si="2">+V7-W7</f>
        <v>-315000</v>
      </c>
    </row>
    <row r="8" spans="3:24" ht="7.5" customHeight="1" x14ac:dyDescent="0.25">
      <c r="C8" s="39"/>
      <c r="G8" s="45"/>
      <c r="P8" s="11"/>
      <c r="S8" s="15"/>
      <c r="V8" s="54"/>
      <c r="W8" s="54"/>
      <c r="X8" s="54"/>
    </row>
    <row r="9" spans="3:24" x14ac:dyDescent="0.25">
      <c r="C9" s="39">
        <v>2017</v>
      </c>
      <c r="D9" s="102" t="str">
        <f>+'GWB-244.261'!$F$4</f>
        <v>GWB-244.261</v>
      </c>
      <c r="E9" s="63" t="str">
        <f>+'GWB-244.261'!$F$5</f>
        <v>Rehab of Low Voltage Power Systems</v>
      </c>
      <c r="F9" s="64">
        <f>+'GWB-244.261'!$F$6</f>
        <v>43088</v>
      </c>
      <c r="G9" s="65" t="str">
        <f>+'GWB-244.261'!$G$7</f>
        <v>MWBE</v>
      </c>
      <c r="H9" s="94">
        <f>+'GWB-244.261'!$F$7</f>
        <v>795000</v>
      </c>
      <c r="I9" s="27">
        <f>+'GWB-244.261'!$F$8</f>
        <v>353700</v>
      </c>
      <c r="J9" s="27"/>
      <c r="K9" s="26">
        <f>+'GWB-244.261'!$G$9</f>
        <v>-0.55509433962264154</v>
      </c>
      <c r="L9" s="11" t="str">
        <f>+'GWB-244.261'!$F$11</f>
        <v>GOOD</v>
      </c>
      <c r="M9" s="15">
        <f>+'GWB-244.261'!$H$12</f>
        <v>8</v>
      </c>
      <c r="N9" s="35" t="s">
        <v>226</v>
      </c>
      <c r="O9" s="15">
        <v>4</v>
      </c>
      <c r="P9" s="35" t="s">
        <v>457</v>
      </c>
      <c r="Q9" s="15"/>
      <c r="R9" s="24"/>
      <c r="S9" s="62" t="str">
        <f>+'GWB-244.261'!$J$4</f>
        <v>Gennadiy Zavokovsky</v>
      </c>
      <c r="T9" s="15"/>
      <c r="U9" s="15"/>
      <c r="V9" s="54">
        <f t="shared" ref="V9" si="3">+H9</f>
        <v>795000</v>
      </c>
      <c r="W9" s="54">
        <f t="shared" ref="W9" si="4">+I9</f>
        <v>353700</v>
      </c>
      <c r="X9" s="54">
        <f t="shared" ref="X9" si="5">+V9-W9</f>
        <v>441300</v>
      </c>
    </row>
    <row r="10" spans="3:24" x14ac:dyDescent="0.25">
      <c r="C10" s="39">
        <v>2017</v>
      </c>
      <c r="D10" s="102" t="str">
        <f>+'TEB-144.056'!$F$4</f>
        <v>TEB-144.056</v>
      </c>
      <c r="E10" s="63" t="str">
        <f>+'TEB-144.056'!$F$5</f>
        <v>Rehabilitation of Sewage Pumps</v>
      </c>
      <c r="F10" s="64">
        <f>+'TEB-144.056'!$F$6</f>
        <v>43083</v>
      </c>
      <c r="G10" s="65" t="str">
        <f>+'TEB-144.056'!$G$7</f>
        <v>MWBE</v>
      </c>
      <c r="H10" s="94">
        <f>+'TEB-144.056'!$F$7</f>
        <v>979000</v>
      </c>
      <c r="I10" s="27">
        <f>+'TEB-144.056'!$F$8</f>
        <v>1168000</v>
      </c>
      <c r="J10" s="27"/>
      <c r="K10" s="26">
        <f>+'TEB-144.056'!$G$9</f>
        <v>0.1930541368743616</v>
      </c>
      <c r="L10" s="11" t="str">
        <f>+'TEB-144.056'!$F$11</f>
        <v>FAIL</v>
      </c>
      <c r="M10" s="15">
        <f>+'TEB-144.056'!$H$12</f>
        <v>2</v>
      </c>
      <c r="N10" s="35" t="s">
        <v>25</v>
      </c>
      <c r="O10" s="15">
        <v>4</v>
      </c>
      <c r="P10" s="35" t="s">
        <v>458</v>
      </c>
      <c r="Q10" s="15"/>
      <c r="R10" s="24"/>
      <c r="S10" s="62" t="str">
        <f>+'TEB-144.056'!$J$4</f>
        <v>Joe Lucin</v>
      </c>
      <c r="T10" s="15"/>
      <c r="U10" s="15"/>
      <c r="V10" s="54">
        <f t="shared" ref="V10:V25" si="6">+H10</f>
        <v>979000</v>
      </c>
      <c r="W10" s="54">
        <f t="shared" ref="W10:W25" si="7">+I10</f>
        <v>1168000</v>
      </c>
      <c r="X10" s="54">
        <f t="shared" ref="X10:X25" si="8">+V10-W10</f>
        <v>-189000</v>
      </c>
    </row>
    <row r="11" spans="3:24" x14ac:dyDescent="0.25">
      <c r="C11" s="39">
        <v>2017</v>
      </c>
      <c r="D11" s="102" t="str">
        <f>+'PN-654.562'!$F$4</f>
        <v>PN-654.562</v>
      </c>
      <c r="E11" s="63" t="str">
        <f>+'PN-654.562'!$F$5</f>
        <v>Building 267 Roof Collapse Repair</v>
      </c>
      <c r="F11" s="64">
        <f>+'PN-654.562'!$F$6</f>
        <v>43083</v>
      </c>
      <c r="G11" s="65"/>
      <c r="H11" s="94"/>
      <c r="I11" s="27"/>
      <c r="J11" s="27"/>
      <c r="K11" s="26"/>
      <c r="L11" s="11"/>
      <c r="M11" s="15"/>
      <c r="N11" s="35"/>
      <c r="O11" s="15"/>
      <c r="P11" s="35"/>
      <c r="Q11" s="15"/>
      <c r="R11" s="24" t="s">
        <v>227</v>
      </c>
      <c r="S11" s="62" t="str">
        <f>+'PN-654.562'!$J$4</f>
        <v>Ed Minall</v>
      </c>
      <c r="T11" s="15"/>
      <c r="U11" s="15"/>
      <c r="V11" s="54">
        <f t="shared" si="6"/>
        <v>0</v>
      </c>
      <c r="W11" s="54">
        <f t="shared" si="7"/>
        <v>0</v>
      </c>
      <c r="X11" s="54">
        <f t="shared" si="8"/>
        <v>0</v>
      </c>
    </row>
    <row r="12" spans="3:24" x14ac:dyDescent="0.25">
      <c r="C12" s="39">
        <v>2017</v>
      </c>
      <c r="D12" s="102" t="str">
        <f>+'LGA-924.287'!$F$4</f>
        <v>LGA-924.287</v>
      </c>
      <c r="E12" s="63" t="str">
        <f>+'LGA-924.287'!$F$5</f>
        <v>Airside Asphalt Paving Repairs via Work Order</v>
      </c>
      <c r="F12" s="64">
        <f>+'LGA-924.287'!$F$6</f>
        <v>43083</v>
      </c>
      <c r="G12" s="65" t="str">
        <f>+'LGA-924.287'!$G$7</f>
        <v>PQL</v>
      </c>
      <c r="H12" s="94">
        <f>+'LGA-924.287'!$F$7</f>
        <v>4872000</v>
      </c>
      <c r="I12" s="27">
        <f>+'LGA-924.287'!$F$8</f>
        <v>3997350</v>
      </c>
      <c r="J12" s="27"/>
      <c r="K12" s="26">
        <f>+'LGA-924.287'!$G$9</f>
        <v>-0.17952586206896551</v>
      </c>
      <c r="L12" s="11" t="str">
        <f>+'LGA-924.287'!$F$11</f>
        <v>GOOD</v>
      </c>
      <c r="M12" s="15">
        <f>+'LGA-924.287'!$H$12</f>
        <v>5</v>
      </c>
      <c r="N12" s="35" t="s">
        <v>93</v>
      </c>
      <c r="O12" s="15">
        <v>4</v>
      </c>
      <c r="P12" s="35" t="s">
        <v>458</v>
      </c>
      <c r="Q12" s="15"/>
      <c r="R12" s="24"/>
      <c r="S12" s="62" t="str">
        <f>+'LGA-924.287'!$J$4</f>
        <v>Joe Lucin</v>
      </c>
      <c r="T12" s="15"/>
      <c r="U12" s="15"/>
      <c r="V12" s="54">
        <f t="shared" si="6"/>
        <v>4872000</v>
      </c>
      <c r="W12" s="54">
        <f t="shared" si="7"/>
        <v>3997350</v>
      </c>
      <c r="X12" s="54">
        <f t="shared" si="8"/>
        <v>874650</v>
      </c>
    </row>
    <row r="13" spans="3:24" x14ac:dyDescent="0.25">
      <c r="C13" s="39">
        <v>2017</v>
      </c>
      <c r="D13" s="102" t="str">
        <f>+'EWR-154.263'!$F$4</f>
        <v>EWR-154.263</v>
      </c>
      <c r="E13" s="63" t="str">
        <f>+'EWR-154.263'!$F$5</f>
        <v>Terminal B Satellite B2 Sterile Corridor Glass Door Replacement</v>
      </c>
      <c r="F13" s="64">
        <f>+'EWR-154.263'!$F$6</f>
        <v>43074</v>
      </c>
      <c r="G13" s="65" t="str">
        <f>+'EWR-154.263'!$G$7</f>
        <v>Public</v>
      </c>
      <c r="H13" s="94">
        <f>+'EWR-154.263'!$F$7</f>
        <v>1530000</v>
      </c>
      <c r="I13" s="27">
        <f>+'EWR-154.263'!$F$8</f>
        <v>1189000</v>
      </c>
      <c r="J13" s="27"/>
      <c r="K13" s="26">
        <f>+'EWR-154.263'!$G$9</f>
        <v>-0.22287581699346407</v>
      </c>
      <c r="L13" s="11" t="str">
        <f>+'EWR-154.263'!$F$11</f>
        <v>GOOD</v>
      </c>
      <c r="M13" s="15">
        <f>+'EWR-154.263'!$H$12</f>
        <v>3</v>
      </c>
      <c r="N13" s="35" t="s">
        <v>25</v>
      </c>
      <c r="O13" s="15">
        <v>4</v>
      </c>
      <c r="P13" s="35" t="s">
        <v>458</v>
      </c>
      <c r="Q13" s="15"/>
      <c r="R13" s="24"/>
      <c r="S13" s="62" t="str">
        <f>+'EWR-154.263'!$J$4</f>
        <v>Henry Yu</v>
      </c>
      <c r="T13" s="15"/>
      <c r="U13" s="15"/>
      <c r="V13" s="54">
        <f t="shared" si="6"/>
        <v>1530000</v>
      </c>
      <c r="W13" s="54">
        <f t="shared" si="7"/>
        <v>1189000</v>
      </c>
      <c r="X13" s="54">
        <f t="shared" si="8"/>
        <v>341000</v>
      </c>
    </row>
    <row r="14" spans="3:24" x14ac:dyDescent="0.25">
      <c r="C14" s="39">
        <v>2017</v>
      </c>
      <c r="D14" s="102" t="str">
        <f>+'JFK-144.023'!$F$4</f>
        <v>JFK-144.023</v>
      </c>
      <c r="E14" s="63" t="str">
        <f>+'JFK-144.023'!$F$5</f>
        <v>AOA Light Circuit Replacement</v>
      </c>
      <c r="F14" s="64">
        <f>+'JFK-144.023'!$F$6</f>
        <v>43074</v>
      </c>
      <c r="G14" s="65" t="str">
        <f>+'JFK-144.023'!$G$7</f>
        <v>Public</v>
      </c>
      <c r="H14" s="94">
        <f>+'JFK-144.023'!$F$7</f>
        <v>38000000</v>
      </c>
      <c r="I14" s="27">
        <f>+'JFK-144.023'!$F$8</f>
        <v>28470000</v>
      </c>
      <c r="J14" s="27"/>
      <c r="K14" s="26">
        <f>+'JFK-144.023'!$G$9</f>
        <v>-0.25078947368421051</v>
      </c>
      <c r="L14" s="11" t="str">
        <f>+'JFK-144.023'!$F$11</f>
        <v>GOOD</v>
      </c>
      <c r="M14" s="15">
        <f>+'JFK-144.023'!$H$12</f>
        <v>4</v>
      </c>
      <c r="N14" s="35" t="s">
        <v>93</v>
      </c>
      <c r="O14" s="15">
        <v>4</v>
      </c>
      <c r="P14" s="35" t="s">
        <v>458</v>
      </c>
      <c r="Q14" s="15"/>
      <c r="R14" s="24" t="s">
        <v>1220</v>
      </c>
      <c r="S14" s="62" t="str">
        <f>+'JFK-144.023'!$J$4</f>
        <v>Henry Yu</v>
      </c>
      <c r="T14" s="15"/>
      <c r="U14" s="15"/>
      <c r="V14" s="54">
        <f t="shared" si="6"/>
        <v>38000000</v>
      </c>
      <c r="W14" s="54">
        <f t="shared" si="7"/>
        <v>28470000</v>
      </c>
      <c r="X14" s="54">
        <f t="shared" si="8"/>
        <v>9530000</v>
      </c>
    </row>
    <row r="15" spans="3:24" x14ac:dyDescent="0.25">
      <c r="C15" s="39">
        <v>2017</v>
      </c>
      <c r="D15" s="102" t="str">
        <f>+'EWR-154.235'!$F$4</f>
        <v>EWR-154.235</v>
      </c>
      <c r="E15" s="63" t="str">
        <f>+'EWR-154.235'!$F$5</f>
        <v>Rehab CTA Entrance and Bridges N1, N2, N5, N6</v>
      </c>
      <c r="F15" s="64">
        <f>+'EWR-154.235'!$F$6</f>
        <v>43068</v>
      </c>
      <c r="G15" s="65" t="str">
        <f>+'EWR-154.235'!$G$7</f>
        <v>Public</v>
      </c>
      <c r="H15" s="94">
        <f>+'EWR-154.235'!$F$7</f>
        <v>6600000</v>
      </c>
      <c r="I15" s="27">
        <f>+'EWR-154.235'!$F$8</f>
        <v>5189333</v>
      </c>
      <c r="J15" s="27"/>
      <c r="K15" s="26">
        <f>+'EWR-154.235'!$G$9</f>
        <v>-0.21373742424242423</v>
      </c>
      <c r="L15" s="11" t="str">
        <f>+'EWR-154.235'!$F$11</f>
        <v>GOOD</v>
      </c>
      <c r="M15" s="15">
        <f>+'EWR-154.235'!$H$12</f>
        <v>7</v>
      </c>
      <c r="N15" s="35" t="s">
        <v>25</v>
      </c>
      <c r="O15" s="15">
        <v>4</v>
      </c>
      <c r="P15" s="35" t="s">
        <v>458</v>
      </c>
      <c r="Q15" s="15"/>
      <c r="R15" s="24"/>
      <c r="S15" s="62" t="str">
        <f>+'EWR-154.235'!$J$4</f>
        <v>Henry Yu</v>
      </c>
      <c r="T15" s="15"/>
      <c r="U15" s="15"/>
      <c r="V15" s="54">
        <f t="shared" si="6"/>
        <v>6600000</v>
      </c>
      <c r="W15" s="54">
        <f t="shared" si="7"/>
        <v>5189333</v>
      </c>
      <c r="X15" s="54">
        <f t="shared" si="8"/>
        <v>1410667</v>
      </c>
    </row>
    <row r="16" spans="3:24" x14ac:dyDescent="0.25">
      <c r="C16" s="39">
        <v>2017</v>
      </c>
      <c r="D16" s="102" t="str">
        <f>+'LT-234.193'!$F$4</f>
        <v>LT-234.193</v>
      </c>
      <c r="E16" s="63" t="str">
        <f>+'LT-234.193'!$F$5</f>
        <v>Latent Salt Damage Repairs</v>
      </c>
      <c r="F16" s="64">
        <f>+'LT-234.193'!$F$6</f>
        <v>43054</v>
      </c>
      <c r="G16" s="65" t="str">
        <f>+'LT-234.193'!$G$7</f>
        <v>Public</v>
      </c>
      <c r="H16" s="94">
        <f>+'LT-234.193'!$F$7</f>
        <v>1350000</v>
      </c>
      <c r="I16" s="27">
        <f>+'LT-234.193'!$F$8</f>
        <v>2629000</v>
      </c>
      <c r="J16" s="27"/>
      <c r="K16" s="26">
        <f>+'LT-234.193'!$G$9</f>
        <v>0.94740740740740736</v>
      </c>
      <c r="L16" s="11" t="str">
        <f>+'LT-234.193'!$F$11</f>
        <v>FAIL</v>
      </c>
      <c r="M16" s="15">
        <f>+'LT-234.193'!$H$12</f>
        <v>1</v>
      </c>
      <c r="N16" s="35" t="s">
        <v>226</v>
      </c>
      <c r="O16" s="15">
        <v>4</v>
      </c>
      <c r="P16" s="35" t="s">
        <v>457</v>
      </c>
      <c r="Q16" s="15"/>
      <c r="R16" s="24" t="s">
        <v>782</v>
      </c>
      <c r="S16" s="62" t="str">
        <f>+'LT-234.193'!$J$4</f>
        <v>Joe Lucin</v>
      </c>
      <c r="T16" s="15"/>
      <c r="U16" s="15"/>
      <c r="V16" s="54">
        <f t="shared" si="6"/>
        <v>1350000</v>
      </c>
      <c r="W16" s="54">
        <f t="shared" si="7"/>
        <v>2629000</v>
      </c>
      <c r="X16" s="54">
        <f t="shared" si="8"/>
        <v>-1279000</v>
      </c>
    </row>
    <row r="17" spans="3:24" x14ac:dyDescent="0.25">
      <c r="C17" s="39">
        <v>2017</v>
      </c>
      <c r="D17" s="102" t="str">
        <f>+'BT-254.085'!$F$4</f>
        <v>BT-254.085</v>
      </c>
      <c r="E17" s="63" t="str">
        <f>+'BT-254.085'!$F$5</f>
        <v>Internal Structural Enhancements (Column Hardening)</v>
      </c>
      <c r="F17" s="64">
        <f>+'BT-254.085'!$F$6</f>
        <v>43053</v>
      </c>
      <c r="G17" s="65" t="str">
        <f>+'BT-254.085'!$G$7</f>
        <v>VVP</v>
      </c>
      <c r="H17" s="94">
        <f>+'BT-254.085'!$F$7</f>
        <v>17250000</v>
      </c>
      <c r="I17" s="27">
        <f>+'BT-254.085'!$F$8</f>
        <v>22616488</v>
      </c>
      <c r="J17" s="27"/>
      <c r="K17" s="26">
        <f>+'BT-254.085'!$G$9</f>
        <v>0.3111007536231884</v>
      </c>
      <c r="L17" s="11" t="str">
        <f>+'BT-254.085'!$F$11</f>
        <v>FAIL</v>
      </c>
      <c r="M17" s="15">
        <f>+'BT-254.085'!$H$12</f>
        <v>4</v>
      </c>
      <c r="N17" s="35" t="s">
        <v>93</v>
      </c>
      <c r="O17" s="15">
        <v>4</v>
      </c>
      <c r="P17" s="35" t="s">
        <v>457</v>
      </c>
      <c r="Q17" s="15"/>
      <c r="R17" s="24"/>
      <c r="S17" s="62" t="str">
        <f>+'BT-254.085'!$J$4</f>
        <v>Nathan Demaisip</v>
      </c>
      <c r="T17" s="15"/>
      <c r="U17" s="15"/>
      <c r="V17" s="54">
        <f t="shared" si="6"/>
        <v>17250000</v>
      </c>
      <c r="W17" s="54">
        <f t="shared" si="7"/>
        <v>22616488</v>
      </c>
      <c r="X17" s="54">
        <f t="shared" si="8"/>
        <v>-5366488</v>
      </c>
    </row>
    <row r="18" spans="3:24" x14ac:dyDescent="0.25">
      <c r="C18" s="39">
        <v>2017</v>
      </c>
      <c r="D18" s="62" t="str">
        <f>+'EWR-154.247'!$F$4</f>
        <v>EWR-154.247</v>
      </c>
      <c r="E18" s="63" t="str">
        <f>+'EWR-154.247'!$F$5</f>
        <v>Terminal B Automated Passport System Kiosks</v>
      </c>
      <c r="F18" s="64">
        <f>+'EWR-154.247'!$F$6</f>
        <v>43053</v>
      </c>
      <c r="G18" s="65" t="str">
        <f>+'EWR-154.247'!$G$7</f>
        <v>MWBE</v>
      </c>
      <c r="H18" s="94">
        <f>+'EWR-154.247'!$F$7</f>
        <v>820000</v>
      </c>
      <c r="I18" s="27">
        <f>+'EWR-154.247'!$F$8</f>
        <v>861500</v>
      </c>
      <c r="J18" s="27"/>
      <c r="K18" s="26">
        <f>+'EWR-154.247'!$G$9</f>
        <v>5.0609756097560979E-2</v>
      </c>
      <c r="L18" s="11" t="str">
        <f>+'EWR-154.247'!$F$11</f>
        <v>GOOD</v>
      </c>
      <c r="M18" s="15">
        <f>+'EWR-154.247'!$H$12</f>
        <v>4</v>
      </c>
      <c r="N18" s="35" t="s">
        <v>25</v>
      </c>
      <c r="O18" s="15">
        <v>4</v>
      </c>
      <c r="P18" s="35" t="s">
        <v>458</v>
      </c>
      <c r="Q18" s="15"/>
      <c r="R18" s="24"/>
      <c r="S18" s="62" t="str">
        <f>+'EWR-154.247'!$J$4</f>
        <v>Henry Yu</v>
      </c>
      <c r="T18" s="15"/>
      <c r="U18" s="15"/>
      <c r="V18" s="54">
        <f t="shared" si="6"/>
        <v>820000</v>
      </c>
      <c r="W18" s="54">
        <f t="shared" si="7"/>
        <v>861500</v>
      </c>
      <c r="X18" s="54">
        <f t="shared" si="8"/>
        <v>-41500</v>
      </c>
    </row>
    <row r="19" spans="3:24" x14ac:dyDescent="0.25">
      <c r="C19" s="39">
        <v>2017</v>
      </c>
      <c r="D19" s="62" t="str">
        <f>+'PJ-654.502'!$F$4</f>
        <v>PJ-654.502</v>
      </c>
      <c r="E19" s="63" t="str">
        <f>+'PJ-654.502'!$F$5</f>
        <v>Greenville Yard phase 2</v>
      </c>
      <c r="F19" s="64">
        <f>+'PJ-654.502'!$F$6</f>
        <v>43048</v>
      </c>
      <c r="G19" s="65" t="str">
        <f>+'PJ-654.502'!$G$7</f>
        <v>Public</v>
      </c>
      <c r="H19" s="94">
        <f>+'PJ-654.502'!$F$7</f>
        <v>4860000</v>
      </c>
      <c r="I19" s="27">
        <f>+'PJ-654.502'!$F$8</f>
        <v>3418000</v>
      </c>
      <c r="J19" s="27"/>
      <c r="K19" s="26">
        <f>+'PJ-654.502'!$G$9</f>
        <v>-0.29670781893004117</v>
      </c>
      <c r="L19" s="11" t="str">
        <f>+'PJ-654.502'!$F$11</f>
        <v>GOOD</v>
      </c>
      <c r="M19" s="15">
        <f>+'PJ-654.502'!$H$12</f>
        <v>8</v>
      </c>
      <c r="N19" s="35" t="s">
        <v>25</v>
      </c>
      <c r="O19" s="15">
        <v>4</v>
      </c>
      <c r="P19" s="35" t="s">
        <v>492</v>
      </c>
      <c r="Q19" s="15"/>
      <c r="R19" s="24"/>
      <c r="S19" s="62" t="str">
        <f>+'PJ-654.502'!$J$4</f>
        <v>Ed Minall</v>
      </c>
      <c r="T19" s="15"/>
      <c r="U19" s="15"/>
      <c r="V19" s="54">
        <f t="shared" si="6"/>
        <v>4860000</v>
      </c>
      <c r="W19" s="54">
        <f t="shared" si="7"/>
        <v>3418000</v>
      </c>
      <c r="X19" s="54">
        <f t="shared" si="8"/>
        <v>1442000</v>
      </c>
    </row>
    <row r="20" spans="3:24" x14ac:dyDescent="0.25">
      <c r="C20" s="39">
        <v>2017</v>
      </c>
      <c r="D20" s="62" t="str">
        <f>+'EWR-154.383'!$F$4</f>
        <v>EWR-154.383</v>
      </c>
      <c r="E20" s="63" t="str">
        <f>+'EWR-154.383'!$F$5</f>
        <v>Terminal A Redev - Airside Paving and Utilities South phase 1</v>
      </c>
      <c r="F20" s="64">
        <f>+'EWR-154.383'!$F$6</f>
        <v>43047</v>
      </c>
      <c r="G20" s="65" t="str">
        <f>+'EWR-154.383'!$G$7</f>
        <v>PQL</v>
      </c>
      <c r="H20" s="94">
        <f>+'EWR-154.383'!$F$7</f>
        <v>26900000</v>
      </c>
      <c r="I20" s="27">
        <f>+'EWR-154.383'!$F$8</f>
        <v>26600000</v>
      </c>
      <c r="J20" s="27"/>
      <c r="K20" s="26">
        <f>+'EWR-154.383'!$G$9</f>
        <v>-1.1152416356877323E-2</v>
      </c>
      <c r="L20" s="11" t="str">
        <f>+'EWR-154.383'!$F$11</f>
        <v>GOOD</v>
      </c>
      <c r="M20" s="15">
        <f>+'EWR-154.383'!$H$12</f>
        <v>3</v>
      </c>
      <c r="N20" s="35" t="s">
        <v>25</v>
      </c>
      <c r="O20" s="15">
        <v>4</v>
      </c>
      <c r="P20" s="35" t="s">
        <v>458</v>
      </c>
      <c r="Q20" s="15"/>
      <c r="R20" s="24"/>
      <c r="S20" s="62" t="str">
        <f>+'EWR-154.383'!$J$4</f>
        <v>Henry Yu</v>
      </c>
      <c r="T20" s="15"/>
      <c r="U20" s="15"/>
      <c r="V20" s="54">
        <f t="shared" si="6"/>
        <v>26900000</v>
      </c>
      <c r="W20" s="54">
        <f t="shared" si="7"/>
        <v>26600000</v>
      </c>
      <c r="X20" s="54">
        <f t="shared" si="8"/>
        <v>300000</v>
      </c>
    </row>
    <row r="21" spans="3:24" x14ac:dyDescent="0.25">
      <c r="C21" s="39">
        <v>2017</v>
      </c>
      <c r="D21" s="62" t="str">
        <f>+'LT-234.194'!$F$4</f>
        <v>LT-234.194</v>
      </c>
      <c r="E21" s="63" t="str">
        <f>+'LT-234.194'!$F$5</f>
        <v>Flood Protection for Ventilation Bldgs and Emergency Generators</v>
      </c>
      <c r="F21" s="64">
        <f>+'LT-234.194'!$F$6</f>
        <v>43047</v>
      </c>
      <c r="G21" s="65" t="str">
        <f>+'LT-234.194'!$G$7</f>
        <v>Public</v>
      </c>
      <c r="H21" s="94">
        <f>+'LT-234.194'!$F$7</f>
        <v>1650000</v>
      </c>
      <c r="I21" s="27">
        <f>+'LT-234.194'!$F$8</f>
        <v>2278990</v>
      </c>
      <c r="J21" s="27"/>
      <c r="K21" s="26">
        <f>+'LT-234.194'!$G$9</f>
        <v>0.3812060606060606</v>
      </c>
      <c r="L21" s="11" t="str">
        <f>+'LT-234.194'!$F$11</f>
        <v>FAIL</v>
      </c>
      <c r="M21" s="15">
        <f>+'LT-234.194'!$H$12</f>
        <v>5</v>
      </c>
      <c r="N21" s="35" t="s">
        <v>226</v>
      </c>
      <c r="O21" s="15">
        <v>4</v>
      </c>
      <c r="P21" s="35" t="s">
        <v>457</v>
      </c>
      <c r="Q21" s="15"/>
      <c r="R21" s="24"/>
      <c r="S21" s="62" t="str">
        <f>+'LT-234.194'!$J$4</f>
        <v>Joe Lucin</v>
      </c>
      <c r="T21" s="15"/>
      <c r="U21" s="15"/>
      <c r="V21" s="54">
        <f t="shared" si="6"/>
        <v>1650000</v>
      </c>
      <c r="W21" s="54">
        <f t="shared" si="7"/>
        <v>2278990</v>
      </c>
      <c r="X21" s="54">
        <f t="shared" si="8"/>
        <v>-628990</v>
      </c>
    </row>
    <row r="22" spans="3:24" x14ac:dyDescent="0.25">
      <c r="C22" s="39">
        <v>2017</v>
      </c>
      <c r="D22" s="62" t="str">
        <f>+'PAT-534.316A'!$F$4</f>
        <v>PAT-534.316A</v>
      </c>
      <c r="E22" s="63" t="str">
        <f>+'PAT-534.316A'!$F$5</f>
        <v>JSQ Transportation Center - Hardening Phase 2</v>
      </c>
      <c r="F22" s="64">
        <f>+'PAT-534.316A'!$F$6</f>
        <v>43034</v>
      </c>
      <c r="G22" s="65" t="str">
        <f>+'PAT-534.316A'!$G$7</f>
        <v>VVP</v>
      </c>
      <c r="H22" s="94">
        <f>+'PAT-534.316A'!$F$7</f>
        <v>2194000</v>
      </c>
      <c r="I22" s="27">
        <f>+'PAT-534.316A'!$F$8</f>
        <v>1361078</v>
      </c>
      <c r="J22" s="27"/>
      <c r="K22" s="26">
        <f>+'PAT-534.316A'!$G$9</f>
        <v>-0.3796362807657247</v>
      </c>
      <c r="L22" s="11" t="str">
        <f>+'PAT-534.316A'!$F$11</f>
        <v>FAIL</v>
      </c>
      <c r="M22" s="15">
        <f>+'PAT-534.316A'!$H$12</f>
        <v>6</v>
      </c>
      <c r="N22" s="35" t="s">
        <v>25</v>
      </c>
      <c r="O22" s="15">
        <v>4</v>
      </c>
      <c r="P22" s="35" t="s">
        <v>459</v>
      </c>
      <c r="Q22" s="15"/>
      <c r="R22" s="24"/>
      <c r="S22" s="62" t="str">
        <f>+'PAT-534.316A'!$J$4</f>
        <v>Nathan Demaisip</v>
      </c>
      <c r="T22" s="15"/>
      <c r="U22" s="15"/>
      <c r="V22" s="54">
        <f t="shared" si="6"/>
        <v>2194000</v>
      </c>
      <c r="W22" s="54">
        <f t="shared" si="7"/>
        <v>1361078</v>
      </c>
      <c r="X22" s="54">
        <f t="shared" si="8"/>
        <v>832922</v>
      </c>
    </row>
    <row r="23" spans="3:24" x14ac:dyDescent="0.25">
      <c r="C23" s="39">
        <v>2017</v>
      </c>
      <c r="D23" s="62" t="str">
        <f>+'JFK-154.021'!$F$4</f>
        <v>JFK-154.021</v>
      </c>
      <c r="E23" s="63" t="str">
        <f>+'JFK-154.021'!$F$5</f>
        <v>Airside Switchgear Replacement</v>
      </c>
      <c r="F23" s="64">
        <f>+'JFK-154.021'!$F$6</f>
        <v>43025</v>
      </c>
      <c r="G23" s="65" t="str">
        <f>+'JFK-154.021'!$G$7</f>
        <v>Public</v>
      </c>
      <c r="H23" s="94">
        <f>+'JFK-154.021'!$F$7</f>
        <v>2800000</v>
      </c>
      <c r="I23" s="27">
        <f>+'JFK-154.021'!$F$8</f>
        <v>2847000</v>
      </c>
      <c r="J23" s="27"/>
      <c r="K23" s="26">
        <f>+'JFK-154.021'!$G$9</f>
        <v>1.6785714285714286E-2</v>
      </c>
      <c r="L23" s="11" t="str">
        <f>+'JFK-154.021'!$F$11</f>
        <v>GOOD</v>
      </c>
      <c r="M23" s="15">
        <f>+'JFK-154.021'!$H$12</f>
        <v>9</v>
      </c>
      <c r="N23" s="35" t="s">
        <v>93</v>
      </c>
      <c r="O23" s="15">
        <v>4</v>
      </c>
      <c r="P23" s="35" t="s">
        <v>458</v>
      </c>
      <c r="Q23" s="15"/>
      <c r="R23" s="24"/>
      <c r="S23" s="62" t="str">
        <f>+'JFK-154.021'!$J$4</f>
        <v>Henry Yu</v>
      </c>
      <c r="T23" s="15"/>
      <c r="U23" s="15"/>
      <c r="V23" s="54">
        <f t="shared" si="6"/>
        <v>2800000</v>
      </c>
      <c r="W23" s="54">
        <f t="shared" si="7"/>
        <v>2847000</v>
      </c>
      <c r="X23" s="54">
        <f t="shared" si="8"/>
        <v>-47000</v>
      </c>
    </row>
    <row r="24" spans="3:24" x14ac:dyDescent="0.25">
      <c r="C24" s="39">
        <v>2017</v>
      </c>
      <c r="D24" s="62" t="str">
        <f>+'EWR-154.254'!$F$4</f>
        <v>EWR-154.254</v>
      </c>
      <c r="E24" s="63" t="str">
        <f>+'EWR-154.254'!$F$5</f>
        <v>Rehab of Terminal Frontage Bridges - Ph1 - Bridge N18, N20 Pier Caps</v>
      </c>
      <c r="F24" s="64">
        <f>+'EWR-154.254'!$F$6</f>
        <v>43025</v>
      </c>
      <c r="G24" s="65" t="str">
        <f>+'EWR-154.254'!$G$7</f>
        <v>Public</v>
      </c>
      <c r="H24" s="94">
        <f>+'EWR-154.254'!$F$7</f>
        <v>3000000</v>
      </c>
      <c r="I24" s="27">
        <f>+'EWR-154.254'!$F$8</f>
        <v>2812500</v>
      </c>
      <c r="J24" s="27"/>
      <c r="K24" s="26">
        <f>+'EWR-154.254'!$G$9</f>
        <v>-6.25E-2</v>
      </c>
      <c r="L24" s="11" t="str">
        <f>+'EWR-154.254'!$F$11</f>
        <v>GOOD</v>
      </c>
      <c r="M24" s="15">
        <f>+'EWR-154.254'!$H$12</f>
        <v>2</v>
      </c>
      <c r="N24" s="35" t="s">
        <v>25</v>
      </c>
      <c r="O24" s="15">
        <v>4</v>
      </c>
      <c r="P24" s="35" t="s">
        <v>458</v>
      </c>
      <c r="Q24" s="15"/>
      <c r="R24" s="24"/>
      <c r="S24" s="62" t="str">
        <f>+'EWR-154.254'!$J$4</f>
        <v>Henry Yu</v>
      </c>
      <c r="T24" s="15"/>
      <c r="U24" s="15"/>
      <c r="V24" s="54">
        <f t="shared" si="6"/>
        <v>3000000</v>
      </c>
      <c r="W24" s="54">
        <f t="shared" si="7"/>
        <v>2812500</v>
      </c>
      <c r="X24" s="54">
        <f t="shared" si="8"/>
        <v>187500</v>
      </c>
    </row>
    <row r="25" spans="3:24" x14ac:dyDescent="0.25">
      <c r="C25" s="39">
        <v>2017</v>
      </c>
      <c r="D25" s="62" t="str">
        <f>+'EWR-924.384'!$F$4</f>
        <v>EWR-924.384</v>
      </c>
      <c r="E25" s="63" t="str">
        <f>+'EWR-924.384'!$F$5</f>
        <v>Bus Canopy B1, C1 and Gas Island Improvements and Roofing</v>
      </c>
      <c r="F25" s="64">
        <f>+'EWR-924.384'!$F$6</f>
        <v>43013</v>
      </c>
      <c r="G25" s="65" t="str">
        <f>+'EWR-924.384'!$G$7</f>
        <v>Public</v>
      </c>
      <c r="H25" s="94">
        <f>+'EWR-924.384'!$F$7</f>
        <v>970000</v>
      </c>
      <c r="I25" s="27">
        <f>+'EWR-924.384'!$F$8</f>
        <v>1285000</v>
      </c>
      <c r="J25" s="27"/>
      <c r="K25" s="26">
        <f>+'EWR-924.384'!$G$9</f>
        <v>0.32474226804123713</v>
      </c>
      <c r="L25" s="11" t="str">
        <f>+'EWR-924.384'!$F$11</f>
        <v>FAIL</v>
      </c>
      <c r="M25" s="15">
        <f>+'EWR-924.384'!$H$12</f>
        <v>6</v>
      </c>
      <c r="N25" s="35" t="s">
        <v>25</v>
      </c>
      <c r="O25" s="15">
        <v>4</v>
      </c>
      <c r="P25" s="35" t="s">
        <v>458</v>
      </c>
      <c r="Q25" s="15"/>
      <c r="R25" s="24"/>
      <c r="S25" s="62" t="str">
        <f>+'EWR-924.384'!$J$4</f>
        <v>Henry Yu</v>
      </c>
      <c r="T25" s="15"/>
      <c r="U25" s="15"/>
      <c r="V25" s="54">
        <f t="shared" si="6"/>
        <v>970000</v>
      </c>
      <c r="W25" s="54">
        <f t="shared" si="7"/>
        <v>1285000</v>
      </c>
      <c r="X25" s="54">
        <f t="shared" si="8"/>
        <v>-315000</v>
      </c>
    </row>
    <row r="26" spans="3:24" ht="7.5" customHeight="1" x14ac:dyDescent="0.25">
      <c r="C26" s="39"/>
      <c r="G26" s="45"/>
      <c r="P26" s="11"/>
      <c r="S26" s="15"/>
      <c r="V26" s="54"/>
      <c r="W26" s="54"/>
      <c r="X26" s="54"/>
    </row>
    <row r="27" spans="3:24" x14ac:dyDescent="0.25">
      <c r="C27" s="39">
        <v>2017</v>
      </c>
      <c r="D27" s="62" t="str">
        <f>+'HT-924.144'!$F$4</f>
        <v>HT-924.144</v>
      </c>
      <c r="E27" s="63" t="str">
        <f>+'HT-924.144'!$F$5</f>
        <v>Heat Tracing and Insulation in Discharge Pipes, N&amp;S Tubes</v>
      </c>
      <c r="F27" s="64">
        <f>+'HT-924.144'!$F$6</f>
        <v>43006</v>
      </c>
      <c r="G27" s="65" t="str">
        <f>+'HT-924.144'!$G$7</f>
        <v>MWBE</v>
      </c>
      <c r="H27" s="94">
        <f>+'HT-924.144'!$F$7</f>
        <v>609000</v>
      </c>
      <c r="I27" s="27">
        <f>+'HT-924.144'!$F$8</f>
        <v>579300</v>
      </c>
      <c r="J27" s="27"/>
      <c r="K27" s="26">
        <f>+'HT-924.144'!$G$9</f>
        <v>-4.8768472906403938E-2</v>
      </c>
      <c r="L27" s="11" t="str">
        <f>+'HT-924.144'!$F$11</f>
        <v>GOOD</v>
      </c>
      <c r="M27" s="15">
        <f>+'HT-924.144'!$H$12</f>
        <v>4</v>
      </c>
      <c r="N27" s="35" t="s">
        <v>226</v>
      </c>
      <c r="O27" s="15">
        <v>3</v>
      </c>
      <c r="P27" s="35" t="s">
        <v>457</v>
      </c>
      <c r="Q27" s="15"/>
      <c r="R27" s="24"/>
      <c r="S27" s="62" t="str">
        <f>+'HT-924.144'!$J$4</f>
        <v>Gennadiy Zavolkovskiy</v>
      </c>
      <c r="T27" s="15"/>
      <c r="U27" s="15"/>
      <c r="V27" s="54">
        <f t="shared" ref="V27:V38" si="9">+H27</f>
        <v>609000</v>
      </c>
      <c r="W27" s="54">
        <f t="shared" ref="W27:W38" si="10">+I27</f>
        <v>579300</v>
      </c>
      <c r="X27" s="54">
        <f t="shared" ref="X27:X38" si="11">+V27-W27</f>
        <v>29700</v>
      </c>
    </row>
    <row r="28" spans="3:24" x14ac:dyDescent="0.25">
      <c r="C28" s="39">
        <v>2017</v>
      </c>
      <c r="D28" s="62" t="str">
        <f>+'HT-924.106'!$F$4</f>
        <v>HT-924.106</v>
      </c>
      <c r="E28" s="63" t="str">
        <f>+'HT-924.106'!$F$5</f>
        <v>Replace Missing Tiles at Walls and Ceiling</v>
      </c>
      <c r="F28" s="64">
        <f>+'HT-924.106'!$F$6</f>
        <v>43005</v>
      </c>
      <c r="G28" s="65" t="str">
        <f>+'HT-924.106'!$G$7</f>
        <v>Public</v>
      </c>
      <c r="H28" s="94">
        <f>+'HT-924.106'!$F$7</f>
        <v>1250000</v>
      </c>
      <c r="I28" s="27">
        <f>+'HT-924.106'!$F$8</f>
        <v>1068000</v>
      </c>
      <c r="J28" s="27"/>
      <c r="K28" s="26">
        <f>+'HT-924.106'!$G$9</f>
        <v>-0.14560000000000001</v>
      </c>
      <c r="L28" s="11" t="str">
        <f>+'HT-924.106'!$F$11</f>
        <v>GOOD</v>
      </c>
      <c r="M28" s="15">
        <f>+'HT-924.106'!$H$12</f>
        <v>6</v>
      </c>
      <c r="N28" s="35" t="s">
        <v>226</v>
      </c>
      <c r="O28" s="15">
        <v>3</v>
      </c>
      <c r="P28" s="35" t="s">
        <v>457</v>
      </c>
      <c r="Q28" s="15"/>
      <c r="R28" s="24"/>
      <c r="S28" s="62" t="str">
        <f>+'HT-924.106'!$J$4</f>
        <v>Joe Lucin</v>
      </c>
      <c r="T28" s="15"/>
      <c r="U28" s="15"/>
      <c r="V28" s="54">
        <f t="shared" si="9"/>
        <v>1250000</v>
      </c>
      <c r="W28" s="54">
        <f t="shared" si="10"/>
        <v>1068000</v>
      </c>
      <c r="X28" s="54">
        <f t="shared" si="11"/>
        <v>182000</v>
      </c>
    </row>
    <row r="29" spans="3:24" x14ac:dyDescent="0.25">
      <c r="C29" s="39">
        <v>2017</v>
      </c>
      <c r="D29" s="62" t="str">
        <f>+'GWB-244.042'!$F$4</f>
        <v>GWB-244.042</v>
      </c>
      <c r="E29" s="63" t="str">
        <f>+'GWB-244.042'!$F$5</f>
        <v>Replacement of 178/179 St Ramps, Bus Ramps and Bus Turnaround</v>
      </c>
      <c r="F29" s="64">
        <f>+'GWB-244.042'!$F$6</f>
        <v>43004</v>
      </c>
      <c r="G29" s="65" t="str">
        <f>+'GWB-244.042'!$G$7</f>
        <v>PQL</v>
      </c>
      <c r="H29" s="94">
        <f>+'GWB-244.042'!$F$7</f>
        <v>189900000</v>
      </c>
      <c r="I29" s="27">
        <f>+'GWB-244.042'!$F$8</f>
        <v>154487000</v>
      </c>
      <c r="J29" s="27"/>
      <c r="K29" s="26">
        <f>+'GWB-244.042'!$G$9</f>
        <v>-0.18648235913638758</v>
      </c>
      <c r="L29" s="11" t="str">
        <f>+'GWB-244.042'!$F$11</f>
        <v>GOOD</v>
      </c>
      <c r="M29" s="15">
        <f>+'GWB-244.042'!$H$12</f>
        <v>5</v>
      </c>
      <c r="N29" s="35" t="s">
        <v>93</v>
      </c>
      <c r="O29" s="15">
        <v>3</v>
      </c>
      <c r="P29" s="35" t="s">
        <v>457</v>
      </c>
      <c r="Q29" s="15"/>
      <c r="R29" s="24"/>
      <c r="S29" s="62" t="str">
        <f>+'GWB-244.042'!$J$4</f>
        <v>Ed Minall</v>
      </c>
      <c r="T29" s="15"/>
      <c r="U29" s="15"/>
      <c r="V29" s="54">
        <f t="shared" si="9"/>
        <v>189900000</v>
      </c>
      <c r="W29" s="54">
        <f t="shared" si="10"/>
        <v>154487000</v>
      </c>
      <c r="X29" s="54">
        <f t="shared" si="11"/>
        <v>35413000</v>
      </c>
    </row>
    <row r="30" spans="3:24" x14ac:dyDescent="0.25">
      <c r="C30" s="39">
        <v>2017</v>
      </c>
      <c r="D30" s="62" t="str">
        <f>+'BP-694.510'!$F$4</f>
        <v>BP-694.510</v>
      </c>
      <c r="E30" s="63" t="str">
        <f>+'BP-694.510'!$F$5</f>
        <v>Brooklyn Pier 10 Concrete Girder Repairs</v>
      </c>
      <c r="F30" s="64">
        <f>+'BP-694.510'!$F$6</f>
        <v>42999</v>
      </c>
      <c r="G30" s="65" t="str">
        <f>+'BP-694.510'!$G$7</f>
        <v>Public</v>
      </c>
      <c r="H30" s="94">
        <f>+'BP-694.510'!$F$7</f>
        <v>1250000</v>
      </c>
      <c r="I30" s="27">
        <f>+'BP-694.510'!$F$8</f>
        <v>876947</v>
      </c>
      <c r="J30" s="27"/>
      <c r="K30" s="26">
        <f>+'BP-694.510'!$G$9</f>
        <v>-0.2984424</v>
      </c>
      <c r="L30" s="11" t="str">
        <f>+'BP-694.510'!$F$11</f>
        <v>GOOD</v>
      </c>
      <c r="M30" s="15">
        <f>+'BP-694.510'!$H$12</f>
        <v>13</v>
      </c>
      <c r="N30" s="35" t="s">
        <v>93</v>
      </c>
      <c r="O30" s="15">
        <v>3</v>
      </c>
      <c r="P30" s="35" t="s">
        <v>492</v>
      </c>
      <c r="Q30" s="15"/>
      <c r="R30" s="24"/>
      <c r="S30" s="62" t="str">
        <f>+'BP-694.510'!$J$4</f>
        <v>Ed Minall</v>
      </c>
      <c r="T30" s="15"/>
      <c r="U30" s="15"/>
      <c r="V30" s="54">
        <f t="shared" si="9"/>
        <v>1250000</v>
      </c>
      <c r="W30" s="54">
        <f t="shared" si="10"/>
        <v>876947</v>
      </c>
      <c r="X30" s="54">
        <f t="shared" si="11"/>
        <v>373053</v>
      </c>
    </row>
    <row r="31" spans="3:24" x14ac:dyDescent="0.25">
      <c r="C31" s="39">
        <v>2017</v>
      </c>
      <c r="D31" s="62" t="str">
        <f>+'MF-924.022'!$F$4</f>
        <v>MF-924.022</v>
      </c>
      <c r="E31" s="63" t="str">
        <f>+'MF-924.022'!$F$5</f>
        <v>LT and GWB - Rock Slope Priority Repairs</v>
      </c>
      <c r="F31" s="64">
        <f>+'MF-924.022'!$F$6</f>
        <v>42997</v>
      </c>
      <c r="G31" s="65" t="str">
        <f>+'MF-924.022'!$G$7</f>
        <v>Public</v>
      </c>
      <c r="H31" s="94">
        <f>+'MF-924.022'!$F$7</f>
        <v>1326000</v>
      </c>
      <c r="I31" s="27">
        <f>+'MF-924.022'!$F$8</f>
        <v>1976491</v>
      </c>
      <c r="J31" s="27"/>
      <c r="K31" s="26">
        <f>+'MF-924.022'!$G$9</f>
        <v>0.49056636500754147</v>
      </c>
      <c r="L31" s="11" t="str">
        <f>+'MF-924.022'!$F$11</f>
        <v>FAIL</v>
      </c>
      <c r="M31" s="15">
        <f>+'MF-924.022'!$H$12</f>
        <v>4</v>
      </c>
      <c r="N31" s="35" t="s">
        <v>25</v>
      </c>
      <c r="O31" s="15">
        <v>3</v>
      </c>
      <c r="P31" s="35" t="s">
        <v>457</v>
      </c>
      <c r="Q31" s="15"/>
      <c r="R31" s="24"/>
      <c r="S31" s="62" t="str">
        <f>+'MF-924.022'!$J$4</f>
        <v>Joe Lucin</v>
      </c>
      <c r="T31" s="15"/>
      <c r="U31" s="15"/>
      <c r="V31" s="54">
        <f t="shared" si="9"/>
        <v>1326000</v>
      </c>
      <c r="W31" s="54">
        <f t="shared" si="10"/>
        <v>1976491</v>
      </c>
      <c r="X31" s="54">
        <f t="shared" si="11"/>
        <v>-650491</v>
      </c>
    </row>
    <row r="32" spans="3:24" x14ac:dyDescent="0.25">
      <c r="C32" s="39">
        <v>2017</v>
      </c>
      <c r="D32" s="62" t="str">
        <f>+'EWR-251'!$F$4</f>
        <v>EWR-251</v>
      </c>
      <c r="E32" s="63" t="str">
        <f>+'EWR-251'!$F$5</f>
        <v>Rehab of Taxiway Z from Runway 11 Edge to UA</v>
      </c>
      <c r="F32" s="64">
        <f>+'EWR-251'!$F$6</f>
        <v>42964</v>
      </c>
      <c r="G32" s="65" t="str">
        <f>+'EWR-251'!$G$7</f>
        <v>PQL</v>
      </c>
      <c r="H32" s="94">
        <f>+'EWR-251'!$F$7</f>
        <v>8500000</v>
      </c>
      <c r="I32" s="27">
        <f>+'EWR-251'!$F$8</f>
        <v>5682000</v>
      </c>
      <c r="J32" s="27"/>
      <c r="K32" s="26">
        <f>+'EWR-251'!$G$9</f>
        <v>-0.33152941176470591</v>
      </c>
      <c r="L32" s="11" t="str">
        <f>+'EWR-251'!$F$11</f>
        <v>FAIL</v>
      </c>
      <c r="M32" s="15">
        <f>+'EWR-251'!$H$12</f>
        <v>3</v>
      </c>
      <c r="N32" s="35" t="s">
        <v>25</v>
      </c>
      <c r="O32" s="15">
        <v>3</v>
      </c>
      <c r="P32" s="35" t="s">
        <v>458</v>
      </c>
      <c r="Q32" s="15"/>
      <c r="R32" s="24"/>
      <c r="S32" s="62" t="str">
        <f>+'EWR-251'!$J$4</f>
        <v>Henry Yu</v>
      </c>
      <c r="T32" s="15"/>
      <c r="U32" s="15"/>
      <c r="V32" s="54">
        <f t="shared" si="9"/>
        <v>8500000</v>
      </c>
      <c r="W32" s="54">
        <f t="shared" si="10"/>
        <v>5682000</v>
      </c>
      <c r="X32" s="54">
        <f t="shared" si="11"/>
        <v>2818000</v>
      </c>
    </row>
    <row r="33" spans="3:24" x14ac:dyDescent="0.25">
      <c r="C33" s="39">
        <v>2017</v>
      </c>
      <c r="D33" s="62" t="str">
        <f>+'LGA-154.251'!$F$4</f>
        <v>LGA-154.251</v>
      </c>
      <c r="E33" s="63" t="str">
        <f>+'LGA-154.251'!$F$5</f>
        <v>Rehab of Runway Deck Structural Elements phase 3</v>
      </c>
      <c r="F33" s="64">
        <f>+'LGA-154.251'!$F$6</f>
        <v>42951</v>
      </c>
      <c r="G33" s="65" t="str">
        <f>+'LGA-154.251'!$G$7</f>
        <v>Public</v>
      </c>
      <c r="H33" s="94">
        <f>+'LGA-154.251'!$F$7</f>
        <v>6040000</v>
      </c>
      <c r="I33" s="27">
        <f>+'LGA-154.251'!$F$8</f>
        <v>4845475</v>
      </c>
      <c r="J33" s="27"/>
      <c r="K33" s="26">
        <f>+'LGA-154.251'!$G$9</f>
        <v>-0.19776903973509935</v>
      </c>
      <c r="L33" s="11" t="str">
        <f>+'LGA-154.251'!$F$11</f>
        <v>GOOD</v>
      </c>
      <c r="M33" s="15">
        <f>+'LGA-154.251'!$H$12</f>
        <v>8</v>
      </c>
      <c r="N33" s="35" t="s">
        <v>93</v>
      </c>
      <c r="O33" s="15">
        <v>3</v>
      </c>
      <c r="P33" s="35" t="s">
        <v>458</v>
      </c>
      <c r="Q33" s="15"/>
      <c r="R33" s="24"/>
      <c r="S33" s="62" t="str">
        <f>+'LGA-154.251'!$J$4</f>
        <v>Joe Lucin</v>
      </c>
      <c r="T33" s="15"/>
      <c r="U33" s="15"/>
      <c r="V33" s="54">
        <f t="shared" si="9"/>
        <v>6040000</v>
      </c>
      <c r="W33" s="54">
        <f t="shared" si="10"/>
        <v>4845475</v>
      </c>
      <c r="X33" s="54">
        <f t="shared" si="11"/>
        <v>1194525</v>
      </c>
    </row>
    <row r="34" spans="3:24" x14ac:dyDescent="0.25">
      <c r="C34" s="39">
        <v>2017</v>
      </c>
      <c r="D34" s="62" t="str">
        <f>+'MFP-924.662'!$F$4</f>
        <v>MFP-924.662</v>
      </c>
      <c r="E34" s="63" t="str">
        <f>+'MFP-924.662'!$F$5</f>
        <v>NJ Marine Terminals - Maintenance Dredging via Work Order</v>
      </c>
      <c r="F34" s="64">
        <f>+'MFP-924.662'!$F$6</f>
        <v>42950</v>
      </c>
      <c r="G34" s="65" t="str">
        <f>+'MFP-924.662'!$G$7</f>
        <v>PQL</v>
      </c>
      <c r="H34" s="94">
        <f>+'MFP-924.662'!$F$7</f>
        <v>13720000</v>
      </c>
      <c r="I34" s="27">
        <f>+'MFP-924.662'!$F$8</f>
        <v>11539200</v>
      </c>
      <c r="J34" s="27"/>
      <c r="K34" s="26">
        <f>+'MFP-924.662'!$G$9</f>
        <v>-0.15895043731778424</v>
      </c>
      <c r="L34" s="11" t="str">
        <f>+'MFP-924.662'!$F$11</f>
        <v>GOOD</v>
      </c>
      <c r="M34" s="15">
        <f>+'MFP-924.662'!$H$12</f>
        <v>4</v>
      </c>
      <c r="N34" s="35" t="s">
        <v>25</v>
      </c>
      <c r="O34" s="15">
        <v>3</v>
      </c>
      <c r="P34" s="35" t="s">
        <v>492</v>
      </c>
      <c r="Q34" s="15"/>
      <c r="R34" s="24"/>
      <c r="S34" s="62" t="str">
        <f>+'MFP-924.662'!$J$4</f>
        <v>Ed Minall</v>
      </c>
      <c r="T34" s="15"/>
      <c r="U34" s="15"/>
      <c r="V34" s="54">
        <f t="shared" si="9"/>
        <v>13720000</v>
      </c>
      <c r="W34" s="54">
        <f t="shared" si="10"/>
        <v>11539200</v>
      </c>
      <c r="X34" s="54">
        <f t="shared" si="11"/>
        <v>2180800</v>
      </c>
    </row>
    <row r="35" spans="3:24" x14ac:dyDescent="0.25">
      <c r="C35" s="39">
        <v>2017</v>
      </c>
      <c r="D35" s="62" t="str">
        <f>+'JFK-1070'!$F$4</f>
        <v>JFK-1070</v>
      </c>
      <c r="E35" s="63" t="str">
        <f>+'JFK-1070'!$F$5</f>
        <v>Landside Asphalt Repairs via Work Ouder</v>
      </c>
      <c r="F35" s="64">
        <f>+'JFK-1070'!$F$6</f>
        <v>42949</v>
      </c>
      <c r="G35" s="65" t="str">
        <f>+'JFK-1070'!$G$7</f>
        <v>Public</v>
      </c>
      <c r="H35" s="94">
        <f>+'JFK-1070'!$F$7</f>
        <v>1650000</v>
      </c>
      <c r="I35" s="27">
        <f>+'JFK-1070'!$F$8</f>
        <v>1320718</v>
      </c>
      <c r="J35" s="27"/>
      <c r="K35" s="26">
        <f>+'JFK-1070'!$G$9</f>
        <v>-0.19956484848484848</v>
      </c>
      <c r="L35" s="11" t="str">
        <f>+'JFK-1070'!$F$11</f>
        <v>GOOD</v>
      </c>
      <c r="M35" s="15">
        <f>+'JFK-1070'!$H$12</f>
        <v>4</v>
      </c>
      <c r="N35" s="35" t="s">
        <v>93</v>
      </c>
      <c r="O35" s="15">
        <v>3</v>
      </c>
      <c r="P35" s="35" t="s">
        <v>458</v>
      </c>
      <c r="Q35" s="15"/>
      <c r="R35" s="24"/>
      <c r="S35" s="62" t="str">
        <f>+'JFK-1070'!$J$4</f>
        <v>Henry Yu</v>
      </c>
      <c r="T35" s="15"/>
      <c r="U35" s="15"/>
      <c r="V35" s="54">
        <f t="shared" si="9"/>
        <v>1650000</v>
      </c>
      <c r="W35" s="54">
        <f t="shared" si="10"/>
        <v>1320718</v>
      </c>
      <c r="X35" s="54">
        <f t="shared" si="11"/>
        <v>329282</v>
      </c>
    </row>
    <row r="36" spans="3:24" x14ac:dyDescent="0.25">
      <c r="C36" s="39">
        <v>2017</v>
      </c>
      <c r="D36" s="62" t="str">
        <f>+'JFK-154.024'!$F$4</f>
        <v>JFK-154.024</v>
      </c>
      <c r="E36" s="63" t="str">
        <f>+'JFK-154.024'!$F$5</f>
        <v>Backflow Prevention &amp; Water Meters Phase 4</v>
      </c>
      <c r="F36" s="64">
        <f>+'JFK-154.024'!$F$6</f>
        <v>42948</v>
      </c>
      <c r="G36" s="65" t="str">
        <f>+'JFK-154.024'!$G$7</f>
        <v>Public</v>
      </c>
      <c r="H36" s="94">
        <f>+'JFK-154.024'!$F$7</f>
        <v>1330000</v>
      </c>
      <c r="I36" s="27">
        <f>+'JFK-154.024'!$F$8</f>
        <v>936000</v>
      </c>
      <c r="J36" s="27"/>
      <c r="K36" s="26">
        <f>+'JFK-154.024'!$G$9</f>
        <v>-0.29624060150375942</v>
      </c>
      <c r="L36" s="11" t="str">
        <f>+'JFK-154.024'!$F$11</f>
        <v>GOOD</v>
      </c>
      <c r="M36" s="15">
        <f>+'JFK-154.024'!$H$12</f>
        <v>6</v>
      </c>
      <c r="N36" s="35" t="s">
        <v>93</v>
      </c>
      <c r="O36" s="15">
        <v>3</v>
      </c>
      <c r="P36" s="35" t="s">
        <v>458</v>
      </c>
      <c r="Q36" s="15"/>
      <c r="R36" s="24"/>
      <c r="S36" s="62" t="str">
        <f>+'JFK-154.024'!$J$4</f>
        <v>Henry Yu</v>
      </c>
      <c r="T36" s="15"/>
      <c r="U36" s="15"/>
      <c r="V36" s="54">
        <f t="shared" si="9"/>
        <v>1330000</v>
      </c>
      <c r="W36" s="54">
        <f t="shared" si="10"/>
        <v>936000</v>
      </c>
      <c r="X36" s="54">
        <f t="shared" si="11"/>
        <v>394000</v>
      </c>
    </row>
    <row r="37" spans="3:24" x14ac:dyDescent="0.25">
      <c r="C37" s="39">
        <v>2017</v>
      </c>
      <c r="D37" s="62" t="str">
        <f>+'HT-224.120'!$F$4</f>
        <v>HT-224.120</v>
      </c>
      <c r="E37" s="63" t="str">
        <f>+'HT-224.120'!$F$5</f>
        <v>Rehabilitation of Bronze Doors at Spring Street</v>
      </c>
      <c r="F37" s="64">
        <f>+'HT-224.120'!$F$6</f>
        <v>42942</v>
      </c>
      <c r="G37" s="65" t="str">
        <f>+'HT-224.120'!$G$7</f>
        <v>Public</v>
      </c>
      <c r="H37" s="94">
        <f>+'HT-224.120'!$F$7</f>
        <v>700000</v>
      </c>
      <c r="I37" s="27">
        <f>+'HT-224.120'!$F$8</f>
        <v>614770</v>
      </c>
      <c r="J37" s="27">
        <v>614700</v>
      </c>
      <c r="K37" s="26">
        <f>+'HT-224.120'!$G$9</f>
        <v>-0.12175714285714286</v>
      </c>
      <c r="L37" s="11" t="str">
        <f>+'HT-224.120'!$F$11</f>
        <v>GOOD</v>
      </c>
      <c r="M37" s="15">
        <f>+'HT-224.120'!$H$12</f>
        <v>2</v>
      </c>
      <c r="N37" s="35" t="s">
        <v>93</v>
      </c>
      <c r="O37" s="15">
        <v>3</v>
      </c>
      <c r="P37" s="35" t="s">
        <v>457</v>
      </c>
      <c r="Q37" s="15"/>
      <c r="R37" s="24"/>
      <c r="S37" s="62" t="str">
        <f>+'HT-224.120'!$J$4</f>
        <v>Andy Victors</v>
      </c>
      <c r="T37" s="15"/>
      <c r="U37" s="15"/>
      <c r="V37" s="54">
        <f t="shared" si="9"/>
        <v>700000</v>
      </c>
      <c r="W37" s="54">
        <f t="shared" si="10"/>
        <v>614770</v>
      </c>
      <c r="X37" s="54">
        <f t="shared" si="11"/>
        <v>85230</v>
      </c>
    </row>
    <row r="38" spans="3:24" x14ac:dyDescent="0.25">
      <c r="C38" s="39">
        <v>2017</v>
      </c>
      <c r="D38" s="62" t="str">
        <f>+'LGA-124.244'!$F$4</f>
        <v>LGA-124.244</v>
      </c>
      <c r="E38" s="63" t="str">
        <f>+'LGA-124.244'!$F$5</f>
        <v>AOA Light Circuit Replacement</v>
      </c>
      <c r="F38" s="64">
        <f>+'LGA-124.244'!$F$6</f>
        <v>42941</v>
      </c>
      <c r="G38" s="65" t="str">
        <f>+'LGA-124.244'!$G$7</f>
        <v>Public</v>
      </c>
      <c r="H38" s="94">
        <f>+'LGA-124.244'!$F$7</f>
        <v>7200000</v>
      </c>
      <c r="I38" s="27">
        <f>+'LGA-124.244'!$F$8</f>
        <v>1936000</v>
      </c>
      <c r="J38" s="27"/>
      <c r="K38" s="26">
        <f>+'LGA-124.244'!$G$9</f>
        <v>-0.73111111111111116</v>
      </c>
      <c r="L38" s="11" t="str">
        <f>+'LGA-124.244'!$F$11</f>
        <v>FAIL</v>
      </c>
      <c r="M38" s="15">
        <f>+'LGA-124.244'!$H$12</f>
        <v>4</v>
      </c>
      <c r="N38" s="35" t="s">
        <v>93</v>
      </c>
      <c r="O38" s="15">
        <v>3</v>
      </c>
      <c r="P38" s="35" t="s">
        <v>458</v>
      </c>
      <c r="Q38" s="15"/>
      <c r="R38" s="24"/>
      <c r="S38" s="62" t="str">
        <f>+'LGA-124.244'!$J$4</f>
        <v>Henry Yu</v>
      </c>
      <c r="T38" s="15"/>
      <c r="U38" s="15"/>
      <c r="V38" s="54">
        <f t="shared" si="9"/>
        <v>7200000</v>
      </c>
      <c r="W38" s="54">
        <f t="shared" si="10"/>
        <v>1936000</v>
      </c>
      <c r="X38" s="54">
        <f t="shared" si="11"/>
        <v>5264000</v>
      </c>
    </row>
    <row r="39" spans="3:24" ht="7.5" customHeight="1" x14ac:dyDescent="0.25">
      <c r="C39" s="39"/>
      <c r="G39" s="45"/>
      <c r="P39" s="11"/>
      <c r="S39" s="15"/>
      <c r="V39" s="54"/>
      <c r="W39" s="54"/>
      <c r="X39" s="54"/>
    </row>
    <row r="40" spans="3:24" x14ac:dyDescent="0.25">
      <c r="C40" s="101">
        <v>2017</v>
      </c>
      <c r="D40" s="62" t="str">
        <f>+'PAT-024.002'!$F$4</f>
        <v>PAT-024.002</v>
      </c>
      <c r="E40" s="63" t="str">
        <f>+'PAT-024.002'!$F$5</f>
        <v>Exchange Place Underwater Netting</v>
      </c>
      <c r="F40" s="64">
        <f>+'PAT-024.002'!$F$6</f>
        <v>42913</v>
      </c>
      <c r="G40" s="65" t="str">
        <f>+'PAT-024.002'!$G$7</f>
        <v>PQL</v>
      </c>
      <c r="H40" s="94">
        <f>+'PAT-024.002'!$F$7</f>
        <v>1480000</v>
      </c>
      <c r="I40" s="27">
        <f>+'PAT-024.002'!$F$8</f>
        <v>1483000</v>
      </c>
      <c r="J40" s="27"/>
      <c r="K40" s="26">
        <f>+'PAT-024.002'!$G$9</f>
        <v>2.0270270270270271E-3</v>
      </c>
      <c r="L40" s="11" t="str">
        <f>+'PAT-024.002'!$F$11</f>
        <v>GOOD</v>
      </c>
      <c r="M40" s="15">
        <f>+'PAT-024.002'!$H$12</f>
        <v>7</v>
      </c>
      <c r="N40" s="35" t="s">
        <v>25</v>
      </c>
      <c r="O40" s="15">
        <v>2</v>
      </c>
      <c r="P40" s="35" t="s">
        <v>459</v>
      </c>
      <c r="Q40" s="15"/>
      <c r="R40" s="24"/>
      <c r="S40" s="62" t="str">
        <f>+'PAT-024.002'!$J$4</f>
        <v>Nathan Demaisip</v>
      </c>
      <c r="T40" s="15"/>
      <c r="U40" s="15"/>
      <c r="V40" s="54">
        <f t="shared" ref="V40:V59" si="12">+H40</f>
        <v>1480000</v>
      </c>
      <c r="W40" s="54">
        <f t="shared" ref="W40:W59" si="13">+I40</f>
        <v>1483000</v>
      </c>
      <c r="X40" s="54">
        <f t="shared" ref="X40:X59" si="14">+V40-W40</f>
        <v>-3000</v>
      </c>
    </row>
    <row r="41" spans="3:24" x14ac:dyDescent="0.25">
      <c r="C41" s="101">
        <v>2017</v>
      </c>
      <c r="D41" s="62" t="str">
        <f>+'EWR-154.240'!$F$4</f>
        <v>EWR-154.240</v>
      </c>
      <c r="E41" s="63" t="str">
        <f>+'EWR-154.240'!$F$5</f>
        <v>Meeter-Greeter Queuing Area Modifications</v>
      </c>
      <c r="F41" s="64">
        <f>+'EWR-154.240'!$F$6</f>
        <v>42901</v>
      </c>
      <c r="G41" s="65" t="str">
        <f>+'EWR-154.240'!$G$7</f>
        <v>MWBE</v>
      </c>
      <c r="H41" s="94">
        <f>+'EWR-154.240'!$F$7</f>
        <v>850000</v>
      </c>
      <c r="I41" s="27">
        <f>+'EWR-154.240'!$F$8</f>
        <v>887000</v>
      </c>
      <c r="J41" s="27"/>
      <c r="K41" s="26">
        <f>+'EWR-154.240'!$G$9</f>
        <v>4.3529411764705879E-2</v>
      </c>
      <c r="L41" s="11" t="str">
        <f>+'EWR-154.240'!$F$11</f>
        <v>GOOD</v>
      </c>
      <c r="M41" s="15">
        <f>+'EWR-154.240'!$H$12</f>
        <v>3</v>
      </c>
      <c r="N41" s="35" t="s">
        <v>25</v>
      </c>
      <c r="O41" s="15">
        <v>2</v>
      </c>
      <c r="P41" s="35" t="s">
        <v>458</v>
      </c>
      <c r="Q41" s="15"/>
      <c r="R41" s="24"/>
      <c r="S41" s="62" t="str">
        <f>+'EWR-154.240'!$J$4</f>
        <v>Henry Yu</v>
      </c>
      <c r="T41" s="15"/>
      <c r="U41" s="15"/>
      <c r="V41" s="54">
        <f t="shared" si="12"/>
        <v>850000</v>
      </c>
      <c r="W41" s="54">
        <f t="shared" si="13"/>
        <v>887000</v>
      </c>
      <c r="X41" s="54">
        <f t="shared" si="14"/>
        <v>-37000</v>
      </c>
    </row>
    <row r="42" spans="3:24" x14ac:dyDescent="0.25">
      <c r="C42" s="39">
        <v>2017</v>
      </c>
      <c r="D42" s="62" t="str">
        <f>+'EWR-154.227'!$F$4</f>
        <v>EWR-154.227</v>
      </c>
      <c r="E42" s="63" t="str">
        <f>+'EWR-154.227'!$F$5</f>
        <v>Terminal B CCTV at Baggage Areas</v>
      </c>
      <c r="F42" s="64">
        <f>+'EWR-154.227'!$F$6</f>
        <v>42900</v>
      </c>
      <c r="G42" s="65" t="str">
        <f>+'EWR-154.227'!$G$7</f>
        <v>VVP</v>
      </c>
      <c r="H42" s="94">
        <f>+'EWR-154.227'!$F$7</f>
        <v>2900000</v>
      </c>
      <c r="I42" s="27">
        <f>+'EWR-154.227'!$F$8</f>
        <v>1157000</v>
      </c>
      <c r="J42" s="27"/>
      <c r="K42" s="26">
        <f>+'EWR-154.227'!$G$9</f>
        <v>-0.6010344827586207</v>
      </c>
      <c r="L42" s="11" t="str">
        <f>+'EWR-154.227'!$F$11</f>
        <v>FAIL</v>
      </c>
      <c r="M42" s="15">
        <f>+'EWR-154.227'!$H$12</f>
        <v>5</v>
      </c>
      <c r="N42" s="35" t="s">
        <v>25</v>
      </c>
      <c r="O42" s="15">
        <v>2</v>
      </c>
      <c r="P42" s="35" t="s">
        <v>458</v>
      </c>
      <c r="Q42" s="15"/>
      <c r="R42" s="24"/>
      <c r="S42" s="62" t="str">
        <f>+'EWR-154.227'!$J$4</f>
        <v>Nathan Demaisip</v>
      </c>
      <c r="T42" s="15"/>
      <c r="U42" s="15"/>
      <c r="V42" s="54">
        <f t="shared" si="12"/>
        <v>2900000</v>
      </c>
      <c r="W42" s="54">
        <f t="shared" si="13"/>
        <v>1157000</v>
      </c>
      <c r="X42" s="54">
        <f t="shared" si="14"/>
        <v>1743000</v>
      </c>
    </row>
    <row r="43" spans="3:24" x14ac:dyDescent="0.25">
      <c r="C43" s="39">
        <v>2017</v>
      </c>
      <c r="D43" s="62" t="str">
        <f>+'LGA-774.235'!$F$4</f>
        <v>LGA-774.235</v>
      </c>
      <c r="E43" s="63" t="str">
        <f>+'LGA-774.235'!$F$5</f>
        <v>Emergency Generators at Various Locations</v>
      </c>
      <c r="F43" s="64">
        <f>+'LGA-774.235'!$F$6</f>
        <v>42894</v>
      </c>
      <c r="G43" s="65" t="str">
        <f>+'LGA-774.235'!$G$7</f>
        <v>VVP</v>
      </c>
      <c r="H43" s="94">
        <f>+'LGA-774.235'!$F$7</f>
        <v>6445000</v>
      </c>
      <c r="I43" s="27">
        <f>+'LGA-774.235'!$F$8</f>
        <v>7166666</v>
      </c>
      <c r="J43" s="27"/>
      <c r="K43" s="26">
        <f>+'LGA-774.235'!$G$9</f>
        <v>0.11197300232738557</v>
      </c>
      <c r="L43" s="11" t="str">
        <f>+'LGA-774.235'!$F$11</f>
        <v>FAIL</v>
      </c>
      <c r="M43" s="15">
        <f>+'LGA-774.235'!$H$12</f>
        <v>11</v>
      </c>
      <c r="N43" s="35" t="s">
        <v>93</v>
      </c>
      <c r="O43" s="15">
        <v>2</v>
      </c>
      <c r="P43" s="35" t="s">
        <v>458</v>
      </c>
      <c r="Q43" s="15"/>
      <c r="R43" s="24"/>
      <c r="S43" s="62" t="str">
        <f>+'LGA-774.235'!$J$4</f>
        <v>Joe Lucin</v>
      </c>
      <c r="T43" s="15"/>
      <c r="U43" s="15"/>
      <c r="V43" s="54">
        <f t="shared" si="12"/>
        <v>6445000</v>
      </c>
      <c r="W43" s="54">
        <f t="shared" si="13"/>
        <v>7166666</v>
      </c>
      <c r="X43" s="54">
        <f t="shared" si="14"/>
        <v>-721666</v>
      </c>
    </row>
    <row r="44" spans="3:24" x14ac:dyDescent="0.25">
      <c r="C44" s="39">
        <v>2017</v>
      </c>
      <c r="D44" s="62" t="str">
        <f>+'EWR-154.271'!$F$4</f>
        <v>EWR-154.271</v>
      </c>
      <c r="E44" s="63" t="str">
        <f>+'EWR-154.271'!$F$5</f>
        <v>Central Heating and Refrigeration Plant South Substation Roof Replacement</v>
      </c>
      <c r="F44" s="64">
        <f>+'EWR-154.271'!$F$6</f>
        <v>42893</v>
      </c>
      <c r="G44" s="65" t="str">
        <f>+'EWR-154.271'!$G$7</f>
        <v>MWBE</v>
      </c>
      <c r="H44" s="94">
        <f>+'EWR-154.271'!$F$7</f>
        <v>650000</v>
      </c>
      <c r="I44" s="27">
        <f>+'EWR-154.271'!$F$8</f>
        <v>865508</v>
      </c>
      <c r="J44" s="27"/>
      <c r="K44" s="26">
        <f>+'EWR-154.271'!$G$9</f>
        <v>0.3315507692307692</v>
      </c>
      <c r="L44" s="11" t="str">
        <f>+'EWR-154.271'!$F$11</f>
        <v>FAIL</v>
      </c>
      <c r="M44" s="15">
        <f>+'EWR-154.271'!$H$12</f>
        <v>3</v>
      </c>
      <c r="N44" s="35" t="s">
        <v>25</v>
      </c>
      <c r="O44" s="15">
        <v>2</v>
      </c>
      <c r="P44" s="35" t="s">
        <v>458</v>
      </c>
      <c r="Q44" s="15"/>
      <c r="R44" s="24"/>
      <c r="S44" s="62" t="str">
        <f>+'EWR-154.271'!$J$4</f>
        <v>Henry Yu</v>
      </c>
      <c r="T44" s="15"/>
      <c r="U44" s="15"/>
      <c r="V44" s="54">
        <f t="shared" si="12"/>
        <v>650000</v>
      </c>
      <c r="W44" s="54">
        <f t="shared" si="13"/>
        <v>865508</v>
      </c>
      <c r="X44" s="54">
        <f t="shared" si="14"/>
        <v>-215508</v>
      </c>
    </row>
    <row r="45" spans="3:24" x14ac:dyDescent="0.25">
      <c r="C45" s="39">
        <v>2017</v>
      </c>
      <c r="D45" s="62" t="str">
        <f>+'EWR-154.264'!$F$4</f>
        <v>EWR-154.264</v>
      </c>
      <c r="E45" s="63" t="str">
        <f>+'EWR-154.264'!$F$5</f>
        <v>Rehab CTA Frontage Bridges N18 and N20 Longitudinal Joints</v>
      </c>
      <c r="F45" s="64">
        <f>+'EWR-154.264'!$F$6</f>
        <v>42893</v>
      </c>
      <c r="G45" s="65" t="str">
        <f>+'EWR-154.264'!$G$7</f>
        <v>MWBE</v>
      </c>
      <c r="H45" s="94">
        <f>+'EWR-154.264'!$F$7</f>
        <v>1070000</v>
      </c>
      <c r="I45" s="27">
        <f>+'EWR-154.264'!$F$8</f>
        <v>758000</v>
      </c>
      <c r="J45" s="27"/>
      <c r="K45" s="26">
        <f>+'EWR-154.264'!$G$9</f>
        <v>-0.29158878504672897</v>
      </c>
      <c r="L45" s="11" t="str">
        <f>+'EWR-154.264'!$F$11</f>
        <v>FAIL</v>
      </c>
      <c r="M45" s="15">
        <f>+'EWR-154.264'!$H$12</f>
        <v>5</v>
      </c>
      <c r="N45" s="35" t="s">
        <v>25</v>
      </c>
      <c r="O45" s="15">
        <v>2</v>
      </c>
      <c r="P45" s="35" t="s">
        <v>458</v>
      </c>
      <c r="Q45" s="15"/>
      <c r="R45" s="24"/>
      <c r="S45" s="62" t="str">
        <f>+'EWR-154.264'!$J$4</f>
        <v>Henry Yu</v>
      </c>
      <c r="T45" s="15"/>
      <c r="U45" s="15"/>
      <c r="V45" s="54">
        <f t="shared" si="12"/>
        <v>1070000</v>
      </c>
      <c r="W45" s="54">
        <f t="shared" si="13"/>
        <v>758000</v>
      </c>
      <c r="X45" s="54">
        <f t="shared" si="14"/>
        <v>312000</v>
      </c>
    </row>
    <row r="46" spans="3:24" x14ac:dyDescent="0.25">
      <c r="C46" s="39">
        <v>2017</v>
      </c>
      <c r="D46" s="62" t="str">
        <f>+'GWB-924.159B'!$F$4</f>
        <v>GWB-924.159B</v>
      </c>
      <c r="E46" s="63" t="str">
        <f>+'GWB-924.159B'!$F$5</f>
        <v>NJ Admin Bldg HW/CW Piping Replacement</v>
      </c>
      <c r="F46" s="64">
        <f>+'GWB-924.159B'!$F$6</f>
        <v>42892</v>
      </c>
      <c r="G46" s="65" t="str">
        <f>+'GWB-924.159B'!$G$7</f>
        <v>Public</v>
      </c>
      <c r="H46" s="94">
        <f>+'GWB-924.159B'!$F$7</f>
        <v>771000</v>
      </c>
      <c r="I46" s="27">
        <f>+'GWB-924.159B'!$F$8</f>
        <v>946600</v>
      </c>
      <c r="J46" s="27"/>
      <c r="K46" s="26">
        <f>+'GWB-924.159B'!$G$9</f>
        <v>0.22775616083009079</v>
      </c>
      <c r="L46" s="11" t="str">
        <f>+'GWB-924.159B'!$F$11</f>
        <v>FAIL</v>
      </c>
      <c r="M46" s="15">
        <f>+'GWB-924.159B'!$H$12</f>
        <v>2</v>
      </c>
      <c r="N46" s="35" t="s">
        <v>25</v>
      </c>
      <c r="O46" s="15">
        <v>2</v>
      </c>
      <c r="P46" s="35" t="s">
        <v>457</v>
      </c>
      <c r="Q46" s="15"/>
      <c r="R46" s="24"/>
      <c r="S46" s="62" t="str">
        <f>+'GWB-924.159B'!$J$4</f>
        <v>Reddy Gunda</v>
      </c>
      <c r="T46" s="15"/>
      <c r="U46" s="15"/>
      <c r="V46" s="54">
        <f t="shared" si="12"/>
        <v>771000</v>
      </c>
      <c r="W46" s="54">
        <f t="shared" si="13"/>
        <v>946600</v>
      </c>
      <c r="X46" s="54">
        <f t="shared" si="14"/>
        <v>-175600</v>
      </c>
    </row>
    <row r="47" spans="3:24" x14ac:dyDescent="0.25">
      <c r="C47" s="39">
        <v>2017</v>
      </c>
      <c r="D47" s="62" t="str">
        <f>+'EWR-924.233'!$F$4</f>
        <v>EWR-924.233</v>
      </c>
      <c r="E47" s="63" t="str">
        <f>+'EWR-924.233'!$F$5</f>
        <v>Priority Repair of Bridges N14, N15, N18, N19, N21, N42, N43</v>
      </c>
      <c r="F47" s="64">
        <f>+'EWR-924.233'!$F$6</f>
        <v>42886</v>
      </c>
      <c r="G47" s="65" t="str">
        <f>+'EWR-924.233'!$G$7</f>
        <v>Public</v>
      </c>
      <c r="H47" s="94">
        <f>+'EWR-924.233'!$F$7</f>
        <v>1140000</v>
      </c>
      <c r="I47" s="27">
        <f>+'EWR-924.233'!$F$8</f>
        <v>904780</v>
      </c>
      <c r="J47" s="27"/>
      <c r="K47" s="26">
        <f>+'EWR-924.233'!$G$9</f>
        <v>-0.20633333333333334</v>
      </c>
      <c r="L47" s="11" t="str">
        <f>+'EWR-924.233'!$F$11</f>
        <v>GOOD</v>
      </c>
      <c r="M47" s="15">
        <f>+'EWR-924.233'!$H$12</f>
        <v>9</v>
      </c>
      <c r="N47" s="35" t="s">
        <v>25</v>
      </c>
      <c r="O47" s="15">
        <v>2</v>
      </c>
      <c r="P47" s="35" t="s">
        <v>458</v>
      </c>
      <c r="Q47" s="15"/>
      <c r="R47" s="24"/>
      <c r="S47" s="62" t="str">
        <f>+'EWR-924.233'!$J$4</f>
        <v>Henry Yu</v>
      </c>
      <c r="T47" s="15"/>
      <c r="U47" s="15"/>
      <c r="V47" s="54">
        <f t="shared" si="12"/>
        <v>1140000</v>
      </c>
      <c r="W47" s="54">
        <f t="shared" si="13"/>
        <v>904780</v>
      </c>
      <c r="X47" s="54">
        <f t="shared" si="14"/>
        <v>235220</v>
      </c>
    </row>
    <row r="48" spans="3:24" x14ac:dyDescent="0.25">
      <c r="C48" s="39">
        <v>2017</v>
      </c>
      <c r="D48" s="62" t="str">
        <f>+'JFK-154.019'!$F$4</f>
        <v>JFK-154.019</v>
      </c>
      <c r="E48" s="63" t="str">
        <f>+'JFK-154.019'!$F$5</f>
        <v>Install Gate/Check Valves for Exist Stormwater Outfalls 2-3-4-5-6</v>
      </c>
      <c r="F48" s="64">
        <f>+'JFK-154.019'!$F$6</f>
        <v>42880</v>
      </c>
      <c r="G48" s="65" t="str">
        <f>+'JFK-154.019'!$G$7</f>
        <v>Public</v>
      </c>
      <c r="H48" s="94">
        <f>+'JFK-154.019'!$F$7</f>
        <v>2850000</v>
      </c>
      <c r="I48" s="27">
        <f>+'JFK-154.019'!$F$8</f>
        <v>1808548</v>
      </c>
      <c r="J48" s="27"/>
      <c r="K48" s="26">
        <f>+'JFK-154.019'!$G$9</f>
        <v>-0.36542175438596491</v>
      </c>
      <c r="L48" s="11" t="str">
        <f>+'JFK-154.019'!$F$11</f>
        <v>FAIL</v>
      </c>
      <c r="M48" s="15">
        <f>+'JFK-154.019'!$H$12</f>
        <v>11</v>
      </c>
      <c r="N48" s="35" t="s">
        <v>93</v>
      </c>
      <c r="O48" s="15">
        <v>2</v>
      </c>
      <c r="P48" s="35" t="s">
        <v>458</v>
      </c>
      <c r="Q48" s="15"/>
      <c r="R48" s="24"/>
      <c r="S48" s="62" t="str">
        <f>+'JFK-154.019'!$J$4</f>
        <v>Wen Chang</v>
      </c>
      <c r="T48" s="15"/>
      <c r="U48" s="15"/>
      <c r="V48" s="54">
        <f t="shared" si="12"/>
        <v>2850000</v>
      </c>
      <c r="W48" s="54">
        <f t="shared" si="13"/>
        <v>1808548</v>
      </c>
      <c r="X48" s="54">
        <f t="shared" si="14"/>
        <v>1041452</v>
      </c>
    </row>
    <row r="49" spans="3:24" x14ac:dyDescent="0.25">
      <c r="C49" s="39">
        <v>2017</v>
      </c>
      <c r="D49" s="62" t="str">
        <f>+'PAT-024.031'!$F$4</f>
        <v>PAT-024.031</v>
      </c>
      <c r="E49" s="63" t="str">
        <f>+'PAT-024.031'!$F$5</f>
        <v>Replacement of Substation 7</v>
      </c>
      <c r="F49" s="64">
        <f>+'PAT-024.031'!$F$6</f>
        <v>42873</v>
      </c>
      <c r="G49" s="65" t="str">
        <f>+'PAT-024.031'!$G$7</f>
        <v>VVP</v>
      </c>
      <c r="H49" s="94">
        <f>+'PAT-024.031'!$F$7</f>
        <v>29400000</v>
      </c>
      <c r="I49" s="27">
        <f>+'PAT-024.031'!$F$8</f>
        <v>40981000</v>
      </c>
      <c r="J49" s="27"/>
      <c r="K49" s="26">
        <f>+'PAT-024.031'!$G$9</f>
        <v>0.39391156462585036</v>
      </c>
      <c r="L49" s="11" t="str">
        <f>+'PAT-024.031'!$F$11</f>
        <v>FAIL</v>
      </c>
      <c r="M49" s="15">
        <f>+'PAT-024.031'!$H$12</f>
        <v>2</v>
      </c>
      <c r="N49" s="35" t="s">
        <v>25</v>
      </c>
      <c r="O49" s="15">
        <v>2</v>
      </c>
      <c r="P49" s="35" t="s">
        <v>459</v>
      </c>
      <c r="Q49" s="15"/>
      <c r="R49" s="24"/>
      <c r="S49" s="62" t="str">
        <f>+'PAT-024.031'!$J$4</f>
        <v>Nathan Demaisip</v>
      </c>
      <c r="T49" s="15"/>
      <c r="U49" s="15"/>
      <c r="V49" s="54">
        <f t="shared" si="12"/>
        <v>29400000</v>
      </c>
      <c r="W49" s="54">
        <f t="shared" si="13"/>
        <v>40981000</v>
      </c>
      <c r="X49" s="54">
        <f t="shared" si="14"/>
        <v>-11581000</v>
      </c>
    </row>
    <row r="50" spans="3:24" x14ac:dyDescent="0.25">
      <c r="C50" s="39">
        <v>2017</v>
      </c>
      <c r="D50" s="62" t="str">
        <f>+'MFP-924.641'!$F$4</f>
        <v>MFP-924.641</v>
      </c>
      <c r="E50" s="63" t="str">
        <f>+'MFP-924.641'!$F$5</f>
        <v>NY &amp; NJ Marine Terminals - Multi-Facility Fender System Rehab via WO</v>
      </c>
      <c r="F50" s="64">
        <f>+'MFP-924.641'!$F$6</f>
        <v>42872</v>
      </c>
      <c r="G50" s="65" t="str">
        <f>+'MFP-924.641'!$G$7</f>
        <v>Public</v>
      </c>
      <c r="H50" s="94">
        <f>+'MFP-924.641'!$F$7</f>
        <v>5000000</v>
      </c>
      <c r="I50" s="27">
        <f>+'MFP-924.641'!$F$8</f>
        <v>5210665</v>
      </c>
      <c r="J50" s="27">
        <v>5210665</v>
      </c>
      <c r="K50" s="26">
        <f>+'MFP-924.641'!$G$9</f>
        <v>4.2132999999999997E-2</v>
      </c>
      <c r="L50" s="11" t="str">
        <f>+'MFP-924.641'!$F$11</f>
        <v>GOOD</v>
      </c>
      <c r="M50" s="15">
        <f>+'MFP-924.641'!$H$12</f>
        <v>9</v>
      </c>
      <c r="N50" s="35" t="s">
        <v>226</v>
      </c>
      <c r="O50" s="15">
        <v>2</v>
      </c>
      <c r="P50" s="35" t="s">
        <v>492</v>
      </c>
      <c r="Q50" s="15"/>
      <c r="R50" s="24"/>
      <c r="S50" s="62" t="str">
        <f>+'MFP-924.641'!$J$4</f>
        <v>Ed Minall</v>
      </c>
      <c r="T50" s="15"/>
      <c r="U50" s="15"/>
      <c r="V50" s="54">
        <f t="shared" si="12"/>
        <v>5000000</v>
      </c>
      <c r="W50" s="54">
        <f t="shared" si="13"/>
        <v>5210665</v>
      </c>
      <c r="X50" s="54">
        <f t="shared" si="14"/>
        <v>-210665</v>
      </c>
    </row>
    <row r="51" spans="3:24" x14ac:dyDescent="0.25">
      <c r="C51" s="39">
        <v>2017</v>
      </c>
      <c r="D51" s="62" t="str">
        <f>+'EP-924.643'!$F$4</f>
        <v>EP-924.643</v>
      </c>
      <c r="E51" s="63" t="str">
        <f>+'EP-924.643'!$F$5</f>
        <v>Priority Marine Rehab via Work Order</v>
      </c>
      <c r="F51" s="64">
        <f>+'EP-924.643'!$F$6</f>
        <v>42871</v>
      </c>
      <c r="G51" s="65" t="str">
        <f>+'EP-924.643'!$G$7</f>
        <v>Public</v>
      </c>
      <c r="H51" s="94">
        <f>+'EP-924.643'!$F$7</f>
        <v>9000000</v>
      </c>
      <c r="I51" s="27">
        <f>+'EP-924.643'!$F$8</f>
        <v>10805265</v>
      </c>
      <c r="J51" s="27">
        <v>10805265</v>
      </c>
      <c r="K51" s="26">
        <f>+'EP-924.643'!$G$9</f>
        <v>0.20058500000000001</v>
      </c>
      <c r="L51" s="11" t="str">
        <f>+'EP-924.643'!$F$11</f>
        <v>FAIL</v>
      </c>
      <c r="M51" s="15">
        <f>+'EP-924.643'!$H$12</f>
        <v>2</v>
      </c>
      <c r="N51" s="35" t="s">
        <v>25</v>
      </c>
      <c r="O51" s="15">
        <v>2</v>
      </c>
      <c r="P51" s="35" t="s">
        <v>492</v>
      </c>
      <c r="Q51" s="15"/>
      <c r="R51" s="24"/>
      <c r="S51" s="62" t="str">
        <f>+'EP-924.643'!$J$4</f>
        <v>Ed Minall</v>
      </c>
      <c r="T51" s="15"/>
      <c r="U51" s="15"/>
      <c r="V51" s="54">
        <f t="shared" si="12"/>
        <v>9000000</v>
      </c>
      <c r="W51" s="54">
        <f t="shared" si="13"/>
        <v>10805265</v>
      </c>
      <c r="X51" s="54">
        <f t="shared" si="14"/>
        <v>-1805265</v>
      </c>
    </row>
    <row r="52" spans="3:24" x14ac:dyDescent="0.25">
      <c r="C52" s="39">
        <v>2017</v>
      </c>
      <c r="D52" s="62" t="str">
        <f>+'LT-234.179'!$F$4</f>
        <v>LT-234.179</v>
      </c>
      <c r="E52" s="63" t="str">
        <f>+'LT-234.179'!$F$5</f>
        <v>Waterside Buffer Zone Protection</v>
      </c>
      <c r="F52" s="64">
        <f>+'LT-234.179'!$F$6</f>
        <v>42851</v>
      </c>
      <c r="G52" s="65" t="str">
        <f>+'LT-234.179'!$G$7</f>
        <v>PQL</v>
      </c>
      <c r="H52" s="94">
        <f>+'LT-234.179'!$F$7</f>
        <v>3589000</v>
      </c>
      <c r="I52" s="27">
        <f>+'LT-234.179'!$F$8</f>
        <v>3875045</v>
      </c>
      <c r="J52" s="27"/>
      <c r="K52" s="26">
        <f>+'LT-234.179'!$G$9</f>
        <v>7.9700473669545829E-2</v>
      </c>
      <c r="L52" s="11" t="str">
        <f>+'LT-234.179'!$F$11</f>
        <v>GOOD</v>
      </c>
      <c r="M52" s="15">
        <f>+'LT-234.179'!$H$12</f>
        <v>3</v>
      </c>
      <c r="N52" s="35" t="s">
        <v>93</v>
      </c>
      <c r="O52" s="15">
        <v>2</v>
      </c>
      <c r="P52" s="35" t="s">
        <v>457</v>
      </c>
      <c r="Q52" s="15"/>
      <c r="R52" s="24"/>
      <c r="S52" s="62" t="str">
        <f>+'LT-234.179'!$J$4</f>
        <v>Nathan Demaisip</v>
      </c>
      <c r="T52" s="15"/>
      <c r="U52" s="15"/>
      <c r="V52" s="54">
        <f t="shared" si="12"/>
        <v>3589000</v>
      </c>
      <c r="W52" s="54">
        <f t="shared" si="13"/>
        <v>3875045</v>
      </c>
      <c r="X52" s="54">
        <f t="shared" si="14"/>
        <v>-286045</v>
      </c>
    </row>
    <row r="53" spans="3:24" x14ac:dyDescent="0.25">
      <c r="C53" s="39">
        <v>2017</v>
      </c>
      <c r="D53" s="62" t="str">
        <f>+'GWB-924.176'!$F$4</f>
        <v>GWB-924.176</v>
      </c>
      <c r="E53" s="63" t="str">
        <f>+'GWB-924.176'!$F$5</f>
        <v>Upper Level Sidewalk Repairs via Work Order</v>
      </c>
      <c r="F53" s="64">
        <f>+'GWB-924.176'!$F$6</f>
        <v>42846</v>
      </c>
      <c r="G53" s="65" t="str">
        <f>+'GWB-924.176'!$G$7</f>
        <v>Public</v>
      </c>
      <c r="H53" s="94">
        <f>+'GWB-924.176'!$F$7</f>
        <v>2060000</v>
      </c>
      <c r="I53" s="27">
        <f>+'GWB-924.176'!$F$8</f>
        <v>2614625</v>
      </c>
      <c r="J53" s="27"/>
      <c r="K53" s="26">
        <f>+'GWB-924.176'!$G$9</f>
        <v>0.26923543689320389</v>
      </c>
      <c r="L53" s="11" t="str">
        <f>+'GWB-924.176'!$F$11</f>
        <v>FAIL</v>
      </c>
      <c r="M53" s="15">
        <f>+'GWB-924.176'!$H$12</f>
        <v>5</v>
      </c>
      <c r="N53" s="35" t="s">
        <v>226</v>
      </c>
      <c r="O53" s="15">
        <v>2</v>
      </c>
      <c r="P53" s="35" t="s">
        <v>457</v>
      </c>
      <c r="Q53" s="15"/>
      <c r="R53" s="24"/>
      <c r="S53" s="62" t="str">
        <f>+'GWB-924.176'!$J$4</f>
        <v>Reddy Gunda</v>
      </c>
      <c r="T53" s="15"/>
      <c r="U53" s="15"/>
      <c r="V53" s="54">
        <f t="shared" si="12"/>
        <v>2060000</v>
      </c>
      <c r="W53" s="54">
        <f t="shared" si="13"/>
        <v>2614625</v>
      </c>
      <c r="X53" s="54">
        <f t="shared" si="14"/>
        <v>-554625</v>
      </c>
    </row>
    <row r="54" spans="3:24" x14ac:dyDescent="0.25">
      <c r="C54" s="39">
        <v>2017</v>
      </c>
      <c r="D54" s="62" t="str">
        <f>+'MFP-924.645A'!$F$4</f>
        <v>MFP-924.645A</v>
      </c>
      <c r="E54" s="63" t="str">
        <f>+'MFP-924.645A'!$F$5</f>
        <v>NJ Paving and Utility Rehab by Work Order</v>
      </c>
      <c r="F54" s="64">
        <f>+'MFP-924.645A'!$F$6</f>
        <v>42845</v>
      </c>
      <c r="G54" s="65" t="str">
        <f>+'MFP-924.645A'!$G$7</f>
        <v>MWBE</v>
      </c>
      <c r="H54" s="94">
        <f>+'MFP-924.645A'!$F$7</f>
        <v>2625000</v>
      </c>
      <c r="I54" s="27">
        <f>+'MFP-924.645A'!$F$8</f>
        <v>2472675</v>
      </c>
      <c r="J54" s="27"/>
      <c r="K54" s="26">
        <f>+'MFP-924.645A'!$G$9</f>
        <v>-5.8028571428571429E-2</v>
      </c>
      <c r="L54" s="11" t="str">
        <f>+'MFP-924.645A'!$F$11</f>
        <v>GOOD</v>
      </c>
      <c r="M54" s="15">
        <f>+'MFP-924.645A'!$H$12</f>
        <v>6</v>
      </c>
      <c r="N54" s="35" t="s">
        <v>25</v>
      </c>
      <c r="O54" s="15">
        <v>2</v>
      </c>
      <c r="P54" s="35" t="s">
        <v>492</v>
      </c>
      <c r="Q54" s="15"/>
      <c r="R54" s="24"/>
      <c r="S54" s="62" t="str">
        <f>+'MFP-924.645A'!$J$4</f>
        <v>Ed Minall</v>
      </c>
      <c r="T54" s="15"/>
      <c r="U54" s="15"/>
      <c r="V54" s="54">
        <f t="shared" si="12"/>
        <v>2625000</v>
      </c>
      <c r="W54" s="54">
        <f t="shared" si="13"/>
        <v>2472675</v>
      </c>
      <c r="X54" s="54">
        <f t="shared" si="14"/>
        <v>152325</v>
      </c>
    </row>
    <row r="55" spans="3:24" x14ac:dyDescent="0.25">
      <c r="C55" s="39">
        <v>2017</v>
      </c>
      <c r="D55" s="62" t="str">
        <f>+'PN-654.558'!$F$4</f>
        <v>PN-654.558</v>
      </c>
      <c r="E55" s="63" t="str">
        <f>+'PN-654.558'!$F$5</f>
        <v>Berths 26, 28, 32, 34 Dredging</v>
      </c>
      <c r="F55" s="64">
        <f>+'PN-654.558'!$F$6</f>
        <v>42845</v>
      </c>
      <c r="G55" s="65" t="str">
        <f>+'PN-654.558'!$G$7</f>
        <v>Public</v>
      </c>
      <c r="H55" s="94">
        <f>+'PN-654.558'!$F$7</f>
        <v>1520000</v>
      </c>
      <c r="I55" s="27">
        <f>+'PN-654.558'!$F$8</f>
        <v>994200</v>
      </c>
      <c r="J55" s="27"/>
      <c r="K55" s="26">
        <f>+'PN-654.558'!$G$9</f>
        <v>-0.34592105263157896</v>
      </c>
      <c r="L55" s="11" t="str">
        <f>+'PN-654.558'!$F$11</f>
        <v>GOOD</v>
      </c>
      <c r="M55" s="15">
        <f>+'PN-654.558'!$H$12</f>
        <v>4</v>
      </c>
      <c r="N55" s="35" t="s">
        <v>25</v>
      </c>
      <c r="O55" s="15">
        <v>2</v>
      </c>
      <c r="P55" s="35" t="s">
        <v>492</v>
      </c>
      <c r="Q55" s="15"/>
      <c r="R55" s="24"/>
      <c r="S55" s="62" t="str">
        <f>+'PN-654.558'!$J$4</f>
        <v>Ed Minall</v>
      </c>
      <c r="T55" s="15"/>
      <c r="U55" s="15"/>
      <c r="V55" s="54">
        <f t="shared" si="12"/>
        <v>1520000</v>
      </c>
      <c r="W55" s="54">
        <f t="shared" si="13"/>
        <v>994200</v>
      </c>
      <c r="X55" s="54">
        <f t="shared" si="14"/>
        <v>525800</v>
      </c>
    </row>
    <row r="56" spans="3:24" x14ac:dyDescent="0.25">
      <c r="C56" s="39">
        <v>2017</v>
      </c>
      <c r="D56" s="62" t="str">
        <f>+'TEB-144.048'!$F$4</f>
        <v>TEB-144.048</v>
      </c>
      <c r="E56" s="63" t="str">
        <f>+'TEB-144.048'!$F$5</f>
        <v>AOA Light Circuit Replacement</v>
      </c>
      <c r="F56" s="64">
        <f>+'TEB-144.048'!$F$6</f>
        <v>42845</v>
      </c>
      <c r="G56" s="65" t="str">
        <f>+'TEB-144.048'!$G$7</f>
        <v>PQL</v>
      </c>
      <c r="H56" s="94">
        <f>+'TEB-144.048'!$F$7</f>
        <v>12630000</v>
      </c>
      <c r="I56" s="27">
        <f>+'TEB-144.048'!$F$8</f>
        <v>10849023</v>
      </c>
      <c r="J56" s="27"/>
      <c r="K56" s="26">
        <f>+'TEB-144.048'!$G$9</f>
        <v>-0.14101163895486934</v>
      </c>
      <c r="L56" s="11" t="str">
        <f>+'TEB-144.048'!$F$11</f>
        <v>GOOD</v>
      </c>
      <c r="M56" s="15">
        <f>+'TEB-144.048'!$H$12</f>
        <v>2</v>
      </c>
      <c r="N56" s="35" t="s">
        <v>25</v>
      </c>
      <c r="O56" s="15">
        <v>2</v>
      </c>
      <c r="P56" s="35" t="s">
        <v>458</v>
      </c>
      <c r="Q56" s="15"/>
      <c r="R56" s="24"/>
      <c r="S56" s="62" t="str">
        <f>+'TEB-144.048'!$J$4</f>
        <v>Henry Yu</v>
      </c>
      <c r="T56" s="15"/>
      <c r="U56" s="15"/>
      <c r="V56" s="54">
        <f t="shared" si="12"/>
        <v>12630000</v>
      </c>
      <c r="W56" s="54">
        <f t="shared" si="13"/>
        <v>10849023</v>
      </c>
      <c r="X56" s="54">
        <f t="shared" si="14"/>
        <v>1780977</v>
      </c>
    </row>
    <row r="57" spans="3:24" x14ac:dyDescent="0.25">
      <c r="C57" s="39">
        <v>2017</v>
      </c>
      <c r="D57" s="62" t="str">
        <f>+'PAT-084.001'!$F$4</f>
        <v>PAT-084.001</v>
      </c>
      <c r="E57" s="63" t="str">
        <f>+'PAT-084.001'!$F$5</f>
        <v>Replacement of Substation 9</v>
      </c>
      <c r="F57" s="64">
        <f>+'PAT-084.001'!$F$6</f>
        <v>42844</v>
      </c>
      <c r="G57" s="65" t="str">
        <f>+'PAT-084.001'!$G$7</f>
        <v>PQL</v>
      </c>
      <c r="H57" s="94">
        <f>+'PAT-084.001'!$F$7</f>
        <v>30360000</v>
      </c>
      <c r="I57" s="27">
        <f>+'PAT-084.001'!$F$8</f>
        <v>32920674</v>
      </c>
      <c r="J57" s="27"/>
      <c r="K57" s="26">
        <f>+'PAT-084.001'!$G$9</f>
        <v>8.4343675889328062E-2</v>
      </c>
      <c r="L57" s="11" t="str">
        <f>+'PAT-084.001'!$F$11</f>
        <v>GOOD</v>
      </c>
      <c r="M57" s="15">
        <f>+'PAT-084.001'!$H$12</f>
        <v>3</v>
      </c>
      <c r="N57" s="35" t="s">
        <v>25</v>
      </c>
      <c r="O57" s="15">
        <v>2</v>
      </c>
      <c r="P57" s="35" t="s">
        <v>459</v>
      </c>
      <c r="Q57" s="15"/>
      <c r="R57" s="24"/>
      <c r="S57" s="62" t="str">
        <f>+'PAT-084.001'!$J$4</f>
        <v>Nathan Demaisip</v>
      </c>
      <c r="T57" s="15"/>
      <c r="U57" s="15"/>
      <c r="V57" s="54">
        <f t="shared" si="12"/>
        <v>30360000</v>
      </c>
      <c r="W57" s="54">
        <f t="shared" si="13"/>
        <v>32920674</v>
      </c>
      <c r="X57" s="54">
        <f t="shared" si="14"/>
        <v>-2560674</v>
      </c>
    </row>
    <row r="58" spans="3:24" x14ac:dyDescent="0.25">
      <c r="C58" s="39">
        <v>2017</v>
      </c>
      <c r="D58" s="62" t="str">
        <f>+'EWR-154.234'!$F$4</f>
        <v>EWR-154.234</v>
      </c>
      <c r="E58" s="63" t="str">
        <f>+'EWR-154.234'!$F$5</f>
        <v>AOA Light Circuit Replacement</v>
      </c>
      <c r="F58" s="64">
        <f>+'EWR-154.234'!$F$6</f>
        <v>42844</v>
      </c>
      <c r="G58" s="65" t="str">
        <f>+'EWR-154.234'!$G$7</f>
        <v>PQL</v>
      </c>
      <c r="H58" s="94">
        <f>+'EWR-154.234'!$F$7</f>
        <v>18870000</v>
      </c>
      <c r="I58" s="27">
        <f>+'EWR-154.234'!$F$8</f>
        <v>19910000</v>
      </c>
      <c r="J58" s="27"/>
      <c r="K58" s="26">
        <f>+'EWR-154.234'!$G$9</f>
        <v>5.5113937466878642E-2</v>
      </c>
      <c r="L58" s="11" t="str">
        <f>+'EWR-154.234'!$F$11</f>
        <v>GOOD</v>
      </c>
      <c r="M58" s="15">
        <f>+'EWR-154.234'!$H$12</f>
        <v>3</v>
      </c>
      <c r="N58" s="35" t="s">
        <v>25</v>
      </c>
      <c r="O58" s="15">
        <v>2</v>
      </c>
      <c r="P58" s="35" t="s">
        <v>458</v>
      </c>
      <c r="Q58" s="15"/>
      <c r="R58" s="24"/>
      <c r="S58" s="62" t="str">
        <f>+'EWR-154.234'!$J$4</f>
        <v>Henry Yu</v>
      </c>
      <c r="T58" s="15"/>
      <c r="U58" s="15"/>
      <c r="V58" s="54">
        <f t="shared" si="12"/>
        <v>18870000</v>
      </c>
      <c r="W58" s="54">
        <f t="shared" si="13"/>
        <v>19910000</v>
      </c>
      <c r="X58" s="54">
        <f t="shared" si="14"/>
        <v>-1040000</v>
      </c>
    </row>
    <row r="59" spans="3:24" x14ac:dyDescent="0.25">
      <c r="C59" s="39">
        <v>2017</v>
      </c>
      <c r="D59" s="62" t="str">
        <f>+'MFP-924.634'!$F$4</f>
        <v>MFP-924.634</v>
      </c>
      <c r="E59" s="63" t="str">
        <f>+'MFP-924.634'!$F$5</f>
        <v>NY Marine Terminals - Rail Rehab via Work Order</v>
      </c>
      <c r="F59" s="64">
        <f>+'MFP-924.634'!$F$6</f>
        <v>42831</v>
      </c>
      <c r="G59" s="65" t="str">
        <f>+'MFP-924.634'!$G$7</f>
        <v>Public</v>
      </c>
      <c r="H59" s="94">
        <f>+'MFP-924.634'!$F$7</f>
        <v>1655000</v>
      </c>
      <c r="I59" s="27">
        <f>+'MFP-924.634'!$F$8</f>
        <v>1398667</v>
      </c>
      <c r="J59" s="27"/>
      <c r="K59" s="26">
        <f>+'MFP-924.634'!$G$9</f>
        <v>-0.15488398791540786</v>
      </c>
      <c r="L59" s="11" t="str">
        <f>+'MFP-924.634'!$F$11</f>
        <v>GOOD</v>
      </c>
      <c r="M59" s="15">
        <f>+'MFP-924.634'!$H$12</f>
        <v>3</v>
      </c>
      <c r="N59" s="35" t="s">
        <v>93</v>
      </c>
      <c r="O59" s="15">
        <v>2</v>
      </c>
      <c r="P59" s="35" t="s">
        <v>492</v>
      </c>
      <c r="Q59" s="15"/>
      <c r="R59" s="24"/>
      <c r="S59" s="62" t="str">
        <f>+'MFP-924.634'!$J$4</f>
        <v>Ed Minall</v>
      </c>
      <c r="T59" s="15"/>
      <c r="U59" s="15"/>
      <c r="V59" s="54">
        <f t="shared" si="12"/>
        <v>1655000</v>
      </c>
      <c r="W59" s="54">
        <f t="shared" si="13"/>
        <v>1398667</v>
      </c>
      <c r="X59" s="54">
        <f t="shared" si="14"/>
        <v>256333</v>
      </c>
    </row>
    <row r="60" spans="3:24" ht="7.5" customHeight="1" x14ac:dyDescent="0.25">
      <c r="C60" s="39"/>
      <c r="G60" s="45"/>
      <c r="P60" s="11"/>
      <c r="S60" s="15"/>
      <c r="V60" s="54"/>
      <c r="W60" s="54"/>
      <c r="X60" s="54"/>
    </row>
    <row r="61" spans="3:24" x14ac:dyDescent="0.25">
      <c r="C61" s="39">
        <v>2017</v>
      </c>
      <c r="D61" s="62" t="str">
        <f>+'BT-254.123'!$F$4</f>
        <v>BT-254.123</v>
      </c>
      <c r="E61" s="63" t="str">
        <f>+'BT-254.123'!$F$5</f>
        <v>PABT Supplemental Fire Alarm Systems</v>
      </c>
      <c r="F61" s="64">
        <f>+'BT-254.123'!$F$6</f>
        <v>42823</v>
      </c>
      <c r="G61" s="65" t="str">
        <f>+'BT-254.123'!$G$7</f>
        <v>Public</v>
      </c>
      <c r="H61" s="27">
        <f>+'BT-254.123'!$F$7</f>
        <v>3700000</v>
      </c>
      <c r="I61" s="27">
        <f>+'BT-254.123'!$F$8</f>
        <v>2490000</v>
      </c>
      <c r="J61" s="27">
        <v>3185240</v>
      </c>
      <c r="K61" s="26">
        <f>+'BT-254.123'!$G$9</f>
        <v>-0.32702702702702702</v>
      </c>
      <c r="L61" s="11" t="str">
        <f>+'BT-254.123'!$F$11</f>
        <v>GOOD</v>
      </c>
      <c r="M61" s="15">
        <f>+'BT-254.123'!$H$12</f>
        <v>7</v>
      </c>
      <c r="N61" s="35" t="s">
        <v>93</v>
      </c>
      <c r="O61" s="15">
        <v>1</v>
      </c>
      <c r="P61" s="35" t="s">
        <v>457</v>
      </c>
      <c r="Q61" s="15"/>
      <c r="R61" s="24" t="s">
        <v>976</v>
      </c>
      <c r="S61" s="62" t="str">
        <f>+'BT-254.123'!$J$4</f>
        <v>Reddy Gunda</v>
      </c>
      <c r="T61" s="15"/>
      <c r="U61" s="15"/>
      <c r="V61" s="54">
        <f t="shared" ref="V61:V78" si="15">+H61</f>
        <v>3700000</v>
      </c>
      <c r="W61" s="54">
        <f t="shared" ref="W61:W78" si="16">+I61</f>
        <v>2490000</v>
      </c>
      <c r="X61" s="54">
        <f t="shared" ref="X61:X78" si="17">+V61-W61</f>
        <v>1210000</v>
      </c>
    </row>
    <row r="62" spans="3:24" x14ac:dyDescent="0.25">
      <c r="C62" s="39">
        <v>2017</v>
      </c>
      <c r="D62" s="62" t="str">
        <f>+'LGA-124.255'!$F$4</f>
        <v>LGA-124.255</v>
      </c>
      <c r="E62" s="63" t="str">
        <f>+'LGA-124.255'!$F$5</f>
        <v>Rehab of Runway 22 Deck Wearing Course Panel 1A</v>
      </c>
      <c r="F62" s="64">
        <f>+'LGA-124.255'!$F$6</f>
        <v>42815</v>
      </c>
      <c r="G62" s="65" t="str">
        <f>+'LGA-124.255'!$G$7</f>
        <v>PQL</v>
      </c>
      <c r="H62" s="27">
        <f>+'LGA-124.255'!$F$7</f>
        <v>3750000</v>
      </c>
      <c r="I62" s="27">
        <f>+'LGA-124.255'!$F$8</f>
        <v>2468147</v>
      </c>
      <c r="J62" s="27"/>
      <c r="K62" s="26">
        <f>+'LGA-124.255'!$G$9</f>
        <v>-0.34182746666666669</v>
      </c>
      <c r="L62" s="11" t="str">
        <f>+'LGA-124.255'!$F$11</f>
        <v>FAIL</v>
      </c>
      <c r="M62" s="15">
        <f>+'LGA-124.255'!$H$12</f>
        <v>3</v>
      </c>
      <c r="N62" s="35" t="s">
        <v>93</v>
      </c>
      <c r="O62" s="15">
        <v>1</v>
      </c>
      <c r="P62" s="35" t="s">
        <v>458</v>
      </c>
      <c r="Q62" s="15"/>
      <c r="R62" s="24"/>
      <c r="S62" s="62" t="str">
        <f>+'LGA-124.255'!$J$4</f>
        <v>Joe Lucin</v>
      </c>
      <c r="T62" s="15"/>
      <c r="U62" s="15"/>
      <c r="V62" s="54">
        <f t="shared" si="15"/>
        <v>3750000</v>
      </c>
      <c r="W62" s="54">
        <f t="shared" si="16"/>
        <v>2468147</v>
      </c>
      <c r="X62" s="54">
        <f t="shared" si="17"/>
        <v>1281853</v>
      </c>
    </row>
    <row r="63" spans="3:24" x14ac:dyDescent="0.25">
      <c r="C63" s="39">
        <v>2017</v>
      </c>
      <c r="D63" s="62" t="str">
        <f>+'MFP-072.016'!$F$4</f>
        <v>MFP-072.016</v>
      </c>
      <c r="E63" s="63" t="str">
        <f>+'MFP-072.016'!$F$5</f>
        <v>NY Marine Terminals - Paving and Utilities by Work Order</v>
      </c>
      <c r="F63" s="64">
        <f>+'MFP-072.016'!$F$6</f>
        <v>42810</v>
      </c>
      <c r="G63" s="65" t="str">
        <f>+'MFP-072.016'!$G$7</f>
        <v>MWBE</v>
      </c>
      <c r="H63" s="27">
        <f>+'MFP-072.016'!$F$7</f>
        <v>1425000</v>
      </c>
      <c r="I63" s="27">
        <f>+'MFP-072.016'!$F$8</f>
        <v>1087425</v>
      </c>
      <c r="J63" s="27"/>
      <c r="K63" s="26">
        <f>+'MFP-072.016'!$G$9</f>
        <v>-0.23689473684210527</v>
      </c>
      <c r="L63" s="11" t="str">
        <f>+'MFP-072.016'!$F$11</f>
        <v>GOOD</v>
      </c>
      <c r="M63" s="15">
        <f>+'MFP-072.016'!$H$12</f>
        <v>6</v>
      </c>
      <c r="N63" s="35" t="s">
        <v>93</v>
      </c>
      <c r="O63" s="15">
        <v>1</v>
      </c>
      <c r="P63" s="35" t="s">
        <v>492</v>
      </c>
      <c r="Q63" s="15"/>
      <c r="R63" s="24"/>
      <c r="S63" s="62" t="str">
        <f>+'MFP-072.016'!$J$4</f>
        <v>Ed Minall</v>
      </c>
      <c r="T63" s="15"/>
      <c r="U63" s="15"/>
      <c r="V63" s="54">
        <f t="shared" si="15"/>
        <v>1425000</v>
      </c>
      <c r="W63" s="54">
        <f t="shared" si="16"/>
        <v>1087425</v>
      </c>
      <c r="X63" s="54">
        <f t="shared" si="17"/>
        <v>337575</v>
      </c>
    </row>
    <row r="64" spans="3:24" x14ac:dyDescent="0.25">
      <c r="C64" s="39">
        <v>2017</v>
      </c>
      <c r="D64" s="62" t="str">
        <f>+'GWB-244.263'!$F$4</f>
        <v>GWB-244.263</v>
      </c>
      <c r="E64" s="63" t="str">
        <f>+'GWB-244.263'!$F$5</f>
        <v>Replacement of Automatic Transfer Switches</v>
      </c>
      <c r="F64" s="64">
        <f>+'GWB-244.263'!$F$6</f>
        <v>42789</v>
      </c>
      <c r="G64" s="65" t="str">
        <f>+'GWB-244.263'!$G$7</f>
        <v>MWBE</v>
      </c>
      <c r="H64" s="27">
        <f>+'GWB-244.263'!$F$7</f>
        <v>240000</v>
      </c>
      <c r="I64" s="27">
        <f>+'GWB-244.263'!$F$8</f>
        <v>97300</v>
      </c>
      <c r="J64" s="27"/>
      <c r="K64" s="26">
        <f>+'GWB-244.263'!$G$9</f>
        <v>-0.59458333333333335</v>
      </c>
      <c r="L64" s="11" t="str">
        <f>+'GWB-244.263'!$F$11</f>
        <v>FAIL</v>
      </c>
      <c r="M64" s="15">
        <f>+'GWB-244.263'!$H$12</f>
        <v>6</v>
      </c>
      <c r="N64" s="35" t="s">
        <v>25</v>
      </c>
      <c r="O64" s="15">
        <v>1</v>
      </c>
      <c r="P64" s="35" t="s">
        <v>457</v>
      </c>
      <c r="Q64" s="15"/>
      <c r="R64" s="24"/>
      <c r="S64" s="62" t="str">
        <f>+'GWB-244.263'!$J$4</f>
        <v>Reddy Gunda</v>
      </c>
      <c r="T64" s="15"/>
      <c r="U64" s="15"/>
      <c r="V64" s="54">
        <f t="shared" si="15"/>
        <v>240000</v>
      </c>
      <c r="W64" s="54">
        <f t="shared" si="16"/>
        <v>97300</v>
      </c>
      <c r="X64" s="54">
        <f t="shared" si="17"/>
        <v>142700</v>
      </c>
    </row>
    <row r="65" spans="3:24" x14ac:dyDescent="0.25">
      <c r="C65" s="39">
        <v>2017</v>
      </c>
      <c r="D65" s="62" t="str">
        <f>+'GWB-244.048'!$F$4</f>
        <v>GWB-244.048</v>
      </c>
      <c r="E65" s="63" t="str">
        <f>+'GWB-244.048'!$F$5</f>
        <v>Replacement of Suspender Ropes and Rehab of Main Cables &amp; Strands</v>
      </c>
      <c r="F65" s="64">
        <f>+'GWB-244.048'!$F$6</f>
        <v>42789</v>
      </c>
      <c r="G65" s="65" t="str">
        <f>+'GWB-244.048'!$G$7</f>
        <v>PQL</v>
      </c>
      <c r="H65" s="94">
        <f>+'GWB-244.048'!$F$7</f>
        <v>479900000</v>
      </c>
      <c r="I65" s="27">
        <f>+'GWB-244.048'!$F$8</f>
        <v>451841280</v>
      </c>
      <c r="J65" s="27"/>
      <c r="K65" s="26">
        <f>+'GWB-244.048'!$G$9</f>
        <v>-5.8467847468222547E-2</v>
      </c>
      <c r="L65" s="11" t="str">
        <f>+'GWB-244.048'!$F$11</f>
        <v>GOOD</v>
      </c>
      <c r="M65" s="15">
        <f>+'GWB-244.048'!$H$12</f>
        <v>5</v>
      </c>
      <c r="N65" s="35" t="s">
        <v>226</v>
      </c>
      <c r="O65" s="15">
        <v>1</v>
      </c>
      <c r="P65" s="35" t="s">
        <v>457</v>
      </c>
      <c r="Q65" s="15"/>
      <c r="R65" s="24"/>
      <c r="S65" s="62" t="str">
        <f>+'GWB-244.048'!$J$4</f>
        <v>Reddy Gunda</v>
      </c>
      <c r="T65" s="15"/>
      <c r="U65" s="15"/>
      <c r="V65" s="54">
        <f t="shared" si="15"/>
        <v>479900000</v>
      </c>
      <c r="W65" s="54">
        <f t="shared" si="16"/>
        <v>451841280</v>
      </c>
      <c r="X65" s="54">
        <f t="shared" si="17"/>
        <v>28058720</v>
      </c>
    </row>
    <row r="66" spans="3:24" x14ac:dyDescent="0.25">
      <c r="C66" s="39">
        <v>2017</v>
      </c>
      <c r="D66" s="62" t="str">
        <f>+'LGA-124.250'!$F$4</f>
        <v>LGA-124.250</v>
      </c>
      <c r="E66" s="63" t="str">
        <f>+'LGA-124.250'!$F$5</f>
        <v>Rehab Taxiways B, AA, BB, and Associated Taxiways</v>
      </c>
      <c r="F66" s="64">
        <f>+'LGA-124.250'!$F$6</f>
        <v>42787</v>
      </c>
      <c r="G66" s="65" t="str">
        <f>+'LGA-124.250'!$G$7</f>
        <v>PQL</v>
      </c>
      <c r="H66" s="94">
        <f>+'LGA-124.250'!$F$7</f>
        <v>10393000</v>
      </c>
      <c r="I66" s="27">
        <f>+'LGA-124.250'!$F$8</f>
        <v>7903950</v>
      </c>
      <c r="J66" s="27"/>
      <c r="K66" s="26">
        <f>+'LGA-124.250'!$G$9</f>
        <v>-0.2394929279322621</v>
      </c>
      <c r="L66" s="11" t="str">
        <f>+'LGA-124.250'!$F$11</f>
        <v>FAIL</v>
      </c>
      <c r="M66" s="15">
        <f>+'LGA-124.250'!$H$12</f>
        <v>3</v>
      </c>
      <c r="N66" s="35" t="s">
        <v>93</v>
      </c>
      <c r="O66" s="15">
        <v>1</v>
      </c>
      <c r="P66" s="35" t="s">
        <v>458</v>
      </c>
      <c r="Q66" s="15"/>
      <c r="R66" s="24" t="s">
        <v>932</v>
      </c>
      <c r="S66" s="62" t="str">
        <f>+'LGA-124.250'!$J$4</f>
        <v>Joe Lucin</v>
      </c>
      <c r="T66" s="15"/>
      <c r="U66" s="15"/>
      <c r="V66" s="54">
        <f t="shared" si="15"/>
        <v>10393000</v>
      </c>
      <c r="W66" s="54">
        <f t="shared" si="16"/>
        <v>7903950</v>
      </c>
      <c r="X66" s="54">
        <f t="shared" si="17"/>
        <v>2489050</v>
      </c>
    </row>
    <row r="67" spans="3:24" x14ac:dyDescent="0.25">
      <c r="C67" s="39">
        <v>2017</v>
      </c>
      <c r="D67" s="62" t="str">
        <f>+'TEB-144.045'!$F$4</f>
        <v>TEB-144.045</v>
      </c>
      <c r="E67" s="63" t="str">
        <f>+'TEB-144.045'!$F$5</f>
        <v>Storm Drainage System Rehab Phase 1</v>
      </c>
      <c r="F67" s="64">
        <f>+'TEB-144.045'!$F$6</f>
        <v>42780</v>
      </c>
      <c r="G67" s="65" t="str">
        <f>+'TEB-144.045'!$G$7</f>
        <v>Public</v>
      </c>
      <c r="H67" s="94">
        <f>+'TEB-144.045'!$F$7</f>
        <v>2580000</v>
      </c>
      <c r="I67" s="27">
        <f>+'TEB-144.045'!$F$8</f>
        <v>1386000</v>
      </c>
      <c r="J67" s="27">
        <v>1707400</v>
      </c>
      <c r="K67" s="26">
        <f>+'TEB-144.045'!$G$9</f>
        <v>-0.46279069767441861</v>
      </c>
      <c r="L67" s="11" t="str">
        <f>+'TEB-144.045'!$F$11</f>
        <v>GOOD</v>
      </c>
      <c r="M67" s="15">
        <f>+'TEB-144.045'!$H$12</f>
        <v>16</v>
      </c>
      <c r="N67" s="35" t="s">
        <v>25</v>
      </c>
      <c r="O67" s="15">
        <v>1</v>
      </c>
      <c r="P67" s="35" t="s">
        <v>458</v>
      </c>
      <c r="Q67" s="15"/>
      <c r="R67" s="24" t="s">
        <v>1020</v>
      </c>
      <c r="S67" s="62" t="str">
        <f>+'EWR-924.375'!$J$4</f>
        <v>Henry Yu</v>
      </c>
      <c r="T67" s="15"/>
      <c r="U67" s="15"/>
      <c r="V67" s="54">
        <f t="shared" si="15"/>
        <v>2580000</v>
      </c>
      <c r="W67" s="54">
        <f t="shared" si="16"/>
        <v>1386000</v>
      </c>
      <c r="X67" s="54">
        <f t="shared" si="17"/>
        <v>1194000</v>
      </c>
    </row>
    <row r="68" spans="3:24" x14ac:dyDescent="0.25">
      <c r="C68" s="39">
        <v>2017</v>
      </c>
      <c r="D68" s="62" t="str">
        <f>+'EWR-924.375'!$F$4</f>
        <v>EWR-924.375</v>
      </c>
      <c r="E68" s="63" t="str">
        <f>+'EWR-924.375'!$F$5</f>
        <v>Peripheral Ditch Containment Boom Anchor Walls</v>
      </c>
      <c r="F68" s="64">
        <f>+'EWR-924.375'!$F$6</f>
        <v>42774</v>
      </c>
      <c r="G68" s="65" t="str">
        <f>+'EWR-924.375'!$G$7</f>
        <v>Public</v>
      </c>
      <c r="H68" s="94">
        <f>+'EWR-924.375'!$F$7</f>
        <v>970000</v>
      </c>
      <c r="I68" s="27">
        <f>+'EWR-924.375'!$F$8</f>
        <v>756482</v>
      </c>
      <c r="J68" s="27"/>
      <c r="K68" s="26">
        <f>+'EWR-924.375'!$G$9</f>
        <v>-0.22012164948453608</v>
      </c>
      <c r="L68" s="11" t="str">
        <f>+'EWR-924.375'!$F$11</f>
        <v>GOOD</v>
      </c>
      <c r="M68" s="15">
        <f>+'EWR-924.375'!$H$12</f>
        <v>9</v>
      </c>
      <c r="N68" s="35" t="s">
        <v>25</v>
      </c>
      <c r="O68" s="15">
        <v>1</v>
      </c>
      <c r="P68" s="35" t="s">
        <v>458</v>
      </c>
      <c r="Q68" s="15"/>
      <c r="R68" s="24"/>
      <c r="S68" s="62" t="str">
        <f>+'EWR-924.375'!$J$4</f>
        <v>Henry Yu</v>
      </c>
      <c r="T68" s="15"/>
      <c r="U68" s="15"/>
      <c r="V68" s="54">
        <f t="shared" si="15"/>
        <v>970000</v>
      </c>
      <c r="W68" s="54">
        <f t="shared" si="16"/>
        <v>756482</v>
      </c>
      <c r="X68" s="54">
        <f t="shared" si="17"/>
        <v>213518</v>
      </c>
    </row>
    <row r="69" spans="3:24" x14ac:dyDescent="0.25">
      <c r="C69" s="39">
        <v>2017</v>
      </c>
      <c r="D69" s="62" t="str">
        <f>+'GWB-924.170'!$F$4</f>
        <v>GWB-924.170</v>
      </c>
      <c r="E69" s="63" t="str">
        <f>+'GWB-924.170'!$F$5</f>
        <v>Maintenance Pavement Repairs via Work Order</v>
      </c>
      <c r="F69" s="64">
        <f>+'GWB-924.170'!$F$6</f>
        <v>42773</v>
      </c>
      <c r="G69" s="65" t="str">
        <f>+'GWB-924.170'!$G$7</f>
        <v>PQL</v>
      </c>
      <c r="H69" s="94">
        <f>+'GWB-924.170'!$F$7</f>
        <v>1965000</v>
      </c>
      <c r="I69" s="27">
        <f>+'GWB-924.170'!$F$8</f>
        <v>1450000</v>
      </c>
      <c r="J69" s="27"/>
      <c r="K69" s="26">
        <f>+'GWB-924.170'!$G$9</f>
        <v>-0.26208651399491095</v>
      </c>
      <c r="L69" s="11" t="str">
        <f>+'GWB-924.170'!$F$11</f>
        <v>GOOD</v>
      </c>
      <c r="M69" s="15">
        <f>+'GWB-924.170'!$H$12</f>
        <v>6</v>
      </c>
      <c r="N69" s="35" t="s">
        <v>226</v>
      </c>
      <c r="O69" s="15">
        <v>1</v>
      </c>
      <c r="P69" s="35" t="s">
        <v>457</v>
      </c>
      <c r="Q69" s="15"/>
      <c r="R69" s="24" t="s">
        <v>900</v>
      </c>
      <c r="S69" s="62" t="str">
        <f>+'GWB-924.170'!$J$4</f>
        <v>Reddy Gunda</v>
      </c>
      <c r="T69" s="15"/>
      <c r="U69" s="15"/>
      <c r="V69" s="54">
        <f t="shared" si="15"/>
        <v>1965000</v>
      </c>
      <c r="W69" s="54">
        <f t="shared" si="16"/>
        <v>1450000</v>
      </c>
      <c r="X69" s="54">
        <f t="shared" si="17"/>
        <v>515000</v>
      </c>
    </row>
    <row r="70" spans="3:24" x14ac:dyDescent="0.25">
      <c r="C70" s="39">
        <v>2017</v>
      </c>
      <c r="D70" s="62" t="str">
        <f>+'JFK-124.009'!$F$4</f>
        <v>JFK-124.009</v>
      </c>
      <c r="E70" s="63" t="str">
        <f>+'JFK-124.009'!$F$5</f>
        <v>Bldg 14 Roof Replacement, East Wing</v>
      </c>
      <c r="F70" s="64">
        <f>+'JFK-124.009'!$F$6</f>
        <v>42768</v>
      </c>
      <c r="G70" s="65" t="str">
        <f>+'JFK-124.009'!$G$7</f>
        <v>Public</v>
      </c>
      <c r="H70" s="94">
        <f>+'JFK-124.009'!$F$7</f>
        <v>4800000</v>
      </c>
      <c r="I70" s="27">
        <f>+'JFK-124.009'!$F$8</f>
        <v>3901193</v>
      </c>
      <c r="J70" s="27">
        <v>3901193</v>
      </c>
      <c r="K70" s="26">
        <f>+'JFK-124.009'!$G$9</f>
        <v>-0.18725145833333334</v>
      </c>
      <c r="L70" s="11" t="str">
        <f>+'JFK-124.009'!$F$11</f>
        <v>GOOD</v>
      </c>
      <c r="M70" s="15">
        <f>+'JFK-124.009'!$H$12</f>
        <v>14</v>
      </c>
      <c r="N70" s="35" t="s">
        <v>93</v>
      </c>
      <c r="O70" s="15">
        <v>1</v>
      </c>
      <c r="P70" s="35" t="s">
        <v>458</v>
      </c>
      <c r="Q70" s="15"/>
      <c r="R70" s="24"/>
      <c r="S70" s="62" t="str">
        <f>+'JFK-124.009'!$J$4</f>
        <v>Henry Yu</v>
      </c>
      <c r="T70" s="15"/>
      <c r="U70" s="15"/>
      <c r="V70" s="54">
        <f t="shared" si="15"/>
        <v>4800000</v>
      </c>
      <c r="W70" s="54">
        <f t="shared" si="16"/>
        <v>3901193</v>
      </c>
      <c r="X70" s="54">
        <f t="shared" si="17"/>
        <v>898807</v>
      </c>
    </row>
    <row r="71" spans="3:24" x14ac:dyDescent="0.25">
      <c r="C71" s="39">
        <v>2017</v>
      </c>
      <c r="D71" s="62" t="str">
        <f>+'MFP-924.645 Void'!$F$4</f>
        <v>MFP-924.645</v>
      </c>
      <c r="E71" s="63" t="str">
        <f>+'MFP-924.645 Void'!$F$5</f>
        <v>NJ Paving and Utility Rehab by Work Order</v>
      </c>
      <c r="F71" s="64">
        <f>+'MFP-924.645 Void'!$F$6</f>
        <v>42766</v>
      </c>
      <c r="G71" s="65"/>
      <c r="H71" s="94"/>
      <c r="I71" s="27"/>
      <c r="J71" s="27"/>
      <c r="K71" s="26"/>
      <c r="L71" s="11"/>
      <c r="M71" s="15"/>
      <c r="N71" s="35"/>
      <c r="O71" s="15"/>
      <c r="P71" s="35"/>
      <c r="Q71" s="15"/>
      <c r="R71" s="24" t="s">
        <v>472</v>
      </c>
      <c r="S71" s="62" t="str">
        <f>+'MFP-924.645 Void'!$J$4</f>
        <v>Ed Minall</v>
      </c>
      <c r="T71" s="15"/>
      <c r="U71" s="15"/>
      <c r="V71" s="54">
        <f t="shared" si="15"/>
        <v>0</v>
      </c>
      <c r="W71" s="54">
        <f t="shared" si="16"/>
        <v>0</v>
      </c>
      <c r="X71" s="54">
        <f t="shared" si="17"/>
        <v>0</v>
      </c>
    </row>
    <row r="72" spans="3:24" x14ac:dyDescent="0.25">
      <c r="C72" s="39">
        <v>2017</v>
      </c>
      <c r="D72" s="62" t="str">
        <f>+'JFK-154.022'!$F$4</f>
        <v>JFK-154.022</v>
      </c>
      <c r="E72" s="63" t="str">
        <f>+'JFK-154.022'!$F$5</f>
        <v>Vehicle Gates Security Upgrade</v>
      </c>
      <c r="F72" s="64">
        <f>+'JFK-154.022'!$F$6</f>
        <v>42765</v>
      </c>
      <c r="G72" s="65" t="str">
        <f>+'JFK-154.022'!$G$7</f>
        <v>VVP</v>
      </c>
      <c r="H72" s="94">
        <f>+'JFK-154.022'!$F$7</f>
        <v>6500000</v>
      </c>
      <c r="I72" s="27">
        <f>+'JFK-154.022'!$F$8</f>
        <v>5987000</v>
      </c>
      <c r="J72" s="27"/>
      <c r="K72" s="26">
        <f>+'JFK-154.022'!$G$9</f>
        <v>-7.8923076923076929E-2</v>
      </c>
      <c r="L72" s="11" t="str">
        <f>+'JFK-154.022'!$F$11</f>
        <v>GOOD</v>
      </c>
      <c r="M72" s="15">
        <f>+'JFK-154.022'!$H$12</f>
        <v>5</v>
      </c>
      <c r="N72" s="35" t="s">
        <v>93</v>
      </c>
      <c r="O72" s="15">
        <v>1</v>
      </c>
      <c r="P72" s="35" t="s">
        <v>458</v>
      </c>
      <c r="Q72" s="15"/>
      <c r="R72" s="24"/>
      <c r="S72" s="62" t="str">
        <f>+'JFK-154.022'!$J$4</f>
        <v>Nathan Demaisip</v>
      </c>
      <c r="T72" s="15"/>
      <c r="U72" s="15"/>
      <c r="V72" s="54">
        <f t="shared" si="15"/>
        <v>6500000</v>
      </c>
      <c r="W72" s="54">
        <f t="shared" si="16"/>
        <v>5987000</v>
      </c>
      <c r="X72" s="54">
        <f t="shared" si="17"/>
        <v>513000</v>
      </c>
    </row>
    <row r="73" spans="3:24" x14ac:dyDescent="0.25">
      <c r="C73" s="39">
        <v>2017</v>
      </c>
      <c r="D73" s="62" t="str">
        <f>+'LGA-103.015'!$F$4</f>
        <v>LGA-103.015</v>
      </c>
      <c r="E73" s="63" t="str">
        <f>+'LGA-103.015'!$F$5</f>
        <v>Pump House 6 Substation</v>
      </c>
      <c r="F73" s="64">
        <f>+'LGA-103.015'!$F$6</f>
        <v>42761</v>
      </c>
      <c r="G73" s="65" t="str">
        <f>+'LGA-103.015'!$G$7</f>
        <v>Public</v>
      </c>
      <c r="H73" s="94">
        <f>+'LGA-103.015'!$F$7</f>
        <v>5100000</v>
      </c>
      <c r="I73" s="27">
        <f>+'LGA-103.015'!$F$8</f>
        <v>4640176</v>
      </c>
      <c r="J73" s="27"/>
      <c r="K73" s="26">
        <f>+'LGA-103.015'!$G$9</f>
        <v>-9.0161568627450978E-2</v>
      </c>
      <c r="L73" s="11" t="str">
        <f>+'LGA-103.015'!$F$11</f>
        <v>GOOD</v>
      </c>
      <c r="M73" s="15">
        <f>+'LGA-103.015'!$H$12</f>
        <v>7</v>
      </c>
      <c r="N73" s="35" t="s">
        <v>93</v>
      </c>
      <c r="O73" s="15">
        <v>1</v>
      </c>
      <c r="P73" s="35" t="s">
        <v>458</v>
      </c>
      <c r="Q73" s="15"/>
      <c r="R73" s="24"/>
      <c r="S73" s="62" t="str">
        <f>+'LGA-103.015'!$J$4</f>
        <v>Joe Lucin</v>
      </c>
      <c r="T73" s="15"/>
      <c r="U73" s="15"/>
      <c r="V73" s="54">
        <f t="shared" si="15"/>
        <v>5100000</v>
      </c>
      <c r="W73" s="54">
        <f t="shared" si="16"/>
        <v>4640176</v>
      </c>
      <c r="X73" s="54">
        <f t="shared" si="17"/>
        <v>459824</v>
      </c>
    </row>
    <row r="74" spans="3:24" x14ac:dyDescent="0.25">
      <c r="C74" s="39">
        <v>2017</v>
      </c>
      <c r="D74" s="62" t="str">
        <f>+'EWR-154.392'!$F$4</f>
        <v>EWR-154.392</v>
      </c>
      <c r="E74" s="63" t="str">
        <f>+'EWR-154.392'!$F$5</f>
        <v xml:space="preserve">Terminal A Redev - Bridges N57, N58, N59 and Utilities </v>
      </c>
      <c r="F74" s="64">
        <f>+'EWR-154.392'!$F$6</f>
        <v>42759</v>
      </c>
      <c r="G74" s="65" t="str">
        <f>+'EWR-154.392'!$G$7</f>
        <v>PQL</v>
      </c>
      <c r="H74" s="94">
        <f>+'EWR-154.392'!$F$7</f>
        <v>69800000</v>
      </c>
      <c r="I74" s="27">
        <f>+'EWR-154.392'!$F$8</f>
        <v>67107000</v>
      </c>
      <c r="J74" s="27"/>
      <c r="K74" s="26">
        <f>+'EWR-154.392'!$G$9</f>
        <v>-3.8581661891117482E-2</v>
      </c>
      <c r="L74" s="11" t="str">
        <f>+'EWR-154.392'!$F$11</f>
        <v>GOOD</v>
      </c>
      <c r="M74" s="15">
        <f>+'EWR-154.392'!$H$12</f>
        <v>9</v>
      </c>
      <c r="N74" s="35" t="s">
        <v>25</v>
      </c>
      <c r="O74" s="15">
        <v>1</v>
      </c>
      <c r="P74" s="35" t="s">
        <v>458</v>
      </c>
      <c r="Q74" s="15"/>
      <c r="R74" s="24"/>
      <c r="S74" s="62" t="str">
        <f>+'EWR-154.392'!$J$4</f>
        <v>Henry Yu</v>
      </c>
      <c r="T74" s="15"/>
      <c r="U74" s="15"/>
      <c r="V74" s="54">
        <f t="shared" si="15"/>
        <v>69800000</v>
      </c>
      <c r="W74" s="54">
        <f t="shared" si="16"/>
        <v>67107000</v>
      </c>
      <c r="X74" s="54">
        <f t="shared" si="17"/>
        <v>2693000</v>
      </c>
    </row>
    <row r="75" spans="3:24" x14ac:dyDescent="0.25">
      <c r="C75" s="39">
        <v>2017</v>
      </c>
      <c r="D75" s="62" t="str">
        <f>+'HT-924.089'!$F$4</f>
        <v>HT-924.089</v>
      </c>
      <c r="E75" s="63" t="str">
        <f>+'HT-924.089'!$F$5</f>
        <v>NJ Service Building 1 and 2 Priority Repairs</v>
      </c>
      <c r="F75" s="64">
        <f>+'HT-924.089'!$F$6</f>
        <v>42753</v>
      </c>
      <c r="G75" s="65" t="str">
        <f>+'HT-924.089'!$G$7</f>
        <v>MWBE</v>
      </c>
      <c r="H75" s="94">
        <f>+'HT-924.089'!$F$7</f>
        <v>1410000</v>
      </c>
      <c r="I75" s="27">
        <f>+'HT-924.089'!$F$8</f>
        <v>1399756</v>
      </c>
      <c r="J75" s="27"/>
      <c r="K75" s="26">
        <f>+'HT-924.089'!$G$9</f>
        <v>-7.2652482269503545E-3</v>
      </c>
      <c r="L75" s="11" t="str">
        <f>+'HT-924.089'!$F$11</f>
        <v>GOOD</v>
      </c>
      <c r="M75" s="15">
        <f>+'HT-924.089'!$H$12</f>
        <v>3</v>
      </c>
      <c r="N75" s="35" t="s">
        <v>25</v>
      </c>
      <c r="O75" s="15">
        <v>1</v>
      </c>
      <c r="P75" s="35" t="s">
        <v>457</v>
      </c>
      <c r="Q75" s="15"/>
      <c r="R75" s="24"/>
      <c r="S75" s="62" t="str">
        <f>+'HT-924.089'!$J$4</f>
        <v>Reddy Gunda</v>
      </c>
      <c r="T75" s="15"/>
      <c r="U75" s="15"/>
      <c r="V75" s="54">
        <f t="shared" si="15"/>
        <v>1410000</v>
      </c>
      <c r="W75" s="54">
        <f t="shared" si="16"/>
        <v>1399756</v>
      </c>
      <c r="X75" s="54">
        <f t="shared" si="17"/>
        <v>10244</v>
      </c>
    </row>
    <row r="76" spans="3:24" x14ac:dyDescent="0.25">
      <c r="C76" s="39">
        <v>2017</v>
      </c>
      <c r="D76" s="62" t="str">
        <f>+'MFP-924.644'!$F$4</f>
        <v>MFP-924.644</v>
      </c>
      <c r="E76" s="63" t="str">
        <f>+'MFP-924.644'!$F$5</f>
        <v>NJ Marine Terminals Railroad Rehab via Work Order</v>
      </c>
      <c r="F76" s="64">
        <f>+'MFP-924.644'!$F$6</f>
        <v>42752</v>
      </c>
      <c r="G76" s="65" t="str">
        <f>+'MFP-924.644'!$G$7</f>
        <v>Public</v>
      </c>
      <c r="H76" s="94">
        <f>+'MFP-924.644'!$F$7</f>
        <v>4200000</v>
      </c>
      <c r="I76" s="27">
        <f>+'MFP-924.644'!$F$8</f>
        <v>3987114</v>
      </c>
      <c r="J76" s="27"/>
      <c r="K76" s="26">
        <f>+'MFP-924.644'!$G$9</f>
        <v>-5.0687142857142854E-2</v>
      </c>
      <c r="L76" s="11" t="str">
        <f>+'MFP-924.644'!$F$11</f>
        <v>GOOD</v>
      </c>
      <c r="M76" s="15">
        <f>+'MFP-924.644'!$H$12</f>
        <v>3</v>
      </c>
      <c r="N76" s="35" t="s">
        <v>25</v>
      </c>
      <c r="O76" s="15">
        <v>1</v>
      </c>
      <c r="P76" s="35" t="s">
        <v>492</v>
      </c>
      <c r="Q76" s="15"/>
      <c r="R76" s="24"/>
      <c r="S76" s="62" t="str">
        <f>+'MFP-924.644'!$J$4</f>
        <v>Ed Minall</v>
      </c>
      <c r="T76" s="15"/>
      <c r="U76" s="15"/>
      <c r="V76" s="54">
        <f t="shared" si="15"/>
        <v>4200000</v>
      </c>
      <c r="W76" s="54">
        <f t="shared" si="16"/>
        <v>3987114</v>
      </c>
      <c r="X76" s="54">
        <f t="shared" si="17"/>
        <v>212886</v>
      </c>
    </row>
    <row r="77" spans="3:24" x14ac:dyDescent="0.25">
      <c r="C77" s="39">
        <v>2017</v>
      </c>
      <c r="D77" s="62" t="str">
        <f>+'JFK-1067'!$F$4</f>
        <v>JFK-1067</v>
      </c>
      <c r="E77" s="63" t="str">
        <f>+'JFK-1067'!$F$5</f>
        <v>Asphalt Pavement Repairs via Work Order</v>
      </c>
      <c r="F77" s="64">
        <f>+'JFK-1067'!$F$6</f>
        <v>42746</v>
      </c>
      <c r="G77" s="65" t="str">
        <f>+'JFK-1067'!$G$7</f>
        <v>PQL</v>
      </c>
      <c r="H77" s="94">
        <f>+'JFK-1067'!$F$7</f>
        <v>12071025</v>
      </c>
      <c r="I77" s="27">
        <f>+'JFK-1067'!$F$8</f>
        <v>9977777</v>
      </c>
      <c r="J77" s="27"/>
      <c r="K77" s="26">
        <f>+'JFK-1067'!$G$9</f>
        <v>-0.17341095723022693</v>
      </c>
      <c r="L77" s="11" t="str">
        <f>+'JFK-1067'!$F$11</f>
        <v>FAIL</v>
      </c>
      <c r="M77" s="15">
        <f>+'JFK-1067'!$H$12</f>
        <v>3</v>
      </c>
      <c r="N77" s="35" t="s">
        <v>93</v>
      </c>
      <c r="O77" s="15">
        <v>1</v>
      </c>
      <c r="P77" s="35" t="s">
        <v>458</v>
      </c>
      <c r="Q77" s="15"/>
      <c r="R77" s="24"/>
      <c r="S77" s="62" t="str">
        <f>+'JFK-1067'!$J$4</f>
        <v>Henry Yu</v>
      </c>
      <c r="T77" s="15"/>
      <c r="U77" s="15"/>
      <c r="V77" s="54">
        <f t="shared" si="15"/>
        <v>12071025</v>
      </c>
      <c r="W77" s="54">
        <f t="shared" si="16"/>
        <v>9977777</v>
      </c>
      <c r="X77" s="54">
        <f t="shared" si="17"/>
        <v>2093248</v>
      </c>
    </row>
    <row r="78" spans="3:24" x14ac:dyDescent="0.25">
      <c r="C78" s="39">
        <v>2017</v>
      </c>
      <c r="D78" s="62" t="str">
        <f>+'JFK-124.016'!$F$4</f>
        <v>JFK-124.016</v>
      </c>
      <c r="E78" s="63" t="str">
        <f>+'JFK-124.016'!$F$5</f>
        <v>Rehab Taxiway Q, QG and Restricted Vehicle Service Road</v>
      </c>
      <c r="F78" s="64">
        <f>+'JFK-124.016'!$F$6</f>
        <v>42739</v>
      </c>
      <c r="G78" s="65" t="str">
        <f>+'JFK-124.016'!$G$7</f>
        <v>PQL</v>
      </c>
      <c r="H78" s="94">
        <f>+'JFK-124.016'!$F$7</f>
        <v>28695000</v>
      </c>
      <c r="I78" s="27">
        <f>+'JFK-124.016'!$F$8</f>
        <v>31768035</v>
      </c>
      <c r="J78" s="27"/>
      <c r="K78" s="26">
        <f>+'JFK-124.016'!$G$9</f>
        <v>0.10709304756926294</v>
      </c>
      <c r="L78" s="11" t="str">
        <f>+'JFK-124.016'!$F$11</f>
        <v>GOOD</v>
      </c>
      <c r="M78" s="15">
        <f>+'JFK-124.016'!$H$12</f>
        <v>2</v>
      </c>
      <c r="N78" s="35" t="s">
        <v>93</v>
      </c>
      <c r="O78" s="15">
        <v>1</v>
      </c>
      <c r="P78" s="35" t="s">
        <v>458</v>
      </c>
      <c r="Q78" s="15"/>
      <c r="R78" s="24"/>
      <c r="S78" s="62" t="str">
        <f>+'JFK-124.016'!$J$4</f>
        <v>Henry Yu</v>
      </c>
      <c r="T78" s="15"/>
      <c r="U78" s="15"/>
      <c r="V78" s="54">
        <f t="shared" si="15"/>
        <v>28695000</v>
      </c>
      <c r="W78" s="54">
        <f t="shared" si="16"/>
        <v>31768035</v>
      </c>
      <c r="X78" s="54">
        <f t="shared" si="17"/>
        <v>-3073035</v>
      </c>
    </row>
    <row r="79" spans="3:24" ht="7.5" customHeight="1" x14ac:dyDescent="0.25">
      <c r="C79" s="39"/>
      <c r="G79" s="45"/>
      <c r="P79" s="11"/>
      <c r="S79" s="15"/>
      <c r="V79" s="54"/>
      <c r="W79" s="54"/>
      <c r="X79" s="54"/>
    </row>
    <row r="80" spans="3:24" x14ac:dyDescent="0.25">
      <c r="C80" s="39">
        <v>2016</v>
      </c>
      <c r="D80" s="62" t="str">
        <f>+'PAT-084.039'!$F$4</f>
        <v>PAT-084.039</v>
      </c>
      <c r="E80" s="63" t="str">
        <f>+'PAT-084.039'!$F$5</f>
        <v>Event Detection Systems for Tunnels E and F</v>
      </c>
      <c r="F80" s="64">
        <f>+'PAT-084.039'!$F$6</f>
        <v>42731</v>
      </c>
      <c r="G80" s="65" t="str">
        <f>+'PAT-084.039'!$G$7</f>
        <v>PQL</v>
      </c>
      <c r="H80" s="27">
        <f>+'PAT-084.039'!$F$7</f>
        <v>18500000</v>
      </c>
      <c r="I80" s="27">
        <f>+'PAT-084.039'!$F$8</f>
        <v>15978000</v>
      </c>
      <c r="J80" s="27">
        <v>15978000</v>
      </c>
      <c r="K80" s="26">
        <f>+'PAT-084.039'!$G$9</f>
        <v>-0.13632432432432431</v>
      </c>
      <c r="L80" s="11" t="str">
        <f>+'PAT-084.039'!$F$11</f>
        <v>GOOD</v>
      </c>
      <c r="M80" s="15">
        <f>+'PAT-084.039'!$H$12</f>
        <v>2</v>
      </c>
      <c r="N80" s="35" t="s">
        <v>226</v>
      </c>
      <c r="O80" s="15">
        <v>4</v>
      </c>
      <c r="P80" s="35" t="s">
        <v>459</v>
      </c>
      <c r="Q80" s="15"/>
      <c r="R80" s="24" t="s">
        <v>827</v>
      </c>
      <c r="S80" s="62" t="str">
        <f>+'PAT-084.039'!$J$4</f>
        <v>Nathan Demaisip</v>
      </c>
      <c r="T80" s="15"/>
      <c r="U80" s="15"/>
      <c r="V80" s="54">
        <f t="shared" ref="V80:V93" si="18">+H80</f>
        <v>18500000</v>
      </c>
      <c r="W80" s="54">
        <f t="shared" ref="W80:W93" si="19">+I80</f>
        <v>15978000</v>
      </c>
      <c r="X80" s="54">
        <f t="shared" ref="X80:X93" si="20">+V80-W80</f>
        <v>2522000</v>
      </c>
    </row>
    <row r="81" spans="3:24" x14ac:dyDescent="0.25">
      <c r="C81" s="39">
        <v>2016</v>
      </c>
      <c r="D81" s="62" t="str">
        <f>+'EWR-924.288'!$F$4</f>
        <v>EWR-924.288</v>
      </c>
      <c r="E81" s="63" t="str">
        <f>+'EWR-924.288'!$F$5</f>
        <v>Fuel Farm Roadway Drainage Improvements</v>
      </c>
      <c r="F81" s="64">
        <f>+'EWR-924.288'!$F$6</f>
        <v>42725</v>
      </c>
      <c r="G81" s="65" t="str">
        <f>+'EWR-924.288'!$G$7</f>
        <v>MWBE</v>
      </c>
      <c r="H81" s="27">
        <f>+'EWR-924.288'!$F$7</f>
        <v>600000</v>
      </c>
      <c r="I81" s="27">
        <f>+'EWR-924.288'!$F$8</f>
        <v>421111</v>
      </c>
      <c r="J81" s="27">
        <v>421111</v>
      </c>
      <c r="K81" s="26">
        <f>+'EWR-924.288'!$G$9</f>
        <v>-0.29814833333333335</v>
      </c>
      <c r="L81" s="11" t="str">
        <f>+'EWR-924.288'!$F$11</f>
        <v>GOOD</v>
      </c>
      <c r="M81" s="15">
        <f>+'EWR-924.288'!$H$12</f>
        <v>8</v>
      </c>
      <c r="N81" s="35" t="s">
        <v>25</v>
      </c>
      <c r="O81" s="15">
        <v>4</v>
      </c>
      <c r="P81" s="35" t="s">
        <v>458</v>
      </c>
      <c r="Q81" s="15"/>
      <c r="R81" s="24"/>
      <c r="S81" s="62" t="str">
        <f>+'EWR-924.288'!$J$4</f>
        <v>Henry Yu</v>
      </c>
      <c r="T81" s="15"/>
      <c r="U81" s="15"/>
      <c r="V81" s="54">
        <f t="shared" si="18"/>
        <v>600000</v>
      </c>
      <c r="W81" s="54">
        <f t="shared" si="19"/>
        <v>421111</v>
      </c>
      <c r="X81" s="54">
        <f t="shared" si="20"/>
        <v>178889</v>
      </c>
    </row>
    <row r="82" spans="3:24" x14ac:dyDescent="0.25">
      <c r="C82" s="39">
        <v>2016</v>
      </c>
      <c r="D82" s="62" t="str">
        <f>+'PAT-534.316 Void'!$F$4</f>
        <v>PAT-534.316</v>
      </c>
      <c r="E82" s="63" t="str">
        <f>+'PAT-534.316 Void'!$F$5</f>
        <v>Journal Square Transport Center - Hardening phase 2</v>
      </c>
      <c r="F82" s="64">
        <f>+'PAT-534.316 Void'!$F$6</f>
        <v>42719</v>
      </c>
      <c r="G82" s="65"/>
      <c r="H82" s="27"/>
      <c r="I82" s="27"/>
      <c r="J82" s="27"/>
      <c r="K82" s="26"/>
      <c r="L82" s="11"/>
      <c r="M82" s="15"/>
      <c r="N82" s="35"/>
      <c r="O82" s="15"/>
      <c r="P82" s="35"/>
      <c r="Q82" s="15"/>
      <c r="R82" s="24" t="s">
        <v>911</v>
      </c>
      <c r="S82" s="62" t="str">
        <f>+'PAT-534.316 Void'!$J$4</f>
        <v>Nathan Demaisip</v>
      </c>
      <c r="T82" s="15"/>
      <c r="U82" s="15"/>
      <c r="V82" s="54">
        <f t="shared" si="18"/>
        <v>0</v>
      </c>
      <c r="W82" s="54">
        <f t="shared" si="19"/>
        <v>0</v>
      </c>
      <c r="X82" s="54">
        <f t="shared" si="20"/>
        <v>0</v>
      </c>
    </row>
    <row r="83" spans="3:24" x14ac:dyDescent="0.25">
      <c r="C83" s="39">
        <v>2016</v>
      </c>
      <c r="D83" s="62" t="str">
        <f>+'PN-654.551'!$F$4</f>
        <v>PN-654.551</v>
      </c>
      <c r="E83" s="63" t="str">
        <f>+'PN-654.551'!$F$5</f>
        <v>Tyler Street Pavement Rehab</v>
      </c>
      <c r="F83" s="64">
        <f>+'PN-654.551'!$F$6</f>
        <v>42719</v>
      </c>
      <c r="G83" s="65" t="str">
        <f>+'PN-654.551'!$G$7</f>
        <v>MWBE</v>
      </c>
      <c r="H83" s="27">
        <f>+'PN-654.551'!$F$7</f>
        <v>1460000</v>
      </c>
      <c r="I83" s="27">
        <f>+'PN-654.551'!$F$8</f>
        <v>1457020</v>
      </c>
      <c r="J83" s="27"/>
      <c r="K83" s="26">
        <f>+'PN-654.551'!$G$9</f>
        <v>-2.0410958904109591E-3</v>
      </c>
      <c r="L83" s="11" t="str">
        <f>+'PN-654.551'!$F$11</f>
        <v>GOOD</v>
      </c>
      <c r="M83" s="15">
        <f>+'PN-654.551'!$H$12</f>
        <v>7</v>
      </c>
      <c r="N83" s="35" t="s">
        <v>25</v>
      </c>
      <c r="O83" s="15">
        <v>4</v>
      </c>
      <c r="P83" s="35" t="s">
        <v>492</v>
      </c>
      <c r="Q83" s="15"/>
      <c r="R83" s="24"/>
      <c r="S83" s="62" t="str">
        <f>+'PN-654.551'!$J$4</f>
        <v>Ed Minall</v>
      </c>
      <c r="T83" s="15"/>
      <c r="U83" s="15"/>
      <c r="V83" s="54">
        <f t="shared" si="18"/>
        <v>1460000</v>
      </c>
      <c r="W83" s="54">
        <f t="shared" si="19"/>
        <v>1457020</v>
      </c>
      <c r="X83" s="54">
        <f t="shared" si="20"/>
        <v>2980</v>
      </c>
    </row>
    <row r="84" spans="3:24" x14ac:dyDescent="0.25">
      <c r="C84" s="39">
        <v>2016</v>
      </c>
      <c r="D84" s="62" t="str">
        <f>+'PJ-664.503'!$F$4</f>
        <v>PJ-664.503</v>
      </c>
      <c r="E84" s="63" t="str">
        <f>+'PJ-664.503'!$F$5</f>
        <v>Greenville Yard Phase 1</v>
      </c>
      <c r="F84" s="64">
        <f>+'PJ-664.503'!$F$6</f>
        <v>42718</v>
      </c>
      <c r="G84" s="65" t="str">
        <f>+'PJ-664.503'!$G$7</f>
        <v>Public</v>
      </c>
      <c r="H84" s="27">
        <f>+'PJ-664.503'!$F$7</f>
        <v>61900000</v>
      </c>
      <c r="I84" s="27">
        <f>+'PJ-664.503'!$F$8</f>
        <v>47681062</v>
      </c>
      <c r="J84" s="27"/>
      <c r="K84" s="26">
        <f>+'PJ-664.503'!$G$9</f>
        <v>-0.22970820678513731</v>
      </c>
      <c r="L84" s="11" t="str">
        <f>+'PJ-664.503'!$F$11</f>
        <v>GOOD</v>
      </c>
      <c r="M84" s="15">
        <f>+'PJ-664.503'!$H$12</f>
        <v>7</v>
      </c>
      <c r="N84" s="35" t="s">
        <v>25</v>
      </c>
      <c r="O84" s="15">
        <v>4</v>
      </c>
      <c r="P84" s="35" t="s">
        <v>492</v>
      </c>
      <c r="Q84" s="15"/>
      <c r="R84" s="24"/>
      <c r="S84" s="62" t="str">
        <f>+'PJ-664.503'!$J$4</f>
        <v>Wen Chang</v>
      </c>
      <c r="T84" s="15"/>
      <c r="U84" s="15"/>
      <c r="V84" s="54">
        <f t="shared" si="18"/>
        <v>61900000</v>
      </c>
      <c r="W84" s="54">
        <f t="shared" si="19"/>
        <v>47681062</v>
      </c>
      <c r="X84" s="54">
        <f t="shared" si="20"/>
        <v>14218938</v>
      </c>
    </row>
    <row r="85" spans="3:24" x14ac:dyDescent="0.25">
      <c r="C85" s="39">
        <v>2016</v>
      </c>
      <c r="D85" s="62" t="str">
        <f>+'LGA-124.236'!$F$4</f>
        <v>LGA-124.236</v>
      </c>
      <c r="E85" s="63" t="str">
        <f>+'LGA-124.236'!$F$5</f>
        <v>Wetland Mitigation at Westchester Creek</v>
      </c>
      <c r="F85" s="64">
        <f>+'LGA-124.236'!$F$6</f>
        <v>42712</v>
      </c>
      <c r="G85" s="65" t="str">
        <f>+'LGA-124.236'!$G$7</f>
        <v>Public</v>
      </c>
      <c r="H85" s="27">
        <f>+'LGA-124.236'!$F$7</f>
        <v>2170000</v>
      </c>
      <c r="I85" s="27">
        <f>+'LGA-124.236'!$F$8</f>
        <v>1903225</v>
      </c>
      <c r="J85" s="27">
        <v>1903225</v>
      </c>
      <c r="K85" s="26">
        <f>+'LGA-124.236'!$G$9</f>
        <v>-0.12293778801843318</v>
      </c>
      <c r="L85" s="11" t="str">
        <f>+'LGA-124.236'!$F$11</f>
        <v>GOOD</v>
      </c>
      <c r="M85" s="15">
        <f>+'LGA-124.236'!$H$12</f>
        <v>5</v>
      </c>
      <c r="N85" s="35" t="s">
        <v>93</v>
      </c>
      <c r="O85" s="15">
        <v>4</v>
      </c>
      <c r="P85" s="35" t="s">
        <v>458</v>
      </c>
      <c r="Q85" s="15"/>
      <c r="R85" s="24"/>
      <c r="S85" s="62" t="str">
        <f>+'LGA-124.236'!$J$4</f>
        <v>Henry Yu</v>
      </c>
      <c r="T85" s="15"/>
      <c r="U85" s="15"/>
      <c r="V85" s="54">
        <f t="shared" si="18"/>
        <v>2170000</v>
      </c>
      <c r="W85" s="54">
        <f t="shared" si="19"/>
        <v>1903225</v>
      </c>
      <c r="X85" s="54">
        <f t="shared" si="20"/>
        <v>266775</v>
      </c>
    </row>
    <row r="86" spans="3:24" x14ac:dyDescent="0.25">
      <c r="C86" s="39">
        <v>2016</v>
      </c>
      <c r="D86" s="62" t="str">
        <f>+'SWF-017'!$F$4</f>
        <v>SWF-017</v>
      </c>
      <c r="E86" s="63" t="str">
        <f>+'SWF-017'!$F$5</f>
        <v>Asphalt and Concrete Repairs via Work Order</v>
      </c>
      <c r="F86" s="64">
        <f>+'SWF-017'!$F$6</f>
        <v>42703</v>
      </c>
      <c r="G86" s="65" t="str">
        <f>+'SWF-017'!$G$7</f>
        <v>Public</v>
      </c>
      <c r="H86" s="27">
        <f>+'SWF-017'!$F$7</f>
        <v>1763000</v>
      </c>
      <c r="I86" s="27">
        <f>+'SWF-017'!$F$8</f>
        <v>2233850</v>
      </c>
      <c r="J86" s="27"/>
      <c r="K86" s="26">
        <f>+'SWF-017'!$G$9</f>
        <v>0.26707317073170733</v>
      </c>
      <c r="L86" s="11" t="str">
        <f>+'SWF-017'!$F$11</f>
        <v>FAIL</v>
      </c>
      <c r="M86" s="15">
        <f>+'SWF-017'!$H$12</f>
        <v>2</v>
      </c>
      <c r="N86" s="35" t="s">
        <v>93</v>
      </c>
      <c r="O86" s="15">
        <v>4</v>
      </c>
      <c r="P86" s="35" t="s">
        <v>458</v>
      </c>
      <c r="Q86" s="15"/>
      <c r="R86" s="24"/>
      <c r="S86" s="62" t="str">
        <f>+'SWF-017'!$J$4</f>
        <v>Joe Lucin</v>
      </c>
      <c r="T86" s="15"/>
      <c r="U86" s="15"/>
      <c r="V86" s="54">
        <f t="shared" si="18"/>
        <v>1763000</v>
      </c>
      <c r="W86" s="54">
        <f t="shared" si="19"/>
        <v>2233850</v>
      </c>
      <c r="X86" s="54">
        <f t="shared" si="20"/>
        <v>-470850</v>
      </c>
    </row>
    <row r="87" spans="3:24" x14ac:dyDescent="0.25">
      <c r="C87" s="39">
        <v>2016</v>
      </c>
      <c r="D87" s="62" t="str">
        <f>+'GWB-924.159A Void'!$F$4</f>
        <v>GWB-924.159A</v>
      </c>
      <c r="E87" s="63" t="str">
        <f>+'GWB-924.159A Void'!$F$5</f>
        <v>NJ Admin Building Heating Hot Water &amp; Chilled Water Piping Replacement</v>
      </c>
      <c r="F87" s="64">
        <f>+'GWB-924.159A Void'!$F$6</f>
        <v>42691</v>
      </c>
      <c r="G87" s="65"/>
      <c r="H87" s="27"/>
      <c r="I87" s="27"/>
      <c r="J87" s="27"/>
      <c r="K87" s="26"/>
      <c r="L87" s="11"/>
      <c r="M87" s="15"/>
      <c r="N87" s="35"/>
      <c r="O87" s="15"/>
      <c r="P87" s="35"/>
      <c r="Q87" s="15"/>
      <c r="R87" s="24" t="s">
        <v>820</v>
      </c>
      <c r="S87" s="62" t="str">
        <f>+'GWB-924.159A Void'!$J$4</f>
        <v>Reddy Gunda</v>
      </c>
      <c r="T87" s="15"/>
      <c r="U87" s="15"/>
      <c r="V87" s="54">
        <f t="shared" si="18"/>
        <v>0</v>
      </c>
      <c r="W87" s="54">
        <f t="shared" si="19"/>
        <v>0</v>
      </c>
      <c r="X87" s="54">
        <f t="shared" si="20"/>
        <v>0</v>
      </c>
    </row>
    <row r="88" spans="3:24" x14ac:dyDescent="0.25">
      <c r="C88" s="39">
        <v>2016</v>
      </c>
      <c r="D88" s="62" t="str">
        <f>+'GWB-563'!$F$4</f>
        <v>GWB-563</v>
      </c>
      <c r="E88" s="63" t="str">
        <f>+'GWB-563'!$F$5</f>
        <v>Sanitary Sewer Rehab at NJ Admin Bldg Lower Parking Lot</v>
      </c>
      <c r="F88" s="64">
        <f>+'GWB-563'!$F$6</f>
        <v>42681</v>
      </c>
      <c r="G88" s="65" t="str">
        <f>+'GWB-563'!$G$7</f>
        <v>PQL</v>
      </c>
      <c r="H88" s="27">
        <f>+'GWB-563'!$F$7</f>
        <v>850000</v>
      </c>
      <c r="I88" s="27">
        <f>+'GWB-563'!$F$8</f>
        <v>651800</v>
      </c>
      <c r="J88" s="27">
        <v>651800</v>
      </c>
      <c r="K88" s="26">
        <f>+'GWB-563'!$G$9</f>
        <v>-0.23317647058823529</v>
      </c>
      <c r="L88" s="11" t="str">
        <f>+'GWB-563'!$F$11</f>
        <v>GOOD</v>
      </c>
      <c r="M88" s="15">
        <f>+'GWB-563'!$H$12</f>
        <v>9</v>
      </c>
      <c r="N88" s="35" t="s">
        <v>25</v>
      </c>
      <c r="O88" s="15">
        <v>4</v>
      </c>
      <c r="P88" s="35" t="s">
        <v>457</v>
      </c>
      <c r="Q88" s="15"/>
      <c r="R88" s="24"/>
      <c r="S88" s="62" t="str">
        <f>+'GWB-563'!$J$4</f>
        <v>Reddy Gunda</v>
      </c>
      <c r="T88" s="15"/>
      <c r="U88" s="15"/>
      <c r="V88" s="54">
        <f t="shared" si="18"/>
        <v>850000</v>
      </c>
      <c r="W88" s="54">
        <f t="shared" si="19"/>
        <v>651800</v>
      </c>
      <c r="X88" s="54">
        <f t="shared" si="20"/>
        <v>198200</v>
      </c>
    </row>
    <row r="89" spans="3:24" x14ac:dyDescent="0.25">
      <c r="C89" s="39">
        <v>2016</v>
      </c>
      <c r="D89" s="62" t="str">
        <f>+'HT-924.097'!$F$4</f>
        <v>HT-924.097</v>
      </c>
      <c r="E89" s="63" t="str">
        <f>+'HT-924.097'!$F$5</f>
        <v>Ventilation Bldg Evac Stack Inspection Structures</v>
      </c>
      <c r="F89" s="64">
        <f>+'HT-924.097'!$F$6</f>
        <v>42677</v>
      </c>
      <c r="G89" s="65" t="str">
        <f>+'HT-924.097'!$G$7</f>
        <v>MWBE</v>
      </c>
      <c r="H89" s="27">
        <f>+'HT-924.097'!$F$7</f>
        <v>480000</v>
      </c>
      <c r="I89" s="27">
        <f>+'HT-924.097'!$F$8</f>
        <v>770000</v>
      </c>
      <c r="J89" s="27"/>
      <c r="K89" s="26">
        <f>+'HT-924.097'!$G$9</f>
        <v>0.60416666666666663</v>
      </c>
      <c r="L89" s="11" t="str">
        <f>+'HT-924.097'!$F$11</f>
        <v>FAIL</v>
      </c>
      <c r="M89" s="15">
        <f>+'HT-924.097'!$H$12</f>
        <v>4</v>
      </c>
      <c r="N89" s="35" t="s">
        <v>226</v>
      </c>
      <c r="O89" s="15">
        <v>4</v>
      </c>
      <c r="P89" s="35" t="s">
        <v>457</v>
      </c>
      <c r="Q89" s="15"/>
      <c r="R89" s="24"/>
      <c r="S89" s="62" t="str">
        <f>+'HT-924.097'!$J$4</f>
        <v>Reddy Gunda</v>
      </c>
      <c r="T89" s="15"/>
      <c r="U89" s="15"/>
      <c r="V89" s="54">
        <f t="shared" si="18"/>
        <v>480000</v>
      </c>
      <c r="W89" s="54">
        <f t="shared" si="19"/>
        <v>770000</v>
      </c>
      <c r="X89" s="54">
        <f t="shared" si="20"/>
        <v>-290000</v>
      </c>
    </row>
    <row r="90" spans="3:24" x14ac:dyDescent="0.25">
      <c r="C90" s="39">
        <v>2016</v>
      </c>
      <c r="D90" s="62" t="str">
        <f>+'AKO-924.054'!$F$4</f>
        <v>AKO-924.054</v>
      </c>
      <c r="E90" s="63" t="str">
        <f>+'AKO-924.054'!$F$5</f>
        <v>OBX - Structural Rehabilitation</v>
      </c>
      <c r="F90" s="64">
        <f>+'AKO-924.054'!$F$6</f>
        <v>42670</v>
      </c>
      <c r="G90" s="65" t="str">
        <f>+'AKO-924.054'!$G$7</f>
        <v>Public</v>
      </c>
      <c r="H90" s="27">
        <f>+'AKO-924.054'!$F$7</f>
        <v>2150000</v>
      </c>
      <c r="I90" s="27">
        <f>+'AKO-924.054'!$F$8</f>
        <v>1654320</v>
      </c>
      <c r="J90" s="27">
        <v>1654320</v>
      </c>
      <c r="K90" s="26">
        <f>+'AKO-924.054'!$G$9</f>
        <v>-0.23054883720930233</v>
      </c>
      <c r="L90" s="11" t="str">
        <f>+'AKO-924.054'!$F$11</f>
        <v>FAIL</v>
      </c>
      <c r="M90" s="15">
        <f>+'AKO-924.054'!$H$12</f>
        <v>1</v>
      </c>
      <c r="N90" s="35" t="s">
        <v>226</v>
      </c>
      <c r="O90" s="15">
        <v>4</v>
      </c>
      <c r="P90" s="35" t="s">
        <v>457</v>
      </c>
      <c r="Q90" s="15"/>
      <c r="R90" s="24" t="s">
        <v>782</v>
      </c>
      <c r="S90" s="62" t="str">
        <f>+'AKO-924.054'!$J$4</f>
        <v>Reddy Gunda</v>
      </c>
      <c r="T90" s="15"/>
      <c r="U90" s="15"/>
      <c r="V90" s="54">
        <f t="shared" si="18"/>
        <v>2150000</v>
      </c>
      <c r="W90" s="54">
        <f t="shared" si="19"/>
        <v>1654320</v>
      </c>
      <c r="X90" s="54">
        <f t="shared" si="20"/>
        <v>495680</v>
      </c>
    </row>
    <row r="91" spans="3:24" x14ac:dyDescent="0.25">
      <c r="C91" s="39">
        <v>2016</v>
      </c>
      <c r="D91" s="62" t="str">
        <f>+'HT-224.127'!$F$4</f>
        <v>HT-224.127</v>
      </c>
      <c r="E91" s="63" t="str">
        <f>+'HT-224.127'!$F$5</f>
        <v>Replacement of Piers 9 and 204 Phase II</v>
      </c>
      <c r="F91" s="64">
        <f>+'HT-224.127'!$F$6</f>
        <v>42668</v>
      </c>
      <c r="G91" s="65" t="str">
        <f>+'HT-224.127'!$G$7</f>
        <v>Public</v>
      </c>
      <c r="H91" s="27">
        <f>+'HT-224.127'!$F$7</f>
        <v>67636000</v>
      </c>
      <c r="I91" s="27">
        <f>+'HT-224.127'!$F$8</f>
        <v>49942700</v>
      </c>
      <c r="J91" s="27">
        <v>49942700</v>
      </c>
      <c r="K91" s="26">
        <f>+'HT-224.127'!$G$9</f>
        <v>-0.26159589567685848</v>
      </c>
      <c r="L91" s="11" t="str">
        <f>+'HT-224.127'!$F$11</f>
        <v>FAIL</v>
      </c>
      <c r="M91" s="15">
        <f>+'HT-224.127'!$H$12</f>
        <v>7</v>
      </c>
      <c r="N91" s="35" t="s">
        <v>25</v>
      </c>
      <c r="O91" s="15">
        <v>4</v>
      </c>
      <c r="P91" s="35" t="s">
        <v>457</v>
      </c>
      <c r="Q91" s="15"/>
      <c r="R91" s="24"/>
      <c r="S91" s="62" t="str">
        <f>+'HT-224.127'!$J$4</f>
        <v>Reddy Gunda</v>
      </c>
      <c r="T91" s="15"/>
      <c r="U91" s="15"/>
      <c r="V91" s="54">
        <f t="shared" si="18"/>
        <v>67636000</v>
      </c>
      <c r="W91" s="54">
        <f t="shared" si="19"/>
        <v>49942700</v>
      </c>
      <c r="X91" s="54">
        <f t="shared" si="20"/>
        <v>17693300</v>
      </c>
    </row>
    <row r="92" spans="3:24" x14ac:dyDescent="0.25">
      <c r="C92" s="39">
        <v>2016</v>
      </c>
      <c r="D92" s="62" t="str">
        <f>+'PAT-024.069A'!$F$4</f>
        <v>PAT-024.069A</v>
      </c>
      <c r="E92" s="63" t="str">
        <f>+'PAT-024.069A'!$F$5</f>
        <v>30th Street Mezzanine Rehab</v>
      </c>
      <c r="F92" s="64">
        <f>+'PAT-024.069A'!$F$6</f>
        <v>42667</v>
      </c>
      <c r="G92" s="65" t="str">
        <f>+'PAT-024.069A'!$G$7</f>
        <v>Public</v>
      </c>
      <c r="H92" s="27">
        <f>+'PAT-024.069A'!$F$7</f>
        <v>2400000</v>
      </c>
      <c r="I92" s="27">
        <f>+'PAT-024.069A'!$F$8</f>
        <v>3617000</v>
      </c>
      <c r="J92" s="27">
        <v>3617000</v>
      </c>
      <c r="K92" s="26">
        <f>+'PAT-024.069A'!$G$9</f>
        <v>0.50708333333333333</v>
      </c>
      <c r="L92" s="11" t="str">
        <f>+'PAT-024.069A'!$F$11</f>
        <v>FAIL</v>
      </c>
      <c r="M92" s="15">
        <f>+'PAT-024.069A'!$H$12</f>
        <v>2</v>
      </c>
      <c r="N92" s="35" t="s">
        <v>93</v>
      </c>
      <c r="O92" s="15">
        <v>4</v>
      </c>
      <c r="P92" s="35" t="s">
        <v>459</v>
      </c>
      <c r="Q92" s="15"/>
      <c r="R92" s="24"/>
      <c r="S92" s="62" t="str">
        <f>+'PAT-024.069A'!$J$4</f>
        <v>Nathan Demaisip</v>
      </c>
      <c r="T92" s="15"/>
      <c r="U92" s="15"/>
      <c r="V92" s="54">
        <f t="shared" si="18"/>
        <v>2400000</v>
      </c>
      <c r="W92" s="54">
        <f t="shared" si="19"/>
        <v>3617000</v>
      </c>
      <c r="X92" s="54">
        <f t="shared" si="20"/>
        <v>-1217000</v>
      </c>
    </row>
    <row r="93" spans="3:24" x14ac:dyDescent="0.25">
      <c r="C93" s="39">
        <v>2016</v>
      </c>
      <c r="D93" s="62" t="str">
        <f>+'PJ-664.527'!$F$4</f>
        <v>PJ-664.527</v>
      </c>
      <c r="E93" s="63" t="str">
        <f>+'PJ-664.527'!$F$5</f>
        <v>Bldg 108 Switchgear Replacement</v>
      </c>
      <c r="F93" s="64">
        <f>+'PJ-664.527'!$F$6</f>
        <v>42648</v>
      </c>
      <c r="G93" s="65" t="str">
        <f>+'PJ-664.527'!$G$7</f>
        <v>Public</v>
      </c>
      <c r="H93" s="27">
        <f>+'PJ-664.527'!$F$7</f>
        <v>3120000</v>
      </c>
      <c r="I93" s="27">
        <f>+'PJ-664.527'!$F$8</f>
        <v>2147100</v>
      </c>
      <c r="J93" s="27">
        <v>2147100</v>
      </c>
      <c r="K93" s="26">
        <f>+'PJ-664.527'!$G$9</f>
        <v>-0.31182692307692306</v>
      </c>
      <c r="L93" s="11" t="str">
        <f>+'PJ-664.527'!$F$11</f>
        <v>GOOD</v>
      </c>
      <c r="M93" s="15">
        <f>+'PJ-664.527'!$H$12</f>
        <v>7</v>
      </c>
      <c r="N93" s="35" t="s">
        <v>25</v>
      </c>
      <c r="O93" s="15">
        <v>4</v>
      </c>
      <c r="P93" s="35" t="s">
        <v>492</v>
      </c>
      <c r="Q93" s="15"/>
      <c r="R93" s="24"/>
      <c r="S93" s="62" t="str">
        <f>+'PJ-664.527'!$J$4</f>
        <v>Ramani Sundaram and Ed Minall</v>
      </c>
      <c r="T93" s="15"/>
      <c r="U93" s="15"/>
      <c r="V93" s="54">
        <f t="shared" si="18"/>
        <v>3120000</v>
      </c>
      <c r="W93" s="54">
        <f t="shared" si="19"/>
        <v>2147100</v>
      </c>
      <c r="X93" s="54">
        <f t="shared" si="20"/>
        <v>972900</v>
      </c>
    </row>
    <row r="94" spans="3:24" ht="7.5" customHeight="1" x14ac:dyDescent="0.25">
      <c r="C94" s="39"/>
      <c r="G94" s="45"/>
      <c r="P94" s="11"/>
      <c r="S94" s="15"/>
      <c r="V94" s="54"/>
      <c r="W94" s="54"/>
      <c r="X94" s="54"/>
    </row>
    <row r="95" spans="3:24" x14ac:dyDescent="0.25">
      <c r="C95" s="39">
        <v>2016</v>
      </c>
      <c r="D95" s="62" t="str">
        <f>+'JFK-144.019'!$F$4</f>
        <v>JFK-144.019</v>
      </c>
      <c r="E95" s="63" t="str">
        <f>+'JFK-144.019'!$F$5</f>
        <v>Rehab Runway4R-22L and Associated Taxiways</v>
      </c>
      <c r="F95" s="64">
        <f>+'JFK-144.019'!$F$6</f>
        <v>42626</v>
      </c>
      <c r="G95" s="65" t="str">
        <f>+'JFK-144.019'!$G$7</f>
        <v>PQL</v>
      </c>
      <c r="H95" s="27">
        <f>+'JFK-144.019'!$F$7</f>
        <v>73640000</v>
      </c>
      <c r="I95" s="27">
        <f>+'JFK-144.019'!$F$8</f>
        <v>68462700</v>
      </c>
      <c r="J95" s="27">
        <v>68462700</v>
      </c>
      <c r="K95" s="26">
        <f>+'JFK-144.019'!$G$9</f>
        <v>-7.0305540467137426E-2</v>
      </c>
      <c r="L95" s="11" t="str">
        <f>+'JFK-144.019'!$F$11</f>
        <v>GOOD</v>
      </c>
      <c r="M95" s="15">
        <f>+'JFK-144.019'!$H$12</f>
        <v>2</v>
      </c>
      <c r="N95" s="35" t="s">
        <v>93</v>
      </c>
      <c r="O95" s="15">
        <v>3</v>
      </c>
      <c r="P95" s="35" t="s">
        <v>458</v>
      </c>
      <c r="Q95" s="15"/>
      <c r="R95" s="24"/>
      <c r="S95" s="62" t="str">
        <f>+'JFK-144.019'!$J$4</f>
        <v>Wen Chang</v>
      </c>
      <c r="T95" s="15"/>
      <c r="U95" s="15"/>
      <c r="V95" s="54">
        <f t="shared" ref="V95:V103" si="21">+H95</f>
        <v>73640000</v>
      </c>
      <c r="W95" s="54">
        <f t="shared" ref="W95:W103" si="22">+I95</f>
        <v>68462700</v>
      </c>
      <c r="X95" s="54">
        <f t="shared" ref="X95:X103" si="23">+V95-W95</f>
        <v>5177300</v>
      </c>
    </row>
    <row r="96" spans="3:24" x14ac:dyDescent="0.25">
      <c r="C96" s="39">
        <v>2016</v>
      </c>
      <c r="D96" s="62" t="str">
        <f>+'PN-654.042A'!$F$4</f>
        <v>PN-654.042A</v>
      </c>
      <c r="E96" s="63" t="str">
        <f>+'PN-654.042A'!$F$5</f>
        <v>Demo Buildings 269 and 270</v>
      </c>
      <c r="F96" s="64">
        <f>+'PN-654.042A'!$F$6</f>
        <v>42612</v>
      </c>
      <c r="G96" s="65" t="str">
        <f>+'PN-654.042A'!$G$7</f>
        <v>Public</v>
      </c>
      <c r="H96" s="27">
        <f>+'PN-654.042A'!$F$7</f>
        <v>2000000</v>
      </c>
      <c r="I96" s="27">
        <f>+'PN-654.042A'!$F$8</f>
        <v>1460000</v>
      </c>
      <c r="J96" s="27"/>
      <c r="K96" s="26">
        <f>+'PN-654.042A'!$G$9</f>
        <v>-0.27</v>
      </c>
      <c r="L96" s="11" t="str">
        <f>+'PN-654.042A'!$F$11</f>
        <v>GOOD</v>
      </c>
      <c r="M96" s="15">
        <f>+'PN-654.042A'!$H$12</f>
        <v>10</v>
      </c>
      <c r="N96" s="35" t="s">
        <v>25</v>
      </c>
      <c r="O96" s="15">
        <v>3</v>
      </c>
      <c r="P96" s="35" t="s">
        <v>492</v>
      </c>
      <c r="Q96" s="15"/>
      <c r="R96" s="24"/>
      <c r="S96" s="62" t="str">
        <f>+'PN-654.042A'!$J$4</f>
        <v>Wen Chang</v>
      </c>
      <c r="T96" s="15"/>
      <c r="U96" s="15"/>
      <c r="V96" s="54">
        <f t="shared" si="21"/>
        <v>2000000</v>
      </c>
      <c r="W96" s="54">
        <f t="shared" si="22"/>
        <v>1460000</v>
      </c>
      <c r="X96" s="54">
        <f t="shared" si="23"/>
        <v>540000</v>
      </c>
    </row>
    <row r="97" spans="3:24" x14ac:dyDescent="0.25">
      <c r="C97" s="39">
        <v>2016</v>
      </c>
      <c r="D97" s="62" t="str">
        <f>+'EWR-924.366'!$F$4</f>
        <v>EWR-924.366</v>
      </c>
      <c r="E97" s="63" t="str">
        <f>+'EWR-924.366'!$F$5</f>
        <v>Bridge N5 Flooding Mitigation</v>
      </c>
      <c r="F97" s="64">
        <f>+'EWR-924.366'!$F$6</f>
        <v>42606</v>
      </c>
      <c r="G97" s="65" t="str">
        <f>+'EWR-924.366'!$G$7</f>
        <v>MWBE</v>
      </c>
      <c r="H97" s="27">
        <f>+'EWR-924.366'!$F$7</f>
        <v>230000</v>
      </c>
      <c r="I97" s="27">
        <f>+'EWR-924.366'!$F$8</f>
        <v>274450</v>
      </c>
      <c r="J97" s="27"/>
      <c r="K97" s="26">
        <f>+'EWR-924.366'!$G$9</f>
        <v>0.1932608695652174</v>
      </c>
      <c r="L97" s="11" t="str">
        <f>+'EWR-924.366'!$F$11</f>
        <v>FAIL</v>
      </c>
      <c r="M97" s="15">
        <f>+'EWR-924.366'!$H$12</f>
        <v>3</v>
      </c>
      <c r="N97" s="35" t="s">
        <v>25</v>
      </c>
      <c r="O97" s="15">
        <v>3</v>
      </c>
      <c r="P97" s="35" t="s">
        <v>458</v>
      </c>
      <c r="Q97" s="15"/>
      <c r="R97" s="24"/>
      <c r="S97" s="62" t="str">
        <f>+'EWR-924.366'!$J$4</f>
        <v>Henry Yu</v>
      </c>
      <c r="T97" s="15"/>
      <c r="U97" s="15"/>
      <c r="V97" s="54">
        <f t="shared" si="21"/>
        <v>230000</v>
      </c>
      <c r="W97" s="54">
        <f t="shared" si="22"/>
        <v>274450</v>
      </c>
      <c r="X97" s="54">
        <f t="shared" si="23"/>
        <v>-44450</v>
      </c>
    </row>
    <row r="98" spans="3:24" x14ac:dyDescent="0.25">
      <c r="C98" s="39">
        <v>2016</v>
      </c>
      <c r="D98" s="62" t="str">
        <f>+'PAT-784.164'!$F$4</f>
        <v>PAT-784.164</v>
      </c>
      <c r="E98" s="63" t="str">
        <f>+'PAT-784.164'!$F$5</f>
        <v>Replace Roof - MacMillian-Bloedel Building</v>
      </c>
      <c r="F98" s="64">
        <f>+'PAT-784.164'!$F$6</f>
        <v>42601</v>
      </c>
      <c r="G98" s="65" t="str">
        <f>+'PAT-784.164'!$G$7</f>
        <v>Public</v>
      </c>
      <c r="H98" s="27">
        <f>+'PAT-784.164'!$F$7</f>
        <v>6120000</v>
      </c>
      <c r="I98" s="27">
        <f>+'PAT-784.164'!$F$8</f>
        <v>4674300</v>
      </c>
      <c r="J98" s="27">
        <v>4753054</v>
      </c>
      <c r="K98" s="26">
        <f>+'PAT-784.164'!$G$9</f>
        <v>-0.23622549019607844</v>
      </c>
      <c r="L98" s="11" t="str">
        <f>+'PAT-784.164'!$F$11</f>
        <v>GOOD</v>
      </c>
      <c r="M98" s="15">
        <f>+'PAT-784.164'!$H$12</f>
        <v>6</v>
      </c>
      <c r="N98" s="35" t="s">
        <v>25</v>
      </c>
      <c r="O98" s="15">
        <v>3</v>
      </c>
      <c r="P98" s="35" t="s">
        <v>459</v>
      </c>
      <c r="Q98" s="15"/>
      <c r="R98" s="24" t="s">
        <v>726</v>
      </c>
      <c r="S98" s="62" t="str">
        <f>+'PAT-784.164'!$J$4</f>
        <v>Nathan Demaisip</v>
      </c>
      <c r="T98" s="15"/>
      <c r="U98" s="15"/>
      <c r="V98" s="54">
        <f t="shared" si="21"/>
        <v>6120000</v>
      </c>
      <c r="W98" s="54">
        <f t="shared" si="22"/>
        <v>4674300</v>
      </c>
      <c r="X98" s="54">
        <f t="shared" si="23"/>
        <v>1445700</v>
      </c>
    </row>
    <row r="99" spans="3:24" x14ac:dyDescent="0.25">
      <c r="C99" s="39">
        <v>2016</v>
      </c>
      <c r="D99" s="62" t="str">
        <f>+'LT-534'!$F$4</f>
        <v>LT-534</v>
      </c>
      <c r="E99" s="63" t="str">
        <f>+'LT-534'!$F$5</f>
        <v>Maintenance Pavement Repairs via Work Order</v>
      </c>
      <c r="F99" s="64">
        <f>+'LT-534'!$F$6</f>
        <v>42593</v>
      </c>
      <c r="G99" s="65" t="str">
        <f>+'LT-534'!$G$7</f>
        <v>Public</v>
      </c>
      <c r="H99" s="27">
        <f>+'LT-534'!$F$7</f>
        <v>1450000</v>
      </c>
      <c r="I99" s="27">
        <f>+'LT-534'!$F$8</f>
        <v>763000</v>
      </c>
      <c r="J99" s="27"/>
      <c r="K99" s="26">
        <f>+'LT-534'!$G$9</f>
        <v>-0.47379310344827585</v>
      </c>
      <c r="L99" s="11" t="str">
        <f>+'LT-534'!$F$11</f>
        <v>GOOD</v>
      </c>
      <c r="M99" s="15">
        <f>+'LT-534'!$H$12</f>
        <v>6</v>
      </c>
      <c r="N99" s="35" t="s">
        <v>93</v>
      </c>
      <c r="O99" s="15">
        <v>3</v>
      </c>
      <c r="P99" s="35" t="s">
        <v>457</v>
      </c>
      <c r="Q99" s="15"/>
      <c r="R99" s="24"/>
      <c r="S99" s="62" t="str">
        <f>+'LT-534'!$J$4</f>
        <v>Reddy Gunda</v>
      </c>
      <c r="T99" s="15"/>
      <c r="U99" s="15"/>
      <c r="V99" s="54">
        <f t="shared" si="21"/>
        <v>1450000</v>
      </c>
      <c r="W99" s="54">
        <f t="shared" si="22"/>
        <v>763000</v>
      </c>
      <c r="X99" s="54">
        <f t="shared" si="23"/>
        <v>687000</v>
      </c>
    </row>
    <row r="100" spans="3:24" x14ac:dyDescent="0.25">
      <c r="C100" s="39">
        <v>2016</v>
      </c>
      <c r="D100" s="62" t="str">
        <f>+'LT-944.096 Void'!$F$4</f>
        <v>LT-944.096</v>
      </c>
      <c r="E100" s="63" t="str">
        <f>+'LT-944.096 Void'!$F$5</f>
        <v>Replacement of Aboveground Storage Tanks</v>
      </c>
      <c r="F100" s="64">
        <f>+'LT-944.096 Void'!$F$6</f>
        <v>42587</v>
      </c>
      <c r="G100" s="65"/>
      <c r="H100" s="27"/>
      <c r="I100" s="27"/>
      <c r="J100" s="27"/>
      <c r="K100" s="26"/>
      <c r="L100" s="11"/>
      <c r="M100" s="15">
        <f>+'LT-944.096 Void'!$H$12</f>
        <v>4</v>
      </c>
      <c r="N100" s="35" t="s">
        <v>93</v>
      </c>
      <c r="O100" s="15">
        <v>3</v>
      </c>
      <c r="P100" s="35" t="s">
        <v>457</v>
      </c>
      <c r="Q100" s="15"/>
      <c r="R100" s="24" t="s">
        <v>753</v>
      </c>
      <c r="S100" s="62" t="str">
        <f>+'LT-944.096 Void'!$J$4</f>
        <v>Reddy Gunda</v>
      </c>
      <c r="T100" s="15"/>
      <c r="U100" s="15"/>
      <c r="V100" s="54">
        <f t="shared" si="21"/>
        <v>0</v>
      </c>
      <c r="W100" s="54">
        <f t="shared" si="22"/>
        <v>0</v>
      </c>
      <c r="X100" s="54">
        <f t="shared" si="23"/>
        <v>0</v>
      </c>
    </row>
    <row r="101" spans="3:24" x14ac:dyDescent="0.25">
      <c r="C101" s="39">
        <v>2016</v>
      </c>
      <c r="D101" s="62" t="str">
        <f>+'LT-934.027'!$F$4</f>
        <v>LT-934.027</v>
      </c>
      <c r="E101" s="63" t="str">
        <f>+'LT-934.027'!$F$5</f>
        <v>NJ Admin Bldg - Emergency Power Modifications</v>
      </c>
      <c r="F101" s="64">
        <f>+'LT-934.027'!$F$6</f>
        <v>42586</v>
      </c>
      <c r="G101" s="65" t="str">
        <f>+'LT-934.027'!$G$7</f>
        <v>MWBE</v>
      </c>
      <c r="H101" s="27">
        <f>+'LT-934.027'!$F$7</f>
        <v>800000</v>
      </c>
      <c r="I101" s="27">
        <f>+'LT-934.027'!$F$8</f>
        <v>485250</v>
      </c>
      <c r="J101" s="27"/>
      <c r="K101" s="26">
        <f>+'LT-934.027'!$G$9</f>
        <v>-0.3934375</v>
      </c>
      <c r="L101" s="11" t="str">
        <f>+'LT-934.027'!$F$11</f>
        <v>GOOD</v>
      </c>
      <c r="M101" s="15">
        <f>+'LT-934.027'!$H$12</f>
        <v>4</v>
      </c>
      <c r="N101" s="35" t="s">
        <v>25</v>
      </c>
      <c r="O101" s="15">
        <v>3</v>
      </c>
      <c r="P101" s="35" t="s">
        <v>457</v>
      </c>
      <c r="Q101" s="15"/>
      <c r="R101" s="24"/>
      <c r="S101" s="62" t="str">
        <f>+'LT-934.027'!$J$4</f>
        <v>Reddy Gunda</v>
      </c>
      <c r="T101" s="15"/>
      <c r="U101" s="15"/>
      <c r="V101" s="54">
        <f t="shared" si="21"/>
        <v>800000</v>
      </c>
      <c r="W101" s="54">
        <f t="shared" si="22"/>
        <v>485250</v>
      </c>
      <c r="X101" s="54">
        <f t="shared" si="23"/>
        <v>314750</v>
      </c>
    </row>
    <row r="102" spans="3:24" x14ac:dyDescent="0.25">
      <c r="C102" s="39">
        <v>2016</v>
      </c>
      <c r="D102" s="62" t="str">
        <f>+'JFK-1064'!$F$4</f>
        <v>JFK-1064</v>
      </c>
      <c r="E102" s="63" t="str">
        <f>+'JFK-1064'!$F$5</f>
        <v>Bulk Fuel Farm West End &amp; Satellite Remediation Upgrades</v>
      </c>
      <c r="F102" s="64">
        <f>+'JFK-1064'!$F$6</f>
        <v>42584</v>
      </c>
      <c r="G102" s="65" t="str">
        <f>+'JFK-1064'!$G$7</f>
        <v>Public</v>
      </c>
      <c r="H102" s="27">
        <f>+'JFK-1064'!$F$7</f>
        <v>1750000</v>
      </c>
      <c r="I102" s="27">
        <f>+'JFK-1064'!$F$8</f>
        <v>1930000</v>
      </c>
      <c r="J102" s="27">
        <v>1930000</v>
      </c>
      <c r="K102" s="26">
        <f>+'JFK-1064'!$G$9</f>
        <v>0.10285714285714286</v>
      </c>
      <c r="L102" s="11" t="str">
        <f>+'JFK-1064'!$F$11</f>
        <v>GOOD</v>
      </c>
      <c r="M102" s="15">
        <f>+'JFK-1064'!$H$12</f>
        <v>9</v>
      </c>
      <c r="N102" s="35" t="s">
        <v>93</v>
      </c>
      <c r="O102" s="15">
        <v>3</v>
      </c>
      <c r="P102" s="35" t="s">
        <v>458</v>
      </c>
      <c r="Q102" s="15"/>
      <c r="R102" s="24"/>
      <c r="S102" s="62" t="str">
        <f>+'JFK-1064'!$J$4</f>
        <v>Wen Chang</v>
      </c>
      <c r="T102" s="15"/>
      <c r="U102" s="15"/>
      <c r="V102" s="54">
        <f t="shared" si="21"/>
        <v>1750000</v>
      </c>
      <c r="W102" s="54">
        <f t="shared" si="22"/>
        <v>1930000</v>
      </c>
      <c r="X102" s="54">
        <f t="shared" si="23"/>
        <v>-180000</v>
      </c>
    </row>
    <row r="103" spans="3:24" x14ac:dyDescent="0.25">
      <c r="C103" s="39">
        <v>2016</v>
      </c>
      <c r="D103" s="62" t="str">
        <f>+'LT-800.382'!$F$4</f>
        <v>LT-800.382</v>
      </c>
      <c r="E103" s="63" t="str">
        <f>+'LT-800.382'!$F$5</f>
        <v>North Tube Pump Discharge Line</v>
      </c>
      <c r="F103" s="64">
        <f>+'LT-800.382'!$F$6</f>
        <v>42579</v>
      </c>
      <c r="G103" s="65" t="str">
        <f>+'LT-800.382'!$G$7</f>
        <v>MWBE</v>
      </c>
      <c r="H103" s="27">
        <f>+'LT-800.382'!$F$7</f>
        <v>1636000</v>
      </c>
      <c r="I103" s="27">
        <f>+'LT-800.382'!$F$8</f>
        <v>1365000</v>
      </c>
      <c r="J103" s="27"/>
      <c r="K103" s="26">
        <f>+'LT-800.382'!$G$9</f>
        <v>-0.1656479217603912</v>
      </c>
      <c r="L103" s="11" t="str">
        <f>+'LT-800.382'!$F$11</f>
        <v>GOOD</v>
      </c>
      <c r="M103" s="15">
        <f>+'LT-800.382'!$H$12</f>
        <v>3</v>
      </c>
      <c r="N103" s="35" t="s">
        <v>93</v>
      </c>
      <c r="O103" s="15">
        <v>3</v>
      </c>
      <c r="P103" s="35" t="s">
        <v>457</v>
      </c>
      <c r="Q103" s="15"/>
      <c r="R103" s="24"/>
      <c r="S103" s="62" t="str">
        <f>+'LT-800.382'!$J$4</f>
        <v>Reddy Gunda</v>
      </c>
      <c r="T103" s="15"/>
      <c r="U103" s="15"/>
      <c r="V103" s="54">
        <f t="shared" si="21"/>
        <v>1636000</v>
      </c>
      <c r="W103" s="54">
        <f t="shared" si="22"/>
        <v>1365000</v>
      </c>
      <c r="X103" s="54">
        <f t="shared" si="23"/>
        <v>271000</v>
      </c>
    </row>
    <row r="104" spans="3:24" ht="7.5" customHeight="1" x14ac:dyDescent="0.25">
      <c r="C104" s="39"/>
      <c r="G104" s="45"/>
      <c r="P104" s="11"/>
      <c r="S104" s="15"/>
      <c r="V104" s="54"/>
      <c r="W104" s="54"/>
      <c r="X104" s="54"/>
    </row>
    <row r="105" spans="3:24" x14ac:dyDescent="0.25">
      <c r="C105" s="39">
        <v>2016</v>
      </c>
      <c r="D105" s="62" t="str">
        <f>+'LT-924.028'!$F$4</f>
        <v>LT-924.028</v>
      </c>
      <c r="E105" s="63" t="str">
        <f>+'LT-924.028'!$F$5</f>
        <v>Priority Repairs on NY Approach Retaining Walls (Dyer Ave.)</v>
      </c>
      <c r="F105" s="64">
        <f>+'LT-924.028'!$F$6</f>
        <v>42538</v>
      </c>
      <c r="G105" s="65" t="str">
        <f>+'LT-924.028'!$G$7</f>
        <v>Public</v>
      </c>
      <c r="H105" s="27">
        <f>+'LT-924.028'!$F$7</f>
        <v>1800000</v>
      </c>
      <c r="I105" s="27">
        <f>+'LT-924.028'!$F$8</f>
        <v>1628370</v>
      </c>
      <c r="J105" s="27">
        <v>1628370</v>
      </c>
      <c r="K105" s="26">
        <f>+'LT-924.028'!$G$9</f>
        <v>-9.5350000000000004E-2</v>
      </c>
      <c r="L105" s="11" t="str">
        <f>+'LT-924.028'!$F$11</f>
        <v>GOOD</v>
      </c>
      <c r="M105" s="15">
        <f>+'LT-924.028'!$H$12</f>
        <v>13</v>
      </c>
      <c r="N105" s="35" t="s">
        <v>93</v>
      </c>
      <c r="O105" s="15">
        <v>2</v>
      </c>
      <c r="P105" s="35" t="s">
        <v>457</v>
      </c>
      <c r="Q105" s="15"/>
      <c r="R105" s="24"/>
      <c r="S105" s="62" t="str">
        <f>+'LT-924.028'!$J$4</f>
        <v>Reddy Gunda</v>
      </c>
      <c r="T105" s="15"/>
      <c r="U105" s="15"/>
      <c r="V105" s="54">
        <f t="shared" ref="V105:V117" si="24">+H105</f>
        <v>1800000</v>
      </c>
      <c r="W105" s="54">
        <f t="shared" ref="W105:W117" si="25">+I105</f>
        <v>1628370</v>
      </c>
      <c r="X105" s="54">
        <f t="shared" ref="X105:X117" si="26">+V105-W105</f>
        <v>171630</v>
      </c>
    </row>
    <row r="106" spans="3:24" x14ac:dyDescent="0.25">
      <c r="C106" s="39">
        <v>2016</v>
      </c>
      <c r="D106" s="62" t="str">
        <f>+'PN-654.038'!$F$4</f>
        <v>PN-654.038</v>
      </c>
      <c r="E106" s="63" t="str">
        <f>+'PN-654.038'!$F$5</f>
        <v>Expressrail Port Newark Administration Building</v>
      </c>
      <c r="F106" s="64">
        <f>+'PN-654.038'!$F$6</f>
        <v>42523</v>
      </c>
      <c r="G106" s="65" t="str">
        <f>+'PN-654.038'!$G$7</f>
        <v>D-B</v>
      </c>
      <c r="H106" s="27">
        <f>+'PN-654.038'!$F$7</f>
        <v>2253000</v>
      </c>
      <c r="I106" s="27">
        <f>+'PN-654.038'!$F$8</f>
        <v>2665637</v>
      </c>
      <c r="J106" s="27"/>
      <c r="K106" s="26">
        <f>+'PN-654.038'!$G$9</f>
        <v>0.18315002219263204</v>
      </c>
      <c r="L106" s="11" t="str">
        <f>+'PN-654.038'!$F$11</f>
        <v>FAIL</v>
      </c>
      <c r="M106" s="15">
        <f>+'PN-654.038'!$H$12</f>
        <v>4</v>
      </c>
      <c r="N106" s="35" t="s">
        <v>25</v>
      </c>
      <c r="O106" s="15">
        <v>2</v>
      </c>
      <c r="P106" s="35" t="s">
        <v>492</v>
      </c>
      <c r="Q106" s="15"/>
      <c r="R106" s="24"/>
      <c r="S106" s="62" t="str">
        <f>+'PN-654.038'!$J$4</f>
        <v>Ramani Sundaram</v>
      </c>
      <c r="T106" s="15"/>
      <c r="U106" s="15"/>
      <c r="V106" s="54">
        <f t="shared" si="24"/>
        <v>2253000</v>
      </c>
      <c r="W106" s="54">
        <f t="shared" si="25"/>
        <v>2665637</v>
      </c>
      <c r="X106" s="54">
        <f t="shared" si="26"/>
        <v>-412637</v>
      </c>
    </row>
    <row r="107" spans="3:24" x14ac:dyDescent="0.25">
      <c r="C107" s="39">
        <v>2016</v>
      </c>
      <c r="D107" s="62" t="str">
        <f>+'HT-469'!$F$4</f>
        <v>HT-469</v>
      </c>
      <c r="E107" s="63" t="str">
        <f>+'HT-469'!$F$5</f>
        <v>Mitigate Water Leakage at Ventilation Ducts and Mid-River Pump Room</v>
      </c>
      <c r="F107" s="64">
        <f>+'HT-469'!$F$6</f>
        <v>42517</v>
      </c>
      <c r="G107" s="65" t="str">
        <f>+'HT-469'!$G$7</f>
        <v>Public</v>
      </c>
      <c r="H107" s="27">
        <f>+'HT-469'!$F$7</f>
        <v>2800000</v>
      </c>
      <c r="I107" s="27">
        <f>+'HT-469'!$F$8</f>
        <v>3295274</v>
      </c>
      <c r="J107" s="27"/>
      <c r="K107" s="26">
        <f>+'HT-469'!$G$9</f>
        <v>0.17688357142857142</v>
      </c>
      <c r="L107" s="11" t="str">
        <f>+'HT-469'!$F$11</f>
        <v>FAIL</v>
      </c>
      <c r="M107" s="15">
        <f>+'HT-469'!$H$12</f>
        <v>6</v>
      </c>
      <c r="N107" s="35" t="s">
        <v>226</v>
      </c>
      <c r="O107" s="15">
        <v>2</v>
      </c>
      <c r="P107" s="35" t="s">
        <v>457</v>
      </c>
      <c r="Q107" s="15"/>
      <c r="R107" s="24"/>
      <c r="S107" s="62" t="str">
        <f>+'HT-469'!$J$4</f>
        <v>Reddy Gunda</v>
      </c>
      <c r="T107" s="15"/>
      <c r="U107" s="15"/>
      <c r="V107" s="54">
        <f t="shared" si="24"/>
        <v>2800000</v>
      </c>
      <c r="W107" s="54">
        <f t="shared" si="25"/>
        <v>3295274</v>
      </c>
      <c r="X107" s="54">
        <f t="shared" si="26"/>
        <v>-495274</v>
      </c>
    </row>
    <row r="108" spans="3:24" x14ac:dyDescent="0.25">
      <c r="C108" s="39">
        <v>2016</v>
      </c>
      <c r="D108" s="62" t="str">
        <f>+'LGA-124.086'!$F$4</f>
        <v>LGA-124.086</v>
      </c>
      <c r="E108" s="63" t="str">
        <f>+'LGA-124.086'!$F$5</f>
        <v>Rehab of Runway 22 Deck Wearing Course</v>
      </c>
      <c r="F108" s="64">
        <f>+'LGA-124.086'!$F$6</f>
        <v>42514</v>
      </c>
      <c r="G108" s="65" t="str">
        <f>+'LGA-124.086'!$G$7</f>
        <v>PQL</v>
      </c>
      <c r="H108" s="27">
        <f>+'LGA-124.086'!$F$7</f>
        <v>1930000</v>
      </c>
      <c r="I108" s="27">
        <f>+'LGA-124.086'!$F$8</f>
        <v>2277000</v>
      </c>
      <c r="J108" s="27"/>
      <c r="K108" s="26">
        <f>+'LGA-124.086'!$G$9</f>
        <v>0.17979274611398963</v>
      </c>
      <c r="L108" s="11" t="str">
        <f>+'LGA-124.086'!$F$11</f>
        <v>FAIL</v>
      </c>
      <c r="M108" s="15">
        <f>+'LGA-124.086'!$H$12</f>
        <v>4</v>
      </c>
      <c r="N108" s="35" t="s">
        <v>93</v>
      </c>
      <c r="O108" s="15">
        <v>2</v>
      </c>
      <c r="P108" s="35" t="s">
        <v>458</v>
      </c>
      <c r="Q108" s="15"/>
      <c r="R108" s="24" t="s">
        <v>667</v>
      </c>
      <c r="S108" s="62" t="str">
        <f>+'LGA-124.086'!$J$4</f>
        <v>Lucita Mendoza and Nathan Demaisip</v>
      </c>
      <c r="T108" s="15"/>
      <c r="U108" s="15"/>
      <c r="V108" s="54">
        <f t="shared" si="24"/>
        <v>1930000</v>
      </c>
      <c r="W108" s="54">
        <f t="shared" si="25"/>
        <v>2277000</v>
      </c>
      <c r="X108" s="54">
        <f t="shared" si="26"/>
        <v>-347000</v>
      </c>
    </row>
    <row r="109" spans="3:24" x14ac:dyDescent="0.25">
      <c r="C109" s="39">
        <v>2016</v>
      </c>
      <c r="D109" s="62" t="str">
        <f>+'NYNJRR-644.537'!$F$4</f>
        <v>NYNJRR-644.537</v>
      </c>
      <c r="E109" s="63" t="str">
        <f>+'NYNJRR-644.537'!$F$5</f>
        <v>Repl Barge Mooring Structures at Greenville Yard</v>
      </c>
      <c r="F109" s="64">
        <f>+'NYNJRR-644.537'!$F$6</f>
        <v>42500</v>
      </c>
      <c r="G109" s="65" t="str">
        <f>+'NYNJRR-644.537'!$G$7</f>
        <v>Public</v>
      </c>
      <c r="H109" s="27">
        <f>+'NYNJRR-644.537'!$F$7</f>
        <v>4000000</v>
      </c>
      <c r="I109" s="27">
        <f>+'NYNJRR-644.537'!$F$8</f>
        <v>3838287</v>
      </c>
      <c r="J109" s="27"/>
      <c r="K109" s="26">
        <f>+'NYNJRR-644.537'!$G$9</f>
        <v>-4.0428249999999999E-2</v>
      </c>
      <c r="L109" s="11" t="str">
        <f>+'NYNJRR-644.537'!$F$11</f>
        <v>GOOD</v>
      </c>
      <c r="M109" s="15">
        <f>+'NYNJRR-644.537'!$H$12</f>
        <v>11</v>
      </c>
      <c r="N109" s="35" t="s">
        <v>25</v>
      </c>
      <c r="O109" s="15">
        <v>2</v>
      </c>
      <c r="P109" s="35" t="s">
        <v>492</v>
      </c>
      <c r="Q109" s="15"/>
      <c r="R109" s="24"/>
      <c r="S109" s="62" t="str">
        <f>+'NYNJRR-644.537'!$J$4</f>
        <v>Wen Chang</v>
      </c>
      <c r="T109" s="15"/>
      <c r="U109" s="15"/>
      <c r="V109" s="54">
        <f t="shared" si="24"/>
        <v>4000000</v>
      </c>
      <c r="W109" s="54">
        <f t="shared" si="25"/>
        <v>3838287</v>
      </c>
      <c r="X109" s="54">
        <f t="shared" si="26"/>
        <v>161713</v>
      </c>
    </row>
    <row r="110" spans="3:24" x14ac:dyDescent="0.25">
      <c r="C110" s="39">
        <v>2016</v>
      </c>
      <c r="D110" s="62" t="str">
        <f>+'HT-473A Void'!$F$4</f>
        <v>HT-473A</v>
      </c>
      <c r="E110" s="63" t="str">
        <f>+'HT-473A Void'!$F$5</f>
        <v>Emerg Gen Infrastructure at NY &amp; NJ Ventilation Bldgs</v>
      </c>
      <c r="F110" s="64">
        <f>+'HT-473A Void'!$F$6</f>
        <v>42496</v>
      </c>
      <c r="G110" s="65" t="str">
        <f>+'HT-473A Void'!$G$7</f>
        <v>Public</v>
      </c>
      <c r="H110" s="27"/>
      <c r="I110" s="27"/>
      <c r="J110" s="27"/>
      <c r="K110" s="26"/>
      <c r="L110" s="11"/>
      <c r="M110" s="15">
        <f>+'HT-473A Void'!$H$12</f>
        <v>9</v>
      </c>
      <c r="N110" s="35" t="s">
        <v>226</v>
      </c>
      <c r="O110" s="15">
        <v>2</v>
      </c>
      <c r="P110" s="35" t="s">
        <v>457</v>
      </c>
      <c r="Q110" s="15"/>
      <c r="R110" s="24" t="s">
        <v>690</v>
      </c>
      <c r="S110" s="62" t="str">
        <f>+'GWB-244.246'!$J$4</f>
        <v>Reddy Gunda</v>
      </c>
      <c r="T110" s="15"/>
      <c r="U110" s="15"/>
      <c r="V110" s="54">
        <f t="shared" si="24"/>
        <v>0</v>
      </c>
      <c r="W110" s="54">
        <f t="shared" si="25"/>
        <v>0</v>
      </c>
      <c r="X110" s="54">
        <f t="shared" si="26"/>
        <v>0</v>
      </c>
    </row>
    <row r="111" spans="3:24" x14ac:dyDescent="0.25">
      <c r="C111" s="39">
        <v>2016</v>
      </c>
      <c r="D111" s="62" t="str">
        <f>+'LT-924.014A'!$F$4</f>
        <v>LT-924.014A</v>
      </c>
      <c r="E111" s="63" t="str">
        <f>+'LT-924.014A'!$F$5</f>
        <v>Water Line Leak Repairs</v>
      </c>
      <c r="F111" s="64">
        <f>+'LT-924.014A'!$F$6</f>
        <v>42496</v>
      </c>
      <c r="G111" s="65" t="str">
        <f>+'LT-924.014A'!$G$7</f>
        <v>Public</v>
      </c>
      <c r="H111" s="27">
        <f>+'LT-924.014A'!$F$7</f>
        <v>2000000</v>
      </c>
      <c r="I111" s="27">
        <f>+'LT-924.014A'!$F$8</f>
        <v>2059960</v>
      </c>
      <c r="J111" s="27">
        <v>2059960</v>
      </c>
      <c r="K111" s="26">
        <f>+'LT-924.014A'!$G$9</f>
        <v>2.998E-2</v>
      </c>
      <c r="L111" s="11" t="str">
        <f>+'LT-924.014A'!$F$11</f>
        <v>GOOD</v>
      </c>
      <c r="M111" s="15">
        <f>+'LT-924.014A'!$H$12</f>
        <v>2</v>
      </c>
      <c r="N111" s="35" t="s">
        <v>25</v>
      </c>
      <c r="O111" s="15">
        <v>2</v>
      </c>
      <c r="P111" s="35" t="s">
        <v>457</v>
      </c>
      <c r="Q111" s="15"/>
      <c r="R111" s="24"/>
      <c r="S111" s="62" t="str">
        <f>+'GWB-244.246'!$J$4</f>
        <v>Reddy Gunda</v>
      </c>
      <c r="T111" s="15"/>
      <c r="U111" s="15"/>
      <c r="V111" s="54">
        <f t="shared" si="24"/>
        <v>2000000</v>
      </c>
      <c r="W111" s="54">
        <f t="shared" si="25"/>
        <v>2059960</v>
      </c>
      <c r="X111" s="54">
        <f t="shared" si="26"/>
        <v>-59960</v>
      </c>
    </row>
    <row r="112" spans="3:24" x14ac:dyDescent="0.25">
      <c r="C112" s="39">
        <v>2016</v>
      </c>
      <c r="D112" s="62" t="str">
        <f>+'GWB-244.246'!$F$4</f>
        <v>GWB-244.246</v>
      </c>
      <c r="E112" s="63" t="str">
        <f>+'GWB-244.246'!$F$5</f>
        <v>Access Ramp Crash Barrier</v>
      </c>
      <c r="F112" s="64">
        <f>+'GWB-244.246'!$F$6</f>
        <v>42488</v>
      </c>
      <c r="G112" s="65" t="str">
        <f>+'GWB-244.246'!$G$7</f>
        <v>PQL</v>
      </c>
      <c r="H112" s="27">
        <f>+'GWB-244.246'!$F$7</f>
        <v>1700000</v>
      </c>
      <c r="I112" s="27">
        <f>+'GWB-244.246'!$F$8</f>
        <v>815000</v>
      </c>
      <c r="J112" s="27">
        <v>815000</v>
      </c>
      <c r="K112" s="26">
        <f>+'GWB-244.246'!$G$9</f>
        <v>-0.52058823529411768</v>
      </c>
      <c r="L112" s="11" t="str">
        <f>+'GWB-244.246'!$F$11</f>
        <v>FAIL</v>
      </c>
      <c r="M112" s="15">
        <f>+'GWB-244.246'!$H$12</f>
        <v>7</v>
      </c>
      <c r="N112" s="35" t="s">
        <v>25</v>
      </c>
      <c r="O112" s="15">
        <v>2</v>
      </c>
      <c r="P112" s="35" t="s">
        <v>457</v>
      </c>
      <c r="Q112" s="15"/>
      <c r="R112" s="24" t="s">
        <v>662</v>
      </c>
      <c r="S112" s="62" t="str">
        <f>+'GWB-244.246'!$J$4</f>
        <v>Reddy Gunda</v>
      </c>
      <c r="T112" s="15"/>
      <c r="U112" s="15"/>
      <c r="V112" s="54">
        <f t="shared" si="24"/>
        <v>1700000</v>
      </c>
      <c r="W112" s="54">
        <f t="shared" si="25"/>
        <v>815000</v>
      </c>
      <c r="X112" s="54">
        <f t="shared" si="26"/>
        <v>885000</v>
      </c>
    </row>
    <row r="113" spans="3:28" x14ac:dyDescent="0.25">
      <c r="C113" s="39">
        <v>2016</v>
      </c>
      <c r="D113" s="62" t="str">
        <f>+'HT-224.117'!$F$4</f>
        <v>HT-224.117</v>
      </c>
      <c r="E113" s="63" t="str">
        <f>+'HT-224.117'!$F$5</f>
        <v>Waterside Buffer Zone Protection</v>
      </c>
      <c r="F113" s="64">
        <f>+'HT-224.117'!$F$6</f>
        <v>42486</v>
      </c>
      <c r="G113" s="65" t="str">
        <f>+'HT-224.117'!$G$7</f>
        <v>Public</v>
      </c>
      <c r="H113" s="27">
        <f>+'HT-224.117'!$F$7</f>
        <v>600000</v>
      </c>
      <c r="I113" s="27">
        <f>+'HT-224.117'!$F$8</f>
        <v>675000</v>
      </c>
      <c r="J113" s="27">
        <v>675000</v>
      </c>
      <c r="K113" s="26">
        <f>+'HT-224.117'!$G$9</f>
        <v>0.125</v>
      </c>
      <c r="L113" s="11" t="str">
        <f>+'HT-224.117'!$F$11</f>
        <v>FAIL</v>
      </c>
      <c r="M113" s="15">
        <f>+'HT-224.117'!$H$12</f>
        <v>3</v>
      </c>
      <c r="N113" s="35" t="s">
        <v>93</v>
      </c>
      <c r="O113" s="15">
        <v>2</v>
      </c>
      <c r="P113" s="35" t="s">
        <v>457</v>
      </c>
      <c r="Q113" s="15"/>
      <c r="R113" s="24"/>
      <c r="S113" s="62" t="str">
        <f>+'HT-224.117'!$J$4</f>
        <v>Nathan Demaisip</v>
      </c>
      <c r="T113" s="15"/>
      <c r="U113" s="15"/>
      <c r="V113" s="54">
        <f t="shared" si="24"/>
        <v>600000</v>
      </c>
      <c r="W113" s="54">
        <f t="shared" si="25"/>
        <v>675000</v>
      </c>
      <c r="X113" s="54">
        <f t="shared" si="26"/>
        <v>-75000</v>
      </c>
    </row>
    <row r="114" spans="3:28" x14ac:dyDescent="0.25">
      <c r="C114" s="39">
        <v>2016</v>
      </c>
      <c r="D114" s="62" t="str">
        <f>+'EWR-924.281'!$F$4</f>
        <v>EWR-924.281</v>
      </c>
      <c r="E114" s="63" t="str">
        <f>+'EWR-924.281'!$F$5</f>
        <v>Peripheral Ditch Tide Gate Valve Repairs</v>
      </c>
      <c r="F114" s="64">
        <f>+'EWR-924.281'!$F$6</f>
        <v>42479</v>
      </c>
      <c r="G114" s="65" t="str">
        <f>+'EWR-924.281'!$G$7</f>
        <v>Public</v>
      </c>
      <c r="H114" s="27">
        <f>+'EWR-924.281'!$F$7</f>
        <v>670000</v>
      </c>
      <c r="I114" s="27">
        <f>+'EWR-924.281'!$F$8</f>
        <v>897950</v>
      </c>
      <c r="J114" s="27"/>
      <c r="K114" s="26">
        <f>+'EWR-924.281'!$G$9</f>
        <v>0.34022388059701492</v>
      </c>
      <c r="L114" s="11" t="str">
        <f>+'EWR-924.281'!$F$11</f>
        <v>FAIL</v>
      </c>
      <c r="M114" s="15">
        <f>+'EWR-924.281'!$H$12</f>
        <v>5</v>
      </c>
      <c r="N114" s="35" t="s">
        <v>25</v>
      </c>
      <c r="O114" s="15">
        <v>2</v>
      </c>
      <c r="P114" s="35" t="s">
        <v>458</v>
      </c>
      <c r="Q114" s="15"/>
      <c r="R114" s="24"/>
      <c r="S114" s="62" t="str">
        <f>+'EWR-924.281'!$J$4</f>
        <v>Henry Yu</v>
      </c>
      <c r="T114" s="15"/>
      <c r="U114" s="15"/>
      <c r="V114" s="54">
        <f t="shared" si="24"/>
        <v>670000</v>
      </c>
      <c r="W114" s="54">
        <f t="shared" si="25"/>
        <v>897950</v>
      </c>
      <c r="X114" s="54">
        <f t="shared" si="26"/>
        <v>-227950</v>
      </c>
    </row>
    <row r="115" spans="3:28" x14ac:dyDescent="0.25">
      <c r="C115" s="39">
        <v>2016</v>
      </c>
      <c r="D115" s="62" t="str">
        <f>+'EP-684.509A'!$F$4</f>
        <v>EP-684.509A</v>
      </c>
      <c r="E115" s="63" t="str">
        <f>+'EP-684.509A'!$F$5</f>
        <v>Bldg 1400 Upgrade of Fire Supression System</v>
      </c>
      <c r="F115" s="64">
        <f>+'EP-684.509A'!$F$6</f>
        <v>42474</v>
      </c>
      <c r="G115" s="65" t="str">
        <f>+'PAT-784.163'!$G$7</f>
        <v>Public</v>
      </c>
      <c r="H115" s="27">
        <f>+'EP-684.509A'!$F$7</f>
        <v>700000</v>
      </c>
      <c r="I115" s="27">
        <f>+'EP-684.509A'!$F$8</f>
        <v>442247</v>
      </c>
      <c r="J115" s="27"/>
      <c r="K115" s="26">
        <f>+'EP-684.509A'!$G$9</f>
        <v>-0.36821857142857145</v>
      </c>
      <c r="L115" s="11" t="str">
        <f>+'EP-684.509A'!$F$11</f>
        <v>GOOD</v>
      </c>
      <c r="M115" s="15">
        <f>+'EP-684.509A'!$H$12</f>
        <v>6</v>
      </c>
      <c r="N115" s="35" t="s">
        <v>25</v>
      </c>
      <c r="O115" s="15">
        <v>2</v>
      </c>
      <c r="P115" s="35" t="s">
        <v>492</v>
      </c>
      <c r="Q115" s="15"/>
      <c r="R115" s="24"/>
      <c r="S115" s="62" t="str">
        <f>+'EP-684.509A'!$J$4</f>
        <v>Wen Chang</v>
      </c>
      <c r="T115" s="15"/>
      <c r="U115" s="15"/>
      <c r="V115" s="54">
        <f t="shared" si="24"/>
        <v>700000</v>
      </c>
      <c r="W115" s="54">
        <f t="shared" si="25"/>
        <v>442247</v>
      </c>
      <c r="X115" s="54">
        <f t="shared" si="26"/>
        <v>257753</v>
      </c>
    </row>
    <row r="116" spans="3:28" x14ac:dyDescent="0.25">
      <c r="C116" s="39">
        <v>2016</v>
      </c>
      <c r="D116" s="62" t="str">
        <f>+'PAT-784.163'!$F$4</f>
        <v>PAT-784.163</v>
      </c>
      <c r="E116" s="63" t="str">
        <f>+'PAT-784.163'!$F$5</f>
        <v>PATH - Infrastructure for Standby Generators</v>
      </c>
      <c r="F116" s="64">
        <f>+'PAT-784.163'!$F$6</f>
        <v>42473</v>
      </c>
      <c r="G116" s="65" t="str">
        <f>+'PAT-784.163'!$G$7</f>
        <v>Public</v>
      </c>
      <c r="H116" s="27">
        <f>+'PAT-784.163'!$F$7</f>
        <v>1900000</v>
      </c>
      <c r="I116" s="27">
        <f>+'PAT-784.163'!$F$8</f>
        <v>1348800</v>
      </c>
      <c r="J116" s="27">
        <v>1348800</v>
      </c>
      <c r="K116" s="26">
        <f>+'PAT-784.163'!$G$9</f>
        <v>-0.29010526315789475</v>
      </c>
      <c r="L116" s="11" t="str">
        <f>+'PAT-784.163'!$F$11</f>
        <v>GOOD</v>
      </c>
      <c r="M116" s="15">
        <f>+'PAT-784.163'!$H$12</f>
        <v>11</v>
      </c>
      <c r="N116" s="35" t="s">
        <v>25</v>
      </c>
      <c r="O116" s="15">
        <v>2</v>
      </c>
      <c r="P116" s="35" t="s">
        <v>459</v>
      </c>
      <c r="Q116" s="15"/>
      <c r="R116" s="24" t="s">
        <v>608</v>
      </c>
      <c r="S116" s="62" t="str">
        <f>+'PAT-784.163'!$J$4</f>
        <v>Nathan Demaisip</v>
      </c>
      <c r="T116" s="15"/>
      <c r="U116" s="15"/>
      <c r="V116" s="54">
        <f t="shared" si="24"/>
        <v>1900000</v>
      </c>
      <c r="W116" s="54">
        <f t="shared" si="25"/>
        <v>1348800</v>
      </c>
      <c r="X116" s="54">
        <f t="shared" si="26"/>
        <v>551200</v>
      </c>
    </row>
    <row r="117" spans="3:28" x14ac:dyDescent="0.25">
      <c r="C117" s="39">
        <v>2016</v>
      </c>
      <c r="D117" s="62" t="str">
        <f>+'SWF-164.054'!$F$4</f>
        <v>SWF-164.054</v>
      </c>
      <c r="E117" s="63" t="str">
        <f>+'SWF-164.054'!$F$5</f>
        <v>Stewart Airport - Backflow Prevention and Sump Pumps</v>
      </c>
      <c r="F117" s="64">
        <f>+'SWF-164.054'!$F$6</f>
        <v>42465</v>
      </c>
      <c r="G117" s="65" t="str">
        <f>+'SWF-164.054'!$G$7</f>
        <v>Public</v>
      </c>
      <c r="H117" s="27">
        <f>+'SWF-164.054'!$F$7</f>
        <v>1300000</v>
      </c>
      <c r="I117" s="27">
        <f>+'SWF-164.054'!$F$8</f>
        <v>1334000</v>
      </c>
      <c r="J117" s="27"/>
      <c r="K117" s="26">
        <f>+'SWF-164.054'!$G$9</f>
        <v>2.6153846153846153E-2</v>
      </c>
      <c r="L117" s="11" t="str">
        <f>+'SWF-164.054'!$F$11</f>
        <v>GOOD</v>
      </c>
      <c r="M117" s="15">
        <f>+'SWF-164.054'!$H$12</f>
        <v>6</v>
      </c>
      <c r="N117" s="35" t="s">
        <v>93</v>
      </c>
      <c r="O117" s="15">
        <v>2</v>
      </c>
      <c r="P117" s="35" t="s">
        <v>458</v>
      </c>
      <c r="Q117" s="15"/>
      <c r="R117" s="24"/>
      <c r="S117" s="62" t="str">
        <f>+'SWF-164.054'!$J$4</f>
        <v>Lucita Mendoza</v>
      </c>
      <c r="T117" s="15"/>
      <c r="U117" s="15"/>
      <c r="V117" s="54">
        <f t="shared" si="24"/>
        <v>1300000</v>
      </c>
      <c r="W117" s="54">
        <f t="shared" si="25"/>
        <v>1334000</v>
      </c>
      <c r="X117" s="54">
        <f t="shared" si="26"/>
        <v>-34000</v>
      </c>
    </row>
    <row r="118" spans="3:28" ht="7.5" customHeight="1" x14ac:dyDescent="0.25">
      <c r="C118" s="39"/>
      <c r="G118" s="45"/>
      <c r="P118" s="11"/>
      <c r="S118" s="15"/>
      <c r="V118" s="54"/>
      <c r="W118" s="54"/>
      <c r="X118" s="54"/>
    </row>
    <row r="119" spans="3:28" x14ac:dyDescent="0.25">
      <c r="C119" s="39">
        <v>2016</v>
      </c>
      <c r="D119" s="15" t="str">
        <f>+'MFP-924.638'!$F$4</f>
        <v>MFP-924.638</v>
      </c>
      <c r="E119" s="24" t="str">
        <f>+'MFP-924.638'!$F$5</f>
        <v>NJ Marine Terminals - Dredging via Work Order</v>
      </c>
      <c r="F119" s="25">
        <f>+'MFP-924.638'!$F$6</f>
        <v>42450</v>
      </c>
      <c r="G119" s="46" t="str">
        <f>+'MFP-924.638'!$G$7</f>
        <v>PQL</v>
      </c>
      <c r="H119" s="27">
        <f>+'MFP-924.638'!$F$7</f>
        <v>13100000</v>
      </c>
      <c r="I119" s="27">
        <f>+'MFP-924.638'!$F$8</f>
        <v>14145813</v>
      </c>
      <c r="J119" s="27"/>
      <c r="K119" s="26">
        <f>+'MFP-924.638'!$G$9</f>
        <v>7.9833053435114501E-2</v>
      </c>
      <c r="L119" s="11" t="str">
        <f>+'MFP-924.638'!$F$11</f>
        <v>GOOD</v>
      </c>
      <c r="M119" s="15">
        <f>+'MFP-924.638'!$H$12</f>
        <v>5</v>
      </c>
      <c r="N119" s="35" t="s">
        <v>25</v>
      </c>
      <c r="O119" s="15">
        <v>1</v>
      </c>
      <c r="P119" s="35" t="s">
        <v>492</v>
      </c>
      <c r="Q119" s="15"/>
      <c r="R119" s="24"/>
      <c r="S119" s="15" t="str">
        <f>+'MFP-924.638'!$J$4</f>
        <v>Wen Chang</v>
      </c>
      <c r="T119" s="15"/>
      <c r="U119" s="15"/>
      <c r="V119" s="54">
        <f>+H119</f>
        <v>13100000</v>
      </c>
      <c r="W119" s="54">
        <f>+I119</f>
        <v>14145813</v>
      </c>
      <c r="X119" s="54">
        <f>+V119-W119</f>
        <v>-1045813</v>
      </c>
      <c r="Z119" s="4">
        <f>SUM(V119:V129)</f>
        <v>142801000</v>
      </c>
      <c r="AA119" s="4">
        <f>SUM(W119:W129)</f>
        <v>116652275</v>
      </c>
      <c r="AB119" s="7">
        <f>+Z119/AA119</f>
        <v>1.2241595802567931</v>
      </c>
    </row>
    <row r="120" spans="3:28" x14ac:dyDescent="0.25">
      <c r="C120" s="39">
        <v>2016</v>
      </c>
      <c r="D120" s="15" t="str">
        <f>+'EWR-154.197'!$F$4</f>
        <v>EWR-154.197</v>
      </c>
      <c r="E120" s="24" t="str">
        <f>+'EWR-154.197'!$F$5</f>
        <v>Newark - Infrastructure Renewal, Electrical</v>
      </c>
      <c r="F120" s="25">
        <f>+'EWR-154.197'!$F$6</f>
        <v>42438</v>
      </c>
      <c r="G120" s="46" t="str">
        <f>+'EWR-154.197'!$G$7</f>
        <v>Public</v>
      </c>
      <c r="H120" s="27">
        <f>+'EWR-154.197'!$F$7</f>
        <v>25210000</v>
      </c>
      <c r="I120" s="27">
        <f>+'EWR-154.197'!$F$8</f>
        <v>17827873</v>
      </c>
      <c r="J120" s="27"/>
      <c r="K120" s="26">
        <f>+'EWR-154.197'!$G$9</f>
        <v>-0.29282534708449026</v>
      </c>
      <c r="L120" s="11" t="str">
        <f>+'EWR-154.197'!$F$11</f>
        <v>FAIL</v>
      </c>
      <c r="M120" s="15">
        <f>+'EWR-154.197'!$H$12</f>
        <v>13</v>
      </c>
      <c r="N120" s="35" t="s">
        <v>25</v>
      </c>
      <c r="O120" s="15">
        <v>1</v>
      </c>
      <c r="P120" s="35" t="s">
        <v>458</v>
      </c>
      <c r="Q120" s="15"/>
      <c r="R120" s="24"/>
      <c r="S120" s="15" t="str">
        <f>+'EWR-154.197'!$J$4</f>
        <v>Nathan Demaisip</v>
      </c>
      <c r="T120" s="15"/>
      <c r="U120" s="15"/>
      <c r="V120" s="54">
        <f t="shared" ref="V120:V174" si="27">+H120</f>
        <v>25210000</v>
      </c>
      <c r="W120" s="54">
        <f t="shared" ref="W120:W174" si="28">+I120</f>
        <v>17827873</v>
      </c>
      <c r="X120" s="54">
        <f t="shared" ref="X120:X174" si="29">+V120-W120</f>
        <v>7382127</v>
      </c>
    </row>
    <row r="121" spans="3:28" x14ac:dyDescent="0.25">
      <c r="C121" s="39">
        <v>2016</v>
      </c>
      <c r="D121" s="15" t="str">
        <f>+'LGA-774.133B'!$F$4</f>
        <v>LGA-774.133B</v>
      </c>
      <c r="E121" s="24" t="str">
        <f>+'LGA-774.133B'!$F$5</f>
        <v>LGA - Emergency Storm Drainage Outfalls</v>
      </c>
      <c r="F121" s="25">
        <f>+'LGA-774.133B'!$F$6</f>
        <v>42418</v>
      </c>
      <c r="G121" s="46" t="str">
        <f>+'LGA-774.133B'!$G$7</f>
        <v>Public</v>
      </c>
      <c r="H121" s="27">
        <f>+'LGA-774.133B'!$F$7</f>
        <v>3250000</v>
      </c>
      <c r="I121" s="27">
        <f>+'LGA-774.133B'!$F$8</f>
        <v>2849549</v>
      </c>
      <c r="J121" s="27"/>
      <c r="K121" s="26">
        <f>+'LGA-774.133B'!$G$9</f>
        <v>-0.1232156923076923</v>
      </c>
      <c r="L121" s="11" t="str">
        <f>+'LGA-774.133B'!$F$11</f>
        <v>GOOD</v>
      </c>
      <c r="M121" s="15">
        <f>+'LGA-774.133B'!$H$12</f>
        <v>12</v>
      </c>
      <c r="N121" s="35" t="s">
        <v>93</v>
      </c>
      <c r="O121" s="15">
        <v>1</v>
      </c>
      <c r="P121" s="35" t="s">
        <v>458</v>
      </c>
      <c r="Q121" s="15"/>
      <c r="R121" s="24"/>
      <c r="S121" s="15" t="str">
        <f>+'LGA-774.133B'!$J$4</f>
        <v>Lucita Mendoza</v>
      </c>
      <c r="T121" s="15"/>
      <c r="U121" s="15"/>
      <c r="V121" s="54">
        <f t="shared" si="27"/>
        <v>3250000</v>
      </c>
      <c r="W121" s="54">
        <f t="shared" si="28"/>
        <v>2849549</v>
      </c>
      <c r="X121" s="54">
        <f t="shared" si="29"/>
        <v>400451</v>
      </c>
    </row>
    <row r="122" spans="3:28" x14ac:dyDescent="0.25">
      <c r="C122" s="39">
        <v>2016</v>
      </c>
      <c r="D122" s="15" t="str">
        <f>+'GWB-244.150'!$F$4</f>
        <v>GWB-244.150</v>
      </c>
      <c r="E122" s="24" t="str">
        <f>+'GWB-244.150'!$F$5</f>
        <v>GWB - Replacement of PIP Helix, et. al.</v>
      </c>
      <c r="F122" s="25">
        <f>+'GWB-244.150'!$F$6</f>
        <v>42411</v>
      </c>
      <c r="G122" s="46" t="str">
        <f>+'GWB-244.150'!$G$7</f>
        <v>Public</v>
      </c>
      <c r="H122" s="27">
        <f>+'GWB-244.150'!$F$7</f>
        <v>69865000</v>
      </c>
      <c r="I122" s="27">
        <f>+'GWB-244.150'!$F$8</f>
        <v>57000000</v>
      </c>
      <c r="J122" s="27"/>
      <c r="K122" s="26">
        <f>+'GWB-244.150'!$G$9</f>
        <v>-0.18414084305446218</v>
      </c>
      <c r="L122" s="11" t="str">
        <f>+'GWB-244.150'!$F$11</f>
        <v>GOOD</v>
      </c>
      <c r="M122" s="15">
        <f>+'GWB-244.150'!$H$12</f>
        <v>11</v>
      </c>
      <c r="N122" s="35" t="s">
        <v>25</v>
      </c>
      <c r="O122" s="15">
        <v>1</v>
      </c>
      <c r="P122" s="35" t="s">
        <v>457</v>
      </c>
      <c r="Q122" s="15"/>
      <c r="R122" s="24"/>
      <c r="S122" s="15" t="str">
        <f>+'GWB-244.150'!$J$4</f>
        <v>Reddy Gunda and Henry Yu</v>
      </c>
      <c r="T122" s="15"/>
      <c r="U122" s="15"/>
      <c r="V122" s="54">
        <f t="shared" si="27"/>
        <v>69865000</v>
      </c>
      <c r="W122" s="54">
        <f t="shared" si="28"/>
        <v>57000000</v>
      </c>
      <c r="X122" s="54">
        <f t="shared" si="29"/>
        <v>12865000</v>
      </c>
    </row>
    <row r="123" spans="3:28" x14ac:dyDescent="0.25">
      <c r="C123" s="39">
        <v>2016</v>
      </c>
      <c r="D123" s="15" t="str">
        <f>+'LGA-124.240'!$F$4</f>
        <v>LGA-124.240</v>
      </c>
      <c r="E123" s="24" t="str">
        <f>+'LGA-124.240'!$F$5</f>
        <v>LGA - Rehab Taxiway B between G and CY</v>
      </c>
      <c r="F123" s="25">
        <f>+'LGA-124.240'!$F$6</f>
        <v>42404</v>
      </c>
      <c r="G123" s="46" t="str">
        <f>+'LGA-124.240'!$G$7</f>
        <v>Public</v>
      </c>
      <c r="H123" s="27">
        <f>+'LGA-124.240'!$F$7</f>
        <v>4072000</v>
      </c>
      <c r="I123" s="27">
        <f>+'LGA-124.240'!$F$8</f>
        <v>2733000</v>
      </c>
      <c r="J123" s="27"/>
      <c r="K123" s="26">
        <f>+'LGA-124.240'!$G$9</f>
        <v>-0.3288310412573674</v>
      </c>
      <c r="L123" s="11" t="str">
        <f>+'LGA-124.240'!$F$11</f>
        <v>FAIL</v>
      </c>
      <c r="M123" s="15">
        <f>+'LGA-124.240'!$H$12</f>
        <v>3</v>
      </c>
      <c r="N123" s="35" t="s">
        <v>93</v>
      </c>
      <c r="O123" s="15">
        <v>1</v>
      </c>
      <c r="P123" s="35" t="s">
        <v>458</v>
      </c>
      <c r="Q123" s="15"/>
      <c r="R123" s="24"/>
      <c r="S123" s="15" t="str">
        <f>+'LGA-124.240'!$J$4</f>
        <v>Lucita Mendoza</v>
      </c>
      <c r="T123" s="15"/>
      <c r="U123" s="15"/>
      <c r="V123" s="54">
        <f t="shared" si="27"/>
        <v>4072000</v>
      </c>
      <c r="W123" s="54">
        <f t="shared" si="28"/>
        <v>2733000</v>
      </c>
      <c r="X123" s="54">
        <f t="shared" si="29"/>
        <v>1339000</v>
      </c>
    </row>
    <row r="124" spans="3:28" x14ac:dyDescent="0.25">
      <c r="C124" s="39">
        <v>2016</v>
      </c>
      <c r="D124" s="15" t="str">
        <f>+'LGA-103.014'!$F$4</f>
        <v>LGA-103.014</v>
      </c>
      <c r="E124" s="24" t="str">
        <f>+'LGA-103.014'!$F$5</f>
        <v>LGA - Pump Houses 2 and 3 Rehabilitation</v>
      </c>
      <c r="F124" s="25">
        <f>+'LGA-103.014'!$F$6</f>
        <v>42394</v>
      </c>
      <c r="G124" s="46" t="str">
        <f>+'LGA-103.014'!$G$7</f>
        <v>Public</v>
      </c>
      <c r="H124" s="27">
        <f>+'LGA-103.014'!$F$7</f>
        <v>2530000</v>
      </c>
      <c r="I124" s="27">
        <f>+'LGA-103.014'!$F$8</f>
        <v>1836000</v>
      </c>
      <c r="J124" s="27"/>
      <c r="K124" s="26">
        <f>+'LGA-103.014'!$G$9</f>
        <v>-0.27430830039525694</v>
      </c>
      <c r="L124" s="11" t="str">
        <f>+'LGA-103.014'!$F$11</f>
        <v>GOOD</v>
      </c>
      <c r="M124" s="15">
        <f>+'LGA-103.014'!$H$12</f>
        <v>7</v>
      </c>
      <c r="N124" s="35" t="s">
        <v>93</v>
      </c>
      <c r="O124" s="15">
        <v>1</v>
      </c>
      <c r="P124" s="35" t="s">
        <v>458</v>
      </c>
      <c r="Q124" s="15"/>
      <c r="R124" s="24"/>
      <c r="S124" s="15" t="str">
        <f>+'LGA-103.014'!$J$4</f>
        <v>Lucita Mendoza</v>
      </c>
      <c r="T124" s="15"/>
      <c r="U124" s="15"/>
      <c r="V124" s="54">
        <f t="shared" si="27"/>
        <v>2530000</v>
      </c>
      <c r="W124" s="54">
        <f t="shared" si="28"/>
        <v>1836000</v>
      </c>
      <c r="X124" s="54">
        <f t="shared" si="29"/>
        <v>694000</v>
      </c>
    </row>
    <row r="125" spans="3:28" x14ac:dyDescent="0.25">
      <c r="C125" s="39">
        <v>2016</v>
      </c>
      <c r="D125" s="15" t="str">
        <f>+'PAT-774.154'!$F$4</f>
        <v>PAT-774.154</v>
      </c>
      <c r="E125" s="24" t="str">
        <f>+'PAT-774.154'!$F$5</f>
        <v>PATH - Hoboken Station Under-Platform Fan Replacement</v>
      </c>
      <c r="F125" s="25">
        <f>+'PAT-774.154'!$F$6</f>
        <v>42391</v>
      </c>
      <c r="G125" s="46" t="str">
        <f>+'PAT-774.154'!$G$7</f>
        <v>Public</v>
      </c>
      <c r="H125" s="27">
        <f>+'PAT-774.154'!$F$7</f>
        <v>4574000</v>
      </c>
      <c r="I125" s="27">
        <f>+'PAT-774.154'!$F$8</f>
        <v>3774000</v>
      </c>
      <c r="J125" s="27">
        <v>3774000</v>
      </c>
      <c r="K125" s="26">
        <f>+'PAT-774.154'!$G$9</f>
        <v>-0.17490161783996502</v>
      </c>
      <c r="L125" s="11" t="str">
        <f>+'PAT-774.154'!$F$11</f>
        <v>GOOD</v>
      </c>
      <c r="M125" s="15">
        <f>+'PAT-774.154'!$H$12</f>
        <v>4</v>
      </c>
      <c r="N125" s="35" t="s">
        <v>25</v>
      </c>
      <c r="O125" s="15">
        <v>1</v>
      </c>
      <c r="P125" s="35" t="s">
        <v>459</v>
      </c>
      <c r="Q125" s="15"/>
      <c r="R125" s="24"/>
      <c r="S125" s="15" t="str">
        <f>+'PAT-774.154'!$J$4</f>
        <v>Nathan Demaisip</v>
      </c>
      <c r="T125" s="15"/>
      <c r="U125" s="15"/>
      <c r="V125" s="54">
        <f t="shared" si="27"/>
        <v>4574000</v>
      </c>
      <c r="W125" s="54">
        <f t="shared" si="28"/>
        <v>3774000</v>
      </c>
      <c r="X125" s="54">
        <f t="shared" si="29"/>
        <v>800000</v>
      </c>
    </row>
    <row r="126" spans="3:28" x14ac:dyDescent="0.25">
      <c r="C126" s="39">
        <v>2016</v>
      </c>
      <c r="D126" s="15" t="str">
        <f>+'PN-654.544'!$F$4</f>
        <v>PN-654.544</v>
      </c>
      <c r="E126" s="24" t="str">
        <f>+'PN-654.544'!$F$5</f>
        <v>Port Newark - Install Intelligent Transport Devices and Traffic Signals</v>
      </c>
      <c r="F126" s="25">
        <f>+'PN-654.544'!$F$6</f>
        <v>42389</v>
      </c>
      <c r="G126" s="46" t="str">
        <f>+'PN-654.544'!$G$7</f>
        <v>Public</v>
      </c>
      <c r="H126" s="27">
        <f>+'PN-654.544'!$F$7</f>
        <v>10000000</v>
      </c>
      <c r="I126" s="27">
        <f>+'PN-654.544'!$F$8</f>
        <v>6499990</v>
      </c>
      <c r="J126" s="27"/>
      <c r="K126" s="26">
        <f>+'PN-654.544'!$G$9</f>
        <v>-0.35000100000000001</v>
      </c>
      <c r="L126" s="11" t="str">
        <f>+'PN-654.544'!$F$11</f>
        <v>FAIL</v>
      </c>
      <c r="M126" s="15">
        <f>+'PN-654.544'!$H$12</f>
        <v>6</v>
      </c>
      <c r="N126" s="35" t="s">
        <v>25</v>
      </c>
      <c r="O126" s="15">
        <v>1</v>
      </c>
      <c r="P126" s="35" t="s">
        <v>492</v>
      </c>
      <c r="Q126" s="15"/>
      <c r="R126" s="24"/>
      <c r="S126" s="15" t="str">
        <f>+'PN-654.544'!$J$4</f>
        <v>Wen Chang</v>
      </c>
      <c r="T126" s="15"/>
      <c r="U126" s="15"/>
      <c r="V126" s="54">
        <f t="shared" si="27"/>
        <v>10000000</v>
      </c>
      <c r="W126" s="54">
        <f t="shared" si="28"/>
        <v>6499990</v>
      </c>
      <c r="X126" s="54">
        <f t="shared" si="29"/>
        <v>3500010</v>
      </c>
    </row>
    <row r="127" spans="3:28" x14ac:dyDescent="0.25">
      <c r="C127" s="39">
        <v>2016</v>
      </c>
      <c r="D127" s="15" t="str">
        <f>+'WTC-222.004'!$F$4</f>
        <v>WTC-222.004</v>
      </c>
      <c r="E127" s="24" t="str">
        <f>+'WTC-222.004'!$F$5</f>
        <v>WTC - Tower One Public Safety Radio Room</v>
      </c>
      <c r="F127" s="25">
        <f>+'WTC-222.004'!$F$6</f>
        <v>42388</v>
      </c>
      <c r="G127" s="46" t="str">
        <f>+'WTC-222.004'!$G$7</f>
        <v>PQL</v>
      </c>
      <c r="H127" s="27">
        <f>+'WTC-222.004'!$F$7</f>
        <v>9000000</v>
      </c>
      <c r="I127" s="27">
        <f>+'WTC-222.004'!$F$8</f>
        <v>8936000</v>
      </c>
      <c r="J127" s="27"/>
      <c r="K127" s="26">
        <f>+'WTC-222.004'!$G$9</f>
        <v>-7.1111111111111115E-3</v>
      </c>
      <c r="L127" s="11" t="str">
        <f>+'WTC-222.004'!$F$11</f>
        <v>GOOD</v>
      </c>
      <c r="M127" s="15">
        <f>+'WTC-222.004'!$H$12</f>
        <v>3</v>
      </c>
      <c r="N127" s="35" t="s">
        <v>93</v>
      </c>
      <c r="O127" s="15">
        <v>1</v>
      </c>
      <c r="P127" s="35" t="s">
        <v>455</v>
      </c>
      <c r="Q127" s="15"/>
      <c r="R127" s="24"/>
      <c r="S127" s="15" t="str">
        <f>+'WTC-222.004'!$J$4</f>
        <v>Nathan Demaisip</v>
      </c>
      <c r="T127" s="15"/>
      <c r="U127" s="15"/>
      <c r="V127" s="54">
        <f t="shared" si="27"/>
        <v>9000000</v>
      </c>
      <c r="W127" s="54">
        <f t="shared" si="28"/>
        <v>8936000</v>
      </c>
      <c r="X127" s="54">
        <f t="shared" si="29"/>
        <v>64000</v>
      </c>
    </row>
    <row r="128" spans="3:28" x14ac:dyDescent="0.25">
      <c r="C128" s="39">
        <v>2016</v>
      </c>
      <c r="D128" s="15" t="str">
        <f>+'PN-654.041'!$F$4</f>
        <v>PN-654.041</v>
      </c>
      <c r="E128" s="24" t="str">
        <f>+'PN-654.041'!$F$5</f>
        <v>Port Newark - Davit Street Extension</v>
      </c>
      <c r="F128" s="25">
        <f>+'PN-654.041'!$F$6</f>
        <v>42383</v>
      </c>
      <c r="G128" s="46" t="str">
        <f>+'PN-654.041'!$G$7</f>
        <v>M/WBE</v>
      </c>
      <c r="H128" s="27">
        <f>+'PN-654.041'!$F$7</f>
        <v>1200000</v>
      </c>
      <c r="I128" s="27">
        <f>+'PN-654.041'!$F$8</f>
        <v>1050050</v>
      </c>
      <c r="J128" s="27"/>
      <c r="K128" s="26">
        <f>+'PN-654.041'!$G$9</f>
        <v>-0.12495833333333334</v>
      </c>
      <c r="L128" s="11" t="str">
        <f>+'PN-654.041'!$F$11</f>
        <v>GOOD</v>
      </c>
      <c r="M128" s="15">
        <f>+'PN-654.041'!$H$12</f>
        <v>6</v>
      </c>
      <c r="N128" s="35" t="s">
        <v>25</v>
      </c>
      <c r="O128" s="15">
        <v>1</v>
      </c>
      <c r="P128" s="35" t="s">
        <v>492</v>
      </c>
      <c r="Q128" s="15"/>
      <c r="R128" s="24"/>
      <c r="S128" s="15" t="str">
        <f>+'PN-654.041'!$J$4</f>
        <v>Wen Chang</v>
      </c>
      <c r="T128" s="15"/>
      <c r="U128" s="15"/>
      <c r="V128" s="54">
        <f t="shared" si="27"/>
        <v>1200000</v>
      </c>
      <c r="W128" s="54">
        <f t="shared" si="28"/>
        <v>1050050</v>
      </c>
      <c r="X128" s="54">
        <f t="shared" si="29"/>
        <v>149950</v>
      </c>
    </row>
    <row r="129" spans="3:28" x14ac:dyDescent="0.25">
      <c r="C129" s="39">
        <v>2016</v>
      </c>
      <c r="D129" s="15" t="str">
        <f>+'WTC-222.004 Void'!$F$4</f>
        <v>WTC-222.004</v>
      </c>
      <c r="E129" s="24" t="str">
        <f>+'WTC-222.004 Void'!$F$5</f>
        <v>WTC - Tower One Public Safety Radio Room</v>
      </c>
      <c r="F129" s="25">
        <f>+'WTC-222.004 Void'!$F$6</f>
        <v>42374</v>
      </c>
      <c r="G129" s="46" t="str">
        <f>+'WTC-222.004 Void'!$G$7</f>
        <v>PQL</v>
      </c>
      <c r="H129" s="27"/>
      <c r="I129" s="27"/>
      <c r="J129" s="27"/>
      <c r="K129" s="26"/>
      <c r="L129" s="11"/>
      <c r="M129" s="15">
        <f>+'WTC-222.004 Void'!$H$12</f>
        <v>3</v>
      </c>
      <c r="N129" s="35" t="s">
        <v>93</v>
      </c>
      <c r="O129" s="15">
        <v>1</v>
      </c>
      <c r="P129" s="35" t="s">
        <v>455</v>
      </c>
      <c r="Q129" s="15"/>
      <c r="R129" s="24" t="s">
        <v>472</v>
      </c>
      <c r="S129" s="15" t="str">
        <f>+'WTC-222.004 Void'!$J$4</f>
        <v>Nathan Demaisip</v>
      </c>
      <c r="T129" s="15"/>
      <c r="U129" s="15"/>
      <c r="V129" s="54">
        <f t="shared" si="27"/>
        <v>0</v>
      </c>
      <c r="W129" s="54">
        <f t="shared" si="28"/>
        <v>0</v>
      </c>
      <c r="X129" s="54">
        <f t="shared" si="29"/>
        <v>0</v>
      </c>
    </row>
    <row r="130" spans="3:28" ht="7.5" customHeight="1" x14ac:dyDescent="0.25">
      <c r="C130" s="39"/>
      <c r="G130" s="45"/>
      <c r="P130" s="11"/>
      <c r="S130" s="15"/>
      <c r="V130" s="54"/>
      <c r="W130" s="54"/>
      <c r="X130" s="54"/>
    </row>
    <row r="131" spans="3:28" x14ac:dyDescent="0.25">
      <c r="C131" s="39">
        <v>2015</v>
      </c>
      <c r="D131" s="15" t="str">
        <f>+'EP-684.509 Void'!$F$4</f>
        <v>EP-684.509</v>
      </c>
      <c r="E131" s="24" t="str">
        <f>+'EP-684.509 Void'!$F$5</f>
        <v>Bldg 1400 Upgrade of Fire Supression System</v>
      </c>
      <c r="F131" s="25">
        <f>+'EP-684.509 Void'!$F$6</f>
        <v>42355</v>
      </c>
      <c r="G131" s="46" t="str">
        <f>+'EP-684.509 Void'!$G$7</f>
        <v>M/WBE</v>
      </c>
      <c r="H131" s="27"/>
      <c r="I131" s="27"/>
      <c r="J131" s="27"/>
      <c r="K131" s="26"/>
      <c r="L131" s="11"/>
      <c r="M131" s="15">
        <f>+'EP-684.509 Void'!$H$12</f>
        <v>3</v>
      </c>
      <c r="N131" s="35" t="s">
        <v>25</v>
      </c>
      <c r="O131" s="15">
        <v>4</v>
      </c>
      <c r="P131" s="35" t="s">
        <v>492</v>
      </c>
      <c r="Q131" s="15"/>
      <c r="R131" s="24" t="s">
        <v>227</v>
      </c>
      <c r="S131" s="15" t="str">
        <f>+'EP-684.509 Void'!J4</f>
        <v>Wen Chang</v>
      </c>
      <c r="T131" s="15" t="str">
        <f>+D131</f>
        <v>EP-684.509</v>
      </c>
      <c r="U131" s="15"/>
      <c r="V131" s="54">
        <f t="shared" si="27"/>
        <v>0</v>
      </c>
      <c r="W131" s="54">
        <f t="shared" si="28"/>
        <v>0</v>
      </c>
      <c r="X131" s="54">
        <f t="shared" si="29"/>
        <v>0</v>
      </c>
      <c r="Z131" s="4">
        <f>SUM(V131:V142)</f>
        <v>39735100</v>
      </c>
      <c r="AA131" s="4">
        <f>SUM(W131:W142)</f>
        <v>37587329.5</v>
      </c>
      <c r="AB131" s="7">
        <f>+Z131/AA131</f>
        <v>1.0571408112406602</v>
      </c>
    </row>
    <row r="132" spans="3:28" x14ac:dyDescent="0.25">
      <c r="C132" s="39">
        <v>2015</v>
      </c>
      <c r="D132" s="15" t="str">
        <f>+'AK-195'!$F$4</f>
        <v>AK-195</v>
      </c>
      <c r="E132" s="24" t="str">
        <f>+'AK-195'!$F$5</f>
        <v>Staten Island Bridges - Maint Pvmt Repairs via WO</v>
      </c>
      <c r="F132" s="25">
        <f>+'AK-195'!$F$6</f>
        <v>42342</v>
      </c>
      <c r="G132" s="46" t="str">
        <f>+'AK-195'!$G$7</f>
        <v>PQL</v>
      </c>
      <c r="H132" s="27">
        <f>+'AK-195'!$F$7</f>
        <v>2000000</v>
      </c>
      <c r="I132" s="27">
        <f>+'AK-195'!$F$8</f>
        <v>2092850</v>
      </c>
      <c r="J132" s="27"/>
      <c r="K132" s="26">
        <f>+'AK-195'!$G$9</f>
        <v>4.6425000000000001E-2</v>
      </c>
      <c r="L132" s="11" t="str">
        <f>+'AK-195'!$F$11</f>
        <v>GOOD</v>
      </c>
      <c r="M132" s="15">
        <f>+'AK-195'!$H$12</f>
        <v>4</v>
      </c>
      <c r="N132" s="35" t="s">
        <v>93</v>
      </c>
      <c r="O132" s="15">
        <v>4</v>
      </c>
      <c r="P132" s="35" t="s">
        <v>457</v>
      </c>
      <c r="Q132" s="15"/>
      <c r="R132" s="24"/>
      <c r="S132" s="15" t="s">
        <v>630</v>
      </c>
      <c r="T132" s="15" t="str">
        <f t="shared" ref="T132:T143" si="30">+D132</f>
        <v>AK-195</v>
      </c>
      <c r="U132" s="15"/>
      <c r="V132" s="54">
        <f t="shared" si="27"/>
        <v>2000000</v>
      </c>
      <c r="W132" s="54">
        <f t="shared" si="28"/>
        <v>2092850</v>
      </c>
      <c r="X132" s="54">
        <f t="shared" si="29"/>
        <v>-92850</v>
      </c>
    </row>
    <row r="133" spans="3:28" x14ac:dyDescent="0.25">
      <c r="C133" s="39">
        <v>2015</v>
      </c>
      <c r="D133" s="15" t="str">
        <f>+'TP-104.006'!$F$4</f>
        <v>TP-104.006</v>
      </c>
      <c r="E133" s="24" t="str">
        <f>+'TP-104.006'!$F$5</f>
        <v>Backflow Prevention Devices</v>
      </c>
      <c r="F133" s="25">
        <f>+'TP-104.006'!$F$6</f>
        <v>42338</v>
      </c>
      <c r="G133" s="46" t="str">
        <f>+'TP-104.006'!$G$7</f>
        <v>Public</v>
      </c>
      <c r="H133" s="27">
        <f>+'TP-104.006'!$F$7</f>
        <v>1200000</v>
      </c>
      <c r="I133" s="27">
        <f>+'TP-104.006'!$F$8</f>
        <v>1222222</v>
      </c>
      <c r="J133" s="27"/>
      <c r="K133" s="26">
        <f>+'TP-104.006'!$G$9</f>
        <v>1.8518333333333335E-2</v>
      </c>
      <c r="L133" s="11" t="str">
        <f>+'TP-104.006'!$F$11</f>
        <v>GOOD</v>
      </c>
      <c r="M133" s="15">
        <f>+'TP-104.006'!$H$12</f>
        <v>6</v>
      </c>
      <c r="N133" s="35" t="s">
        <v>93</v>
      </c>
      <c r="O133" s="15">
        <v>4</v>
      </c>
      <c r="P133" s="35" t="s">
        <v>458</v>
      </c>
      <c r="Q133" s="15"/>
      <c r="R133" s="24"/>
      <c r="S133" s="15" t="s">
        <v>494</v>
      </c>
      <c r="T133" s="15" t="str">
        <f t="shared" si="30"/>
        <v>TP-104.006</v>
      </c>
      <c r="U133" s="15"/>
      <c r="V133" s="54">
        <f t="shared" si="27"/>
        <v>1200000</v>
      </c>
      <c r="W133" s="54">
        <f t="shared" si="28"/>
        <v>1222222</v>
      </c>
      <c r="X133" s="54">
        <f t="shared" si="29"/>
        <v>-22222</v>
      </c>
    </row>
    <row r="134" spans="3:28" x14ac:dyDescent="0.25">
      <c r="C134" s="39">
        <v>2015</v>
      </c>
      <c r="D134" s="15" t="str">
        <f>+'GWB-564'!F4</f>
        <v>GWB-564</v>
      </c>
      <c r="E134" s="24" t="str">
        <f>+'GWB-564'!F5</f>
        <v>George Washington Bridge-Facility Wide Prioirty Rehabilitation</v>
      </c>
      <c r="F134" s="25">
        <f>+'GWB-564'!F6</f>
        <v>42312</v>
      </c>
      <c r="G134" s="46" t="str">
        <f>+'GWB-564'!G7</f>
        <v>Public</v>
      </c>
      <c r="H134" s="27">
        <f>+'GWB-564'!F7</f>
        <v>8700000</v>
      </c>
      <c r="I134" s="27">
        <f>+'GWB-564'!F8</f>
        <v>10162935</v>
      </c>
      <c r="J134" s="27" t="s">
        <v>519</v>
      </c>
      <c r="K134" s="26">
        <f>+'GWB-564'!G9</f>
        <v>0.16815344827586207</v>
      </c>
      <c r="L134" s="11" t="str">
        <f>+'GWB-564'!F11</f>
        <v>FAIL</v>
      </c>
      <c r="M134" s="15">
        <f>+'GWB-564'!H12</f>
        <v>3</v>
      </c>
      <c r="N134" s="35" t="s">
        <v>226</v>
      </c>
      <c r="O134" s="15">
        <v>4</v>
      </c>
      <c r="P134" s="35" t="s">
        <v>457</v>
      </c>
      <c r="Q134" s="15"/>
      <c r="R134" s="24"/>
      <c r="S134" s="15" t="str">
        <f>+'GWB-564'!J4</f>
        <v>Henry Yu</v>
      </c>
      <c r="T134" s="15" t="str">
        <f t="shared" si="30"/>
        <v>GWB-564</v>
      </c>
      <c r="U134" s="15"/>
      <c r="V134" s="54">
        <f t="shared" si="27"/>
        <v>8700000</v>
      </c>
      <c r="W134" s="54">
        <f t="shared" si="28"/>
        <v>10162935</v>
      </c>
      <c r="X134" s="54">
        <f t="shared" si="29"/>
        <v>-1462935</v>
      </c>
    </row>
    <row r="135" spans="3:28" x14ac:dyDescent="0.25">
      <c r="C135" s="39">
        <v>2015</v>
      </c>
      <c r="D135" s="15" t="str">
        <f>+'MFA-924.283'!F4</f>
        <v>MFA-924.283</v>
      </c>
      <c r="E135" s="24" t="str">
        <f>+'MFA-924.283'!F5</f>
        <v>Newark Liberty International Airport and Teterboro Airport  Asphalt Concrete Pavement Repairs Via Work Order</v>
      </c>
      <c r="F135" s="25">
        <f>+'MFA-924.283'!F6</f>
        <v>42310</v>
      </c>
      <c r="G135" s="46" t="str">
        <f>+'MFA-924.283'!G7</f>
        <v>PQL</v>
      </c>
      <c r="H135" s="27">
        <f>+'MFA-924.283'!F7</f>
        <v>7055100</v>
      </c>
      <c r="I135" s="27">
        <f>+'MFA-924.283'!F8</f>
        <v>5774440</v>
      </c>
      <c r="J135" s="27" t="s">
        <v>519</v>
      </c>
      <c r="K135" s="26">
        <f>+'MFA-924.283'!G9</f>
        <v>-0.18152258649771089</v>
      </c>
      <c r="L135" s="11" t="str">
        <f>+'MFA-924.283'!F11</f>
        <v>FAIL</v>
      </c>
      <c r="M135" s="15">
        <f>+'MFA-924.283'!H12</f>
        <v>3</v>
      </c>
      <c r="N135" s="35" t="s">
        <v>25</v>
      </c>
      <c r="O135" s="15">
        <v>4</v>
      </c>
      <c r="P135" s="35" t="s">
        <v>458</v>
      </c>
      <c r="Q135" s="15"/>
      <c r="R135" s="24"/>
      <c r="S135" s="15"/>
      <c r="T135" s="15" t="str">
        <f t="shared" si="30"/>
        <v>MFA-924.283</v>
      </c>
      <c r="U135" s="15"/>
      <c r="V135" s="54">
        <f t="shared" si="27"/>
        <v>7055100</v>
      </c>
      <c r="W135" s="54">
        <f t="shared" si="28"/>
        <v>5774440</v>
      </c>
      <c r="X135" s="54">
        <f t="shared" si="29"/>
        <v>1280660</v>
      </c>
    </row>
    <row r="136" spans="3:28" x14ac:dyDescent="0.25">
      <c r="C136" s="39">
        <v>2015</v>
      </c>
      <c r="D136" s="15" t="str">
        <f>+'HT-224.116'!F4</f>
        <v>HT-224.116</v>
      </c>
      <c r="E136" s="24" t="str">
        <f>+'HT-224.116'!F5</f>
        <v>Holland Tunnel-Concrete Repairs at Air Supply Ports</v>
      </c>
      <c r="F136" s="25">
        <f>+'HT-224.116'!F6</f>
        <v>42307</v>
      </c>
      <c r="G136" s="46" t="str">
        <f>+'HT-224.116'!G7</f>
        <v>Public</v>
      </c>
      <c r="H136" s="27">
        <f>+'HT-224.116'!F7</f>
        <v>7100000</v>
      </c>
      <c r="I136" s="27">
        <f>+'HT-224.116'!F8</f>
        <v>6676400</v>
      </c>
      <c r="J136" s="27" t="s">
        <v>519</v>
      </c>
      <c r="K136" s="26">
        <f>+'HT-224.116'!G9</f>
        <v>-5.9661971830985913E-2</v>
      </c>
      <c r="L136" s="11" t="str">
        <f>+'HT-224.116'!F11</f>
        <v>GOOD</v>
      </c>
      <c r="M136" s="15">
        <f>+'HT-224.116'!H12</f>
        <v>11</v>
      </c>
      <c r="N136" s="35" t="s">
        <v>226</v>
      </c>
      <c r="O136" s="15">
        <v>4</v>
      </c>
      <c r="P136" s="35" t="s">
        <v>457</v>
      </c>
      <c r="Q136" s="15"/>
      <c r="R136" s="24"/>
      <c r="S136" s="15" t="s">
        <v>630</v>
      </c>
      <c r="T136" s="15" t="str">
        <f t="shared" si="30"/>
        <v>HT-224.116</v>
      </c>
      <c r="U136" s="15"/>
      <c r="V136" s="54">
        <f t="shared" si="27"/>
        <v>7100000</v>
      </c>
      <c r="W136" s="54">
        <f t="shared" si="28"/>
        <v>6676400</v>
      </c>
      <c r="X136" s="54">
        <f t="shared" si="29"/>
        <v>423600</v>
      </c>
    </row>
    <row r="137" spans="3:28" x14ac:dyDescent="0.25">
      <c r="C137" s="39">
        <v>2015</v>
      </c>
      <c r="D137" s="15" t="str">
        <f>+'GWB-566'!F4</f>
        <v>GWB-566</v>
      </c>
      <c r="E137" s="24" t="str">
        <f>+'GWB-566'!F5</f>
        <v>George Washington Bridge-Temporary Semac Relocation</v>
      </c>
      <c r="F137" s="25">
        <f>+'GWB-566'!F6</f>
        <v>42304</v>
      </c>
      <c r="G137" s="46" t="str">
        <f>+'GWB-566'!G7</f>
        <v>Public</v>
      </c>
      <c r="H137" s="27">
        <f>+'GWB-566'!F7</f>
        <v>1340000</v>
      </c>
      <c r="I137" s="27">
        <f>+'GWB-566'!F8</f>
        <v>1850000</v>
      </c>
      <c r="J137" s="27"/>
      <c r="K137" s="26">
        <f>+'GWB-566'!G9</f>
        <v>0.38059701492537312</v>
      </c>
      <c r="L137" s="11" t="str">
        <f>+'GWB-566'!F11</f>
        <v>FAIL</v>
      </c>
      <c r="M137" s="15">
        <f>+'GWB-566'!H12</f>
        <v>4</v>
      </c>
      <c r="N137" s="35" t="s">
        <v>25</v>
      </c>
      <c r="O137" s="15">
        <v>4</v>
      </c>
      <c r="P137" s="35" t="s">
        <v>457</v>
      </c>
      <c r="Q137" s="15"/>
      <c r="R137" s="24"/>
      <c r="S137" s="15" t="s">
        <v>616</v>
      </c>
      <c r="T137" s="15" t="str">
        <f t="shared" si="30"/>
        <v>GWB-566</v>
      </c>
      <c r="U137" s="15"/>
      <c r="V137" s="54">
        <f t="shared" si="27"/>
        <v>1340000</v>
      </c>
      <c r="W137" s="54">
        <f t="shared" si="28"/>
        <v>1850000</v>
      </c>
      <c r="X137" s="54">
        <f t="shared" si="29"/>
        <v>-510000</v>
      </c>
    </row>
    <row r="138" spans="3:28" x14ac:dyDescent="0.25">
      <c r="C138" s="39">
        <v>2015</v>
      </c>
      <c r="D138" s="15" t="str">
        <f>+' PAT-024.069 Void'!F4</f>
        <v>PAT-024.069</v>
      </c>
      <c r="E138" s="24" t="str">
        <f>+' PAT-024.069 Void'!F5</f>
        <v>PATH-30th Street Mezzanine Rehabilitation</v>
      </c>
      <c r="F138" s="25">
        <f>+' PAT-024.069 Void'!F6</f>
        <v>42304</v>
      </c>
      <c r="G138" s="46" t="str">
        <f>+' PAT-024.069 Void'!G7</f>
        <v>Public</v>
      </c>
      <c r="H138" s="27"/>
      <c r="I138" s="27"/>
      <c r="J138" s="27"/>
      <c r="K138" s="26"/>
      <c r="L138" s="11"/>
      <c r="M138" s="15">
        <f>+' PAT-024.069 Void'!H12</f>
        <v>2</v>
      </c>
      <c r="N138" s="35" t="s">
        <v>93</v>
      </c>
      <c r="O138" s="15">
        <v>4</v>
      </c>
      <c r="P138" s="35" t="s">
        <v>459</v>
      </c>
      <c r="Q138" s="15"/>
      <c r="R138" s="24" t="s">
        <v>227</v>
      </c>
      <c r="S138" s="15" t="s">
        <v>447</v>
      </c>
      <c r="T138" s="15" t="str">
        <f t="shared" si="30"/>
        <v>PAT-024.069</v>
      </c>
      <c r="U138" s="15"/>
      <c r="V138" s="54">
        <f t="shared" si="27"/>
        <v>0</v>
      </c>
      <c r="W138" s="54">
        <f t="shared" si="28"/>
        <v>0</v>
      </c>
      <c r="X138" s="54">
        <f t="shared" si="29"/>
        <v>0</v>
      </c>
    </row>
    <row r="139" spans="3:28" x14ac:dyDescent="0.25">
      <c r="C139" s="39">
        <v>2015</v>
      </c>
      <c r="D139" s="15" t="str">
        <f>+'GWB-924.092'!F4</f>
        <v>GWB-924.092</v>
      </c>
      <c r="E139" s="24" t="str">
        <f>+'GWB-924.092'!F5</f>
        <v>George Washington Bridge-Improvements to Bruce Reynolds Boulevard</v>
      </c>
      <c r="F139" s="25">
        <f>+'GWB-924.092'!F6</f>
        <v>42297</v>
      </c>
      <c r="G139" s="46" t="str">
        <f>+'GWB-924.092'!G7</f>
        <v>Public</v>
      </c>
      <c r="H139" s="27">
        <f>+'GWB-924.092'!F7</f>
        <v>1290000</v>
      </c>
      <c r="I139" s="27">
        <f>+'GWB-924.092'!F8</f>
        <v>1552600</v>
      </c>
      <c r="J139" s="27"/>
      <c r="K139" s="26">
        <f>+'GWB-924.092'!G9</f>
        <v>0.20356589147286822</v>
      </c>
      <c r="L139" s="11" t="str">
        <f>+'GWB-924.092'!F11</f>
        <v>FAIL</v>
      </c>
      <c r="M139" s="15">
        <f>+'GWB-924.092'!H12</f>
        <v>9</v>
      </c>
      <c r="N139" s="35" t="s">
        <v>25</v>
      </c>
      <c r="O139" s="15">
        <v>4</v>
      </c>
      <c r="P139" s="35" t="s">
        <v>457</v>
      </c>
      <c r="Q139" s="15"/>
      <c r="R139" s="24"/>
      <c r="S139" s="15" t="s">
        <v>630</v>
      </c>
      <c r="T139" s="15" t="str">
        <f t="shared" si="30"/>
        <v>GWB-924.092</v>
      </c>
      <c r="U139" s="15"/>
      <c r="V139" s="54">
        <f t="shared" si="27"/>
        <v>1290000</v>
      </c>
      <c r="W139" s="54">
        <f t="shared" si="28"/>
        <v>1552600</v>
      </c>
      <c r="X139" s="54">
        <f t="shared" si="29"/>
        <v>-262600</v>
      </c>
    </row>
    <row r="140" spans="3:28" x14ac:dyDescent="0.25">
      <c r="C140" s="39">
        <v>2015</v>
      </c>
      <c r="D140" s="15" t="str">
        <f>+'GWB-924.159'!F4</f>
        <v>GWB-924.159</v>
      </c>
      <c r="E140" s="24" t="str">
        <f>+'GWB-924.159'!F5</f>
        <v>George Washington Bridge-New Jersey Administration Building Hot Water/Chilled Water Piping Replacement</v>
      </c>
      <c r="F140" s="25">
        <f>+'GWB-924.159'!F6</f>
        <v>42297</v>
      </c>
      <c r="G140" s="46" t="str">
        <f>+'GWB-924.159'!G7</f>
        <v>Mentor Protégé Program</v>
      </c>
      <c r="H140" s="27"/>
      <c r="I140" s="27"/>
      <c r="J140" s="27"/>
      <c r="K140" s="26"/>
      <c r="L140" s="11"/>
      <c r="M140" s="15">
        <f>+'GWB-924.159'!H12</f>
        <v>2</v>
      </c>
      <c r="N140" s="35" t="s">
        <v>25</v>
      </c>
      <c r="O140" s="15">
        <v>4</v>
      </c>
      <c r="P140" s="35" t="s">
        <v>457</v>
      </c>
      <c r="Q140" s="15"/>
      <c r="R140" s="24" t="s">
        <v>227</v>
      </c>
      <c r="S140" s="15"/>
      <c r="T140" s="15" t="str">
        <f t="shared" si="30"/>
        <v>GWB-924.159</v>
      </c>
      <c r="U140" s="15"/>
      <c r="V140" s="54">
        <f t="shared" si="27"/>
        <v>0</v>
      </c>
      <c r="W140" s="54">
        <f t="shared" si="28"/>
        <v>0</v>
      </c>
      <c r="X140" s="54">
        <f t="shared" si="29"/>
        <v>0</v>
      </c>
    </row>
    <row r="141" spans="3:28" x14ac:dyDescent="0.25">
      <c r="C141" s="39">
        <v>2015</v>
      </c>
      <c r="D141" s="15" t="str">
        <f>+'EWR-154.184'!F4</f>
        <v>EWR-154.184</v>
      </c>
      <c r="E141" s="24" t="str">
        <f>+'EWR-154.184'!F5</f>
        <v>Newark Liberty International Airport-Central Heating &amp; Refirgeration Plant Substation and Pumps Upgrade</v>
      </c>
      <c r="F141" s="25">
        <f>+'EWR-154.184'!F6</f>
        <v>42292</v>
      </c>
      <c r="G141" s="46" t="str">
        <f>+'EWR-154.184'!G7</f>
        <v>Public</v>
      </c>
      <c r="H141" s="27">
        <f>+'EWR-154.184'!F7</f>
        <v>3650000</v>
      </c>
      <c r="I141" s="27">
        <f>+'EWR-154.184'!F8</f>
        <v>3270000</v>
      </c>
      <c r="J141" s="27"/>
      <c r="K141" s="26">
        <f>+'EWR-154.184'!G9</f>
        <v>-0.10410958904109589</v>
      </c>
      <c r="L141" s="11" t="str">
        <f>+'EWR-154.184'!F11</f>
        <v>GOOD</v>
      </c>
      <c r="M141" s="15">
        <f>+'EWR-154.184'!H12</f>
        <v>6</v>
      </c>
      <c r="N141" s="35" t="s">
        <v>25</v>
      </c>
      <c r="O141" s="15">
        <v>4</v>
      </c>
      <c r="P141" s="35" t="s">
        <v>458</v>
      </c>
      <c r="Q141" s="15"/>
      <c r="R141" s="24"/>
      <c r="S141" s="15"/>
      <c r="T141" s="15" t="str">
        <f t="shared" si="30"/>
        <v>EWR-154.184</v>
      </c>
      <c r="U141" s="15"/>
      <c r="V141" s="54">
        <f t="shared" si="27"/>
        <v>3650000</v>
      </c>
      <c r="W141" s="54">
        <f t="shared" si="28"/>
        <v>3270000</v>
      </c>
      <c r="X141" s="54">
        <f t="shared" si="29"/>
        <v>380000</v>
      </c>
    </row>
    <row r="142" spans="3:28" x14ac:dyDescent="0.25">
      <c r="C142" s="39">
        <v>2015</v>
      </c>
      <c r="D142" s="15" t="str">
        <f>+'GWB-244.256'!F4</f>
        <v>GWB-244.256</v>
      </c>
      <c r="E142" s="24" t="str">
        <f>+'GWB-244.256'!F5</f>
        <v>George Washington Bridge-Pavement Rehabilitation of the Lower Level eastbound Approch Roadways, Lower Level Eastbound Bridge Span and Lower Expressway East Ramp</v>
      </c>
      <c r="F142" s="25">
        <f>+'GWB-244.256'!F6</f>
        <v>42284</v>
      </c>
      <c r="G142" s="46" t="str">
        <f>+'GWB-244.256'!G7</f>
        <v>PQL</v>
      </c>
      <c r="H142" s="27">
        <f>+'GWB-244.256'!F7</f>
        <v>7400000</v>
      </c>
      <c r="I142" s="27">
        <f>+'GWB-244.256'!F8</f>
        <v>4985882.5</v>
      </c>
      <c r="J142" s="27" t="s">
        <v>519</v>
      </c>
      <c r="K142" s="26">
        <f>+'GWB-244.256'!G9</f>
        <v>-0.32623209459459457</v>
      </c>
      <c r="L142" s="11" t="str">
        <f>+'GWB-244.256'!F11</f>
        <v>FAIL</v>
      </c>
      <c r="M142" s="15">
        <f>+'GWB-244.256'!H12</f>
        <v>4</v>
      </c>
      <c r="N142" s="35" t="s">
        <v>226</v>
      </c>
      <c r="O142" s="15">
        <v>4</v>
      </c>
      <c r="P142" s="35" t="s">
        <v>457</v>
      </c>
      <c r="Q142" s="15"/>
      <c r="R142" s="24"/>
      <c r="S142" s="15" t="s">
        <v>630</v>
      </c>
      <c r="T142" s="15" t="str">
        <f t="shared" si="30"/>
        <v>GWB-244.256</v>
      </c>
      <c r="U142" s="15"/>
      <c r="V142" s="54">
        <f t="shared" si="27"/>
        <v>7400000</v>
      </c>
      <c r="W142" s="54">
        <f t="shared" si="28"/>
        <v>4985882.5</v>
      </c>
      <c r="X142" s="54">
        <f t="shared" si="29"/>
        <v>2414117.5</v>
      </c>
    </row>
    <row r="143" spans="3:28" ht="8.25" customHeight="1" x14ac:dyDescent="0.25">
      <c r="C143" s="39"/>
      <c r="D143" s="15"/>
      <c r="E143" s="24"/>
      <c r="F143" s="25"/>
      <c r="G143" s="46"/>
      <c r="H143" s="27"/>
      <c r="I143" s="27"/>
      <c r="J143" s="27"/>
      <c r="K143" s="26"/>
      <c r="L143" s="11"/>
      <c r="M143" s="15"/>
      <c r="P143" s="11"/>
      <c r="S143" s="15"/>
      <c r="T143" s="15">
        <f t="shared" si="30"/>
        <v>0</v>
      </c>
      <c r="V143" s="54"/>
      <c r="W143" s="54"/>
      <c r="X143" s="54"/>
    </row>
    <row r="144" spans="3:28" x14ac:dyDescent="0.25">
      <c r="C144" s="39">
        <v>2015</v>
      </c>
      <c r="D144" s="15" t="str">
        <f>+'PN-654.036'!F4</f>
        <v>PN-654.036</v>
      </c>
      <c r="E144" s="24" t="str">
        <f>+'PN-654.036'!F5</f>
        <v>Port Newark-Water System Rehabilitation At Central And South Sections</v>
      </c>
      <c r="F144" s="25">
        <f>+'PN-654.036'!F6</f>
        <v>42277</v>
      </c>
      <c r="G144" s="46" t="str">
        <f>+'PN-654.036'!G7</f>
        <v>Public</v>
      </c>
      <c r="H144" s="27">
        <f>+'PN-654.036'!F7</f>
        <v>7000000</v>
      </c>
      <c r="I144" s="27">
        <f>+'PN-654.036'!F8</f>
        <v>5851111</v>
      </c>
      <c r="J144" s="27" t="s">
        <v>519</v>
      </c>
      <c r="K144" s="26">
        <f>+'PN-654.036'!G9</f>
        <v>-0.164127</v>
      </c>
      <c r="L144" s="11" t="str">
        <f>+'PN-654.036'!F11</f>
        <v>GOOD</v>
      </c>
      <c r="M144" s="15">
        <f>+'PN-654.036'!H12</f>
        <v>15</v>
      </c>
      <c r="N144" s="35" t="s">
        <v>25</v>
      </c>
      <c r="O144" s="15">
        <v>3</v>
      </c>
      <c r="P144" s="35" t="s">
        <v>492</v>
      </c>
      <c r="Q144" s="15"/>
      <c r="R144" s="24"/>
      <c r="S144" s="15" t="s">
        <v>442</v>
      </c>
      <c r="T144" s="15">
        <f>+'PN-654.036'!V4</f>
        <v>0</v>
      </c>
      <c r="U144" s="15"/>
      <c r="V144" s="54">
        <f t="shared" si="27"/>
        <v>7000000</v>
      </c>
      <c r="W144" s="54">
        <f t="shared" si="28"/>
        <v>5851111</v>
      </c>
      <c r="X144" s="54">
        <f t="shared" si="29"/>
        <v>1148889</v>
      </c>
      <c r="Z144" s="4">
        <f>SUM(V144:V150)</f>
        <v>19147000</v>
      </c>
      <c r="AA144" s="4">
        <f>SUM(W144:W150)</f>
        <v>16682499</v>
      </c>
      <c r="AB144" s="7">
        <f>+Z144/AA144</f>
        <v>1.1477297256244403</v>
      </c>
    </row>
    <row r="145" spans="3:28" x14ac:dyDescent="0.25">
      <c r="C145" s="39">
        <v>2015</v>
      </c>
      <c r="D145" s="15" t="str">
        <f>+'LGA-124.226'!F4</f>
        <v>LGA-124.226</v>
      </c>
      <c r="E145" s="24" t="str">
        <f>+'LGA-124.226'!F5</f>
        <v>LaGuardia Airport-Hanger 7 South Build Out</v>
      </c>
      <c r="F145" s="25">
        <f>+'LGA-124.226'!F6</f>
        <v>42268</v>
      </c>
      <c r="G145" s="46" t="str">
        <f>+'LGA-124.226'!G7</f>
        <v>Public</v>
      </c>
      <c r="H145" s="27">
        <f>+'LGA-124.226'!F7</f>
        <v>7900000</v>
      </c>
      <c r="I145" s="27">
        <f>+'LGA-124.226'!F8</f>
        <v>6769800</v>
      </c>
      <c r="J145" s="27" t="s">
        <v>519</v>
      </c>
      <c r="K145" s="26">
        <f>+'LGA-124.226'!G9</f>
        <v>-0.14306329113924052</v>
      </c>
      <c r="L145" s="11" t="str">
        <f>+'LGA-124.226'!F11</f>
        <v>GOOD</v>
      </c>
      <c r="M145" s="15">
        <f>+'LGA-124.226'!H12</f>
        <v>18</v>
      </c>
      <c r="N145" s="35" t="s">
        <v>93</v>
      </c>
      <c r="O145" s="15">
        <v>3</v>
      </c>
      <c r="P145" s="35" t="s">
        <v>458</v>
      </c>
      <c r="Q145" s="15"/>
      <c r="R145" s="24"/>
      <c r="S145" s="15" t="s">
        <v>494</v>
      </c>
      <c r="T145" s="15">
        <f>+'LGA-124.226'!V4</f>
        <v>0</v>
      </c>
      <c r="U145" s="15"/>
      <c r="V145" s="54">
        <f t="shared" si="27"/>
        <v>7900000</v>
      </c>
      <c r="W145" s="54">
        <f t="shared" si="28"/>
        <v>6769800</v>
      </c>
      <c r="X145" s="54">
        <f t="shared" si="29"/>
        <v>1130200</v>
      </c>
    </row>
    <row r="146" spans="3:28" x14ac:dyDescent="0.25">
      <c r="C146" s="39">
        <v>2015</v>
      </c>
      <c r="D146" s="15" t="str">
        <f>+'EWR-924.320'!F4</f>
        <v>EWR-924.320</v>
      </c>
      <c r="E146" s="24" t="str">
        <f>+'EWR-924.320'!F5</f>
        <v>Newark Liberty International Airport-Terminal 'C' Level 1 Drainage Improvements</v>
      </c>
      <c r="F146" s="25">
        <f>+'EWR-924.320'!F6</f>
        <v>42256</v>
      </c>
      <c r="G146" s="46" t="str">
        <f>+'EWR-924.320'!G7</f>
        <v>M/WBE</v>
      </c>
      <c r="H146" s="27">
        <f>+'EWR-924.320'!F$7</f>
        <v>325000</v>
      </c>
      <c r="I146" s="27">
        <f>+'EWR-924.320'!F$8</f>
        <v>377777</v>
      </c>
      <c r="J146" s="27"/>
      <c r="K146" s="26">
        <f>+'EWR-924.320'!G$9</f>
        <v>0.16239076923076923</v>
      </c>
      <c r="L146" s="11" t="str">
        <f>+'EWR-924.320'!F$11</f>
        <v>FAIL</v>
      </c>
      <c r="M146" s="15">
        <f>+'EWR-924.320'!H$12</f>
        <v>6</v>
      </c>
      <c r="N146" s="35" t="s">
        <v>25</v>
      </c>
      <c r="O146" s="15">
        <v>3</v>
      </c>
      <c r="P146" s="35" t="s">
        <v>458</v>
      </c>
      <c r="Q146" s="15"/>
      <c r="R146" s="24"/>
      <c r="S146" s="15"/>
      <c r="T146" s="15">
        <f>+'EWR-924.320'!V4</f>
        <v>0</v>
      </c>
      <c r="U146" s="15"/>
      <c r="V146" s="54">
        <f t="shared" si="27"/>
        <v>325000</v>
      </c>
      <c r="W146" s="54">
        <f t="shared" si="28"/>
        <v>377777</v>
      </c>
      <c r="X146" s="54">
        <f t="shared" si="29"/>
        <v>-52777</v>
      </c>
    </row>
    <row r="147" spans="3:28" x14ac:dyDescent="0.25">
      <c r="C147" s="39">
        <v>2015</v>
      </c>
      <c r="D147" s="15" t="str">
        <f>+'LGA-124.229'!F4</f>
        <v>LGA-124.229</v>
      </c>
      <c r="E147" s="24" t="str">
        <f>+'LGA-124.229'!F5</f>
        <v>LaGuardia Airport - Watch Engineer's Office Relocation</v>
      </c>
      <c r="F147" s="25">
        <f>+'LGA-124.229'!F6</f>
        <v>42243</v>
      </c>
      <c r="G147" s="46" t="str">
        <f>+'LGA-124.229'!G7</f>
        <v>Public</v>
      </c>
      <c r="H147" s="27">
        <f>+'LGA-124.229'!F$7</f>
        <v>1650000</v>
      </c>
      <c r="I147" s="27">
        <f>+'LGA-124.229'!F$8</f>
        <v>1898000</v>
      </c>
      <c r="J147" s="27"/>
      <c r="K147" s="26">
        <f>+'LGA-124.229'!G$9</f>
        <v>0.1503030303030303</v>
      </c>
      <c r="L147" s="11" t="str">
        <f>+'LGA-124.229'!F$11</f>
        <v>FAIL</v>
      </c>
      <c r="M147" s="15">
        <f>+'LGA-124.229'!H$12</f>
        <v>4</v>
      </c>
      <c r="N147" s="35" t="s">
        <v>93</v>
      </c>
      <c r="O147" s="15">
        <v>3</v>
      </c>
      <c r="P147" s="35" t="s">
        <v>458</v>
      </c>
      <c r="Q147" s="15"/>
      <c r="R147" s="24"/>
      <c r="S147" s="15" t="s">
        <v>494</v>
      </c>
      <c r="T147" s="15">
        <f>+'LGA-124.229'!V4</f>
        <v>0</v>
      </c>
      <c r="U147" s="15"/>
      <c r="V147" s="54">
        <f t="shared" si="27"/>
        <v>1650000</v>
      </c>
      <c r="W147" s="54">
        <f t="shared" si="28"/>
        <v>1898000</v>
      </c>
      <c r="X147" s="54">
        <f t="shared" si="29"/>
        <v>-248000</v>
      </c>
    </row>
    <row r="148" spans="3:28" x14ac:dyDescent="0.25">
      <c r="C148" s="39">
        <v>2015</v>
      </c>
      <c r="D148" s="15" t="str">
        <f>+'EWR-924.175A'!F4</f>
        <v>EWR-924.175A</v>
      </c>
      <c r="E148" s="24" t="str">
        <f>+'EWR-924.175A'!F5</f>
        <v>Newark Liberty International Airport-Building No. 105 Roof Replacement</v>
      </c>
      <c r="F148" s="25">
        <f>+'EWR-924.175A'!F6</f>
        <v>42234</v>
      </c>
      <c r="G148" s="46" t="str">
        <f>+'EWR-924.175A'!G7</f>
        <v>M/WBE</v>
      </c>
      <c r="H148" s="27">
        <f>+'EWR-924.175A'!F$7</f>
        <v>354000</v>
      </c>
      <c r="I148" s="27">
        <f>+'EWR-924.175A'!F$8</f>
        <v>396811</v>
      </c>
      <c r="J148" s="27"/>
      <c r="K148" s="26">
        <f>+'EWR-924.175A'!G$9</f>
        <v>0.12093502824858757</v>
      </c>
      <c r="L148" s="11" t="str">
        <f>+'EWR-924.175A'!F$11</f>
        <v>FAIL</v>
      </c>
      <c r="M148" s="15">
        <f>+'EWR-924.175A'!H$12</f>
        <v>3</v>
      </c>
      <c r="N148" s="35" t="s">
        <v>25</v>
      </c>
      <c r="O148" s="15">
        <v>3</v>
      </c>
      <c r="P148" s="35" t="s">
        <v>458</v>
      </c>
      <c r="Q148" s="15"/>
      <c r="R148" s="24"/>
      <c r="S148" s="15"/>
      <c r="T148" s="15">
        <f>+'EWR-924.175A'!V4</f>
        <v>0</v>
      </c>
      <c r="U148" s="15"/>
      <c r="V148" s="54">
        <f t="shared" si="27"/>
        <v>354000</v>
      </c>
      <c r="W148" s="54">
        <f t="shared" si="28"/>
        <v>396811</v>
      </c>
      <c r="X148" s="54">
        <f t="shared" si="29"/>
        <v>-42811</v>
      </c>
    </row>
    <row r="149" spans="3:28" x14ac:dyDescent="0.25">
      <c r="C149" s="39">
        <v>2015</v>
      </c>
      <c r="D149" s="15" t="str">
        <f>+'EWR-154.239'!F4</f>
        <v>EWR-154.239</v>
      </c>
      <c r="E149" s="24" t="str">
        <f>+'EWR-154.239'!F5</f>
        <v>Newark Liberty International Airport- Rehabilitation of Expansion Joints of Bridges N3, N9, N13, N17, N19 and N29, and Structural Elements</v>
      </c>
      <c r="F149" s="25">
        <f>+'EWR-154.239'!F6</f>
        <v>42213</v>
      </c>
      <c r="G149" s="46" t="str">
        <f>+'EWR-154.239'!G7</f>
        <v>Public</v>
      </c>
      <c r="H149" s="27">
        <f>+'EWR-154.239'!F$7</f>
        <v>1918000</v>
      </c>
      <c r="I149" s="27">
        <f>+'EWR-154.239'!F$8</f>
        <v>1389000</v>
      </c>
      <c r="J149" s="27"/>
      <c r="K149" s="26">
        <f>+'EWR-154.239'!G$9</f>
        <v>-0.27580813347236705</v>
      </c>
      <c r="L149" s="11" t="str">
        <f>+'EWR-154.239'!F$11</f>
        <v>GOOD</v>
      </c>
      <c r="M149" s="15">
        <f>+'EWR-154.239'!H$12</f>
        <v>12</v>
      </c>
      <c r="N149" s="35" t="s">
        <v>25</v>
      </c>
      <c r="O149" s="15">
        <v>3</v>
      </c>
      <c r="P149" s="35" t="s">
        <v>458</v>
      </c>
      <c r="Q149" s="15"/>
      <c r="R149" s="24"/>
      <c r="S149" s="15"/>
      <c r="T149" s="15">
        <f>+'EWR-154.239'!V4</f>
        <v>0</v>
      </c>
      <c r="U149" s="15"/>
      <c r="V149" s="54">
        <f t="shared" si="27"/>
        <v>1918000</v>
      </c>
      <c r="W149" s="54">
        <f t="shared" si="28"/>
        <v>1389000</v>
      </c>
      <c r="X149" s="54">
        <f t="shared" si="29"/>
        <v>529000</v>
      </c>
    </row>
    <row r="150" spans="3:28" x14ac:dyDescent="0.25">
      <c r="C150" s="39">
        <v>2015</v>
      </c>
      <c r="D150" s="15" t="str">
        <f>+'LGA-774.133A'!F4</f>
        <v>LGA-774.133A</v>
      </c>
      <c r="E150" s="24" t="str">
        <f>+'LGA-774.133A'!F5</f>
        <v>LaGuardia Airport-Emergency Storm Drainage Outfalls</v>
      </c>
      <c r="F150" s="25">
        <f>+'LGA-774.133A'!F6</f>
        <v>42209</v>
      </c>
      <c r="G150" s="46" t="str">
        <f>+'LGA-774.133A'!G7</f>
        <v>Public</v>
      </c>
      <c r="H150" s="27"/>
      <c r="I150" s="27"/>
      <c r="J150" s="27"/>
      <c r="K150" s="26"/>
      <c r="L150" s="11"/>
      <c r="M150" s="15">
        <f>+'LGA-774.133A'!H$12</f>
        <v>7</v>
      </c>
      <c r="N150" s="35" t="s">
        <v>93</v>
      </c>
      <c r="O150" s="15">
        <v>3</v>
      </c>
      <c r="P150" s="35" t="s">
        <v>458</v>
      </c>
      <c r="Q150" s="15"/>
      <c r="R150" s="24" t="s">
        <v>227</v>
      </c>
      <c r="S150" s="15" t="s">
        <v>494</v>
      </c>
      <c r="T150" s="15">
        <f>+'LGA-774.133A'!V4</f>
        <v>0</v>
      </c>
      <c r="U150" s="15"/>
      <c r="V150" s="54">
        <f t="shared" si="27"/>
        <v>0</v>
      </c>
      <c r="W150" s="54">
        <f t="shared" si="28"/>
        <v>0</v>
      </c>
      <c r="X150" s="54">
        <f t="shared" si="29"/>
        <v>0</v>
      </c>
    </row>
    <row r="151" spans="3:28" ht="8.25" customHeight="1" x14ac:dyDescent="0.25">
      <c r="C151" s="39"/>
      <c r="D151" s="15"/>
      <c r="E151" s="24"/>
      <c r="F151" s="25"/>
      <c r="G151" s="46"/>
      <c r="H151" s="27"/>
      <c r="I151" s="27"/>
      <c r="J151" s="27"/>
      <c r="K151" s="26"/>
      <c r="L151" s="11"/>
      <c r="M151" s="15"/>
      <c r="P151" s="11"/>
      <c r="S151" s="15"/>
      <c r="T151" s="15"/>
      <c r="V151" s="54"/>
      <c r="W151" s="54"/>
      <c r="X151" s="54"/>
    </row>
    <row r="152" spans="3:28" x14ac:dyDescent="0.25">
      <c r="C152" s="39">
        <v>2015</v>
      </c>
      <c r="D152" s="15" t="str">
        <f>+'LT-924.014'!F4</f>
        <v>LT-924.014</v>
      </c>
      <c r="E152" s="24" t="str">
        <f>+'LT-924.014'!F5</f>
        <v>Lincoln Tunnel-Water Leak Repairs</v>
      </c>
      <c r="F152" s="25">
        <f>+'LT-924.014'!F6</f>
        <v>42178</v>
      </c>
      <c r="G152" s="46" t="str">
        <f>+'LT-924.014'!G7</f>
        <v>Public</v>
      </c>
      <c r="H152" s="27">
        <f>+'LT-924.014'!F$7</f>
        <v>1800000</v>
      </c>
      <c r="I152" s="27">
        <f>+'LT-924.014'!F$8</f>
        <v>2217200</v>
      </c>
      <c r="J152" s="27"/>
      <c r="K152" s="26">
        <f>+'LT-924.014'!G$9</f>
        <v>0.23177777777777778</v>
      </c>
      <c r="L152" s="11" t="str">
        <f>+'LT-924.014'!F$11</f>
        <v>FAIL</v>
      </c>
      <c r="M152" s="15">
        <f>+'LT-924.014'!H$12</f>
        <v>2</v>
      </c>
      <c r="N152" s="35" t="s">
        <v>226</v>
      </c>
      <c r="O152" s="15">
        <v>2</v>
      </c>
      <c r="P152" s="35" t="s">
        <v>457</v>
      </c>
      <c r="Q152" s="15"/>
      <c r="R152" s="24"/>
      <c r="S152" s="15" t="s">
        <v>630</v>
      </c>
      <c r="T152" s="15">
        <f>+'LT-924.014'!V4</f>
        <v>0</v>
      </c>
      <c r="U152" s="15"/>
      <c r="V152" s="54">
        <f t="shared" si="27"/>
        <v>1800000</v>
      </c>
      <c r="W152" s="54">
        <f t="shared" si="28"/>
        <v>2217200</v>
      </c>
      <c r="X152" s="54">
        <f t="shared" si="29"/>
        <v>-417200</v>
      </c>
      <c r="Z152" s="4">
        <f>SUM(V152:V168)</f>
        <v>64639000</v>
      </c>
      <c r="AA152" s="4">
        <f>SUM(W152:W168)</f>
        <v>66886744.329999998</v>
      </c>
      <c r="AB152" s="7">
        <f>+Z152/AA152</f>
        <v>0.96639477145261743</v>
      </c>
    </row>
    <row r="153" spans="3:28" x14ac:dyDescent="0.25">
      <c r="C153" s="39">
        <v>2015</v>
      </c>
      <c r="D153" s="15" t="str">
        <f>+'GWB-244.240'!F4</f>
        <v>GWB-244.240</v>
      </c>
      <c r="E153" s="24" t="str">
        <f>+'GWB-244.240'!F5</f>
        <v>George Washington Bridge-Lower Level Priority Steel and Concrete Prepairs, Rehabilitation of Catwalks and Plaintenace Platform Travelers</v>
      </c>
      <c r="F153" s="25">
        <f>+'GWB-244.240'!F6</f>
        <v>42177</v>
      </c>
      <c r="G153" s="46" t="str">
        <f>+'GWB-244.240'!G7</f>
        <v>Public</v>
      </c>
      <c r="H153" s="27">
        <f>+'GWB-244.240'!F$7</f>
        <v>6500000</v>
      </c>
      <c r="I153" s="27">
        <f>+'GWB-244.240'!F$8</f>
        <v>6374800</v>
      </c>
      <c r="J153" s="27" t="s">
        <v>519</v>
      </c>
      <c r="K153" s="26">
        <f>+'GWB-244.240'!G$9</f>
        <v>-1.9261538461538462E-2</v>
      </c>
      <c r="L153" s="11" t="str">
        <f>+'GWB-244.240'!F$11</f>
        <v>GOOD</v>
      </c>
      <c r="M153" s="15">
        <f>+'GWB-244.240'!H$12</f>
        <v>7</v>
      </c>
      <c r="N153" s="35" t="s">
        <v>226</v>
      </c>
      <c r="O153" s="15">
        <v>2</v>
      </c>
      <c r="P153" s="35" t="s">
        <v>457</v>
      </c>
      <c r="Q153" s="15"/>
      <c r="R153" s="15"/>
      <c r="S153" s="15" t="s">
        <v>630</v>
      </c>
      <c r="T153" s="15">
        <f>+'GWB-244.240'!V4</f>
        <v>0</v>
      </c>
      <c r="U153" s="15"/>
      <c r="V153" s="54">
        <f t="shared" si="27"/>
        <v>6500000</v>
      </c>
      <c r="W153" s="54">
        <f t="shared" si="28"/>
        <v>6374800</v>
      </c>
      <c r="X153" s="54">
        <f t="shared" si="29"/>
        <v>125200</v>
      </c>
    </row>
    <row r="154" spans="3:28" x14ac:dyDescent="0.25">
      <c r="C154" s="39">
        <v>2015</v>
      </c>
      <c r="D154" s="15" t="str">
        <f>+'MFP-924.623'!F4</f>
        <v>MFP-924.623</v>
      </c>
      <c r="E154" s="24" t="str">
        <f>+'MFP-924.623'!F5</f>
        <v>New York Marine Terminals-Paving and Utility Rehabilitation Via Work Order</v>
      </c>
      <c r="F154" s="25">
        <f>+'MFP-924.623'!F6</f>
        <v>42159</v>
      </c>
      <c r="G154" s="46" t="str">
        <f>+'MFP-924.623'!G7</f>
        <v>Public</v>
      </c>
      <c r="H154" s="27">
        <f>+'MFP-924.623'!F$7</f>
        <v>1600000</v>
      </c>
      <c r="I154" s="27">
        <f>+'MFP-924.623'!F$8</f>
        <v>1298005</v>
      </c>
      <c r="J154" s="27"/>
      <c r="K154" s="26">
        <f>+'MFP-924.623'!G$9</f>
        <v>-0.18874687500000001</v>
      </c>
      <c r="L154" s="11" t="str">
        <f>+'MFP-924.623'!F$11</f>
        <v>GOOD</v>
      </c>
      <c r="M154" s="15">
        <f>+'MFP-924.623'!H$12</f>
        <v>6</v>
      </c>
      <c r="N154" s="35" t="s">
        <v>93</v>
      </c>
      <c r="O154" s="15">
        <v>2</v>
      </c>
      <c r="P154" s="35" t="s">
        <v>492</v>
      </c>
      <c r="Q154" s="15"/>
      <c r="R154" s="15"/>
      <c r="S154" s="15" t="s">
        <v>634</v>
      </c>
      <c r="T154" s="15">
        <f>+'MFP-924.623'!V4</f>
        <v>0</v>
      </c>
      <c r="U154" s="15"/>
      <c r="V154" s="54">
        <f t="shared" si="27"/>
        <v>1600000</v>
      </c>
      <c r="W154" s="54">
        <f t="shared" si="28"/>
        <v>1298005</v>
      </c>
      <c r="X154" s="54">
        <f t="shared" si="29"/>
        <v>301995</v>
      </c>
    </row>
    <row r="155" spans="3:28" x14ac:dyDescent="0.25">
      <c r="C155" s="39">
        <v>2015</v>
      </c>
      <c r="D155" s="15" t="str">
        <f>+'NYNJRR-644.531'!F4</f>
        <v>NYNJRR-644.531</v>
      </c>
      <c r="E155" s="24" t="str">
        <f>+'NYNJRR-644.531'!F5</f>
        <v>NY and NJ Rail - Transfer Bridge #10 Reconstruction and Fender Modifications at 65th St Yard, Brooklyn</v>
      </c>
      <c r="F155" s="25">
        <f>+'NYNJRR-644.531'!F6</f>
        <v>42157</v>
      </c>
      <c r="G155" s="46" t="str">
        <f>+'NYNJRR-644.531'!G7</f>
        <v>Public</v>
      </c>
      <c r="H155" s="27">
        <f>+'NYNJRR-644.531'!F$7</f>
        <v>29100000</v>
      </c>
      <c r="I155" s="27">
        <f>+'NYNJRR-644.531'!F$8</f>
        <v>30452500</v>
      </c>
      <c r="J155" s="27" t="s">
        <v>519</v>
      </c>
      <c r="K155" s="26">
        <f>+'NYNJRR-644.531'!G$9</f>
        <v>4.6477663230240551E-2</v>
      </c>
      <c r="L155" s="11" t="str">
        <f>+'NYNJRR-644.531'!F$11</f>
        <v>GOOD</v>
      </c>
      <c r="M155" s="15">
        <f>+'NYNJRR-644.531'!H$12</f>
        <v>11</v>
      </c>
      <c r="N155" s="35" t="s">
        <v>25</v>
      </c>
      <c r="O155" s="15">
        <v>2</v>
      </c>
      <c r="P155" s="35" t="s">
        <v>492</v>
      </c>
      <c r="Q155" s="15"/>
      <c r="R155" s="15"/>
      <c r="S155" s="15" t="s">
        <v>630</v>
      </c>
      <c r="T155" s="15">
        <f>+'NYNJRR-644.531'!V4</f>
        <v>0</v>
      </c>
      <c r="U155" s="15"/>
      <c r="V155" s="54">
        <f t="shared" si="27"/>
        <v>29100000</v>
      </c>
      <c r="W155" s="54">
        <f t="shared" si="28"/>
        <v>30452500</v>
      </c>
      <c r="X155" s="54">
        <f t="shared" si="29"/>
        <v>-1352500</v>
      </c>
    </row>
    <row r="156" spans="3:28" x14ac:dyDescent="0.25">
      <c r="C156" s="39">
        <v>2015</v>
      </c>
      <c r="D156" s="15" t="str">
        <f>+'JFK-914.209'!F4</f>
        <v>JFK-914.209</v>
      </c>
      <c r="E156" s="24" t="str">
        <f>+'JFK-914.209'!F5</f>
        <v>John F. Kennedy International Airport-Former Hangar 12 Site-West Area Lighting</v>
      </c>
      <c r="F156" s="25">
        <f>+'JFK-914.209'!F6</f>
        <v>42145</v>
      </c>
      <c r="G156" s="46" t="str">
        <f>+'JFK-914.209'!G7</f>
        <v>MBE</v>
      </c>
      <c r="H156" s="27">
        <f>+'JFK-914.209'!F$7</f>
        <v>1550000</v>
      </c>
      <c r="I156" s="27">
        <f>+'JFK-914.209'!F$8</f>
        <v>2333333.33</v>
      </c>
      <c r="J156" s="27"/>
      <c r="K156" s="26">
        <f>+'JFK-914.209'!G$9</f>
        <v>0.50537634193548386</v>
      </c>
      <c r="L156" s="11" t="str">
        <f>+'JFK-914.209'!F$11</f>
        <v>FAIL</v>
      </c>
      <c r="M156" s="15">
        <f>+'JFK-914.209'!H$12</f>
        <v>2</v>
      </c>
      <c r="N156" s="11" t="s">
        <v>93</v>
      </c>
      <c r="O156" s="15">
        <v>2</v>
      </c>
      <c r="P156" s="35" t="s">
        <v>458</v>
      </c>
      <c r="S156" s="15" t="s">
        <v>630</v>
      </c>
      <c r="T156" s="15">
        <f>+'JFK-914.209'!V4</f>
        <v>0</v>
      </c>
      <c r="V156" s="54">
        <f t="shared" si="27"/>
        <v>1550000</v>
      </c>
      <c r="W156" s="54">
        <f t="shared" si="28"/>
        <v>2333333.33</v>
      </c>
      <c r="X156" s="54">
        <f t="shared" si="29"/>
        <v>-783333.33000000007</v>
      </c>
    </row>
    <row r="157" spans="3:28" x14ac:dyDescent="0.25">
      <c r="C157" s="39">
        <v>2015</v>
      </c>
      <c r="D157" s="15" t="str">
        <f>+'PN-654.545'!F4</f>
        <v>PN-654.545</v>
      </c>
      <c r="E157" s="24" t="str">
        <f>+'PN-654.545'!F5</f>
        <v>Port Newark Berth 19 Wharf Restoration</v>
      </c>
      <c r="F157" s="25">
        <f>+'PN-654.545'!F6</f>
        <v>42145</v>
      </c>
      <c r="G157" s="46" t="str">
        <f>+'PN-654.545'!G7</f>
        <v>Public</v>
      </c>
      <c r="H157" s="27">
        <f>+'PN-654.545'!F$7</f>
        <v>6400000</v>
      </c>
      <c r="I157" s="27">
        <f>+'PN-654.545'!F$8</f>
        <v>5777000</v>
      </c>
      <c r="J157" s="27" t="s">
        <v>519</v>
      </c>
      <c r="K157" s="26">
        <f>+'PN-654.545'!G$9</f>
        <v>-9.7343750000000007E-2</v>
      </c>
      <c r="L157" s="11" t="str">
        <f>+'PN-654.545'!F$11</f>
        <v>GOOD</v>
      </c>
      <c r="M157" s="15">
        <f>+'PN-654.545'!H$12</f>
        <v>7</v>
      </c>
      <c r="N157" s="11" t="s">
        <v>25</v>
      </c>
      <c r="O157" s="15">
        <v>2</v>
      </c>
      <c r="P157" s="35" t="s">
        <v>492</v>
      </c>
      <c r="S157" s="15" t="s">
        <v>442</v>
      </c>
      <c r="T157" s="15">
        <f>+'PN-654.545'!V4</f>
        <v>0</v>
      </c>
      <c r="V157" s="54">
        <f t="shared" si="27"/>
        <v>6400000</v>
      </c>
      <c r="W157" s="54">
        <f t="shared" si="28"/>
        <v>5777000</v>
      </c>
      <c r="X157" s="54">
        <f t="shared" si="29"/>
        <v>623000</v>
      </c>
    </row>
    <row r="158" spans="3:28" x14ac:dyDescent="0.25">
      <c r="C158" s="39">
        <v>2015</v>
      </c>
      <c r="D158" s="15" t="str">
        <f>+'PAT-131.000'!F4</f>
        <v>PAT-131.000</v>
      </c>
      <c r="E158" s="24" t="str">
        <f>+'PAT-131.000'!F5</f>
        <v>Path-Hackensack River Bridge Emergency Generator Fuel Tank</v>
      </c>
      <c r="F158" s="25">
        <f>+'PAT-131.000'!F6</f>
        <v>42144</v>
      </c>
      <c r="G158" s="46" t="str">
        <f>+'PAT-131.000'!G7</f>
        <v>Public</v>
      </c>
      <c r="H158" s="27">
        <f>+'PAT-131.000'!F$7</f>
        <v>3340000</v>
      </c>
      <c r="I158" s="27">
        <f>+'PAT-131.000'!F$8</f>
        <v>4538160</v>
      </c>
      <c r="J158" s="27"/>
      <c r="K158" s="26">
        <f>+'PAT-131.000'!G$9</f>
        <v>0.35873053892215567</v>
      </c>
      <c r="L158" s="11" t="str">
        <f>+'PAT-131.000'!F$11</f>
        <v>FAIL</v>
      </c>
      <c r="M158" s="15">
        <f>+'PAT-131.000'!H$12</f>
        <v>3</v>
      </c>
      <c r="N158" s="11" t="s">
        <v>25</v>
      </c>
      <c r="O158" s="15">
        <v>2</v>
      </c>
      <c r="P158" s="35" t="s">
        <v>459</v>
      </c>
      <c r="S158" s="15" t="s">
        <v>447</v>
      </c>
      <c r="T158" s="15">
        <f>+'PAT-131.000'!V4</f>
        <v>0</v>
      </c>
      <c r="V158" s="54">
        <f t="shared" si="27"/>
        <v>3340000</v>
      </c>
      <c r="W158" s="54">
        <f t="shared" si="28"/>
        <v>4538160</v>
      </c>
      <c r="X158" s="54">
        <f t="shared" si="29"/>
        <v>-1198160</v>
      </c>
    </row>
    <row r="159" spans="3:28" x14ac:dyDescent="0.25">
      <c r="C159" s="39">
        <v>2015</v>
      </c>
      <c r="D159" s="15" t="str">
        <f>+'SWF-164.031A'!F4</f>
        <v>SWF-164.031A</v>
      </c>
      <c r="E159" s="24" t="str">
        <f>+'SWF-164.031A'!F5</f>
        <v>Stewart International-Passenger Loading Bridges Pressurization Fans</v>
      </c>
      <c r="F159" s="25">
        <f>+'SWF-164.031A'!F6</f>
        <v>42143</v>
      </c>
      <c r="G159" s="46" t="str">
        <f>+'SWF-164.031A'!G7</f>
        <v>Public</v>
      </c>
      <c r="H159" s="27">
        <f>+'SWF-164.031A'!F$7</f>
        <v>1263000</v>
      </c>
      <c r="I159" s="27">
        <f>+'SWF-164.031A'!F$8</f>
        <v>930000</v>
      </c>
      <c r="J159" s="27"/>
      <c r="K159" s="26">
        <f>+'SWF-164.031A'!G$9</f>
        <v>-0.26365795724465557</v>
      </c>
      <c r="L159" s="11" t="str">
        <f>+'SWF-164.031A'!F$11</f>
        <v>FAIL</v>
      </c>
      <c r="M159" s="15">
        <f>+'SWF-164.031A'!H$12</f>
        <v>1</v>
      </c>
      <c r="N159" s="11" t="s">
        <v>93</v>
      </c>
      <c r="O159" s="15">
        <v>2</v>
      </c>
      <c r="P159" s="35" t="s">
        <v>458</v>
      </c>
      <c r="S159" s="15" t="s">
        <v>494</v>
      </c>
      <c r="T159" s="15">
        <f>+'SWF-164.031A'!V4</f>
        <v>0</v>
      </c>
      <c r="V159" s="54">
        <f t="shared" si="27"/>
        <v>1263000</v>
      </c>
      <c r="W159" s="54">
        <f t="shared" si="28"/>
        <v>930000</v>
      </c>
      <c r="X159" s="54">
        <f t="shared" si="29"/>
        <v>333000</v>
      </c>
    </row>
    <row r="160" spans="3:28" x14ac:dyDescent="0.25">
      <c r="C160" s="39">
        <v>2015</v>
      </c>
      <c r="D160" s="15" t="str">
        <f>+'GWB-924.044'!F4</f>
        <v>GWB-924.044</v>
      </c>
      <c r="E160" s="24" t="str">
        <f>+'GWB-924.044'!F5</f>
        <v xml:space="preserve">George Washington Bridge-Electrical Bus Replacement </v>
      </c>
      <c r="F160" s="25">
        <f>+'GWB-924.044'!F6</f>
        <v>42142</v>
      </c>
      <c r="G160" s="46" t="str">
        <f>+'GWB-924.044'!G7</f>
        <v>MBE</v>
      </c>
      <c r="H160" s="27">
        <f>+'GWB-924.044'!F$7</f>
        <v>830000</v>
      </c>
      <c r="I160" s="27">
        <f>+'GWB-924.044'!F$8</f>
        <v>1650000</v>
      </c>
      <c r="J160" s="27"/>
      <c r="K160" s="26">
        <f>+'GWB-924.044'!G$9</f>
        <v>0.98795180722891562</v>
      </c>
      <c r="L160" s="11" t="str">
        <f>+'GWB-924.044'!F$11</f>
        <v>FAIL</v>
      </c>
      <c r="M160" s="15">
        <f>+'GWB-924.044'!H$12</f>
        <v>1</v>
      </c>
      <c r="N160" s="35" t="s">
        <v>226</v>
      </c>
      <c r="O160" s="15">
        <v>2</v>
      </c>
      <c r="P160" s="35" t="s">
        <v>457</v>
      </c>
      <c r="S160" s="15" t="s">
        <v>630</v>
      </c>
      <c r="T160" s="15">
        <f>+'GWB-924.044'!V4</f>
        <v>0</v>
      </c>
      <c r="V160" s="54">
        <f t="shared" si="27"/>
        <v>830000</v>
      </c>
      <c r="W160" s="54">
        <f t="shared" si="28"/>
        <v>1650000</v>
      </c>
      <c r="X160" s="54">
        <f t="shared" si="29"/>
        <v>-820000</v>
      </c>
    </row>
    <row r="161" spans="3:28" ht="15" customHeight="1" x14ac:dyDescent="0.25">
      <c r="C161" s="39">
        <v>2015</v>
      </c>
      <c r="D161" s="15" t="str">
        <f>+'TEB-914.203'!F4</f>
        <v>TEB-914.203</v>
      </c>
      <c r="E161" s="24" t="str">
        <f>+'TEB-914.203'!F5</f>
        <v>Teterboro Airport-Installation of Fencing to Mitigate Wildlife Hazards</v>
      </c>
      <c r="F161" s="25">
        <f>+'TEB-914.203'!F6</f>
        <v>42115</v>
      </c>
      <c r="G161" s="46" t="str">
        <f>+'TEB-914.203'!G7</f>
        <v>Public</v>
      </c>
      <c r="H161" s="27">
        <f>+'TEB-914.203'!F$7</f>
        <v>735000</v>
      </c>
      <c r="I161" s="27">
        <f>+'TEB-914.203'!F$8</f>
        <v>512568</v>
      </c>
      <c r="J161" s="27"/>
      <c r="K161" s="26">
        <f>+'TEB-914.203'!G$9</f>
        <v>-0.30262857142857141</v>
      </c>
      <c r="L161" s="11" t="str">
        <f>+'TEB-914.203'!F$11</f>
        <v>GOOD</v>
      </c>
      <c r="M161" s="15">
        <f>+'TEB-914.203'!H$12</f>
        <v>9</v>
      </c>
      <c r="N161" s="11" t="s">
        <v>25</v>
      </c>
      <c r="O161" s="15">
        <v>2</v>
      </c>
      <c r="P161" s="35" t="s">
        <v>458</v>
      </c>
      <c r="S161" s="15"/>
      <c r="T161" s="15">
        <f>+'TEB-914.203'!V4</f>
        <v>0</v>
      </c>
      <c r="V161" s="54">
        <f t="shared" si="27"/>
        <v>735000</v>
      </c>
      <c r="W161" s="54">
        <f t="shared" si="28"/>
        <v>512568</v>
      </c>
      <c r="X161" s="54">
        <f t="shared" si="29"/>
        <v>222432</v>
      </c>
    </row>
    <row r="162" spans="3:28" x14ac:dyDescent="0.25">
      <c r="C162" s="39">
        <v>2015</v>
      </c>
      <c r="D162" s="15" t="str">
        <f>+'MFP-924.630'!F4</f>
        <v>MFP-924.630</v>
      </c>
      <c r="E162" s="24" t="str">
        <f>+'MFP-924.630'!F5</f>
        <v>New Jersey Marine Terminals-Paving and Utility Rehabilitation via Work Order</v>
      </c>
      <c r="F162" s="25">
        <f>+'MFP-924.630'!F6</f>
        <v>42108</v>
      </c>
      <c r="G162" s="46" t="str">
        <f>+'MFP-924.630'!G7</f>
        <v>Public</v>
      </c>
      <c r="H162" s="27">
        <f>+'MFP-924.630'!F$7</f>
        <v>2320000</v>
      </c>
      <c r="I162" s="27">
        <f>+'MFP-924.630'!F$8</f>
        <v>1550780</v>
      </c>
      <c r="J162" s="27"/>
      <c r="K162" s="26">
        <f>+'MFP-924.630'!G$9</f>
        <v>-0.33156034482758623</v>
      </c>
      <c r="L162" s="11" t="str">
        <f>+'MFP-924.630'!F$11</f>
        <v>GOOD</v>
      </c>
      <c r="M162" s="15">
        <f>+'MFP-924.630'!H$12</f>
        <v>9</v>
      </c>
      <c r="N162" s="11" t="s">
        <v>25</v>
      </c>
      <c r="O162" s="15">
        <v>2</v>
      </c>
      <c r="P162" s="35" t="s">
        <v>492</v>
      </c>
      <c r="S162" s="15" t="s">
        <v>634</v>
      </c>
      <c r="T162" s="15">
        <f>+'MFP-924.630'!V4</f>
        <v>0</v>
      </c>
      <c r="V162" s="54">
        <f t="shared" si="27"/>
        <v>2320000</v>
      </c>
      <c r="W162" s="54">
        <f t="shared" si="28"/>
        <v>1550780</v>
      </c>
      <c r="X162" s="54">
        <f t="shared" si="29"/>
        <v>769220</v>
      </c>
    </row>
    <row r="163" spans="3:28" x14ac:dyDescent="0.25">
      <c r="C163" s="39">
        <v>2015</v>
      </c>
      <c r="D163" s="15" t="str">
        <f>+'PAT-643'!F4</f>
        <v>PAT-643-Work Order No. 2</v>
      </c>
      <c r="E163" s="24" t="str">
        <f>+'PAT-643'!F5</f>
        <v>Path-Tunnels E&amp;F Temporary Event detection Systems (TEDS)</v>
      </c>
      <c r="F163" s="25">
        <f>+'PAT-643'!F6</f>
        <v>42108</v>
      </c>
      <c r="G163" s="46" t="str">
        <f>+'PAT-643'!G7</f>
        <v>PQL</v>
      </c>
      <c r="H163" s="27">
        <f>+'PAT-643'!F$7</f>
        <v>521000</v>
      </c>
      <c r="I163" s="27">
        <f>+'PAT-643'!F$8</f>
        <v>1840000</v>
      </c>
      <c r="J163" s="27"/>
      <c r="K163" s="26">
        <f>+'PAT-643'!G$9</f>
        <v>2.5316698656429941</v>
      </c>
      <c r="L163" s="11" t="str">
        <f>+'PAT-643'!F$11</f>
        <v>FAIL</v>
      </c>
      <c r="M163" s="15">
        <f>+'PAT-643'!H$12</f>
        <v>3</v>
      </c>
      <c r="N163" s="35" t="s">
        <v>226</v>
      </c>
      <c r="O163" s="15">
        <v>2</v>
      </c>
      <c r="P163" s="35" t="s">
        <v>459</v>
      </c>
      <c r="S163" s="15" t="s">
        <v>447</v>
      </c>
      <c r="T163" s="15">
        <f>+'PAT-643'!V4</f>
        <v>0</v>
      </c>
      <c r="V163" s="54">
        <f t="shared" si="27"/>
        <v>521000</v>
      </c>
      <c r="W163" s="54">
        <f t="shared" si="28"/>
        <v>1840000</v>
      </c>
      <c r="X163" s="54">
        <f t="shared" si="29"/>
        <v>-1319000</v>
      </c>
    </row>
    <row r="164" spans="3:28" x14ac:dyDescent="0.25">
      <c r="C164" s="39">
        <v>2015</v>
      </c>
      <c r="D164" s="15" t="str">
        <f>+'LGA-774.234'!F4</f>
        <v>LGA-774.234</v>
      </c>
      <c r="E164" s="24" t="str">
        <f>+'LGA-774.234'!F5</f>
        <v>Laguardia Airport-Flood Protection at the West Field Lighting Vault</v>
      </c>
      <c r="F164" s="25">
        <f>+'LGA-774.234'!F6</f>
        <v>42104</v>
      </c>
      <c r="G164" s="46" t="str">
        <f>+'LGA-774.234'!G7</f>
        <v>Public</v>
      </c>
      <c r="H164" s="27">
        <f>+'LGA-774.234'!F$7</f>
        <v>3760000</v>
      </c>
      <c r="I164" s="27">
        <f>+'LGA-774.234'!F$8</f>
        <v>2999293</v>
      </c>
      <c r="J164" s="27"/>
      <c r="K164" s="26">
        <f>+'LGA-774.234'!G$9</f>
        <v>-0.20231569148936171</v>
      </c>
      <c r="L164" s="11" t="str">
        <f>+'LGA-774.234'!F$11</f>
        <v>GOOD</v>
      </c>
      <c r="M164" s="15">
        <f>+'LGA-774.234'!H$12</f>
        <v>10</v>
      </c>
      <c r="N164" s="11" t="s">
        <v>93</v>
      </c>
      <c r="O164" s="15">
        <v>2</v>
      </c>
      <c r="P164" s="35" t="s">
        <v>458</v>
      </c>
      <c r="S164" s="15" t="s">
        <v>494</v>
      </c>
      <c r="T164" s="15">
        <f>+'LGA-774.234'!V4</f>
        <v>0</v>
      </c>
      <c r="V164" s="54">
        <f t="shared" si="27"/>
        <v>3760000</v>
      </c>
      <c r="W164" s="54">
        <f t="shared" si="28"/>
        <v>2999293</v>
      </c>
      <c r="X164" s="54">
        <f t="shared" si="29"/>
        <v>760707</v>
      </c>
    </row>
    <row r="165" spans="3:28" x14ac:dyDescent="0.25">
      <c r="C165" s="39">
        <v>2015</v>
      </c>
      <c r="D165" s="15" t="str">
        <f>+'LGA-774.236'!F4</f>
        <v>LGA-774.236</v>
      </c>
      <c r="E165" s="24" t="str">
        <f>+'LGA-774.236'!F5</f>
        <v>Laguardia airport-Flood Protection at the West End Substation</v>
      </c>
      <c r="F165" s="25">
        <f>+'LGA-774.236'!F6</f>
        <v>42104</v>
      </c>
      <c r="G165" s="46" t="str">
        <f>+'LGA-774.236'!G7</f>
        <v>Public</v>
      </c>
      <c r="H165" s="27">
        <f>+'LGA-774.236'!F$7</f>
        <v>1770000</v>
      </c>
      <c r="I165" s="27">
        <f>+'LGA-774.236'!F$8</f>
        <v>1397380</v>
      </c>
      <c r="J165" s="27"/>
      <c r="K165" s="26">
        <f>+'LGA-774.236'!G$9</f>
        <v>-0.21051977401129943</v>
      </c>
      <c r="L165" s="11" t="str">
        <f>+'LGA-774.236'!F$11</f>
        <v>GOOD</v>
      </c>
      <c r="M165" s="15">
        <f>+'LGA-774.236'!H$12</f>
        <v>10</v>
      </c>
      <c r="N165" s="11" t="s">
        <v>93</v>
      </c>
      <c r="O165" s="15">
        <v>2</v>
      </c>
      <c r="P165" s="35" t="s">
        <v>458</v>
      </c>
      <c r="S165" s="15" t="s">
        <v>494</v>
      </c>
      <c r="T165" s="15">
        <f>+'LGA-774.236'!V4</f>
        <v>0</v>
      </c>
      <c r="V165" s="54">
        <f t="shared" si="27"/>
        <v>1770000</v>
      </c>
      <c r="W165" s="54">
        <f t="shared" si="28"/>
        <v>1397380</v>
      </c>
      <c r="X165" s="54">
        <f t="shared" si="29"/>
        <v>372620</v>
      </c>
    </row>
    <row r="166" spans="3:28" x14ac:dyDescent="0.25">
      <c r="C166" s="39">
        <v>2015</v>
      </c>
      <c r="D166" s="15" t="str">
        <f>+'JFK-1050'!F4</f>
        <v>JFK-1050</v>
      </c>
      <c r="E166" s="24" t="str">
        <f>+'JFK-1050'!F5</f>
        <v>John F. Kennedy International Airport-Replacement of Fire Alarm System at the Airport Traffic Control Tower</v>
      </c>
      <c r="F166" s="25">
        <f>+'JFK-1050'!F6</f>
        <v>42103</v>
      </c>
      <c r="G166" s="46" t="str">
        <f>+'JFK-1050'!G7</f>
        <v>Public</v>
      </c>
      <c r="H166" s="27">
        <f>+'JFK-1050'!F$7</f>
        <v>1850000</v>
      </c>
      <c r="I166" s="27">
        <f>+'JFK-1050'!F$8</f>
        <v>2137550</v>
      </c>
      <c r="J166" s="27"/>
      <c r="K166" s="26">
        <f>+'JFK-1050'!G$9</f>
        <v>0.15543243243243243</v>
      </c>
      <c r="L166" s="11" t="str">
        <f>+'JFK-1050'!F$11</f>
        <v>FAIL</v>
      </c>
      <c r="M166" s="15">
        <f>+'JFK-1050'!H$12</f>
        <v>8</v>
      </c>
      <c r="N166" s="11" t="s">
        <v>93</v>
      </c>
      <c r="O166" s="15">
        <v>2</v>
      </c>
      <c r="P166" s="35" t="s">
        <v>458</v>
      </c>
      <c r="S166" s="15" t="s">
        <v>634</v>
      </c>
      <c r="T166" s="15">
        <f>+'JFK-1050'!V4</f>
        <v>0</v>
      </c>
      <c r="V166" s="54">
        <f t="shared" si="27"/>
        <v>1850000</v>
      </c>
      <c r="W166" s="54">
        <f t="shared" si="28"/>
        <v>2137550</v>
      </c>
      <c r="X166" s="54">
        <f t="shared" si="29"/>
        <v>-287550</v>
      </c>
    </row>
    <row r="167" spans="3:28" x14ac:dyDescent="0.25">
      <c r="C167" s="39">
        <v>2015</v>
      </c>
      <c r="D167" s="15" t="str">
        <f>+'LGA-774.133'!F4</f>
        <v>LGA-774.133</v>
      </c>
      <c r="E167" s="24" t="str">
        <f>+'LGA-774.133'!F5</f>
        <v>LaGuardia Airport-Emergency Storm Drainage</v>
      </c>
      <c r="F167" s="25">
        <f>+'LGA-774.133'!F6</f>
        <v>42102</v>
      </c>
      <c r="G167" s="46" t="str">
        <f>+'LGA-774.133'!G7</f>
        <v>Public</v>
      </c>
      <c r="H167" s="27"/>
      <c r="I167" s="27"/>
      <c r="J167" s="27"/>
      <c r="K167" s="26"/>
      <c r="L167" s="11"/>
      <c r="M167" s="15">
        <f>+'LGA-774.133'!H$12</f>
        <v>9</v>
      </c>
      <c r="N167" s="11" t="s">
        <v>93</v>
      </c>
      <c r="O167" s="15">
        <v>2</v>
      </c>
      <c r="P167" s="35" t="s">
        <v>458</v>
      </c>
      <c r="R167" s="24" t="s">
        <v>227</v>
      </c>
      <c r="S167" s="15" t="s">
        <v>494</v>
      </c>
      <c r="T167" s="15">
        <f>+'LGA-774.133'!V4</f>
        <v>0</v>
      </c>
      <c r="V167" s="54">
        <f t="shared" si="27"/>
        <v>0</v>
      </c>
      <c r="W167" s="54">
        <f t="shared" si="28"/>
        <v>0</v>
      </c>
      <c r="X167" s="54">
        <f t="shared" si="29"/>
        <v>0</v>
      </c>
    </row>
    <row r="168" spans="3:28" x14ac:dyDescent="0.25">
      <c r="C168" s="39">
        <v>2015</v>
      </c>
      <c r="D168" s="15" t="str">
        <f>+'PJ-924.624'!F4</f>
        <v>PJ-924.624</v>
      </c>
      <c r="E168" s="24" t="str">
        <f>+'PJ-924.624'!F5</f>
        <v>Port Jersey Marine Terminal-Paving and Utility Rehabilitation via Work Order</v>
      </c>
      <c r="F168" s="25">
        <f>+'PJ-924.624'!F6</f>
        <v>42102</v>
      </c>
      <c r="G168" s="46" t="str">
        <f>+'PJ-924.624'!G7</f>
        <v>MBE/WBE</v>
      </c>
      <c r="H168" s="27">
        <f>+'PJ-924.624'!F$7</f>
        <v>1300000</v>
      </c>
      <c r="I168" s="27">
        <f>+'PJ-924.624'!F$8</f>
        <v>878175</v>
      </c>
      <c r="J168" s="27"/>
      <c r="K168" s="26">
        <f>+'PJ-924.624'!G$9</f>
        <v>-0.32448076923076924</v>
      </c>
      <c r="L168" s="11" t="str">
        <f>+'PJ-924.624'!F$11</f>
        <v>GOOD</v>
      </c>
      <c r="M168" s="15">
        <f>+'PJ-924.624'!H$12</f>
        <v>7</v>
      </c>
      <c r="N168" s="11" t="s">
        <v>25</v>
      </c>
      <c r="O168" s="15">
        <v>2</v>
      </c>
      <c r="P168" s="35" t="s">
        <v>492</v>
      </c>
      <c r="S168" s="15" t="s">
        <v>634</v>
      </c>
      <c r="T168" s="15">
        <f>+'PJ-924.624'!V4</f>
        <v>0</v>
      </c>
      <c r="V168" s="54">
        <f t="shared" si="27"/>
        <v>1300000</v>
      </c>
      <c r="W168" s="54">
        <f t="shared" si="28"/>
        <v>878175</v>
      </c>
      <c r="X168" s="54">
        <f t="shared" si="29"/>
        <v>421825</v>
      </c>
    </row>
    <row r="169" spans="3:28" ht="8.25" customHeight="1" x14ac:dyDescent="0.25">
      <c r="C169" s="39"/>
      <c r="D169" s="15"/>
      <c r="E169" s="24"/>
      <c r="F169" s="25"/>
      <c r="G169" s="46"/>
      <c r="H169" s="27"/>
      <c r="I169" s="27"/>
      <c r="J169" s="27"/>
      <c r="K169" s="26"/>
      <c r="L169" s="11"/>
      <c r="M169" s="15"/>
      <c r="P169" s="11"/>
      <c r="S169" s="15"/>
      <c r="T169" s="15"/>
      <c r="V169" s="54"/>
      <c r="W169" s="54"/>
      <c r="X169" s="54"/>
    </row>
    <row r="170" spans="3:28" x14ac:dyDescent="0.25">
      <c r="C170" s="39">
        <v>2015</v>
      </c>
      <c r="D170" s="15" t="str">
        <f>+'PAT-084.057'!F4</f>
        <v>PAT-084.057</v>
      </c>
      <c r="E170" s="24" t="str">
        <f>+'PAT-084.057'!F5</f>
        <v>PATH-Access Control and CCTV at Substation and Communications Rooms</v>
      </c>
      <c r="F170" s="25">
        <f>+'PAT-084.057'!F6</f>
        <v>42080</v>
      </c>
      <c r="G170" s="46" t="str">
        <f>+'PAT-084.057'!G7</f>
        <v>PQL</v>
      </c>
      <c r="H170" s="27">
        <f>+'PAT-084.057'!F$7</f>
        <v>4450000</v>
      </c>
      <c r="I170" s="27">
        <f>+'PAT-084.057'!F$8</f>
        <v>3620000</v>
      </c>
      <c r="J170" s="27"/>
      <c r="K170" s="26">
        <f>+'PAT-084.057'!G$9</f>
        <v>-0.18651685393258427</v>
      </c>
      <c r="L170" s="11" t="str">
        <f>+'PAT-084.057'!F$11</f>
        <v>GOOD</v>
      </c>
      <c r="M170" s="15">
        <f>+'PAT-084.057'!H$12</f>
        <v>3</v>
      </c>
      <c r="O170" s="15">
        <v>1</v>
      </c>
      <c r="P170" s="35" t="s">
        <v>459</v>
      </c>
      <c r="S170" s="15" t="s">
        <v>447</v>
      </c>
      <c r="T170" s="15">
        <f>+'PAT-084.057'!V4</f>
        <v>0</v>
      </c>
      <c r="V170" s="54">
        <f t="shared" si="27"/>
        <v>4450000</v>
      </c>
      <c r="W170" s="54">
        <f t="shared" si="28"/>
        <v>3620000</v>
      </c>
      <c r="X170" s="54">
        <f t="shared" si="29"/>
        <v>830000</v>
      </c>
      <c r="Z170" s="4">
        <f>SUM(V170:V175)</f>
        <v>50160000</v>
      </c>
      <c r="AA170" s="4">
        <f>SUM(W170:W175)</f>
        <v>48431818</v>
      </c>
      <c r="AB170" s="7">
        <f>+Z170/AA170</f>
        <v>1.0356827819265426</v>
      </c>
    </row>
    <row r="171" spans="3:28" x14ac:dyDescent="0.25">
      <c r="C171" s="39">
        <v>2015</v>
      </c>
      <c r="D171" s="15" t="str">
        <f>+'PN-954.004'!F4</f>
        <v>PN-654.004</v>
      </c>
      <c r="E171" s="24" t="str">
        <f>+'PN-954.004'!F5</f>
        <v>Port Newark-Berths 30, 32, and 34 Fender Systems Reconstruction</v>
      </c>
      <c r="F171" s="25">
        <f>+'PN-954.004'!F6</f>
        <v>42072</v>
      </c>
      <c r="G171" s="46" t="str">
        <f>+'PN-954.004'!G7</f>
        <v>Public</v>
      </c>
      <c r="H171" s="27">
        <f>+'PN-954.004'!F$7</f>
        <v>9600000</v>
      </c>
      <c r="I171" s="27">
        <f>+'PN-954.004'!F$8</f>
        <v>6748000</v>
      </c>
      <c r="J171" s="27" t="s">
        <v>519</v>
      </c>
      <c r="K171" s="26">
        <f>+'PN-954.004'!G$9</f>
        <v>-0.29708333333333331</v>
      </c>
      <c r="L171" s="11" t="str">
        <f>+'PN-954.004'!F$11</f>
        <v>GOOD</v>
      </c>
      <c r="M171" s="15">
        <f>+'PN-954.004'!H$12</f>
        <v>12</v>
      </c>
      <c r="N171" s="11" t="s">
        <v>25</v>
      </c>
      <c r="O171" s="15">
        <v>1</v>
      </c>
      <c r="P171" s="35" t="s">
        <v>492</v>
      </c>
      <c r="S171" s="15" t="s">
        <v>442</v>
      </c>
      <c r="T171" s="15">
        <f>+'PN-954.004'!V4</f>
        <v>0</v>
      </c>
      <c r="V171" s="54">
        <f t="shared" si="27"/>
        <v>9600000</v>
      </c>
      <c r="W171" s="54">
        <f t="shared" si="28"/>
        <v>6748000</v>
      </c>
      <c r="X171" s="54">
        <f t="shared" si="29"/>
        <v>2852000</v>
      </c>
    </row>
    <row r="172" spans="3:28" x14ac:dyDescent="0.25">
      <c r="C172" s="39">
        <v>2015</v>
      </c>
      <c r="D172" s="15" t="str">
        <f>+'JFK-134.025'!F4</f>
        <v>JFK-134.025</v>
      </c>
      <c r="E172" s="24" t="str">
        <f>+'JFK-134.025'!F5</f>
        <v>John F. Kennedy International Airport-Unmanned AOA Gates and Perimeter Fence Enhancement-Phase II</v>
      </c>
      <c r="F172" s="25">
        <f>+'JFK-134.025'!F6</f>
        <v>42060</v>
      </c>
      <c r="G172" s="46" t="str">
        <f>+'JFK-134.025'!G7</f>
        <v>M/WBE</v>
      </c>
      <c r="H172" s="27">
        <f>+'JFK-134.025'!F$7</f>
        <v>640000</v>
      </c>
      <c r="I172" s="27">
        <f>+'JFK-134.025'!F$8</f>
        <v>574000</v>
      </c>
      <c r="J172" s="27"/>
      <c r="K172" s="26">
        <f>+'JFK-134.025'!G$9</f>
        <v>-0.10312499999999999</v>
      </c>
      <c r="L172" s="11" t="str">
        <f>+'JFK-134.025'!F$11</f>
        <v>GOOD</v>
      </c>
      <c r="M172" s="15">
        <f>+'JFK-134.025'!H$12</f>
        <v>4</v>
      </c>
      <c r="N172" s="11" t="s">
        <v>93</v>
      </c>
      <c r="O172" s="15">
        <v>1</v>
      </c>
      <c r="P172" s="35" t="s">
        <v>455</v>
      </c>
      <c r="S172" s="15" t="s">
        <v>447</v>
      </c>
      <c r="T172" s="15">
        <f>+'JFK-134.025'!V4</f>
        <v>0</v>
      </c>
      <c r="V172" s="54">
        <f t="shared" si="27"/>
        <v>640000</v>
      </c>
      <c r="W172" s="54">
        <f t="shared" si="28"/>
        <v>574000</v>
      </c>
      <c r="X172" s="54">
        <f t="shared" si="29"/>
        <v>66000</v>
      </c>
    </row>
    <row r="173" spans="3:28" x14ac:dyDescent="0.25">
      <c r="C173" s="39">
        <v>2015</v>
      </c>
      <c r="D173" s="15" t="str">
        <f>+'LGA-124.231'!F4</f>
        <v>LGA-124.231</v>
      </c>
      <c r="E173" s="24" t="str">
        <f>+'LGA-124.231'!F5</f>
        <v>Laguardia Airport-Rehabilitation of Taxiways West of Runway 4-22</v>
      </c>
      <c r="F173" s="25">
        <f>+'LGA-124.231'!F6</f>
        <v>42057</v>
      </c>
      <c r="G173" s="46" t="str">
        <f>+'LGA-124.231'!G7</f>
        <v>PQL</v>
      </c>
      <c r="H173" s="27">
        <f>+'LGA-124.231'!F$7</f>
        <v>9700000</v>
      </c>
      <c r="I173" s="27">
        <f>+'LGA-124.231'!F$8</f>
        <v>8742268</v>
      </c>
      <c r="J173" s="27" t="s">
        <v>519</v>
      </c>
      <c r="K173" s="26">
        <f>+'LGA-124.231'!G$9</f>
        <v>-9.8735257731958764E-2</v>
      </c>
      <c r="L173" s="11" t="str">
        <f>+'LGA-124.231'!F$11</f>
        <v>GOOD</v>
      </c>
      <c r="M173" s="15">
        <f>+'LGA-124.231'!H$12</f>
        <v>3</v>
      </c>
      <c r="N173" s="11" t="s">
        <v>93</v>
      </c>
      <c r="O173" s="15">
        <v>1</v>
      </c>
      <c r="P173" s="35" t="s">
        <v>458</v>
      </c>
      <c r="S173" s="15" t="s">
        <v>494</v>
      </c>
      <c r="T173" s="15">
        <f>+'LGA-124.231'!V4</f>
        <v>0</v>
      </c>
      <c r="V173" s="54">
        <f t="shared" si="27"/>
        <v>9700000</v>
      </c>
      <c r="W173" s="54">
        <f t="shared" si="28"/>
        <v>8742268</v>
      </c>
      <c r="X173" s="54">
        <f t="shared" si="29"/>
        <v>957732</v>
      </c>
    </row>
    <row r="174" spans="3:28" x14ac:dyDescent="0.25">
      <c r="C174" s="39">
        <v>2015</v>
      </c>
      <c r="D174" s="15" t="str">
        <f>+'LGA-124.166'!F4</f>
        <v>LGA-124.166</v>
      </c>
      <c r="E174" s="24" t="str">
        <f>+'LGA-124.166'!F5</f>
        <v>Laguardia Airport-Rehabilitation of Runway 13-31 and Associated Taxiways</v>
      </c>
      <c r="F174" s="25">
        <f>+'LGA-124.166'!F6</f>
        <v>42038</v>
      </c>
      <c r="G174" s="46" t="str">
        <f>+'LGA-124.166'!G7</f>
        <v>PQL</v>
      </c>
      <c r="H174" s="27">
        <f>+'LGA-124.166'!F$7</f>
        <v>25770000</v>
      </c>
      <c r="I174" s="27">
        <f>+'LGA-124.166'!F$8</f>
        <v>28747550</v>
      </c>
      <c r="J174" s="27" t="s">
        <v>519</v>
      </c>
      <c r="K174" s="26">
        <f>+'LGA-124.166'!G$9</f>
        <v>0.11554326736515327</v>
      </c>
      <c r="L174" s="11" t="str">
        <f>+'LGA-124.166'!F$11</f>
        <v>FAIL</v>
      </c>
      <c r="M174" s="15">
        <f>+'LGA-124.166'!H$12</f>
        <v>3</v>
      </c>
      <c r="N174" s="11" t="s">
        <v>93</v>
      </c>
      <c r="O174" s="15">
        <v>1</v>
      </c>
      <c r="P174" s="35" t="s">
        <v>458</v>
      </c>
      <c r="S174" s="15" t="s">
        <v>494</v>
      </c>
      <c r="T174" s="15">
        <f>+'LGA-124.166'!V4</f>
        <v>0</v>
      </c>
      <c r="V174" s="54">
        <f t="shared" si="27"/>
        <v>25770000</v>
      </c>
      <c r="W174" s="54">
        <f t="shared" si="28"/>
        <v>28747550</v>
      </c>
      <c r="X174" s="54">
        <f t="shared" si="29"/>
        <v>-2977550</v>
      </c>
    </row>
    <row r="175" spans="3:28" x14ac:dyDescent="0.25">
      <c r="C175" s="39"/>
      <c r="D175" s="15"/>
      <c r="E175" s="24"/>
      <c r="F175" s="25"/>
      <c r="G175" s="46"/>
      <c r="H175" s="27"/>
      <c r="I175" s="27"/>
      <c r="J175" s="27"/>
      <c r="K175" s="26"/>
      <c r="L175" s="11"/>
      <c r="M175" s="15"/>
      <c r="O175" s="15"/>
      <c r="P175" s="11"/>
      <c r="V175" s="54"/>
      <c r="W175" s="54"/>
      <c r="X175" s="54"/>
    </row>
    <row r="176" spans="3:28" x14ac:dyDescent="0.25">
      <c r="C176" s="39"/>
      <c r="D176" s="15"/>
      <c r="E176" s="24"/>
      <c r="F176" s="25"/>
      <c r="G176" s="46"/>
      <c r="H176" s="27"/>
      <c r="I176" s="27"/>
      <c r="J176" s="27"/>
      <c r="K176" s="26"/>
      <c r="L176" s="11"/>
      <c r="M176" s="15"/>
      <c r="P176" s="11"/>
      <c r="V176" s="54"/>
      <c r="W176" s="54"/>
      <c r="X176" s="54"/>
    </row>
    <row r="177" spans="3:24" x14ac:dyDescent="0.25">
      <c r="C177" s="39"/>
      <c r="D177" s="15"/>
      <c r="E177" s="24"/>
      <c r="F177" s="25"/>
      <c r="G177" s="46"/>
      <c r="H177" s="27"/>
      <c r="I177" s="27"/>
      <c r="J177" s="27"/>
      <c r="K177" s="26"/>
      <c r="L177" s="11"/>
      <c r="M177" s="15"/>
      <c r="P177" s="11"/>
      <c r="V177" s="54"/>
      <c r="W177" s="54"/>
      <c r="X177" s="54"/>
    </row>
    <row r="178" spans="3:24" x14ac:dyDescent="0.25">
      <c r="C178" s="39"/>
      <c r="D178" s="15"/>
      <c r="E178" s="24"/>
      <c r="F178" s="25"/>
      <c r="G178" s="46"/>
      <c r="H178" s="27"/>
      <c r="I178" s="27"/>
      <c r="J178" s="27"/>
      <c r="K178" s="26"/>
      <c r="L178" s="11"/>
      <c r="M178" s="15"/>
      <c r="P178" s="11"/>
      <c r="V178" s="54"/>
      <c r="W178" s="54"/>
      <c r="X178" s="54"/>
    </row>
    <row r="179" spans="3:24" x14ac:dyDescent="0.25">
      <c r="C179" s="39"/>
      <c r="D179" s="15"/>
      <c r="E179" s="24"/>
      <c r="F179" s="25"/>
      <c r="G179" s="46"/>
      <c r="H179" s="27"/>
      <c r="I179" s="27"/>
      <c r="J179" s="27"/>
      <c r="K179" s="26"/>
      <c r="L179" s="11"/>
      <c r="M179" s="15"/>
      <c r="P179" s="11"/>
      <c r="V179" s="54"/>
      <c r="W179" s="54"/>
      <c r="X179" s="54"/>
    </row>
    <row r="180" spans="3:24" x14ac:dyDescent="0.25">
      <c r="C180" s="39"/>
      <c r="G180" s="46"/>
      <c r="H180" s="27"/>
      <c r="P180" s="11"/>
      <c r="V180" s="54"/>
      <c r="W180" s="54"/>
      <c r="X180" s="54"/>
    </row>
    <row r="181" spans="3:24" x14ac:dyDescent="0.25">
      <c r="C181" s="39"/>
      <c r="G181" s="45"/>
      <c r="P181" s="11"/>
      <c r="V181" s="54"/>
      <c r="W181" s="54"/>
      <c r="X181" s="54"/>
    </row>
    <row r="182" spans="3:24" x14ac:dyDescent="0.25">
      <c r="C182" s="39"/>
      <c r="G182" s="45"/>
      <c r="P182" s="11"/>
      <c r="V182" s="54"/>
      <c r="W182" s="54"/>
      <c r="X182" s="54"/>
    </row>
    <row r="183" spans="3:24" x14ac:dyDescent="0.25">
      <c r="C183" s="39"/>
      <c r="G183" s="45"/>
      <c r="P183" s="11"/>
    </row>
    <row r="184" spans="3:24" x14ac:dyDescent="0.25">
      <c r="C184" s="39"/>
      <c r="G184" s="45"/>
      <c r="P184" s="11"/>
    </row>
    <row r="185" spans="3:24" x14ac:dyDescent="0.25">
      <c r="C185" s="39"/>
      <c r="G185" s="45"/>
      <c r="P185" s="11"/>
    </row>
    <row r="186" spans="3:24" x14ac:dyDescent="0.25">
      <c r="C186" s="39"/>
      <c r="G186" s="45"/>
      <c r="P186" s="11"/>
    </row>
    <row r="187" spans="3:24" x14ac:dyDescent="0.25">
      <c r="C187" s="39"/>
      <c r="G187" s="45"/>
      <c r="P187" s="11"/>
    </row>
    <row r="188" spans="3:24" x14ac:dyDescent="0.25">
      <c r="C188" s="39"/>
      <c r="G188" s="45"/>
      <c r="P188" s="11"/>
    </row>
    <row r="189" spans="3:24" x14ac:dyDescent="0.25">
      <c r="C189" s="39"/>
      <c r="F189">
        <v>30300</v>
      </c>
      <c r="G189" s="45"/>
      <c r="P189" s="11"/>
    </row>
    <row r="190" spans="3:24" x14ac:dyDescent="0.25">
      <c r="C190" s="39"/>
      <c r="F190">
        <v>419</v>
      </c>
      <c r="G190" s="45"/>
      <c r="P190" s="11"/>
    </row>
    <row r="191" spans="3:24" x14ac:dyDescent="0.25">
      <c r="C191" s="39"/>
      <c r="F191">
        <v>550</v>
      </c>
      <c r="G191" s="45"/>
      <c r="P191" s="11"/>
    </row>
    <row r="192" spans="3:24" x14ac:dyDescent="0.25">
      <c r="C192" s="39"/>
      <c r="F192">
        <f>SUM(F189:F191)</f>
        <v>31269</v>
      </c>
      <c r="G192" s="45"/>
      <c r="P192" s="11"/>
    </row>
    <row r="193" spans="3:16" x14ac:dyDescent="0.25">
      <c r="C193" s="39"/>
      <c r="F193">
        <f>+F192*0.06875</f>
        <v>2149.7437500000001</v>
      </c>
      <c r="G193" s="45"/>
      <c r="P193" s="11"/>
    </row>
    <row r="194" spans="3:16" x14ac:dyDescent="0.25">
      <c r="C194" s="39"/>
      <c r="F194">
        <f>+F193+F192</f>
        <v>33418.743750000001</v>
      </c>
      <c r="G194" s="45"/>
      <c r="P194" s="11"/>
    </row>
    <row r="195" spans="3:16" x14ac:dyDescent="0.25">
      <c r="C195" s="39"/>
      <c r="F195">
        <v>1400</v>
      </c>
      <c r="G195" s="45"/>
      <c r="P195" s="11"/>
    </row>
    <row r="196" spans="3:16" x14ac:dyDescent="0.25">
      <c r="C196" s="39"/>
      <c r="F196">
        <f>+F194-F195</f>
        <v>32018.743750000001</v>
      </c>
      <c r="G196" s="45"/>
      <c r="P196" s="11"/>
    </row>
    <row r="197" spans="3:16" x14ac:dyDescent="0.25">
      <c r="C197" s="39"/>
      <c r="G197" s="45"/>
      <c r="P197" s="11"/>
    </row>
    <row r="198" spans="3:16" x14ac:dyDescent="0.25">
      <c r="C198" s="39"/>
      <c r="G198" s="45"/>
      <c r="P198" s="11"/>
    </row>
    <row r="199" spans="3:16" x14ac:dyDescent="0.25">
      <c r="C199" s="39"/>
      <c r="G199" s="45"/>
      <c r="P199" s="11"/>
    </row>
    <row r="200" spans="3:16" x14ac:dyDescent="0.25">
      <c r="C200" s="39"/>
      <c r="G200" s="45"/>
      <c r="P200" s="11"/>
    </row>
    <row r="201" spans="3:16" x14ac:dyDescent="0.25">
      <c r="C201" s="39"/>
      <c r="G201" s="45"/>
      <c r="P201" s="11"/>
    </row>
    <row r="202" spans="3:16" x14ac:dyDescent="0.25">
      <c r="C202" s="39"/>
      <c r="G202" s="45"/>
      <c r="P202" s="11"/>
    </row>
    <row r="203" spans="3:16" x14ac:dyDescent="0.25">
      <c r="C203" s="39"/>
      <c r="G203" s="45"/>
      <c r="P203" s="11"/>
    </row>
    <row r="204" spans="3:16" x14ac:dyDescent="0.25">
      <c r="C204" s="39"/>
      <c r="G204" s="45"/>
      <c r="P204" s="11"/>
    </row>
    <row r="205" spans="3:16" x14ac:dyDescent="0.25">
      <c r="C205" s="39"/>
      <c r="G205" s="45"/>
    </row>
    <row r="206" spans="3:16" x14ac:dyDescent="0.25">
      <c r="C206" s="39"/>
      <c r="G206" s="45"/>
    </row>
    <row r="207" spans="3:16" x14ac:dyDescent="0.25">
      <c r="C207" s="39"/>
      <c r="G207" s="45"/>
    </row>
    <row r="208" spans="3:16" x14ac:dyDescent="0.25">
      <c r="C208" s="39"/>
      <c r="G208" s="45"/>
    </row>
    <row r="209" spans="3:7" x14ac:dyDescent="0.25">
      <c r="C209" s="39"/>
      <c r="G209" s="45"/>
    </row>
    <row r="210" spans="3:7" x14ac:dyDescent="0.25">
      <c r="C210" s="39"/>
      <c r="G210" s="45"/>
    </row>
    <row r="211" spans="3:7" x14ac:dyDescent="0.25">
      <c r="C211" s="39"/>
      <c r="G211" s="45"/>
    </row>
    <row r="212" spans="3:7" x14ac:dyDescent="0.25">
      <c r="C212" s="39"/>
      <c r="G212" s="45"/>
    </row>
    <row r="213" spans="3:7" x14ac:dyDescent="0.25">
      <c r="C213" s="39"/>
      <c r="G213" s="45"/>
    </row>
    <row r="214" spans="3:7" x14ac:dyDescent="0.25">
      <c r="C214" s="39"/>
      <c r="G214" s="45"/>
    </row>
    <row r="215" spans="3:7" x14ac:dyDescent="0.25">
      <c r="C215" s="39"/>
      <c r="G215" s="45"/>
    </row>
    <row r="216" spans="3:7" x14ac:dyDescent="0.25">
      <c r="C216" s="39"/>
      <c r="G216" s="45"/>
    </row>
    <row r="217" spans="3:7" x14ac:dyDescent="0.25">
      <c r="C217" s="39"/>
      <c r="G217" s="45"/>
    </row>
    <row r="218" spans="3:7" x14ac:dyDescent="0.25">
      <c r="C218" s="39"/>
      <c r="G218" s="45"/>
    </row>
    <row r="219" spans="3:7" x14ac:dyDescent="0.25">
      <c r="C219" s="39"/>
      <c r="G219" s="45"/>
    </row>
    <row r="220" spans="3:7" x14ac:dyDescent="0.25">
      <c r="C220" s="39"/>
      <c r="G220" s="45"/>
    </row>
    <row r="221" spans="3:7" x14ac:dyDescent="0.25">
      <c r="C221" s="39"/>
      <c r="G221" s="45"/>
    </row>
    <row r="222" spans="3:7" x14ac:dyDescent="0.25">
      <c r="C222" s="39"/>
      <c r="G222" s="45"/>
    </row>
    <row r="223" spans="3:7" x14ac:dyDescent="0.25">
      <c r="C223" s="39"/>
      <c r="G223" s="45"/>
    </row>
    <row r="224" spans="3:7" x14ac:dyDescent="0.25">
      <c r="C224" s="39"/>
      <c r="G224" s="45"/>
    </row>
    <row r="225" spans="3:7" x14ac:dyDescent="0.25">
      <c r="C225" s="39"/>
      <c r="G225" s="45"/>
    </row>
    <row r="226" spans="3:7" x14ac:dyDescent="0.25">
      <c r="C226" s="39"/>
      <c r="G226" s="45"/>
    </row>
    <row r="227" spans="3:7" x14ac:dyDescent="0.25">
      <c r="C227" s="39"/>
      <c r="G227" s="45"/>
    </row>
    <row r="228" spans="3:7" x14ac:dyDescent="0.25">
      <c r="C228" s="39"/>
      <c r="G228" s="45"/>
    </row>
    <row r="229" spans="3:7" x14ac:dyDescent="0.25">
      <c r="C229" s="39"/>
      <c r="G229" s="45"/>
    </row>
    <row r="230" spans="3:7" x14ac:dyDescent="0.25">
      <c r="C230" s="39"/>
      <c r="G230" s="45"/>
    </row>
    <row r="231" spans="3:7" x14ac:dyDescent="0.25">
      <c r="C231" s="39"/>
      <c r="G231" s="45"/>
    </row>
    <row r="232" spans="3:7" x14ac:dyDescent="0.25">
      <c r="C232" s="39"/>
      <c r="G232" s="45"/>
    </row>
    <row r="233" spans="3:7" x14ac:dyDescent="0.25">
      <c r="C233" s="39"/>
      <c r="G233" s="45"/>
    </row>
    <row r="234" spans="3:7" x14ac:dyDescent="0.25">
      <c r="C234" s="39"/>
      <c r="G234" s="45"/>
    </row>
    <row r="235" spans="3:7" x14ac:dyDescent="0.25">
      <c r="C235" s="39"/>
      <c r="G235" s="45"/>
    </row>
    <row r="236" spans="3:7" x14ac:dyDescent="0.25">
      <c r="C236" s="39"/>
      <c r="G236" s="45"/>
    </row>
    <row r="237" spans="3:7" x14ac:dyDescent="0.25">
      <c r="C237" s="39"/>
      <c r="G237" s="45"/>
    </row>
    <row r="238" spans="3:7" x14ac:dyDescent="0.25">
      <c r="C238" s="39"/>
      <c r="G238" s="45"/>
    </row>
    <row r="239" spans="3:7" x14ac:dyDescent="0.25">
      <c r="C239" s="39"/>
    </row>
    <row r="240" spans="3:7" x14ac:dyDescent="0.25">
      <c r="C240" s="39"/>
    </row>
    <row r="241" spans="3:3" x14ac:dyDescent="0.25">
      <c r="C241" s="39"/>
    </row>
    <row r="242" spans="3:3" x14ac:dyDescent="0.25">
      <c r="C242" s="39"/>
    </row>
    <row r="243" spans="3:3" x14ac:dyDescent="0.25">
      <c r="C243" s="39"/>
    </row>
    <row r="244" spans="3:3" x14ac:dyDescent="0.25">
      <c r="C244" s="39"/>
    </row>
    <row r="245" spans="3:3" x14ac:dyDescent="0.25">
      <c r="C245" s="39"/>
    </row>
    <row r="246" spans="3:3" x14ac:dyDescent="0.25">
      <c r="C246" s="39"/>
    </row>
    <row r="247" spans="3:3" x14ac:dyDescent="0.25">
      <c r="C247" s="39"/>
    </row>
    <row r="248" spans="3:3" x14ac:dyDescent="0.25">
      <c r="C248" s="39"/>
    </row>
    <row r="249" spans="3:3" x14ac:dyDescent="0.25">
      <c r="C249" s="39"/>
    </row>
    <row r="250" spans="3:3" x14ac:dyDescent="0.25">
      <c r="C250" s="39"/>
    </row>
    <row r="251" spans="3:3" x14ac:dyDescent="0.25">
      <c r="C251" s="39"/>
    </row>
    <row r="252" spans="3:3" x14ac:dyDescent="0.25">
      <c r="C252" s="39"/>
    </row>
    <row r="253" spans="3:3" x14ac:dyDescent="0.25">
      <c r="C253" s="39"/>
    </row>
    <row r="254" spans="3:3" x14ac:dyDescent="0.25">
      <c r="C254" s="39"/>
    </row>
    <row r="255" spans="3:3" x14ac:dyDescent="0.25">
      <c r="C255" s="39"/>
    </row>
    <row r="256" spans="3:3" x14ac:dyDescent="0.25">
      <c r="C256" s="39"/>
    </row>
    <row r="257" spans="3:3" x14ac:dyDescent="0.25">
      <c r="C257" s="39"/>
    </row>
    <row r="258" spans="3:3" x14ac:dyDescent="0.25">
      <c r="C258" s="39"/>
    </row>
    <row r="259" spans="3:3" x14ac:dyDescent="0.25">
      <c r="C259" s="39"/>
    </row>
    <row r="260" spans="3:3" x14ac:dyDescent="0.25">
      <c r="C260" s="39"/>
    </row>
    <row r="261" spans="3:3" x14ac:dyDescent="0.25">
      <c r="C261" s="39"/>
    </row>
    <row r="262" spans="3:3" x14ac:dyDescent="0.25">
      <c r="C262" s="39"/>
    </row>
    <row r="263" spans="3:3" x14ac:dyDescent="0.25">
      <c r="C263" s="39"/>
    </row>
    <row r="264" spans="3:3" x14ac:dyDescent="0.25">
      <c r="C264" s="39"/>
    </row>
    <row r="265" spans="3:3" x14ac:dyDescent="0.25">
      <c r="C265" s="39"/>
    </row>
    <row r="266" spans="3:3" x14ac:dyDescent="0.25">
      <c r="C266" s="39"/>
    </row>
    <row r="267" spans="3:3" x14ac:dyDescent="0.25">
      <c r="C267" s="39"/>
    </row>
    <row r="268" spans="3:3" x14ac:dyDescent="0.25">
      <c r="C268" s="39"/>
    </row>
    <row r="269" spans="3:3" x14ac:dyDescent="0.25">
      <c r="C269" s="39"/>
    </row>
    <row r="270" spans="3:3" x14ac:dyDescent="0.25">
      <c r="C270" s="39"/>
    </row>
    <row r="271" spans="3:3" x14ac:dyDescent="0.25">
      <c r="C271" s="39"/>
    </row>
    <row r="272" spans="3:3" x14ac:dyDescent="0.25">
      <c r="C272" s="39"/>
    </row>
    <row r="273" spans="3:3" x14ac:dyDescent="0.25">
      <c r="C273" s="39"/>
    </row>
    <row r="274" spans="3:3" x14ac:dyDescent="0.25">
      <c r="C274" s="39"/>
    </row>
    <row r="275" spans="3:3" x14ac:dyDescent="0.25">
      <c r="C275" s="39"/>
    </row>
    <row r="276" spans="3:3" x14ac:dyDescent="0.25">
      <c r="C276" s="39"/>
    </row>
    <row r="277" spans="3:3" x14ac:dyDescent="0.25">
      <c r="C277" s="39"/>
    </row>
    <row r="278" spans="3:3" x14ac:dyDescent="0.25">
      <c r="C278" s="39"/>
    </row>
    <row r="279" spans="3:3" x14ac:dyDescent="0.25">
      <c r="C279" s="39"/>
    </row>
    <row r="280" spans="3:3" x14ac:dyDescent="0.25">
      <c r="C280" s="39"/>
    </row>
    <row r="281" spans="3:3" x14ac:dyDescent="0.25">
      <c r="C281" s="39"/>
    </row>
    <row r="282" spans="3:3" x14ac:dyDescent="0.25">
      <c r="C282" s="39"/>
    </row>
    <row r="283" spans="3:3" x14ac:dyDescent="0.25">
      <c r="C283" s="39"/>
    </row>
    <row r="284" spans="3:3" x14ac:dyDescent="0.25">
      <c r="C284" s="39"/>
    </row>
    <row r="285" spans="3:3" x14ac:dyDescent="0.25">
      <c r="C285" s="39"/>
    </row>
    <row r="286" spans="3:3" x14ac:dyDescent="0.25">
      <c r="C286" s="39"/>
    </row>
    <row r="287" spans="3:3" x14ac:dyDescent="0.25">
      <c r="C287" s="39"/>
    </row>
    <row r="288" spans="3:3" x14ac:dyDescent="0.25">
      <c r="C288" s="39"/>
    </row>
    <row r="289" spans="3:3" x14ac:dyDescent="0.25">
      <c r="C289" s="39"/>
    </row>
    <row r="290" spans="3:3" x14ac:dyDescent="0.25">
      <c r="C290" s="39"/>
    </row>
    <row r="291" spans="3:3" x14ac:dyDescent="0.25">
      <c r="C291" s="39"/>
    </row>
    <row r="292" spans="3:3" x14ac:dyDescent="0.25">
      <c r="C292" s="39"/>
    </row>
    <row r="293" spans="3:3" x14ac:dyDescent="0.25">
      <c r="C293" s="39"/>
    </row>
    <row r="294" spans="3:3" x14ac:dyDescent="0.25">
      <c r="C294" s="39"/>
    </row>
    <row r="295" spans="3:3" x14ac:dyDescent="0.25">
      <c r="C295" s="39"/>
    </row>
    <row r="296" spans="3:3" x14ac:dyDescent="0.25">
      <c r="C296" s="39"/>
    </row>
    <row r="297" spans="3:3" x14ac:dyDescent="0.25">
      <c r="C297" s="39"/>
    </row>
    <row r="298" spans="3:3" x14ac:dyDescent="0.25">
      <c r="C298" s="39"/>
    </row>
    <row r="299" spans="3:3" x14ac:dyDescent="0.25">
      <c r="C299" s="39"/>
    </row>
    <row r="300" spans="3:3" x14ac:dyDescent="0.25">
      <c r="C300" s="39"/>
    </row>
    <row r="301" spans="3:3" x14ac:dyDescent="0.25">
      <c r="C301" s="39"/>
    </row>
    <row r="302" spans="3:3" x14ac:dyDescent="0.25">
      <c r="C302" s="39"/>
    </row>
    <row r="303" spans="3:3" x14ac:dyDescent="0.25">
      <c r="C303" s="39"/>
    </row>
    <row r="304" spans="3:3" x14ac:dyDescent="0.25">
      <c r="C304" s="39"/>
    </row>
    <row r="305" spans="3:3" x14ac:dyDescent="0.25">
      <c r="C305" s="39"/>
    </row>
    <row r="306" spans="3:3" x14ac:dyDescent="0.25">
      <c r="C306" s="39"/>
    </row>
    <row r="307" spans="3:3" x14ac:dyDescent="0.25">
      <c r="C307" s="39"/>
    </row>
    <row r="308" spans="3:3" x14ac:dyDescent="0.25">
      <c r="C308" s="39"/>
    </row>
    <row r="309" spans="3:3" x14ac:dyDescent="0.25">
      <c r="C309" s="39"/>
    </row>
    <row r="310" spans="3:3" x14ac:dyDescent="0.25">
      <c r="C310" s="39"/>
    </row>
    <row r="311" spans="3:3" x14ac:dyDescent="0.25">
      <c r="C311" s="39"/>
    </row>
    <row r="312" spans="3:3" x14ac:dyDescent="0.25">
      <c r="C312" s="39"/>
    </row>
    <row r="313" spans="3:3" x14ac:dyDescent="0.25">
      <c r="C313" s="39"/>
    </row>
    <row r="314" spans="3:3" x14ac:dyDescent="0.25">
      <c r="C314" s="39"/>
    </row>
    <row r="315" spans="3:3" x14ac:dyDescent="0.25">
      <c r="C315" s="39"/>
    </row>
    <row r="316" spans="3:3" x14ac:dyDescent="0.25">
      <c r="C316" s="39"/>
    </row>
    <row r="317" spans="3:3" x14ac:dyDescent="0.25">
      <c r="C317" s="39"/>
    </row>
    <row r="318" spans="3:3" x14ac:dyDescent="0.25">
      <c r="C318" s="39"/>
    </row>
    <row r="319" spans="3:3" x14ac:dyDescent="0.25">
      <c r="C319" s="39"/>
    </row>
    <row r="320" spans="3:3" x14ac:dyDescent="0.25">
      <c r="C320" s="39"/>
    </row>
    <row r="321" spans="3:3" x14ac:dyDescent="0.25">
      <c r="C321" s="39"/>
    </row>
    <row r="322" spans="3:3" x14ac:dyDescent="0.25">
      <c r="C322" s="39"/>
    </row>
    <row r="323" spans="3:3" x14ac:dyDescent="0.25">
      <c r="C323" s="39"/>
    </row>
    <row r="324" spans="3:3" x14ac:dyDescent="0.25">
      <c r="C324" s="39"/>
    </row>
    <row r="325" spans="3:3" x14ac:dyDescent="0.25">
      <c r="C325" s="39"/>
    </row>
    <row r="326" spans="3:3" x14ac:dyDescent="0.25">
      <c r="C326" s="39"/>
    </row>
    <row r="327" spans="3:3" x14ac:dyDescent="0.25">
      <c r="C327" s="39"/>
    </row>
    <row r="328" spans="3:3" x14ac:dyDescent="0.25">
      <c r="C328" s="39"/>
    </row>
    <row r="329" spans="3:3" x14ac:dyDescent="0.25">
      <c r="C329" s="39"/>
    </row>
    <row r="330" spans="3:3" x14ac:dyDescent="0.25">
      <c r="C330" s="39"/>
    </row>
    <row r="331" spans="3:3" x14ac:dyDescent="0.25">
      <c r="C331" s="39"/>
    </row>
    <row r="332" spans="3:3" x14ac:dyDescent="0.25">
      <c r="C332" s="39"/>
    </row>
    <row r="333" spans="3:3" x14ac:dyDescent="0.25">
      <c r="C333" s="39"/>
    </row>
    <row r="334" spans="3:3" x14ac:dyDescent="0.25">
      <c r="C334" s="39"/>
    </row>
    <row r="335" spans="3:3" x14ac:dyDescent="0.25">
      <c r="C335" s="39"/>
    </row>
    <row r="336" spans="3:3" x14ac:dyDescent="0.25">
      <c r="C336" s="39"/>
    </row>
    <row r="337" spans="3:3" x14ac:dyDescent="0.25">
      <c r="C337" s="39"/>
    </row>
    <row r="338" spans="3:3" x14ac:dyDescent="0.25">
      <c r="C338" s="39"/>
    </row>
    <row r="339" spans="3:3" x14ac:dyDescent="0.25">
      <c r="C339" s="39"/>
    </row>
    <row r="340" spans="3:3" x14ac:dyDescent="0.25">
      <c r="C340" s="39"/>
    </row>
    <row r="341" spans="3:3" x14ac:dyDescent="0.25">
      <c r="C341" s="39"/>
    </row>
    <row r="342" spans="3:3" x14ac:dyDescent="0.25">
      <c r="C342" s="39"/>
    </row>
    <row r="343" spans="3:3" x14ac:dyDescent="0.25">
      <c r="C343" s="39"/>
    </row>
    <row r="344" spans="3:3" x14ac:dyDescent="0.25">
      <c r="C344" s="39"/>
    </row>
    <row r="345" spans="3:3" x14ac:dyDescent="0.25">
      <c r="C345" s="39"/>
    </row>
    <row r="346" spans="3:3" x14ac:dyDescent="0.25">
      <c r="C346" s="39"/>
    </row>
    <row r="347" spans="3:3" x14ac:dyDescent="0.25">
      <c r="C347" s="39"/>
    </row>
    <row r="348" spans="3:3" x14ac:dyDescent="0.25">
      <c r="C348" s="39"/>
    </row>
    <row r="349" spans="3:3" x14ac:dyDescent="0.25">
      <c r="C349" s="39"/>
    </row>
    <row r="350" spans="3:3" x14ac:dyDescent="0.25">
      <c r="C350" s="39"/>
    </row>
    <row r="351" spans="3:3" x14ac:dyDescent="0.25">
      <c r="C351" s="39"/>
    </row>
    <row r="352" spans="3:3" x14ac:dyDescent="0.25">
      <c r="C352" s="39"/>
    </row>
    <row r="353" spans="3:3" x14ac:dyDescent="0.25">
      <c r="C353" s="39"/>
    </row>
    <row r="354" spans="3:3" x14ac:dyDescent="0.25">
      <c r="C354" s="39"/>
    </row>
    <row r="355" spans="3:3" x14ac:dyDescent="0.25">
      <c r="C355" s="39"/>
    </row>
    <row r="356" spans="3:3" x14ac:dyDescent="0.25">
      <c r="C356" s="39"/>
    </row>
    <row r="357" spans="3:3" x14ac:dyDescent="0.25">
      <c r="C357" s="39"/>
    </row>
    <row r="358" spans="3:3" x14ac:dyDescent="0.25">
      <c r="C358" s="39"/>
    </row>
    <row r="359" spans="3:3" x14ac:dyDescent="0.25">
      <c r="C359" s="39"/>
    </row>
    <row r="360" spans="3:3" x14ac:dyDescent="0.25">
      <c r="C360" s="39"/>
    </row>
    <row r="361" spans="3:3" x14ac:dyDescent="0.25">
      <c r="C361" s="39"/>
    </row>
    <row r="362" spans="3:3" x14ac:dyDescent="0.25">
      <c r="C362" s="39"/>
    </row>
    <row r="363" spans="3:3" x14ac:dyDescent="0.25">
      <c r="C363" s="39"/>
    </row>
    <row r="364" spans="3:3" x14ac:dyDescent="0.25">
      <c r="C364" s="39"/>
    </row>
    <row r="365" spans="3:3" x14ac:dyDescent="0.25">
      <c r="C365" s="39"/>
    </row>
    <row r="366" spans="3:3" x14ac:dyDescent="0.25">
      <c r="C366" s="39"/>
    </row>
    <row r="367" spans="3:3" x14ac:dyDescent="0.25">
      <c r="C367" s="39"/>
    </row>
    <row r="368" spans="3:3" x14ac:dyDescent="0.25">
      <c r="C368" s="39"/>
    </row>
    <row r="369" spans="3:3" x14ac:dyDescent="0.25">
      <c r="C369" s="39"/>
    </row>
    <row r="370" spans="3:3" x14ac:dyDescent="0.25">
      <c r="C370" s="39"/>
    </row>
    <row r="371" spans="3:3" x14ac:dyDescent="0.25">
      <c r="C371" s="39"/>
    </row>
    <row r="372" spans="3:3" x14ac:dyDescent="0.25">
      <c r="C372" s="39"/>
    </row>
    <row r="373" spans="3:3" x14ac:dyDescent="0.25">
      <c r="C373" s="39"/>
    </row>
    <row r="374" spans="3:3" x14ac:dyDescent="0.25">
      <c r="C374" s="39"/>
    </row>
    <row r="375" spans="3:3" x14ac:dyDescent="0.25">
      <c r="C375" s="39"/>
    </row>
    <row r="376" spans="3:3" x14ac:dyDescent="0.25">
      <c r="C376" s="39"/>
    </row>
    <row r="377" spans="3:3" x14ac:dyDescent="0.25">
      <c r="C377" s="39"/>
    </row>
    <row r="378" spans="3:3" x14ac:dyDescent="0.25">
      <c r="C378" s="39"/>
    </row>
    <row r="379" spans="3:3" x14ac:dyDescent="0.25">
      <c r="C379" s="39"/>
    </row>
    <row r="380" spans="3:3" x14ac:dyDescent="0.25">
      <c r="C380" s="39"/>
    </row>
    <row r="381" spans="3:3" x14ac:dyDescent="0.25">
      <c r="C381" s="39"/>
    </row>
    <row r="382" spans="3:3" x14ac:dyDescent="0.25">
      <c r="C382" s="39"/>
    </row>
    <row r="383" spans="3:3" x14ac:dyDescent="0.25">
      <c r="C383" s="39"/>
    </row>
    <row r="384" spans="3:3" x14ac:dyDescent="0.25">
      <c r="C384" s="39"/>
    </row>
    <row r="385" spans="3:3" x14ac:dyDescent="0.25">
      <c r="C385" s="39"/>
    </row>
    <row r="386" spans="3:3" x14ac:dyDescent="0.25">
      <c r="C386" s="39"/>
    </row>
    <row r="387" spans="3:3" x14ac:dyDescent="0.25">
      <c r="C387" s="39"/>
    </row>
    <row r="388" spans="3:3" x14ac:dyDescent="0.25">
      <c r="C388" s="39"/>
    </row>
    <row r="389" spans="3:3" x14ac:dyDescent="0.25">
      <c r="C389" s="39"/>
    </row>
    <row r="390" spans="3:3" x14ac:dyDescent="0.25">
      <c r="C390" s="39"/>
    </row>
    <row r="391" spans="3:3" x14ac:dyDescent="0.25">
      <c r="C391" s="39"/>
    </row>
    <row r="392" spans="3:3" x14ac:dyDescent="0.25">
      <c r="C392" s="39"/>
    </row>
    <row r="393" spans="3:3" x14ac:dyDescent="0.25">
      <c r="C393" s="39"/>
    </row>
    <row r="394" spans="3:3" x14ac:dyDescent="0.25">
      <c r="C394" s="39"/>
    </row>
    <row r="395" spans="3:3" x14ac:dyDescent="0.25">
      <c r="C395" s="39"/>
    </row>
    <row r="396" spans="3:3" x14ac:dyDescent="0.25">
      <c r="C396" s="39"/>
    </row>
    <row r="397" spans="3:3" x14ac:dyDescent="0.25">
      <c r="C397" s="39"/>
    </row>
    <row r="398" spans="3:3" x14ac:dyDescent="0.25">
      <c r="C398" s="39"/>
    </row>
    <row r="399" spans="3:3" x14ac:dyDescent="0.25">
      <c r="C399" s="39"/>
    </row>
    <row r="400" spans="3:3" x14ac:dyDescent="0.25">
      <c r="C400" s="39"/>
    </row>
    <row r="401" spans="3:3" x14ac:dyDescent="0.25">
      <c r="C401" s="39"/>
    </row>
    <row r="402" spans="3:3" x14ac:dyDescent="0.25">
      <c r="C402" s="39"/>
    </row>
    <row r="403" spans="3:3" x14ac:dyDescent="0.25">
      <c r="C403" s="39"/>
    </row>
    <row r="404" spans="3:3" x14ac:dyDescent="0.25">
      <c r="C404" s="39"/>
    </row>
    <row r="405" spans="3:3" x14ac:dyDescent="0.25">
      <c r="C405" s="39"/>
    </row>
    <row r="406" spans="3:3" x14ac:dyDescent="0.25">
      <c r="C406" s="39"/>
    </row>
    <row r="407" spans="3:3" x14ac:dyDescent="0.25">
      <c r="C407" s="39"/>
    </row>
    <row r="408" spans="3:3" x14ac:dyDescent="0.25">
      <c r="C408" s="39"/>
    </row>
    <row r="409" spans="3:3" x14ac:dyDescent="0.25">
      <c r="C409" s="39"/>
    </row>
    <row r="410" spans="3:3" x14ac:dyDescent="0.25">
      <c r="C410" s="39"/>
    </row>
    <row r="411" spans="3:3" x14ac:dyDescent="0.25">
      <c r="C411" s="39"/>
    </row>
    <row r="412" spans="3:3" x14ac:dyDescent="0.25">
      <c r="C412" s="39"/>
    </row>
    <row r="413" spans="3:3" x14ac:dyDescent="0.25">
      <c r="C413" s="39"/>
    </row>
    <row r="414" spans="3:3" x14ac:dyDescent="0.25">
      <c r="C414" s="39"/>
    </row>
    <row r="415" spans="3:3" x14ac:dyDescent="0.25">
      <c r="C415" s="39"/>
    </row>
    <row r="416" spans="3:3" x14ac:dyDescent="0.25">
      <c r="C416" s="39"/>
    </row>
    <row r="417" spans="3:3" x14ac:dyDescent="0.25">
      <c r="C417" s="39"/>
    </row>
    <row r="418" spans="3:3" x14ac:dyDescent="0.25">
      <c r="C418" s="39"/>
    </row>
    <row r="419" spans="3:3" x14ac:dyDescent="0.25">
      <c r="C419" s="39"/>
    </row>
    <row r="420" spans="3:3" x14ac:dyDescent="0.25">
      <c r="C420" s="39"/>
    </row>
    <row r="421" spans="3:3" x14ac:dyDescent="0.25">
      <c r="C421" s="39"/>
    </row>
    <row r="422" spans="3:3" x14ac:dyDescent="0.25">
      <c r="C422" s="39"/>
    </row>
    <row r="423" spans="3:3" x14ac:dyDescent="0.25">
      <c r="C423" s="39"/>
    </row>
    <row r="424" spans="3:3" x14ac:dyDescent="0.25">
      <c r="C424" s="39"/>
    </row>
    <row r="425" spans="3:3" x14ac:dyDescent="0.25">
      <c r="C425" s="39"/>
    </row>
    <row r="426" spans="3:3" x14ac:dyDescent="0.25">
      <c r="C426" s="39"/>
    </row>
    <row r="427" spans="3:3" x14ac:dyDescent="0.25">
      <c r="C427" s="39"/>
    </row>
    <row r="428" spans="3:3" x14ac:dyDescent="0.25">
      <c r="C428" s="39"/>
    </row>
    <row r="429" spans="3:3" x14ac:dyDescent="0.25">
      <c r="C429" s="39"/>
    </row>
    <row r="430" spans="3:3" x14ac:dyDescent="0.25">
      <c r="C430" s="39"/>
    </row>
    <row r="431" spans="3:3" x14ac:dyDescent="0.25">
      <c r="C431" s="39"/>
    </row>
    <row r="432" spans="3:3" x14ac:dyDescent="0.25">
      <c r="C432" s="39"/>
    </row>
    <row r="433" spans="3:3" x14ac:dyDescent="0.25">
      <c r="C433" s="39"/>
    </row>
    <row r="434" spans="3:3" x14ac:dyDescent="0.25">
      <c r="C434" s="39"/>
    </row>
    <row r="435" spans="3:3" x14ac:dyDescent="0.25">
      <c r="C435" s="39"/>
    </row>
    <row r="436" spans="3:3" x14ac:dyDescent="0.25">
      <c r="C436" s="39"/>
    </row>
    <row r="437" spans="3:3" x14ac:dyDescent="0.25">
      <c r="C437" s="39"/>
    </row>
    <row r="438" spans="3:3" x14ac:dyDescent="0.25">
      <c r="C438" s="39"/>
    </row>
    <row r="439" spans="3:3" x14ac:dyDescent="0.25">
      <c r="C439" s="39"/>
    </row>
    <row r="440" spans="3:3" x14ac:dyDescent="0.25">
      <c r="C440" s="39"/>
    </row>
    <row r="441" spans="3:3" x14ac:dyDescent="0.25">
      <c r="C441" s="39"/>
    </row>
    <row r="442" spans="3:3" x14ac:dyDescent="0.25">
      <c r="C442" s="39"/>
    </row>
    <row r="443" spans="3:3" x14ac:dyDescent="0.25">
      <c r="C443" s="39"/>
    </row>
    <row r="444" spans="3:3" x14ac:dyDescent="0.25">
      <c r="C444" s="39"/>
    </row>
    <row r="445" spans="3:3" x14ac:dyDescent="0.25">
      <c r="C445" s="39"/>
    </row>
    <row r="446" spans="3:3" x14ac:dyDescent="0.25">
      <c r="C446" s="39"/>
    </row>
    <row r="447" spans="3:3" x14ac:dyDescent="0.25">
      <c r="C447" s="39"/>
    </row>
    <row r="448" spans="3:3" x14ac:dyDescent="0.25">
      <c r="C448" s="39"/>
    </row>
    <row r="449" spans="3:3" x14ac:dyDescent="0.25">
      <c r="C449" s="39"/>
    </row>
    <row r="450" spans="3:3" x14ac:dyDescent="0.25">
      <c r="C450" s="39"/>
    </row>
    <row r="451" spans="3:3" x14ac:dyDescent="0.25">
      <c r="C451" s="39"/>
    </row>
    <row r="452" spans="3:3" x14ac:dyDescent="0.25">
      <c r="C452" s="39"/>
    </row>
    <row r="453" spans="3:3" x14ac:dyDescent="0.25">
      <c r="C453" s="39"/>
    </row>
    <row r="454" spans="3:3" x14ac:dyDescent="0.25">
      <c r="C454" s="39"/>
    </row>
    <row r="455" spans="3:3" x14ac:dyDescent="0.25">
      <c r="C455" s="39"/>
    </row>
    <row r="456" spans="3:3" x14ac:dyDescent="0.25">
      <c r="C456" s="39"/>
    </row>
    <row r="457" spans="3:3" x14ac:dyDescent="0.25">
      <c r="C457" s="39"/>
    </row>
    <row r="458" spans="3:3" x14ac:dyDescent="0.25">
      <c r="C458" s="39"/>
    </row>
    <row r="459" spans="3:3" x14ac:dyDescent="0.25">
      <c r="C459" s="39"/>
    </row>
    <row r="460" spans="3:3" x14ac:dyDescent="0.25">
      <c r="C460" s="39"/>
    </row>
    <row r="461" spans="3:3" x14ac:dyDescent="0.25">
      <c r="C461" s="39"/>
    </row>
    <row r="462" spans="3:3" x14ac:dyDescent="0.25">
      <c r="C462" s="39"/>
    </row>
    <row r="463" spans="3:3" x14ac:dyDescent="0.25">
      <c r="C463" s="39"/>
    </row>
    <row r="464" spans="3:3" x14ac:dyDescent="0.25">
      <c r="C464" s="39"/>
    </row>
    <row r="465" spans="3:3" x14ac:dyDescent="0.25">
      <c r="C465" s="39"/>
    </row>
    <row r="466" spans="3:3" x14ac:dyDescent="0.25">
      <c r="C466" s="39"/>
    </row>
    <row r="467" spans="3:3" x14ac:dyDescent="0.25">
      <c r="C467" s="39"/>
    </row>
    <row r="468" spans="3:3" x14ac:dyDescent="0.25">
      <c r="C468" s="39"/>
    </row>
    <row r="469" spans="3:3" x14ac:dyDescent="0.25">
      <c r="C469" s="39"/>
    </row>
    <row r="470" spans="3:3" x14ac:dyDescent="0.25">
      <c r="C470" s="39"/>
    </row>
    <row r="471" spans="3:3" x14ac:dyDescent="0.25">
      <c r="C471" s="39"/>
    </row>
    <row r="472" spans="3:3" x14ac:dyDescent="0.25">
      <c r="C472" s="39"/>
    </row>
    <row r="473" spans="3:3" x14ac:dyDescent="0.25">
      <c r="C473" s="39"/>
    </row>
    <row r="474" spans="3:3" x14ac:dyDescent="0.25">
      <c r="C474" s="39"/>
    </row>
    <row r="475" spans="3:3" x14ac:dyDescent="0.25">
      <c r="C475" s="39"/>
    </row>
    <row r="476" spans="3:3" x14ac:dyDescent="0.25">
      <c r="C476" s="39"/>
    </row>
    <row r="477" spans="3:3" x14ac:dyDescent="0.25">
      <c r="C477" s="39"/>
    </row>
    <row r="478" spans="3:3" x14ac:dyDescent="0.25">
      <c r="C478" s="39"/>
    </row>
    <row r="479" spans="3:3" x14ac:dyDescent="0.25">
      <c r="C479" s="39"/>
    </row>
    <row r="480" spans="3:3" x14ac:dyDescent="0.25">
      <c r="C480" s="39"/>
    </row>
    <row r="481" spans="3:3" x14ac:dyDescent="0.25">
      <c r="C481" s="39"/>
    </row>
    <row r="482" spans="3:3" x14ac:dyDescent="0.25">
      <c r="C482" s="39"/>
    </row>
    <row r="483" spans="3:3" x14ac:dyDescent="0.25">
      <c r="C483" s="39"/>
    </row>
    <row r="484" spans="3:3" x14ac:dyDescent="0.25">
      <c r="C484" s="39"/>
    </row>
    <row r="485" spans="3:3" x14ac:dyDescent="0.25">
      <c r="C485" s="39"/>
    </row>
    <row r="486" spans="3:3" x14ac:dyDescent="0.25">
      <c r="C486" s="39"/>
    </row>
    <row r="487" spans="3:3" x14ac:dyDescent="0.25">
      <c r="C487" s="39"/>
    </row>
    <row r="488" spans="3:3" x14ac:dyDescent="0.25">
      <c r="C488" s="39"/>
    </row>
    <row r="489" spans="3:3" x14ac:dyDescent="0.25">
      <c r="C489" s="39"/>
    </row>
    <row r="490" spans="3:3" x14ac:dyDescent="0.25">
      <c r="C490" s="39"/>
    </row>
    <row r="491" spans="3:3" x14ac:dyDescent="0.25">
      <c r="C491" s="39"/>
    </row>
    <row r="492" spans="3:3" x14ac:dyDescent="0.25">
      <c r="C492" s="39"/>
    </row>
    <row r="493" spans="3:3" x14ac:dyDescent="0.25">
      <c r="C493" s="39"/>
    </row>
    <row r="494" spans="3:3" x14ac:dyDescent="0.25">
      <c r="C494" s="39"/>
    </row>
    <row r="495" spans="3:3" x14ac:dyDescent="0.25">
      <c r="C495" s="39"/>
    </row>
    <row r="496" spans="3:3" x14ac:dyDescent="0.25">
      <c r="C496" s="39"/>
    </row>
    <row r="497" spans="3:3" x14ac:dyDescent="0.25">
      <c r="C497" s="39"/>
    </row>
    <row r="498" spans="3:3" x14ac:dyDescent="0.25">
      <c r="C498" s="39"/>
    </row>
    <row r="499" spans="3:3" x14ac:dyDescent="0.25">
      <c r="C499" s="39"/>
    </row>
    <row r="500" spans="3:3" x14ac:dyDescent="0.25">
      <c r="C500" s="39"/>
    </row>
    <row r="501" spans="3:3" x14ac:dyDescent="0.25">
      <c r="C501" s="39"/>
    </row>
    <row r="502" spans="3:3" x14ac:dyDescent="0.25">
      <c r="C502" s="39"/>
    </row>
    <row r="503" spans="3:3" x14ac:dyDescent="0.25">
      <c r="C503" s="39"/>
    </row>
    <row r="504" spans="3:3" x14ac:dyDescent="0.25">
      <c r="C504" s="39"/>
    </row>
    <row r="505" spans="3:3" x14ac:dyDescent="0.25">
      <c r="C505" s="39"/>
    </row>
    <row r="506" spans="3:3" x14ac:dyDescent="0.25">
      <c r="C506" s="39"/>
    </row>
    <row r="507" spans="3:3" x14ac:dyDescent="0.25">
      <c r="C507" s="39"/>
    </row>
    <row r="508" spans="3:3" x14ac:dyDescent="0.25">
      <c r="C508" s="39"/>
    </row>
    <row r="509" spans="3:3" x14ac:dyDescent="0.25">
      <c r="C509" s="39"/>
    </row>
    <row r="510" spans="3:3" x14ac:dyDescent="0.25">
      <c r="C510" s="39"/>
    </row>
    <row r="511" spans="3:3" x14ac:dyDescent="0.25">
      <c r="C511" s="39"/>
    </row>
    <row r="512" spans="3:3" x14ac:dyDescent="0.25">
      <c r="C512" s="39"/>
    </row>
    <row r="513" spans="3:3" x14ac:dyDescent="0.25">
      <c r="C513" s="39"/>
    </row>
    <row r="514" spans="3:3" x14ac:dyDescent="0.25">
      <c r="C514" s="39"/>
    </row>
    <row r="515" spans="3:3" x14ac:dyDescent="0.25">
      <c r="C515" s="39"/>
    </row>
    <row r="516" spans="3:3" x14ac:dyDescent="0.25">
      <c r="C516" s="39"/>
    </row>
    <row r="517" spans="3:3" x14ac:dyDescent="0.25">
      <c r="C517" s="39"/>
    </row>
    <row r="518" spans="3:3" x14ac:dyDescent="0.25">
      <c r="C518" s="39"/>
    </row>
    <row r="519" spans="3:3" x14ac:dyDescent="0.25">
      <c r="C519" s="39"/>
    </row>
    <row r="520" spans="3:3" x14ac:dyDescent="0.25">
      <c r="C520" s="39"/>
    </row>
    <row r="521" spans="3:3" x14ac:dyDescent="0.25">
      <c r="C521" s="39"/>
    </row>
    <row r="522" spans="3:3" x14ac:dyDescent="0.25">
      <c r="C522" s="39"/>
    </row>
    <row r="523" spans="3:3" x14ac:dyDescent="0.25">
      <c r="C523" s="39"/>
    </row>
    <row r="524" spans="3:3" x14ac:dyDescent="0.25">
      <c r="C524" s="39"/>
    </row>
    <row r="525" spans="3:3" x14ac:dyDescent="0.25">
      <c r="C525" s="39"/>
    </row>
    <row r="526" spans="3:3" x14ac:dyDescent="0.25">
      <c r="C526" s="39"/>
    </row>
    <row r="527" spans="3:3" x14ac:dyDescent="0.25">
      <c r="C527" s="39"/>
    </row>
    <row r="528" spans="3:3" x14ac:dyDescent="0.25">
      <c r="C528" s="39"/>
    </row>
    <row r="529" spans="3:3" x14ac:dyDescent="0.25">
      <c r="C529" s="39"/>
    </row>
    <row r="530" spans="3:3" x14ac:dyDescent="0.25">
      <c r="C530" s="39"/>
    </row>
    <row r="531" spans="3:3" x14ac:dyDescent="0.25">
      <c r="C531" s="39"/>
    </row>
    <row r="532" spans="3:3" x14ac:dyDescent="0.25">
      <c r="C532" s="39"/>
    </row>
    <row r="533" spans="3:3" x14ac:dyDescent="0.25">
      <c r="C533" s="39"/>
    </row>
    <row r="534" spans="3:3" x14ac:dyDescent="0.25">
      <c r="C534" s="39"/>
    </row>
    <row r="535" spans="3:3" x14ac:dyDescent="0.25">
      <c r="C535" s="39"/>
    </row>
    <row r="536" spans="3:3" x14ac:dyDescent="0.25">
      <c r="C536" s="39"/>
    </row>
    <row r="537" spans="3:3" x14ac:dyDescent="0.25">
      <c r="C537" s="39"/>
    </row>
    <row r="538" spans="3:3" x14ac:dyDescent="0.25">
      <c r="C538" s="39"/>
    </row>
    <row r="539" spans="3:3" x14ac:dyDescent="0.25">
      <c r="C539" s="39"/>
    </row>
    <row r="540" spans="3:3" x14ac:dyDescent="0.25">
      <c r="C540" s="39"/>
    </row>
    <row r="541" spans="3:3" x14ac:dyDescent="0.25">
      <c r="C541" s="39"/>
    </row>
    <row r="542" spans="3:3" x14ac:dyDescent="0.25">
      <c r="C542" s="39"/>
    </row>
    <row r="543" spans="3:3" x14ac:dyDescent="0.25">
      <c r="C543" s="39"/>
    </row>
    <row r="544" spans="3:3" x14ac:dyDescent="0.25">
      <c r="C544" s="39"/>
    </row>
    <row r="545" spans="3:3" x14ac:dyDescent="0.25">
      <c r="C545" s="39"/>
    </row>
    <row r="546" spans="3:3" x14ac:dyDescent="0.25">
      <c r="C546" s="39"/>
    </row>
    <row r="547" spans="3:3" x14ac:dyDescent="0.25">
      <c r="C547" s="39"/>
    </row>
    <row r="548" spans="3:3" x14ac:dyDescent="0.25">
      <c r="C548" s="39"/>
    </row>
    <row r="549" spans="3:3" x14ac:dyDescent="0.25">
      <c r="C549" s="39"/>
    </row>
    <row r="550" spans="3:3" x14ac:dyDescent="0.25">
      <c r="C550" s="39"/>
    </row>
    <row r="551" spans="3:3" x14ac:dyDescent="0.25">
      <c r="C551" s="39"/>
    </row>
    <row r="552" spans="3:3" x14ac:dyDescent="0.25">
      <c r="C552" s="39"/>
    </row>
    <row r="553" spans="3:3" x14ac:dyDescent="0.25">
      <c r="C553" s="39"/>
    </row>
    <row r="554" spans="3:3" x14ac:dyDescent="0.25">
      <c r="C554" s="39"/>
    </row>
    <row r="555" spans="3:3" x14ac:dyDescent="0.25">
      <c r="C555" s="39"/>
    </row>
    <row r="556" spans="3:3" x14ac:dyDescent="0.25">
      <c r="C556" s="39"/>
    </row>
    <row r="557" spans="3:3" x14ac:dyDescent="0.25">
      <c r="C557" s="39"/>
    </row>
    <row r="558" spans="3:3" x14ac:dyDescent="0.25">
      <c r="C558" s="39"/>
    </row>
    <row r="559" spans="3:3" x14ac:dyDescent="0.25">
      <c r="C559" s="39"/>
    </row>
    <row r="560" spans="3:3" x14ac:dyDescent="0.25">
      <c r="C560" s="39"/>
    </row>
    <row r="561" spans="3:3" x14ac:dyDescent="0.25">
      <c r="C561" s="39"/>
    </row>
    <row r="562" spans="3:3" x14ac:dyDescent="0.25">
      <c r="C562" s="39"/>
    </row>
    <row r="563" spans="3:3" x14ac:dyDescent="0.25">
      <c r="C563" s="39"/>
    </row>
    <row r="564" spans="3:3" x14ac:dyDescent="0.25">
      <c r="C564" s="39"/>
    </row>
    <row r="565" spans="3:3" x14ac:dyDescent="0.25">
      <c r="C565" s="39"/>
    </row>
    <row r="566" spans="3:3" x14ac:dyDescent="0.25">
      <c r="C566" s="39"/>
    </row>
    <row r="567" spans="3:3" x14ac:dyDescent="0.25">
      <c r="C567" s="39"/>
    </row>
    <row r="568" spans="3:3" x14ac:dyDescent="0.25">
      <c r="C568" s="39"/>
    </row>
    <row r="569" spans="3:3" x14ac:dyDescent="0.25">
      <c r="C569" s="39"/>
    </row>
    <row r="570" spans="3:3" x14ac:dyDescent="0.25">
      <c r="C570" s="39"/>
    </row>
    <row r="571" spans="3:3" x14ac:dyDescent="0.25">
      <c r="C571" s="39"/>
    </row>
    <row r="572" spans="3:3" x14ac:dyDescent="0.25">
      <c r="C572" s="39"/>
    </row>
    <row r="573" spans="3:3" x14ac:dyDescent="0.25">
      <c r="C573" s="39"/>
    </row>
    <row r="574" spans="3:3" x14ac:dyDescent="0.25">
      <c r="C574" s="39"/>
    </row>
    <row r="575" spans="3:3" x14ac:dyDescent="0.25">
      <c r="C575" s="39"/>
    </row>
    <row r="576" spans="3:3" x14ac:dyDescent="0.25">
      <c r="C576" s="39"/>
    </row>
    <row r="577" spans="3:3" x14ac:dyDescent="0.25">
      <c r="C577" s="39"/>
    </row>
    <row r="578" spans="3:3" x14ac:dyDescent="0.25">
      <c r="C578" s="39"/>
    </row>
    <row r="579" spans="3:3" x14ac:dyDescent="0.25">
      <c r="C579" s="39"/>
    </row>
    <row r="580" spans="3:3" x14ac:dyDescent="0.25">
      <c r="C580" s="39"/>
    </row>
    <row r="581" spans="3:3" x14ac:dyDescent="0.25">
      <c r="C581" s="38"/>
    </row>
    <row r="582" spans="3:3" x14ac:dyDescent="0.25">
      <c r="C582" s="38"/>
    </row>
    <row r="583" spans="3:3" x14ac:dyDescent="0.25">
      <c r="C583" s="38"/>
    </row>
    <row r="584" spans="3:3" x14ac:dyDescent="0.25">
      <c r="C584" s="38"/>
    </row>
    <row r="585" spans="3:3" x14ac:dyDescent="0.25">
      <c r="C585" s="38"/>
    </row>
    <row r="586" spans="3:3" x14ac:dyDescent="0.25">
      <c r="C586" s="38"/>
    </row>
    <row r="587" spans="3:3" x14ac:dyDescent="0.25">
      <c r="C587" s="38"/>
    </row>
    <row r="588" spans="3:3" x14ac:dyDescent="0.25">
      <c r="C588" s="38"/>
    </row>
    <row r="589" spans="3:3" x14ac:dyDescent="0.25">
      <c r="C589" s="38"/>
    </row>
    <row r="590" spans="3:3" x14ac:dyDescent="0.25">
      <c r="C590" s="38"/>
    </row>
    <row r="591" spans="3:3" x14ac:dyDescent="0.25">
      <c r="C591" s="38"/>
    </row>
    <row r="592" spans="3:3" x14ac:dyDescent="0.25">
      <c r="C592" s="38"/>
    </row>
    <row r="593" spans="3:3" x14ac:dyDescent="0.25">
      <c r="C593" s="38"/>
    </row>
    <row r="594" spans="3:3" x14ac:dyDescent="0.25">
      <c r="C594" s="38"/>
    </row>
    <row r="595" spans="3:3" x14ac:dyDescent="0.25">
      <c r="C595" s="38"/>
    </row>
    <row r="596" spans="3:3" x14ac:dyDescent="0.25">
      <c r="C596" s="38"/>
    </row>
    <row r="597" spans="3:3" x14ac:dyDescent="0.25">
      <c r="C597" s="38"/>
    </row>
    <row r="598" spans="3:3" x14ac:dyDescent="0.25">
      <c r="C598" s="38"/>
    </row>
    <row r="599" spans="3:3" x14ac:dyDescent="0.25">
      <c r="C599" s="38"/>
    </row>
    <row r="600" spans="3:3" x14ac:dyDescent="0.25">
      <c r="C600" s="38"/>
    </row>
    <row r="601" spans="3:3" x14ac:dyDescent="0.25">
      <c r="C601" s="38"/>
    </row>
    <row r="602" spans="3:3" x14ac:dyDescent="0.25">
      <c r="C602" s="38"/>
    </row>
    <row r="603" spans="3:3" x14ac:dyDescent="0.25">
      <c r="C603" s="38"/>
    </row>
    <row r="604" spans="3:3" x14ac:dyDescent="0.25">
      <c r="C604" s="38"/>
    </row>
    <row r="605" spans="3:3" x14ac:dyDescent="0.25">
      <c r="C605" s="38"/>
    </row>
    <row r="606" spans="3:3" x14ac:dyDescent="0.25">
      <c r="C606" s="38"/>
    </row>
    <row r="607" spans="3:3" x14ac:dyDescent="0.25">
      <c r="C607" s="38"/>
    </row>
    <row r="608" spans="3:3" x14ac:dyDescent="0.25">
      <c r="C608" s="38"/>
    </row>
    <row r="609" spans="3:3" x14ac:dyDescent="0.25">
      <c r="C609" s="38"/>
    </row>
    <row r="610" spans="3:3" x14ac:dyDescent="0.25">
      <c r="C610" s="38"/>
    </row>
    <row r="611" spans="3:3" x14ac:dyDescent="0.25">
      <c r="C611" s="38"/>
    </row>
    <row r="612" spans="3:3" x14ac:dyDescent="0.25">
      <c r="C612" s="38"/>
    </row>
    <row r="613" spans="3:3" x14ac:dyDescent="0.25">
      <c r="C613" s="38"/>
    </row>
    <row r="614" spans="3:3" x14ac:dyDescent="0.25">
      <c r="C614" s="38"/>
    </row>
    <row r="615" spans="3:3" x14ac:dyDescent="0.25">
      <c r="C615" s="38"/>
    </row>
    <row r="616" spans="3:3" x14ac:dyDescent="0.25">
      <c r="C616" s="38"/>
    </row>
    <row r="617" spans="3:3" x14ac:dyDescent="0.25">
      <c r="C617" s="38"/>
    </row>
    <row r="618" spans="3:3" x14ac:dyDescent="0.25">
      <c r="C618" s="38"/>
    </row>
    <row r="619" spans="3:3" x14ac:dyDescent="0.25">
      <c r="C619" s="38"/>
    </row>
    <row r="620" spans="3:3" x14ac:dyDescent="0.25">
      <c r="C620" s="38"/>
    </row>
    <row r="621" spans="3:3" x14ac:dyDescent="0.25">
      <c r="C621" s="38"/>
    </row>
    <row r="622" spans="3:3" x14ac:dyDescent="0.25">
      <c r="C622" s="38"/>
    </row>
    <row r="623" spans="3:3" x14ac:dyDescent="0.25">
      <c r="C623" s="38"/>
    </row>
    <row r="624" spans="3:3" x14ac:dyDescent="0.25">
      <c r="C624" s="38"/>
    </row>
    <row r="625" spans="3:3" x14ac:dyDescent="0.25">
      <c r="C625" s="38"/>
    </row>
    <row r="626" spans="3:3" x14ac:dyDescent="0.25">
      <c r="C626" s="38"/>
    </row>
    <row r="627" spans="3:3" x14ac:dyDescent="0.25">
      <c r="C627" s="38"/>
    </row>
    <row r="628" spans="3:3" x14ac:dyDescent="0.25">
      <c r="C628" s="38"/>
    </row>
    <row r="629" spans="3:3" x14ac:dyDescent="0.25">
      <c r="C629" s="38"/>
    </row>
    <row r="630" spans="3:3" x14ac:dyDescent="0.25">
      <c r="C630" s="38"/>
    </row>
    <row r="631" spans="3:3" x14ac:dyDescent="0.25">
      <c r="C631" s="38"/>
    </row>
    <row r="632" spans="3:3" x14ac:dyDescent="0.25">
      <c r="C632" s="38"/>
    </row>
    <row r="633" spans="3:3" x14ac:dyDescent="0.25">
      <c r="C633" s="38"/>
    </row>
    <row r="634" spans="3:3" x14ac:dyDescent="0.25">
      <c r="C634" s="38"/>
    </row>
    <row r="635" spans="3:3" x14ac:dyDescent="0.25">
      <c r="C635" s="38"/>
    </row>
    <row r="636" spans="3:3" x14ac:dyDescent="0.25">
      <c r="C636" s="38"/>
    </row>
    <row r="637" spans="3:3" x14ac:dyDescent="0.25">
      <c r="C637" s="38"/>
    </row>
    <row r="638" spans="3:3" x14ac:dyDescent="0.25">
      <c r="C638" s="38"/>
    </row>
    <row r="639" spans="3:3" x14ac:dyDescent="0.25">
      <c r="C639" s="38"/>
    </row>
    <row r="640" spans="3:3" x14ac:dyDescent="0.25">
      <c r="C640" s="38"/>
    </row>
    <row r="641" spans="3:3" x14ac:dyDescent="0.25">
      <c r="C641" s="38"/>
    </row>
    <row r="642" spans="3:3" x14ac:dyDescent="0.25">
      <c r="C642" s="38"/>
    </row>
    <row r="643" spans="3:3" x14ac:dyDescent="0.25">
      <c r="C643" s="38"/>
    </row>
    <row r="644" spans="3:3" x14ac:dyDescent="0.25">
      <c r="C644" s="38"/>
    </row>
    <row r="645" spans="3:3" x14ac:dyDescent="0.25">
      <c r="C645" s="38"/>
    </row>
    <row r="646" spans="3:3" x14ac:dyDescent="0.25">
      <c r="C646" s="38"/>
    </row>
    <row r="647" spans="3:3" x14ac:dyDescent="0.25">
      <c r="C647" s="38"/>
    </row>
    <row r="648" spans="3:3" x14ac:dyDescent="0.25">
      <c r="C648" s="38"/>
    </row>
    <row r="649" spans="3:3" x14ac:dyDescent="0.25">
      <c r="C649" s="38"/>
    </row>
    <row r="650" spans="3:3" x14ac:dyDescent="0.25">
      <c r="C650" s="38"/>
    </row>
    <row r="651" spans="3:3" x14ac:dyDescent="0.25">
      <c r="C651" s="38"/>
    </row>
    <row r="652" spans="3:3" x14ac:dyDescent="0.25">
      <c r="C652" s="38"/>
    </row>
    <row r="653" spans="3:3" x14ac:dyDescent="0.25">
      <c r="C653" s="38"/>
    </row>
    <row r="654" spans="3:3" x14ac:dyDescent="0.25">
      <c r="C654" s="38"/>
    </row>
    <row r="655" spans="3:3" x14ac:dyDescent="0.25">
      <c r="C655" s="38"/>
    </row>
    <row r="656" spans="3:3" x14ac:dyDescent="0.25">
      <c r="C656" s="38"/>
    </row>
    <row r="657" spans="3:3" x14ac:dyDescent="0.25">
      <c r="C657" s="38"/>
    </row>
    <row r="658" spans="3:3" x14ac:dyDescent="0.25">
      <c r="C658" s="38"/>
    </row>
    <row r="659" spans="3:3" x14ac:dyDescent="0.25">
      <c r="C659" s="38"/>
    </row>
    <row r="660" spans="3:3" x14ac:dyDescent="0.25">
      <c r="C660" s="38"/>
    </row>
    <row r="661" spans="3:3" x14ac:dyDescent="0.25">
      <c r="C661" s="38"/>
    </row>
    <row r="662" spans="3:3" x14ac:dyDescent="0.25">
      <c r="C662" s="38"/>
    </row>
    <row r="663" spans="3:3" x14ac:dyDescent="0.25">
      <c r="C663" s="38"/>
    </row>
    <row r="664" spans="3:3" x14ac:dyDescent="0.25">
      <c r="C664" s="38"/>
    </row>
    <row r="665" spans="3:3" x14ac:dyDescent="0.25">
      <c r="C665" s="38"/>
    </row>
    <row r="666" spans="3:3" x14ac:dyDescent="0.25">
      <c r="C666" s="38"/>
    </row>
    <row r="667" spans="3:3" x14ac:dyDescent="0.25">
      <c r="C667" s="38"/>
    </row>
    <row r="668" spans="3:3" x14ac:dyDescent="0.25">
      <c r="C668" s="38"/>
    </row>
    <row r="669" spans="3:3" x14ac:dyDescent="0.25">
      <c r="C669" s="38"/>
    </row>
    <row r="670" spans="3:3" x14ac:dyDescent="0.25">
      <c r="C670" s="38"/>
    </row>
    <row r="671" spans="3:3" x14ac:dyDescent="0.25">
      <c r="C671" s="38"/>
    </row>
    <row r="672" spans="3:3" x14ac:dyDescent="0.25">
      <c r="C672" s="38"/>
    </row>
    <row r="673" spans="3:3" x14ac:dyDescent="0.25">
      <c r="C673" s="38"/>
    </row>
    <row r="674" spans="3:3" x14ac:dyDescent="0.25">
      <c r="C674" s="38"/>
    </row>
    <row r="675" spans="3:3" x14ac:dyDescent="0.25">
      <c r="C675" s="38"/>
    </row>
    <row r="676" spans="3:3" x14ac:dyDescent="0.25">
      <c r="C676" s="38"/>
    </row>
    <row r="677" spans="3:3" x14ac:dyDescent="0.25">
      <c r="C677" s="38"/>
    </row>
    <row r="678" spans="3:3" x14ac:dyDescent="0.25">
      <c r="C678" s="38"/>
    </row>
    <row r="679" spans="3:3" x14ac:dyDescent="0.25">
      <c r="C679" s="38"/>
    </row>
    <row r="680" spans="3:3" x14ac:dyDescent="0.25">
      <c r="C680" s="38"/>
    </row>
    <row r="681" spans="3:3" x14ac:dyDescent="0.25">
      <c r="C681" s="38"/>
    </row>
    <row r="682" spans="3:3" x14ac:dyDescent="0.25">
      <c r="C682" s="38"/>
    </row>
    <row r="683" spans="3:3" x14ac:dyDescent="0.25">
      <c r="C683" s="38"/>
    </row>
    <row r="684" spans="3:3" x14ac:dyDescent="0.25">
      <c r="C684" s="38"/>
    </row>
    <row r="685" spans="3:3" x14ac:dyDescent="0.25">
      <c r="C685" s="38"/>
    </row>
    <row r="686" spans="3:3" x14ac:dyDescent="0.25">
      <c r="C686" s="38"/>
    </row>
    <row r="687" spans="3:3" x14ac:dyDescent="0.25">
      <c r="C687" s="38"/>
    </row>
    <row r="688" spans="3:3" x14ac:dyDescent="0.25">
      <c r="C688" s="38"/>
    </row>
    <row r="689" spans="3:3" x14ac:dyDescent="0.25">
      <c r="C689" s="38"/>
    </row>
    <row r="690" spans="3:3" x14ac:dyDescent="0.25">
      <c r="C690" s="38"/>
    </row>
    <row r="691" spans="3:3" x14ac:dyDescent="0.25">
      <c r="C691" s="38"/>
    </row>
    <row r="692" spans="3:3" x14ac:dyDescent="0.25">
      <c r="C692" s="38"/>
    </row>
    <row r="693" spans="3:3" x14ac:dyDescent="0.25">
      <c r="C693" s="38"/>
    </row>
    <row r="694" spans="3:3" x14ac:dyDescent="0.25">
      <c r="C694" s="38"/>
    </row>
    <row r="695" spans="3:3" x14ac:dyDescent="0.25">
      <c r="C695" s="38"/>
    </row>
    <row r="696" spans="3:3" x14ac:dyDescent="0.25">
      <c r="C696" s="38"/>
    </row>
    <row r="697" spans="3:3" x14ac:dyDescent="0.25">
      <c r="C697" s="38"/>
    </row>
    <row r="698" spans="3:3" x14ac:dyDescent="0.25">
      <c r="C698" s="38"/>
    </row>
    <row r="699" spans="3:3" x14ac:dyDescent="0.25">
      <c r="C699" s="38"/>
    </row>
    <row r="700" spans="3:3" x14ac:dyDescent="0.25">
      <c r="C700" s="38"/>
    </row>
    <row r="701" spans="3:3" x14ac:dyDescent="0.25">
      <c r="C701" s="38"/>
    </row>
    <row r="702" spans="3:3" x14ac:dyDescent="0.25">
      <c r="C702" s="38"/>
    </row>
    <row r="703" spans="3:3" x14ac:dyDescent="0.25">
      <c r="C703" s="38"/>
    </row>
    <row r="704" spans="3:3" x14ac:dyDescent="0.25">
      <c r="C704" s="38"/>
    </row>
    <row r="705" spans="3:3" x14ac:dyDescent="0.25">
      <c r="C705" s="38"/>
    </row>
    <row r="706" spans="3:3" x14ac:dyDescent="0.25">
      <c r="C706" s="38"/>
    </row>
    <row r="707" spans="3:3" x14ac:dyDescent="0.25">
      <c r="C707" s="38"/>
    </row>
    <row r="708" spans="3:3" x14ac:dyDescent="0.25">
      <c r="C708" s="38"/>
    </row>
    <row r="709" spans="3:3" x14ac:dyDescent="0.25">
      <c r="C709" s="38"/>
    </row>
    <row r="710" spans="3:3" x14ac:dyDescent="0.25">
      <c r="C710" s="38"/>
    </row>
    <row r="711" spans="3:3" x14ac:dyDescent="0.25">
      <c r="C711" s="38"/>
    </row>
    <row r="712" spans="3:3" x14ac:dyDescent="0.25">
      <c r="C712" s="38"/>
    </row>
    <row r="713" spans="3:3" x14ac:dyDescent="0.25">
      <c r="C713" s="38"/>
    </row>
    <row r="714" spans="3:3" x14ac:dyDescent="0.25">
      <c r="C714" s="38"/>
    </row>
    <row r="715" spans="3:3" x14ac:dyDescent="0.25">
      <c r="C715" s="38"/>
    </row>
    <row r="716" spans="3:3" x14ac:dyDescent="0.25">
      <c r="C716" s="38"/>
    </row>
    <row r="717" spans="3:3" x14ac:dyDescent="0.25">
      <c r="C717" s="38"/>
    </row>
    <row r="718" spans="3:3" x14ac:dyDescent="0.25">
      <c r="C718" s="38"/>
    </row>
    <row r="719" spans="3:3" x14ac:dyDescent="0.25">
      <c r="C719" s="38"/>
    </row>
    <row r="720" spans="3:3" x14ac:dyDescent="0.25">
      <c r="C720" s="38"/>
    </row>
    <row r="721" spans="3:3" x14ac:dyDescent="0.25">
      <c r="C721" s="38"/>
    </row>
    <row r="722" spans="3:3" x14ac:dyDescent="0.25">
      <c r="C722" s="38"/>
    </row>
    <row r="723" spans="3:3" x14ac:dyDescent="0.25">
      <c r="C723" s="38"/>
    </row>
    <row r="724" spans="3:3" x14ac:dyDescent="0.25">
      <c r="C724" s="38"/>
    </row>
    <row r="725" spans="3:3" x14ac:dyDescent="0.25">
      <c r="C725" s="38"/>
    </row>
    <row r="726" spans="3:3" x14ac:dyDescent="0.25">
      <c r="C726" s="38"/>
    </row>
    <row r="727" spans="3:3" x14ac:dyDescent="0.25">
      <c r="C727" s="38"/>
    </row>
    <row r="728" spans="3:3" x14ac:dyDescent="0.25">
      <c r="C728" s="38"/>
    </row>
    <row r="729" spans="3:3" x14ac:dyDescent="0.25">
      <c r="C729" s="38"/>
    </row>
    <row r="730" spans="3:3" x14ac:dyDescent="0.25">
      <c r="C730" s="38"/>
    </row>
    <row r="731" spans="3:3" x14ac:dyDescent="0.25">
      <c r="C731" s="38"/>
    </row>
    <row r="732" spans="3:3" x14ac:dyDescent="0.25">
      <c r="C732" s="38"/>
    </row>
    <row r="733" spans="3:3" x14ac:dyDescent="0.25">
      <c r="C733" s="38"/>
    </row>
    <row r="734" spans="3:3" x14ac:dyDescent="0.25">
      <c r="C734" s="38"/>
    </row>
    <row r="735" spans="3:3" x14ac:dyDescent="0.25">
      <c r="C735" s="38"/>
    </row>
    <row r="736" spans="3:3" x14ac:dyDescent="0.25">
      <c r="C736" s="38"/>
    </row>
    <row r="737" spans="3:3" x14ac:dyDescent="0.25">
      <c r="C737" s="38"/>
    </row>
    <row r="738" spans="3:3" x14ac:dyDescent="0.25">
      <c r="C738" s="38"/>
    </row>
    <row r="739" spans="3:3" x14ac:dyDescent="0.25">
      <c r="C739" s="38"/>
    </row>
    <row r="740" spans="3:3" x14ac:dyDescent="0.25">
      <c r="C740" s="38"/>
    </row>
    <row r="741" spans="3:3" x14ac:dyDescent="0.25">
      <c r="C741" s="38"/>
    </row>
    <row r="742" spans="3:3" x14ac:dyDescent="0.25">
      <c r="C742" s="38"/>
    </row>
    <row r="743" spans="3:3" x14ac:dyDescent="0.25">
      <c r="C743" s="38"/>
    </row>
    <row r="744" spans="3:3" x14ac:dyDescent="0.25">
      <c r="C744" s="38"/>
    </row>
    <row r="745" spans="3:3" x14ac:dyDescent="0.25">
      <c r="C745" s="38"/>
    </row>
    <row r="746" spans="3:3" x14ac:dyDescent="0.25">
      <c r="C746" s="38"/>
    </row>
    <row r="747" spans="3:3" x14ac:dyDescent="0.25">
      <c r="C747" s="38"/>
    </row>
    <row r="748" spans="3:3" x14ac:dyDescent="0.25">
      <c r="C748" s="38"/>
    </row>
    <row r="749" spans="3:3" x14ac:dyDescent="0.25">
      <c r="C749" s="38"/>
    </row>
    <row r="750" spans="3:3" x14ac:dyDescent="0.25">
      <c r="C750" s="38"/>
    </row>
    <row r="751" spans="3:3" x14ac:dyDescent="0.25">
      <c r="C751" s="38"/>
    </row>
    <row r="752" spans="3:3" x14ac:dyDescent="0.25">
      <c r="C752" s="38"/>
    </row>
    <row r="753" spans="3:3" x14ac:dyDescent="0.25">
      <c r="C753" s="38"/>
    </row>
    <row r="754" spans="3:3" x14ac:dyDescent="0.25">
      <c r="C754" s="38"/>
    </row>
    <row r="755" spans="3:3" x14ac:dyDescent="0.25">
      <c r="C755" s="38"/>
    </row>
    <row r="756" spans="3:3" x14ac:dyDescent="0.25">
      <c r="C756" s="38"/>
    </row>
    <row r="757" spans="3:3" x14ac:dyDescent="0.25">
      <c r="C757" s="38"/>
    </row>
    <row r="758" spans="3:3" x14ac:dyDescent="0.25">
      <c r="C758" s="38"/>
    </row>
    <row r="759" spans="3:3" x14ac:dyDescent="0.25">
      <c r="C759" s="38"/>
    </row>
    <row r="760" spans="3:3" x14ac:dyDescent="0.25">
      <c r="C760" s="38"/>
    </row>
    <row r="761" spans="3:3" x14ac:dyDescent="0.25">
      <c r="C761" s="38"/>
    </row>
    <row r="762" spans="3:3" x14ac:dyDescent="0.25">
      <c r="C762" s="38"/>
    </row>
    <row r="763" spans="3:3" x14ac:dyDescent="0.25">
      <c r="C763" s="38"/>
    </row>
    <row r="764" spans="3:3" x14ac:dyDescent="0.25">
      <c r="C764" s="38"/>
    </row>
    <row r="765" spans="3:3" x14ac:dyDescent="0.25">
      <c r="C765" s="38"/>
    </row>
    <row r="766" spans="3:3" x14ac:dyDescent="0.25">
      <c r="C766" s="38"/>
    </row>
    <row r="767" spans="3:3" x14ac:dyDescent="0.25">
      <c r="C767" s="38"/>
    </row>
    <row r="768" spans="3:3" x14ac:dyDescent="0.25">
      <c r="C768" s="38"/>
    </row>
    <row r="769" spans="3:3" x14ac:dyDescent="0.25">
      <c r="C769" s="38"/>
    </row>
    <row r="770" spans="3:3" x14ac:dyDescent="0.25">
      <c r="C770" s="38"/>
    </row>
    <row r="771" spans="3:3" x14ac:dyDescent="0.25">
      <c r="C771" s="38"/>
    </row>
    <row r="772" spans="3:3" x14ac:dyDescent="0.25">
      <c r="C772" s="38"/>
    </row>
    <row r="773" spans="3:3" x14ac:dyDescent="0.25">
      <c r="C773" s="38"/>
    </row>
    <row r="774" spans="3:3" x14ac:dyDescent="0.25">
      <c r="C774" s="38"/>
    </row>
    <row r="775" spans="3:3" x14ac:dyDescent="0.25">
      <c r="C775" s="38"/>
    </row>
    <row r="776" spans="3:3" x14ac:dyDescent="0.25">
      <c r="C776" s="38"/>
    </row>
    <row r="777" spans="3:3" x14ac:dyDescent="0.25">
      <c r="C777" s="38"/>
    </row>
    <row r="778" spans="3:3" x14ac:dyDescent="0.25">
      <c r="C778" s="38"/>
    </row>
    <row r="779" spans="3:3" x14ac:dyDescent="0.25">
      <c r="C779" s="38"/>
    </row>
    <row r="780" spans="3:3" x14ac:dyDescent="0.25">
      <c r="C780" s="38"/>
    </row>
    <row r="781" spans="3:3" x14ac:dyDescent="0.25">
      <c r="C781" s="38"/>
    </row>
    <row r="782" spans="3:3" x14ac:dyDescent="0.25">
      <c r="C782" s="38"/>
    </row>
    <row r="783" spans="3:3" x14ac:dyDescent="0.25">
      <c r="C783" s="38"/>
    </row>
    <row r="784" spans="3:3" x14ac:dyDescent="0.25">
      <c r="C784" s="38"/>
    </row>
    <row r="785" spans="3:3" x14ac:dyDescent="0.25">
      <c r="C785" s="38"/>
    </row>
    <row r="786" spans="3:3" x14ac:dyDescent="0.25">
      <c r="C786" s="38"/>
    </row>
    <row r="787" spans="3:3" x14ac:dyDescent="0.25">
      <c r="C787" s="38"/>
    </row>
    <row r="788" spans="3:3" x14ac:dyDescent="0.25">
      <c r="C788" s="38"/>
    </row>
    <row r="789" spans="3:3" x14ac:dyDescent="0.25">
      <c r="C789" s="38"/>
    </row>
    <row r="790" spans="3:3" x14ac:dyDescent="0.25">
      <c r="C790" s="38"/>
    </row>
    <row r="791" spans="3:3" x14ac:dyDescent="0.25">
      <c r="C791" s="38"/>
    </row>
    <row r="792" spans="3:3" x14ac:dyDescent="0.25">
      <c r="C792" s="38"/>
    </row>
    <row r="793" spans="3:3" x14ac:dyDescent="0.25">
      <c r="C793" s="38"/>
    </row>
    <row r="794" spans="3:3" x14ac:dyDescent="0.25">
      <c r="C794" s="38"/>
    </row>
    <row r="795" spans="3:3" x14ac:dyDescent="0.25">
      <c r="C795" s="38"/>
    </row>
    <row r="796" spans="3:3" x14ac:dyDescent="0.25">
      <c r="C796" s="38"/>
    </row>
    <row r="797" spans="3:3" x14ac:dyDescent="0.25">
      <c r="C797" s="38"/>
    </row>
    <row r="798" spans="3:3" x14ac:dyDescent="0.25">
      <c r="C798" s="38"/>
    </row>
    <row r="799" spans="3:3" x14ac:dyDescent="0.25">
      <c r="C799" s="38"/>
    </row>
    <row r="800" spans="3:3" x14ac:dyDescent="0.25">
      <c r="C800" s="38"/>
    </row>
    <row r="801" spans="3:3" x14ac:dyDescent="0.25">
      <c r="C801" s="38"/>
    </row>
    <row r="802" spans="3:3" x14ac:dyDescent="0.25">
      <c r="C802" s="38"/>
    </row>
    <row r="803" spans="3:3" x14ac:dyDescent="0.25">
      <c r="C803" s="38"/>
    </row>
    <row r="804" spans="3:3" x14ac:dyDescent="0.25">
      <c r="C804" s="38"/>
    </row>
    <row r="805" spans="3:3" x14ac:dyDescent="0.25">
      <c r="C805" s="38"/>
    </row>
    <row r="806" spans="3:3" x14ac:dyDescent="0.25">
      <c r="C806" s="38"/>
    </row>
    <row r="807" spans="3:3" x14ac:dyDescent="0.25">
      <c r="C807" s="38"/>
    </row>
    <row r="808" spans="3:3" x14ac:dyDescent="0.25">
      <c r="C808" s="38"/>
    </row>
    <row r="809" spans="3:3" x14ac:dyDescent="0.25">
      <c r="C809" s="38"/>
    </row>
    <row r="810" spans="3:3" x14ac:dyDescent="0.25">
      <c r="C810" s="38"/>
    </row>
    <row r="811" spans="3:3" x14ac:dyDescent="0.25">
      <c r="C811" s="38"/>
    </row>
    <row r="812" spans="3:3" x14ac:dyDescent="0.25">
      <c r="C812" s="38"/>
    </row>
    <row r="813" spans="3:3" x14ac:dyDescent="0.25">
      <c r="C813" s="38"/>
    </row>
    <row r="814" spans="3:3" x14ac:dyDescent="0.25">
      <c r="C814" s="38"/>
    </row>
    <row r="815" spans="3:3" x14ac:dyDescent="0.25">
      <c r="C815" s="38"/>
    </row>
    <row r="816" spans="3:3" x14ac:dyDescent="0.25">
      <c r="C816" s="38"/>
    </row>
    <row r="817" spans="3:3" x14ac:dyDescent="0.25">
      <c r="C817" s="38"/>
    </row>
    <row r="818" spans="3:3" x14ac:dyDescent="0.25">
      <c r="C818" s="38"/>
    </row>
    <row r="819" spans="3:3" x14ac:dyDescent="0.25">
      <c r="C819" s="38"/>
    </row>
    <row r="820" spans="3:3" x14ac:dyDescent="0.25">
      <c r="C820" s="38"/>
    </row>
    <row r="821" spans="3:3" x14ac:dyDescent="0.25">
      <c r="C821" s="38"/>
    </row>
    <row r="822" spans="3:3" x14ac:dyDescent="0.25">
      <c r="C822" s="38"/>
    </row>
    <row r="823" spans="3:3" x14ac:dyDescent="0.25">
      <c r="C823" s="38"/>
    </row>
    <row r="824" spans="3:3" x14ac:dyDescent="0.25">
      <c r="C824" s="38"/>
    </row>
    <row r="825" spans="3:3" x14ac:dyDescent="0.25">
      <c r="C825" s="38"/>
    </row>
    <row r="826" spans="3:3" x14ac:dyDescent="0.25">
      <c r="C826" s="38"/>
    </row>
    <row r="827" spans="3:3" x14ac:dyDescent="0.25">
      <c r="C827" s="38"/>
    </row>
    <row r="828" spans="3:3" x14ac:dyDescent="0.25">
      <c r="C828" s="38"/>
    </row>
    <row r="829" spans="3:3" x14ac:dyDescent="0.25">
      <c r="C829" s="38"/>
    </row>
    <row r="830" spans="3:3" x14ac:dyDescent="0.25">
      <c r="C830" s="38"/>
    </row>
    <row r="831" spans="3:3" x14ac:dyDescent="0.25">
      <c r="C831" s="38"/>
    </row>
    <row r="832" spans="3:3" x14ac:dyDescent="0.25">
      <c r="C832" s="38"/>
    </row>
    <row r="833" spans="3:3" x14ac:dyDescent="0.25">
      <c r="C833" s="38"/>
    </row>
    <row r="834" spans="3:3" x14ac:dyDescent="0.25">
      <c r="C834" s="38"/>
    </row>
    <row r="835" spans="3:3" x14ac:dyDescent="0.25">
      <c r="C835" s="38"/>
    </row>
    <row r="836" spans="3:3" x14ac:dyDescent="0.25">
      <c r="C836" s="38"/>
    </row>
  </sheetData>
  <autoFilter ref="D2:D836" xr:uid="{00000000-0009-0000-0000-00000C000000}"/>
  <conditionalFormatting sqref="L134:L179 L88:L90">
    <cfRule type="containsText" dxfId="2653" priority="258" operator="containsText" text="FAIL">
      <formula>NOT(ISERROR(SEARCH("FAIL",L88)))</formula>
    </cfRule>
  </conditionalFormatting>
  <conditionalFormatting sqref="L134:L179 L88:L90">
    <cfRule type="containsText" dxfId="2652" priority="257" operator="containsText" text="GOOD">
      <formula>NOT(ISERROR(SEARCH("GOOD",L88)))</formula>
    </cfRule>
  </conditionalFormatting>
  <conditionalFormatting sqref="L133">
    <cfRule type="containsText" dxfId="2651" priority="210" operator="containsText" text="FAIL">
      <formula>NOT(ISERROR(SEARCH("FAIL",L133)))</formula>
    </cfRule>
  </conditionalFormatting>
  <conditionalFormatting sqref="L133">
    <cfRule type="containsText" dxfId="2650" priority="209" operator="containsText" text="GOOD">
      <formula>NOT(ISERROR(SEARCH("GOOD",L133)))</formula>
    </cfRule>
  </conditionalFormatting>
  <conditionalFormatting sqref="L132">
    <cfRule type="containsText" dxfId="2649" priority="208" operator="containsText" text="FAIL">
      <formula>NOT(ISERROR(SEARCH("FAIL",L132)))</formula>
    </cfRule>
  </conditionalFormatting>
  <conditionalFormatting sqref="L132">
    <cfRule type="containsText" dxfId="2648" priority="207" operator="containsText" text="GOOD">
      <formula>NOT(ISERROR(SEARCH("GOOD",L132)))</formula>
    </cfRule>
  </conditionalFormatting>
  <conditionalFormatting sqref="L131">
    <cfRule type="containsText" dxfId="2647" priority="206" operator="containsText" text="FAIL">
      <formula>NOT(ISERROR(SEARCH("FAIL",L131)))</formula>
    </cfRule>
  </conditionalFormatting>
  <conditionalFormatting sqref="L131">
    <cfRule type="containsText" dxfId="2646" priority="205" operator="containsText" text="GOOD">
      <formula>NOT(ISERROR(SEARCH("GOOD",L131)))</formula>
    </cfRule>
  </conditionalFormatting>
  <conditionalFormatting sqref="L129">
    <cfRule type="containsText" dxfId="2645" priority="204" operator="containsText" text="FAIL">
      <formula>NOT(ISERROR(SEARCH("FAIL",L129)))</formula>
    </cfRule>
  </conditionalFormatting>
  <conditionalFormatting sqref="L129">
    <cfRule type="containsText" dxfId="2644" priority="203" operator="containsText" text="GOOD">
      <formula>NOT(ISERROR(SEARCH("GOOD",L129)))</formula>
    </cfRule>
  </conditionalFormatting>
  <conditionalFormatting sqref="L128">
    <cfRule type="containsText" dxfId="2643" priority="202" operator="containsText" text="FAIL">
      <formula>NOT(ISERROR(SEARCH("FAIL",L128)))</formula>
    </cfRule>
  </conditionalFormatting>
  <conditionalFormatting sqref="L128">
    <cfRule type="containsText" dxfId="2642" priority="201" operator="containsText" text="GOOD">
      <formula>NOT(ISERROR(SEARCH("GOOD",L128)))</formula>
    </cfRule>
  </conditionalFormatting>
  <conditionalFormatting sqref="L127">
    <cfRule type="containsText" dxfId="2641" priority="200" operator="containsText" text="FAIL">
      <formula>NOT(ISERROR(SEARCH("FAIL",L127)))</formula>
    </cfRule>
  </conditionalFormatting>
  <conditionalFormatting sqref="L127">
    <cfRule type="containsText" dxfId="2640" priority="199" operator="containsText" text="GOOD">
      <formula>NOT(ISERROR(SEARCH("GOOD",L127)))</formula>
    </cfRule>
  </conditionalFormatting>
  <conditionalFormatting sqref="L126">
    <cfRule type="containsText" dxfId="2639" priority="198" operator="containsText" text="FAIL">
      <formula>NOT(ISERROR(SEARCH("FAIL",L126)))</formula>
    </cfRule>
  </conditionalFormatting>
  <conditionalFormatting sqref="L126">
    <cfRule type="containsText" dxfId="2638" priority="197" operator="containsText" text="GOOD">
      <formula>NOT(ISERROR(SEARCH("GOOD",L126)))</formula>
    </cfRule>
  </conditionalFormatting>
  <conditionalFormatting sqref="L124:L125">
    <cfRule type="containsText" dxfId="2637" priority="196" operator="containsText" text="FAIL">
      <formula>NOT(ISERROR(SEARCH("FAIL",L124)))</formula>
    </cfRule>
  </conditionalFormatting>
  <conditionalFormatting sqref="L124:L125">
    <cfRule type="containsText" dxfId="2636" priority="195" operator="containsText" text="GOOD">
      <formula>NOT(ISERROR(SEARCH("GOOD",L124)))</formula>
    </cfRule>
  </conditionalFormatting>
  <conditionalFormatting sqref="L122:L123">
    <cfRule type="containsText" dxfId="2635" priority="194" operator="containsText" text="FAIL">
      <formula>NOT(ISERROR(SEARCH("FAIL",L122)))</formula>
    </cfRule>
  </conditionalFormatting>
  <conditionalFormatting sqref="L122:L123">
    <cfRule type="containsText" dxfId="2634" priority="193" operator="containsText" text="GOOD">
      <formula>NOT(ISERROR(SEARCH("GOOD",L122)))</formula>
    </cfRule>
  </conditionalFormatting>
  <conditionalFormatting sqref="L121">
    <cfRule type="containsText" dxfId="2633" priority="192" operator="containsText" text="FAIL">
      <formula>NOT(ISERROR(SEARCH("FAIL",L121)))</formula>
    </cfRule>
  </conditionalFormatting>
  <conditionalFormatting sqref="L121">
    <cfRule type="containsText" dxfId="2632" priority="191" operator="containsText" text="GOOD">
      <formula>NOT(ISERROR(SEARCH("GOOD",L121)))</formula>
    </cfRule>
  </conditionalFormatting>
  <conditionalFormatting sqref="L125">
    <cfRule type="containsText" dxfId="2631" priority="190" operator="containsText" text="FAIL">
      <formula>NOT(ISERROR(SEARCH("FAIL",L125)))</formula>
    </cfRule>
  </conditionalFormatting>
  <conditionalFormatting sqref="L125">
    <cfRule type="containsText" dxfId="2630" priority="189" operator="containsText" text="GOOD">
      <formula>NOT(ISERROR(SEARCH("GOOD",L125)))</formula>
    </cfRule>
  </conditionalFormatting>
  <conditionalFormatting sqref="L123">
    <cfRule type="containsText" dxfId="2629" priority="188" operator="containsText" text="FAIL">
      <formula>NOT(ISERROR(SEARCH("FAIL",L123)))</formula>
    </cfRule>
  </conditionalFormatting>
  <conditionalFormatting sqref="L123">
    <cfRule type="containsText" dxfId="2628" priority="187" operator="containsText" text="GOOD">
      <formula>NOT(ISERROR(SEARCH("GOOD",L123)))</formula>
    </cfRule>
  </conditionalFormatting>
  <conditionalFormatting sqref="L120">
    <cfRule type="containsText" dxfId="2627" priority="186" operator="containsText" text="FAIL">
      <formula>NOT(ISERROR(SEARCH("FAIL",L120)))</formula>
    </cfRule>
  </conditionalFormatting>
  <conditionalFormatting sqref="L120">
    <cfRule type="containsText" dxfId="2626" priority="185" operator="containsText" text="GOOD">
      <formula>NOT(ISERROR(SEARCH("GOOD",L120)))</formula>
    </cfRule>
  </conditionalFormatting>
  <conditionalFormatting sqref="L119">
    <cfRule type="containsText" dxfId="2625" priority="184" operator="containsText" text="FAIL">
      <formula>NOT(ISERROR(SEARCH("FAIL",L119)))</formula>
    </cfRule>
  </conditionalFormatting>
  <conditionalFormatting sqref="L119">
    <cfRule type="containsText" dxfId="2624" priority="183" operator="containsText" text="GOOD">
      <formula>NOT(ISERROR(SEARCH("GOOD",L119)))</formula>
    </cfRule>
  </conditionalFormatting>
  <conditionalFormatting sqref="L117">
    <cfRule type="containsText" dxfId="2623" priority="180" operator="containsText" text="FAIL">
      <formula>NOT(ISERROR(SEARCH("FAIL",L117)))</formula>
    </cfRule>
  </conditionalFormatting>
  <conditionalFormatting sqref="L117">
    <cfRule type="containsText" dxfId="2622" priority="179" operator="containsText" text="GOOD">
      <formula>NOT(ISERROR(SEARCH("GOOD",L117)))</formula>
    </cfRule>
  </conditionalFormatting>
  <conditionalFormatting sqref="L116">
    <cfRule type="containsText" dxfId="2621" priority="178" operator="containsText" text="FAIL">
      <formula>NOT(ISERROR(SEARCH("FAIL",L116)))</formula>
    </cfRule>
  </conditionalFormatting>
  <conditionalFormatting sqref="L116">
    <cfRule type="containsText" dxfId="2620" priority="177" operator="containsText" text="GOOD">
      <formula>NOT(ISERROR(SEARCH("GOOD",L116)))</formula>
    </cfRule>
  </conditionalFormatting>
  <conditionalFormatting sqref="L115">
    <cfRule type="containsText" dxfId="2619" priority="176" operator="containsText" text="FAIL">
      <formula>NOT(ISERROR(SEARCH("FAIL",L115)))</formula>
    </cfRule>
  </conditionalFormatting>
  <conditionalFormatting sqref="L115">
    <cfRule type="containsText" dxfId="2618" priority="175" operator="containsText" text="GOOD">
      <formula>NOT(ISERROR(SEARCH("GOOD",L115)))</formula>
    </cfRule>
  </conditionalFormatting>
  <conditionalFormatting sqref="L114">
    <cfRule type="containsText" dxfId="2617" priority="174" operator="containsText" text="FAIL">
      <formula>NOT(ISERROR(SEARCH("FAIL",L114)))</formula>
    </cfRule>
  </conditionalFormatting>
  <conditionalFormatting sqref="L114">
    <cfRule type="containsText" dxfId="2616" priority="173" operator="containsText" text="GOOD">
      <formula>NOT(ISERROR(SEARCH("GOOD",L114)))</formula>
    </cfRule>
  </conditionalFormatting>
  <conditionalFormatting sqref="L112:L113">
    <cfRule type="containsText" dxfId="2615" priority="172" operator="containsText" text="FAIL">
      <formula>NOT(ISERROR(SEARCH("FAIL",L112)))</formula>
    </cfRule>
  </conditionalFormatting>
  <conditionalFormatting sqref="L112:L113">
    <cfRule type="containsText" dxfId="2614" priority="171" operator="containsText" text="GOOD">
      <formula>NOT(ISERROR(SEARCH("GOOD",L112)))</formula>
    </cfRule>
  </conditionalFormatting>
  <conditionalFormatting sqref="L110:L111">
    <cfRule type="containsText" dxfId="2613" priority="170" operator="containsText" text="FAIL">
      <formula>NOT(ISERROR(SEARCH("FAIL",L110)))</formula>
    </cfRule>
  </conditionalFormatting>
  <conditionalFormatting sqref="L110:L111">
    <cfRule type="containsText" dxfId="2612" priority="169" operator="containsText" text="GOOD">
      <formula>NOT(ISERROR(SEARCH("GOOD",L110)))</formula>
    </cfRule>
  </conditionalFormatting>
  <conditionalFormatting sqref="L109">
    <cfRule type="containsText" dxfId="2611" priority="168" operator="containsText" text="FAIL">
      <formula>NOT(ISERROR(SEARCH("FAIL",L109)))</formula>
    </cfRule>
  </conditionalFormatting>
  <conditionalFormatting sqref="L109">
    <cfRule type="containsText" dxfId="2610" priority="167" operator="containsText" text="GOOD">
      <formula>NOT(ISERROR(SEARCH("GOOD",L109)))</formula>
    </cfRule>
  </conditionalFormatting>
  <conditionalFormatting sqref="L108">
    <cfRule type="containsText" dxfId="2609" priority="166" operator="containsText" text="FAIL">
      <formula>NOT(ISERROR(SEARCH("FAIL",L108)))</formula>
    </cfRule>
  </conditionalFormatting>
  <conditionalFormatting sqref="L108">
    <cfRule type="containsText" dxfId="2608" priority="165" operator="containsText" text="GOOD">
      <formula>NOT(ISERROR(SEARCH("GOOD",L108)))</formula>
    </cfRule>
  </conditionalFormatting>
  <conditionalFormatting sqref="L107">
    <cfRule type="containsText" dxfId="2607" priority="164" operator="containsText" text="FAIL">
      <formula>NOT(ISERROR(SEARCH("FAIL",L107)))</formula>
    </cfRule>
  </conditionalFormatting>
  <conditionalFormatting sqref="L107">
    <cfRule type="containsText" dxfId="2606" priority="163" operator="containsText" text="GOOD">
      <formula>NOT(ISERROR(SEARCH("GOOD",L107)))</formula>
    </cfRule>
  </conditionalFormatting>
  <conditionalFormatting sqref="L105">
    <cfRule type="containsText" dxfId="2605" priority="162" operator="containsText" text="FAIL">
      <formula>NOT(ISERROR(SEARCH("FAIL",L105)))</formula>
    </cfRule>
  </conditionalFormatting>
  <conditionalFormatting sqref="L105">
    <cfRule type="containsText" dxfId="2604" priority="161" operator="containsText" text="GOOD">
      <formula>NOT(ISERROR(SEARCH("GOOD",L105)))</formula>
    </cfRule>
  </conditionalFormatting>
  <conditionalFormatting sqref="L106">
    <cfRule type="containsText" dxfId="2603" priority="160" operator="containsText" text="FAIL">
      <formula>NOT(ISERROR(SEARCH("FAIL",L106)))</formula>
    </cfRule>
  </conditionalFormatting>
  <conditionalFormatting sqref="L106">
    <cfRule type="containsText" dxfId="2602" priority="159" operator="containsText" text="GOOD">
      <formula>NOT(ISERROR(SEARCH("GOOD",L106)))</formula>
    </cfRule>
  </conditionalFormatting>
  <conditionalFormatting sqref="L103">
    <cfRule type="containsText" dxfId="2601" priority="158" operator="containsText" text="FAIL">
      <formula>NOT(ISERROR(SEARCH("FAIL",L103)))</formula>
    </cfRule>
  </conditionalFormatting>
  <conditionalFormatting sqref="L103">
    <cfRule type="containsText" dxfId="2600" priority="157" operator="containsText" text="GOOD">
      <formula>NOT(ISERROR(SEARCH("GOOD",L103)))</formula>
    </cfRule>
  </conditionalFormatting>
  <conditionalFormatting sqref="L102">
    <cfRule type="containsText" dxfId="2599" priority="156" operator="containsText" text="FAIL">
      <formula>NOT(ISERROR(SEARCH("FAIL",L102)))</formula>
    </cfRule>
  </conditionalFormatting>
  <conditionalFormatting sqref="L102">
    <cfRule type="containsText" dxfId="2598" priority="155" operator="containsText" text="GOOD">
      <formula>NOT(ISERROR(SEARCH("GOOD",L102)))</formula>
    </cfRule>
  </conditionalFormatting>
  <conditionalFormatting sqref="L101">
    <cfRule type="containsText" dxfId="2597" priority="154" operator="containsText" text="FAIL">
      <formula>NOT(ISERROR(SEARCH("FAIL",L101)))</formula>
    </cfRule>
  </conditionalFormatting>
  <conditionalFormatting sqref="L101">
    <cfRule type="containsText" dxfId="2596" priority="153" operator="containsText" text="GOOD">
      <formula>NOT(ISERROR(SEARCH("GOOD",L101)))</formula>
    </cfRule>
  </conditionalFormatting>
  <conditionalFormatting sqref="L99:L100">
    <cfRule type="containsText" dxfId="2595" priority="152" operator="containsText" text="FAIL">
      <formula>NOT(ISERROR(SEARCH("FAIL",L99)))</formula>
    </cfRule>
  </conditionalFormatting>
  <conditionalFormatting sqref="L99:L100">
    <cfRule type="containsText" dxfId="2594" priority="151" operator="containsText" text="GOOD">
      <formula>NOT(ISERROR(SEARCH("GOOD",L99)))</formula>
    </cfRule>
  </conditionalFormatting>
  <conditionalFormatting sqref="L98">
    <cfRule type="containsText" dxfId="2593" priority="150" operator="containsText" text="FAIL">
      <formula>NOT(ISERROR(SEARCH("FAIL",L98)))</formula>
    </cfRule>
  </conditionalFormatting>
  <conditionalFormatting sqref="L98">
    <cfRule type="containsText" dxfId="2592" priority="149" operator="containsText" text="GOOD">
      <formula>NOT(ISERROR(SEARCH("GOOD",L98)))</formula>
    </cfRule>
  </conditionalFormatting>
  <conditionalFormatting sqref="L97">
    <cfRule type="containsText" dxfId="2591" priority="148" operator="containsText" text="FAIL">
      <formula>NOT(ISERROR(SEARCH("FAIL",L97)))</formula>
    </cfRule>
  </conditionalFormatting>
  <conditionalFormatting sqref="L97">
    <cfRule type="containsText" dxfId="2590" priority="147" operator="containsText" text="GOOD">
      <formula>NOT(ISERROR(SEARCH("GOOD",L97)))</formula>
    </cfRule>
  </conditionalFormatting>
  <conditionalFormatting sqref="L96">
    <cfRule type="containsText" dxfId="2589" priority="146" operator="containsText" text="FAIL">
      <formula>NOT(ISERROR(SEARCH("FAIL",L96)))</formula>
    </cfRule>
  </conditionalFormatting>
  <conditionalFormatting sqref="L96">
    <cfRule type="containsText" dxfId="2588" priority="145" operator="containsText" text="GOOD">
      <formula>NOT(ISERROR(SEARCH("GOOD",L96)))</formula>
    </cfRule>
  </conditionalFormatting>
  <conditionalFormatting sqref="L95">
    <cfRule type="containsText" dxfId="2587" priority="144" operator="containsText" text="FAIL">
      <formula>NOT(ISERROR(SEARCH("FAIL",L95)))</formula>
    </cfRule>
  </conditionalFormatting>
  <conditionalFormatting sqref="L95">
    <cfRule type="containsText" dxfId="2586" priority="143" operator="containsText" text="GOOD">
      <formula>NOT(ISERROR(SEARCH("GOOD",L95)))</formula>
    </cfRule>
  </conditionalFormatting>
  <conditionalFormatting sqref="L93">
    <cfRule type="containsText" dxfId="2585" priority="142" operator="containsText" text="FAIL">
      <formula>NOT(ISERROR(SEARCH("FAIL",L93)))</formula>
    </cfRule>
  </conditionalFormatting>
  <conditionalFormatting sqref="L93">
    <cfRule type="containsText" dxfId="2584" priority="141" operator="containsText" text="GOOD">
      <formula>NOT(ISERROR(SEARCH("GOOD",L93)))</formula>
    </cfRule>
  </conditionalFormatting>
  <conditionalFormatting sqref="L92">
    <cfRule type="containsText" dxfId="2583" priority="140" operator="containsText" text="FAIL">
      <formula>NOT(ISERROR(SEARCH("FAIL",L92)))</formula>
    </cfRule>
  </conditionalFormatting>
  <conditionalFormatting sqref="L92">
    <cfRule type="containsText" dxfId="2582" priority="139" operator="containsText" text="GOOD">
      <formula>NOT(ISERROR(SEARCH("GOOD",L92)))</formula>
    </cfRule>
  </conditionalFormatting>
  <conditionalFormatting sqref="L91">
    <cfRule type="containsText" dxfId="2581" priority="138" operator="containsText" text="FAIL">
      <formula>NOT(ISERROR(SEARCH("FAIL",L91)))</formula>
    </cfRule>
  </conditionalFormatting>
  <conditionalFormatting sqref="L91">
    <cfRule type="containsText" dxfId="2580" priority="137" operator="containsText" text="GOOD">
      <formula>NOT(ISERROR(SEARCH("GOOD",L91)))</formula>
    </cfRule>
  </conditionalFormatting>
  <conditionalFormatting sqref="L87">
    <cfRule type="containsText" dxfId="2579" priority="136" operator="containsText" text="FAIL">
      <formula>NOT(ISERROR(SEARCH("FAIL",L87)))</formula>
    </cfRule>
  </conditionalFormatting>
  <conditionalFormatting sqref="L87">
    <cfRule type="containsText" dxfId="2578" priority="135" operator="containsText" text="GOOD">
      <formula>NOT(ISERROR(SEARCH("GOOD",L87)))</formula>
    </cfRule>
  </conditionalFormatting>
  <conditionalFormatting sqref="L86">
    <cfRule type="containsText" dxfId="2577" priority="134" operator="containsText" text="FAIL">
      <formula>NOT(ISERROR(SEARCH("FAIL",L86)))</formula>
    </cfRule>
  </conditionalFormatting>
  <conditionalFormatting sqref="L86">
    <cfRule type="containsText" dxfId="2576" priority="133" operator="containsText" text="GOOD">
      <formula>NOT(ISERROR(SEARCH("GOOD",L86)))</formula>
    </cfRule>
  </conditionalFormatting>
  <conditionalFormatting sqref="L85">
    <cfRule type="containsText" dxfId="2575" priority="132" operator="containsText" text="FAIL">
      <formula>NOT(ISERROR(SEARCH("FAIL",L85)))</formula>
    </cfRule>
  </conditionalFormatting>
  <conditionalFormatting sqref="L85">
    <cfRule type="containsText" dxfId="2574" priority="131" operator="containsText" text="GOOD">
      <formula>NOT(ISERROR(SEARCH("GOOD",L85)))</formula>
    </cfRule>
  </conditionalFormatting>
  <conditionalFormatting sqref="L84">
    <cfRule type="containsText" dxfId="2573" priority="130" operator="containsText" text="FAIL">
      <formula>NOT(ISERROR(SEARCH("FAIL",L84)))</formula>
    </cfRule>
  </conditionalFormatting>
  <conditionalFormatting sqref="L84">
    <cfRule type="containsText" dxfId="2572" priority="129" operator="containsText" text="GOOD">
      <formula>NOT(ISERROR(SEARCH("GOOD",L84)))</formula>
    </cfRule>
  </conditionalFormatting>
  <conditionalFormatting sqref="L83">
    <cfRule type="containsText" dxfId="2571" priority="128" operator="containsText" text="FAIL">
      <formula>NOT(ISERROR(SEARCH("FAIL",L83)))</formula>
    </cfRule>
  </conditionalFormatting>
  <conditionalFormatting sqref="L83">
    <cfRule type="containsText" dxfId="2570" priority="127" operator="containsText" text="GOOD">
      <formula>NOT(ISERROR(SEARCH("GOOD",L83)))</formula>
    </cfRule>
  </conditionalFormatting>
  <conditionalFormatting sqref="L82">
    <cfRule type="containsText" dxfId="2569" priority="126" operator="containsText" text="FAIL">
      <formula>NOT(ISERROR(SEARCH("FAIL",L82)))</formula>
    </cfRule>
  </conditionalFormatting>
  <conditionalFormatting sqref="L82">
    <cfRule type="containsText" dxfId="2568" priority="125" operator="containsText" text="GOOD">
      <formula>NOT(ISERROR(SEARCH("GOOD",L82)))</formula>
    </cfRule>
  </conditionalFormatting>
  <conditionalFormatting sqref="L81">
    <cfRule type="containsText" dxfId="2567" priority="124" operator="containsText" text="FAIL">
      <formula>NOT(ISERROR(SEARCH("FAIL",L81)))</formula>
    </cfRule>
  </conditionalFormatting>
  <conditionalFormatting sqref="L81">
    <cfRule type="containsText" dxfId="2566" priority="123" operator="containsText" text="GOOD">
      <formula>NOT(ISERROR(SEARCH("GOOD",L81)))</formula>
    </cfRule>
  </conditionalFormatting>
  <conditionalFormatting sqref="L80">
    <cfRule type="containsText" dxfId="2565" priority="122" operator="containsText" text="FAIL">
      <formula>NOT(ISERROR(SEARCH("FAIL",L80)))</formula>
    </cfRule>
  </conditionalFormatting>
  <conditionalFormatting sqref="L80">
    <cfRule type="containsText" dxfId="2564" priority="121" operator="containsText" text="GOOD">
      <formula>NOT(ISERROR(SEARCH("GOOD",L80)))</formula>
    </cfRule>
  </conditionalFormatting>
  <conditionalFormatting sqref="L78">
    <cfRule type="containsText" dxfId="2563" priority="120" operator="containsText" text="FAIL">
      <formula>NOT(ISERROR(SEARCH("FAIL",L78)))</formula>
    </cfRule>
  </conditionalFormatting>
  <conditionalFormatting sqref="L78">
    <cfRule type="containsText" dxfId="2562" priority="119" operator="containsText" text="GOOD">
      <formula>NOT(ISERROR(SEARCH("GOOD",L78)))</formula>
    </cfRule>
  </conditionalFormatting>
  <conditionalFormatting sqref="L77">
    <cfRule type="containsText" dxfId="2561" priority="118" operator="containsText" text="FAIL">
      <formula>NOT(ISERROR(SEARCH("FAIL",L77)))</formula>
    </cfRule>
  </conditionalFormatting>
  <conditionalFormatting sqref="L77">
    <cfRule type="containsText" dxfId="2560" priority="117" operator="containsText" text="GOOD">
      <formula>NOT(ISERROR(SEARCH("GOOD",L77)))</formula>
    </cfRule>
  </conditionalFormatting>
  <conditionalFormatting sqref="L76">
    <cfRule type="containsText" dxfId="2559" priority="116" operator="containsText" text="FAIL">
      <formula>NOT(ISERROR(SEARCH("FAIL",L76)))</formula>
    </cfRule>
  </conditionalFormatting>
  <conditionalFormatting sqref="L76">
    <cfRule type="containsText" dxfId="2558" priority="115" operator="containsText" text="GOOD">
      <formula>NOT(ISERROR(SEARCH("GOOD",L76)))</formula>
    </cfRule>
  </conditionalFormatting>
  <conditionalFormatting sqref="L75">
    <cfRule type="containsText" dxfId="2557" priority="114" operator="containsText" text="FAIL">
      <formula>NOT(ISERROR(SEARCH("FAIL",L75)))</formula>
    </cfRule>
  </conditionalFormatting>
  <conditionalFormatting sqref="L75">
    <cfRule type="containsText" dxfId="2556" priority="113" operator="containsText" text="GOOD">
      <formula>NOT(ISERROR(SEARCH("GOOD",L75)))</formula>
    </cfRule>
  </conditionalFormatting>
  <conditionalFormatting sqref="L74">
    <cfRule type="containsText" dxfId="2555" priority="112" operator="containsText" text="FAIL">
      <formula>NOT(ISERROR(SEARCH("FAIL",L74)))</formula>
    </cfRule>
  </conditionalFormatting>
  <conditionalFormatting sqref="L74">
    <cfRule type="containsText" dxfId="2554" priority="111" operator="containsText" text="GOOD">
      <formula>NOT(ISERROR(SEARCH("GOOD",L74)))</formula>
    </cfRule>
  </conditionalFormatting>
  <conditionalFormatting sqref="L73">
    <cfRule type="containsText" dxfId="2553" priority="110" operator="containsText" text="FAIL">
      <formula>NOT(ISERROR(SEARCH("FAIL",L73)))</formula>
    </cfRule>
  </conditionalFormatting>
  <conditionalFormatting sqref="L73">
    <cfRule type="containsText" dxfId="2552" priority="109" operator="containsText" text="GOOD">
      <formula>NOT(ISERROR(SEARCH("GOOD",L73)))</formula>
    </cfRule>
  </conditionalFormatting>
  <conditionalFormatting sqref="L72">
    <cfRule type="containsText" dxfId="2551" priority="108" operator="containsText" text="FAIL">
      <formula>NOT(ISERROR(SEARCH("FAIL",L72)))</formula>
    </cfRule>
  </conditionalFormatting>
  <conditionalFormatting sqref="L72">
    <cfRule type="containsText" dxfId="2550" priority="107" operator="containsText" text="GOOD">
      <formula>NOT(ISERROR(SEARCH("GOOD",L72)))</formula>
    </cfRule>
  </conditionalFormatting>
  <conditionalFormatting sqref="L71">
    <cfRule type="containsText" dxfId="2549" priority="106" operator="containsText" text="FAIL">
      <formula>NOT(ISERROR(SEARCH("FAIL",L71)))</formula>
    </cfRule>
  </conditionalFormatting>
  <conditionalFormatting sqref="L71">
    <cfRule type="containsText" dxfId="2548" priority="105" operator="containsText" text="GOOD">
      <formula>NOT(ISERROR(SEARCH("GOOD",L71)))</formula>
    </cfRule>
  </conditionalFormatting>
  <conditionalFormatting sqref="L70">
    <cfRule type="containsText" dxfId="2547" priority="104" operator="containsText" text="FAIL">
      <formula>NOT(ISERROR(SEARCH("FAIL",L70)))</formula>
    </cfRule>
  </conditionalFormatting>
  <conditionalFormatting sqref="L70">
    <cfRule type="containsText" dxfId="2546" priority="103" operator="containsText" text="GOOD">
      <formula>NOT(ISERROR(SEARCH("GOOD",L70)))</formula>
    </cfRule>
  </conditionalFormatting>
  <conditionalFormatting sqref="L69">
    <cfRule type="containsText" dxfId="2545" priority="102" operator="containsText" text="FAIL">
      <formula>NOT(ISERROR(SEARCH("FAIL",L69)))</formula>
    </cfRule>
  </conditionalFormatting>
  <conditionalFormatting sqref="L69">
    <cfRule type="containsText" dxfId="2544" priority="101" operator="containsText" text="GOOD">
      <formula>NOT(ISERROR(SEARCH("GOOD",L69)))</formula>
    </cfRule>
  </conditionalFormatting>
  <conditionalFormatting sqref="L68">
    <cfRule type="containsText" dxfId="2543" priority="100" operator="containsText" text="FAIL">
      <formula>NOT(ISERROR(SEARCH("FAIL",L68)))</formula>
    </cfRule>
  </conditionalFormatting>
  <conditionalFormatting sqref="L68">
    <cfRule type="containsText" dxfId="2542" priority="99" operator="containsText" text="GOOD">
      <formula>NOT(ISERROR(SEARCH("GOOD",L68)))</formula>
    </cfRule>
  </conditionalFormatting>
  <conditionalFormatting sqref="L66">
    <cfRule type="containsText" dxfId="2541" priority="98" operator="containsText" text="FAIL">
      <formula>NOT(ISERROR(SEARCH("FAIL",L66)))</formula>
    </cfRule>
  </conditionalFormatting>
  <conditionalFormatting sqref="L66">
    <cfRule type="containsText" dxfId="2540" priority="97" operator="containsText" text="GOOD">
      <formula>NOT(ISERROR(SEARCH("GOOD",L66)))</formula>
    </cfRule>
  </conditionalFormatting>
  <conditionalFormatting sqref="L67">
    <cfRule type="containsText" dxfId="2539" priority="96" operator="containsText" text="FAIL">
      <formula>NOT(ISERROR(SEARCH("FAIL",L67)))</formula>
    </cfRule>
  </conditionalFormatting>
  <conditionalFormatting sqref="L67">
    <cfRule type="containsText" dxfId="2538" priority="95" operator="containsText" text="GOOD">
      <formula>NOT(ISERROR(SEARCH("GOOD",L67)))</formula>
    </cfRule>
  </conditionalFormatting>
  <conditionalFormatting sqref="L65">
    <cfRule type="containsText" dxfId="2537" priority="94" operator="containsText" text="FAIL">
      <formula>NOT(ISERROR(SEARCH("FAIL",L65)))</formula>
    </cfRule>
  </conditionalFormatting>
  <conditionalFormatting sqref="L65">
    <cfRule type="containsText" dxfId="2536" priority="93" operator="containsText" text="GOOD">
      <formula>NOT(ISERROR(SEARCH("GOOD",L65)))</formula>
    </cfRule>
  </conditionalFormatting>
  <conditionalFormatting sqref="L64">
    <cfRule type="containsText" dxfId="2535" priority="92" operator="containsText" text="FAIL">
      <formula>NOT(ISERROR(SEARCH("FAIL",L64)))</formula>
    </cfRule>
  </conditionalFormatting>
  <conditionalFormatting sqref="L64">
    <cfRule type="containsText" dxfId="2534" priority="91" operator="containsText" text="GOOD">
      <formula>NOT(ISERROR(SEARCH("GOOD",L64)))</formula>
    </cfRule>
  </conditionalFormatting>
  <conditionalFormatting sqref="L63">
    <cfRule type="containsText" dxfId="2533" priority="90" operator="containsText" text="FAIL">
      <formula>NOT(ISERROR(SEARCH("FAIL",L63)))</formula>
    </cfRule>
  </conditionalFormatting>
  <conditionalFormatting sqref="L63">
    <cfRule type="containsText" dxfId="2532" priority="89" operator="containsText" text="GOOD">
      <formula>NOT(ISERROR(SEARCH("GOOD",L63)))</formula>
    </cfRule>
  </conditionalFormatting>
  <conditionalFormatting sqref="L62">
    <cfRule type="containsText" dxfId="2531" priority="86" operator="containsText" text="FAIL">
      <formula>NOT(ISERROR(SEARCH("FAIL",L62)))</formula>
    </cfRule>
  </conditionalFormatting>
  <conditionalFormatting sqref="L62">
    <cfRule type="containsText" dxfId="2530" priority="85" operator="containsText" text="GOOD">
      <formula>NOT(ISERROR(SEARCH("GOOD",L62)))</formula>
    </cfRule>
  </conditionalFormatting>
  <conditionalFormatting sqref="L61">
    <cfRule type="containsText" dxfId="2529" priority="84" operator="containsText" text="FAIL">
      <formula>NOT(ISERROR(SEARCH("FAIL",L61)))</formula>
    </cfRule>
  </conditionalFormatting>
  <conditionalFormatting sqref="L61">
    <cfRule type="containsText" dxfId="2528" priority="83" operator="containsText" text="GOOD">
      <formula>NOT(ISERROR(SEARCH("GOOD",L61)))</formula>
    </cfRule>
  </conditionalFormatting>
  <conditionalFormatting sqref="L59">
    <cfRule type="containsText" dxfId="2527" priority="82" operator="containsText" text="FAIL">
      <formula>NOT(ISERROR(SEARCH("FAIL",L59)))</formula>
    </cfRule>
  </conditionalFormatting>
  <conditionalFormatting sqref="L59">
    <cfRule type="containsText" dxfId="2526" priority="81" operator="containsText" text="GOOD">
      <formula>NOT(ISERROR(SEARCH("GOOD",L59)))</formula>
    </cfRule>
  </conditionalFormatting>
  <conditionalFormatting sqref="L58">
    <cfRule type="containsText" dxfId="2525" priority="80" operator="containsText" text="FAIL">
      <formula>NOT(ISERROR(SEARCH("FAIL",L58)))</formula>
    </cfRule>
  </conditionalFormatting>
  <conditionalFormatting sqref="L58">
    <cfRule type="containsText" dxfId="2524" priority="79" operator="containsText" text="GOOD">
      <formula>NOT(ISERROR(SEARCH("GOOD",L58)))</formula>
    </cfRule>
  </conditionalFormatting>
  <conditionalFormatting sqref="L57">
    <cfRule type="containsText" dxfId="2523" priority="78" operator="containsText" text="FAIL">
      <formula>NOT(ISERROR(SEARCH("FAIL",L57)))</formula>
    </cfRule>
  </conditionalFormatting>
  <conditionalFormatting sqref="L57">
    <cfRule type="containsText" dxfId="2522" priority="77" operator="containsText" text="GOOD">
      <formula>NOT(ISERROR(SEARCH("GOOD",L57)))</formula>
    </cfRule>
  </conditionalFormatting>
  <conditionalFormatting sqref="L56">
    <cfRule type="containsText" dxfId="2521" priority="76" operator="containsText" text="FAIL">
      <formula>NOT(ISERROR(SEARCH("FAIL",L56)))</formula>
    </cfRule>
  </conditionalFormatting>
  <conditionalFormatting sqref="L56">
    <cfRule type="containsText" dxfId="2520" priority="75" operator="containsText" text="GOOD">
      <formula>NOT(ISERROR(SEARCH("GOOD",L56)))</formula>
    </cfRule>
  </conditionalFormatting>
  <conditionalFormatting sqref="L55">
    <cfRule type="containsText" dxfId="2519" priority="74" operator="containsText" text="FAIL">
      <formula>NOT(ISERROR(SEARCH("FAIL",L55)))</formula>
    </cfRule>
  </conditionalFormatting>
  <conditionalFormatting sqref="L55">
    <cfRule type="containsText" dxfId="2518" priority="73" operator="containsText" text="GOOD">
      <formula>NOT(ISERROR(SEARCH("GOOD",L55)))</formula>
    </cfRule>
  </conditionalFormatting>
  <conditionalFormatting sqref="L53">
    <cfRule type="containsText" dxfId="2517" priority="72" operator="containsText" text="FAIL">
      <formula>NOT(ISERROR(SEARCH("FAIL",L53)))</formula>
    </cfRule>
  </conditionalFormatting>
  <conditionalFormatting sqref="L53">
    <cfRule type="containsText" dxfId="2516" priority="71" operator="containsText" text="GOOD">
      <formula>NOT(ISERROR(SEARCH("GOOD",L53)))</formula>
    </cfRule>
  </conditionalFormatting>
  <conditionalFormatting sqref="L52">
    <cfRule type="containsText" dxfId="2515" priority="70" operator="containsText" text="FAIL">
      <formula>NOT(ISERROR(SEARCH("FAIL",L52)))</formula>
    </cfRule>
  </conditionalFormatting>
  <conditionalFormatting sqref="L52">
    <cfRule type="containsText" dxfId="2514" priority="69" operator="containsText" text="GOOD">
      <formula>NOT(ISERROR(SEARCH("GOOD",L52)))</formula>
    </cfRule>
  </conditionalFormatting>
  <conditionalFormatting sqref="L54">
    <cfRule type="containsText" dxfId="2513" priority="68" operator="containsText" text="FAIL">
      <formula>NOT(ISERROR(SEARCH("FAIL",L54)))</formula>
    </cfRule>
  </conditionalFormatting>
  <conditionalFormatting sqref="L54">
    <cfRule type="containsText" dxfId="2512" priority="67" operator="containsText" text="GOOD">
      <formula>NOT(ISERROR(SEARCH("GOOD",L54)))</formula>
    </cfRule>
  </conditionalFormatting>
  <conditionalFormatting sqref="L51">
    <cfRule type="containsText" dxfId="2511" priority="66" operator="containsText" text="FAIL">
      <formula>NOT(ISERROR(SEARCH("FAIL",L51)))</formula>
    </cfRule>
  </conditionalFormatting>
  <conditionalFormatting sqref="L51">
    <cfRule type="containsText" dxfId="2510" priority="65" operator="containsText" text="GOOD">
      <formula>NOT(ISERROR(SEARCH("GOOD",L51)))</formula>
    </cfRule>
  </conditionalFormatting>
  <conditionalFormatting sqref="L50">
    <cfRule type="containsText" dxfId="2509" priority="64" operator="containsText" text="FAIL">
      <formula>NOT(ISERROR(SEARCH("FAIL",L50)))</formula>
    </cfRule>
  </conditionalFormatting>
  <conditionalFormatting sqref="L50">
    <cfRule type="containsText" dxfId="2508" priority="63" operator="containsText" text="GOOD">
      <formula>NOT(ISERROR(SEARCH("GOOD",L50)))</formula>
    </cfRule>
  </conditionalFormatting>
  <conditionalFormatting sqref="L48">
    <cfRule type="containsText" dxfId="2507" priority="62" operator="containsText" text="FAIL">
      <formula>NOT(ISERROR(SEARCH("FAIL",L48)))</formula>
    </cfRule>
  </conditionalFormatting>
  <conditionalFormatting sqref="L48">
    <cfRule type="containsText" dxfId="2506" priority="61" operator="containsText" text="GOOD">
      <formula>NOT(ISERROR(SEARCH("GOOD",L48)))</formula>
    </cfRule>
  </conditionalFormatting>
  <conditionalFormatting sqref="L47">
    <cfRule type="containsText" dxfId="2505" priority="60" operator="containsText" text="FAIL">
      <formula>NOT(ISERROR(SEARCH("FAIL",L47)))</formula>
    </cfRule>
  </conditionalFormatting>
  <conditionalFormatting sqref="L47">
    <cfRule type="containsText" dxfId="2504" priority="59" operator="containsText" text="GOOD">
      <formula>NOT(ISERROR(SEARCH("GOOD",L47)))</formula>
    </cfRule>
  </conditionalFormatting>
  <conditionalFormatting sqref="L49">
    <cfRule type="containsText" dxfId="2503" priority="58" operator="containsText" text="FAIL">
      <formula>NOT(ISERROR(SEARCH("FAIL",L49)))</formula>
    </cfRule>
  </conditionalFormatting>
  <conditionalFormatting sqref="L49">
    <cfRule type="containsText" dxfId="2502" priority="57" operator="containsText" text="GOOD">
      <formula>NOT(ISERROR(SEARCH("GOOD",L49)))</formula>
    </cfRule>
  </conditionalFormatting>
  <conditionalFormatting sqref="L43:L46">
    <cfRule type="containsText" dxfId="2501" priority="56" operator="containsText" text="FAIL">
      <formula>NOT(ISERROR(SEARCH("FAIL",L43)))</formula>
    </cfRule>
  </conditionalFormatting>
  <conditionalFormatting sqref="L43:L46">
    <cfRule type="containsText" dxfId="2500" priority="55" operator="containsText" text="GOOD">
      <formula>NOT(ISERROR(SEARCH("GOOD",L43)))</formula>
    </cfRule>
  </conditionalFormatting>
  <conditionalFormatting sqref="L42">
    <cfRule type="containsText" dxfId="2499" priority="54" operator="containsText" text="FAIL">
      <formula>NOT(ISERROR(SEARCH("FAIL",L42)))</formula>
    </cfRule>
  </conditionalFormatting>
  <conditionalFormatting sqref="L42">
    <cfRule type="containsText" dxfId="2498" priority="53" operator="containsText" text="GOOD">
      <formula>NOT(ISERROR(SEARCH("GOOD",L42)))</formula>
    </cfRule>
  </conditionalFormatting>
  <conditionalFormatting sqref="L38">
    <cfRule type="containsText" dxfId="2497" priority="52" operator="containsText" text="FAIL">
      <formula>NOT(ISERROR(SEARCH("FAIL",L38)))</formula>
    </cfRule>
  </conditionalFormatting>
  <conditionalFormatting sqref="L38">
    <cfRule type="containsText" dxfId="2496" priority="51" operator="containsText" text="GOOD">
      <formula>NOT(ISERROR(SEARCH("GOOD",L38)))</formula>
    </cfRule>
  </conditionalFormatting>
  <conditionalFormatting sqref="L37">
    <cfRule type="containsText" dxfId="2495" priority="50" operator="containsText" text="FAIL">
      <formula>NOT(ISERROR(SEARCH("FAIL",L37)))</formula>
    </cfRule>
  </conditionalFormatting>
  <conditionalFormatting sqref="L37">
    <cfRule type="containsText" dxfId="2494" priority="49" operator="containsText" text="GOOD">
      <formula>NOT(ISERROR(SEARCH("GOOD",L37)))</formula>
    </cfRule>
  </conditionalFormatting>
  <conditionalFormatting sqref="L36">
    <cfRule type="containsText" dxfId="2493" priority="48" operator="containsText" text="FAIL">
      <formula>NOT(ISERROR(SEARCH("FAIL",L36)))</formula>
    </cfRule>
  </conditionalFormatting>
  <conditionalFormatting sqref="L36">
    <cfRule type="containsText" dxfId="2492" priority="47" operator="containsText" text="GOOD">
      <formula>NOT(ISERROR(SEARCH("GOOD",L36)))</formula>
    </cfRule>
  </conditionalFormatting>
  <conditionalFormatting sqref="L35">
    <cfRule type="containsText" dxfId="2491" priority="46" operator="containsText" text="FAIL">
      <formula>NOT(ISERROR(SEARCH("FAIL",L35)))</formula>
    </cfRule>
  </conditionalFormatting>
  <conditionalFormatting sqref="L35">
    <cfRule type="containsText" dxfId="2490" priority="45" operator="containsText" text="GOOD">
      <formula>NOT(ISERROR(SEARCH("GOOD",L35)))</formula>
    </cfRule>
  </conditionalFormatting>
  <conditionalFormatting sqref="L34">
    <cfRule type="containsText" dxfId="2489" priority="44" operator="containsText" text="FAIL">
      <formula>NOT(ISERROR(SEARCH("FAIL",L34)))</formula>
    </cfRule>
  </conditionalFormatting>
  <conditionalFormatting sqref="L34">
    <cfRule type="containsText" dxfId="2488" priority="43" operator="containsText" text="GOOD">
      <formula>NOT(ISERROR(SEARCH("GOOD",L34)))</formula>
    </cfRule>
  </conditionalFormatting>
  <conditionalFormatting sqref="L33">
    <cfRule type="containsText" dxfId="2487" priority="42" operator="containsText" text="FAIL">
      <formula>NOT(ISERROR(SEARCH("FAIL",L33)))</formula>
    </cfRule>
  </conditionalFormatting>
  <conditionalFormatting sqref="L33">
    <cfRule type="containsText" dxfId="2486" priority="41" operator="containsText" text="GOOD">
      <formula>NOT(ISERROR(SEARCH("GOOD",L33)))</formula>
    </cfRule>
  </conditionalFormatting>
  <conditionalFormatting sqref="L41">
    <cfRule type="containsText" dxfId="2485" priority="40" operator="containsText" text="FAIL">
      <formula>NOT(ISERROR(SEARCH("FAIL",L41)))</formula>
    </cfRule>
  </conditionalFormatting>
  <conditionalFormatting sqref="L41">
    <cfRule type="containsText" dxfId="2484" priority="39" operator="containsText" text="GOOD">
      <formula>NOT(ISERROR(SEARCH("GOOD",L41)))</formula>
    </cfRule>
  </conditionalFormatting>
  <conditionalFormatting sqref="L40">
    <cfRule type="containsText" dxfId="2483" priority="38" operator="containsText" text="FAIL">
      <formula>NOT(ISERROR(SEARCH("FAIL",L40)))</formula>
    </cfRule>
  </conditionalFormatting>
  <conditionalFormatting sqref="L40">
    <cfRule type="containsText" dxfId="2482" priority="37" operator="containsText" text="GOOD">
      <formula>NOT(ISERROR(SEARCH("GOOD",L40)))</formula>
    </cfRule>
  </conditionalFormatting>
  <conditionalFormatting sqref="L32">
    <cfRule type="containsText" dxfId="2481" priority="36" operator="containsText" text="FAIL">
      <formula>NOT(ISERROR(SEARCH("FAIL",L32)))</formula>
    </cfRule>
  </conditionalFormatting>
  <conditionalFormatting sqref="L32">
    <cfRule type="containsText" dxfId="2480" priority="35" operator="containsText" text="GOOD">
      <formula>NOT(ISERROR(SEARCH("GOOD",L32)))</formula>
    </cfRule>
  </conditionalFormatting>
  <conditionalFormatting sqref="L31">
    <cfRule type="containsText" dxfId="2479" priority="34" operator="containsText" text="FAIL">
      <formula>NOT(ISERROR(SEARCH("FAIL",L31)))</formula>
    </cfRule>
  </conditionalFormatting>
  <conditionalFormatting sqref="L31">
    <cfRule type="containsText" dxfId="2478" priority="33" operator="containsText" text="GOOD">
      <formula>NOT(ISERROR(SEARCH("GOOD",L31)))</formula>
    </cfRule>
  </conditionalFormatting>
  <conditionalFormatting sqref="L30">
    <cfRule type="containsText" dxfId="2477" priority="32" operator="containsText" text="FAIL">
      <formula>NOT(ISERROR(SEARCH("FAIL",L30)))</formula>
    </cfRule>
  </conditionalFormatting>
  <conditionalFormatting sqref="L30">
    <cfRule type="containsText" dxfId="2476" priority="31" operator="containsText" text="GOOD">
      <formula>NOT(ISERROR(SEARCH("GOOD",L30)))</formula>
    </cfRule>
  </conditionalFormatting>
  <conditionalFormatting sqref="L29">
    <cfRule type="containsText" dxfId="2475" priority="30" operator="containsText" text="FAIL">
      <formula>NOT(ISERROR(SEARCH("FAIL",L29)))</formula>
    </cfRule>
  </conditionalFormatting>
  <conditionalFormatting sqref="L29">
    <cfRule type="containsText" dxfId="2474" priority="29" operator="containsText" text="GOOD">
      <formula>NOT(ISERROR(SEARCH("GOOD",L29)))</formula>
    </cfRule>
  </conditionalFormatting>
  <conditionalFormatting sqref="L28">
    <cfRule type="containsText" dxfId="2473" priority="28" operator="containsText" text="FAIL">
      <formula>NOT(ISERROR(SEARCH("FAIL",L28)))</formula>
    </cfRule>
  </conditionalFormatting>
  <conditionalFormatting sqref="L28">
    <cfRule type="containsText" dxfId="2472" priority="27" operator="containsText" text="GOOD">
      <formula>NOT(ISERROR(SEARCH("GOOD",L28)))</formula>
    </cfRule>
  </conditionalFormatting>
  <conditionalFormatting sqref="L27">
    <cfRule type="containsText" dxfId="2471" priority="26" operator="containsText" text="FAIL">
      <formula>NOT(ISERROR(SEARCH("FAIL",L27)))</formula>
    </cfRule>
  </conditionalFormatting>
  <conditionalFormatting sqref="L27">
    <cfRule type="containsText" dxfId="2470" priority="25" operator="containsText" text="GOOD">
      <formula>NOT(ISERROR(SEARCH("GOOD",L27)))</formula>
    </cfRule>
  </conditionalFormatting>
  <conditionalFormatting sqref="L25">
    <cfRule type="containsText" dxfId="2469" priority="24" operator="containsText" text="FAIL">
      <formula>NOT(ISERROR(SEARCH("FAIL",L25)))</formula>
    </cfRule>
  </conditionalFormatting>
  <conditionalFormatting sqref="L25">
    <cfRule type="containsText" dxfId="2468" priority="23" operator="containsText" text="GOOD">
      <formula>NOT(ISERROR(SEARCH("GOOD",L25)))</formula>
    </cfRule>
  </conditionalFormatting>
  <conditionalFormatting sqref="L23:L24">
    <cfRule type="containsText" dxfId="2467" priority="22" operator="containsText" text="FAIL">
      <formula>NOT(ISERROR(SEARCH("FAIL",L23)))</formula>
    </cfRule>
  </conditionalFormatting>
  <conditionalFormatting sqref="L23:L24">
    <cfRule type="containsText" dxfId="2466" priority="21" operator="containsText" text="GOOD">
      <formula>NOT(ISERROR(SEARCH("GOOD",L23)))</formula>
    </cfRule>
  </conditionalFormatting>
  <conditionalFormatting sqref="L22">
    <cfRule type="containsText" dxfId="2465" priority="20" operator="containsText" text="FAIL">
      <formula>NOT(ISERROR(SEARCH("FAIL",L22)))</formula>
    </cfRule>
  </conditionalFormatting>
  <conditionalFormatting sqref="L22">
    <cfRule type="containsText" dxfId="2464" priority="19" operator="containsText" text="GOOD">
      <formula>NOT(ISERROR(SEARCH("GOOD",L22)))</formula>
    </cfRule>
  </conditionalFormatting>
  <conditionalFormatting sqref="L20:L21">
    <cfRule type="containsText" dxfId="2463" priority="18" operator="containsText" text="FAIL">
      <formula>NOT(ISERROR(SEARCH("FAIL",L20)))</formula>
    </cfRule>
  </conditionalFormatting>
  <conditionalFormatting sqref="L20:L21">
    <cfRule type="containsText" dxfId="2462" priority="17" operator="containsText" text="GOOD">
      <formula>NOT(ISERROR(SEARCH("GOOD",L20)))</formula>
    </cfRule>
  </conditionalFormatting>
  <conditionalFormatting sqref="L19">
    <cfRule type="containsText" dxfId="2461" priority="16" operator="containsText" text="FAIL">
      <formula>NOT(ISERROR(SEARCH("FAIL",L19)))</formula>
    </cfRule>
  </conditionalFormatting>
  <conditionalFormatting sqref="L19">
    <cfRule type="containsText" dxfId="2460" priority="15" operator="containsText" text="GOOD">
      <formula>NOT(ISERROR(SEARCH("GOOD",L19)))</formula>
    </cfRule>
  </conditionalFormatting>
  <conditionalFormatting sqref="L17:L18">
    <cfRule type="containsText" dxfId="2459" priority="14" operator="containsText" text="FAIL">
      <formula>NOT(ISERROR(SEARCH("FAIL",L17)))</formula>
    </cfRule>
  </conditionalFormatting>
  <conditionalFormatting sqref="L17:L18">
    <cfRule type="containsText" dxfId="2458" priority="13" operator="containsText" text="GOOD">
      <formula>NOT(ISERROR(SEARCH("GOOD",L17)))</formula>
    </cfRule>
  </conditionalFormatting>
  <conditionalFormatting sqref="L15">
    <cfRule type="containsText" dxfId="2457" priority="12" operator="containsText" text="FAIL">
      <formula>NOT(ISERROR(SEARCH("FAIL",L15)))</formula>
    </cfRule>
  </conditionalFormatting>
  <conditionalFormatting sqref="L15">
    <cfRule type="containsText" dxfId="2456" priority="11" operator="containsText" text="GOOD">
      <formula>NOT(ISERROR(SEARCH("GOOD",L15)))</formula>
    </cfRule>
  </conditionalFormatting>
  <conditionalFormatting sqref="L13:L14">
    <cfRule type="containsText" dxfId="2455" priority="10" operator="containsText" text="FAIL">
      <formula>NOT(ISERROR(SEARCH("FAIL",L13)))</formula>
    </cfRule>
  </conditionalFormatting>
  <conditionalFormatting sqref="L13:L14">
    <cfRule type="containsText" dxfId="2454" priority="9" operator="containsText" text="GOOD">
      <formula>NOT(ISERROR(SEARCH("GOOD",L13)))</formula>
    </cfRule>
  </conditionalFormatting>
  <conditionalFormatting sqref="L16">
    <cfRule type="containsText" dxfId="2453" priority="8" operator="containsText" text="FAIL">
      <formula>NOT(ISERROR(SEARCH("FAIL",L16)))</formula>
    </cfRule>
  </conditionalFormatting>
  <conditionalFormatting sqref="L16">
    <cfRule type="containsText" dxfId="2452" priority="7" operator="containsText" text="GOOD">
      <formula>NOT(ISERROR(SEARCH("GOOD",L16)))</formula>
    </cfRule>
  </conditionalFormatting>
  <conditionalFormatting sqref="L10:L12">
    <cfRule type="containsText" dxfId="2451" priority="6" operator="containsText" text="FAIL">
      <formula>NOT(ISERROR(SEARCH("FAIL",L10)))</formula>
    </cfRule>
  </conditionalFormatting>
  <conditionalFormatting sqref="L10:L12">
    <cfRule type="containsText" dxfId="2450" priority="5" operator="containsText" text="GOOD">
      <formula>NOT(ISERROR(SEARCH("GOOD",L10)))</formula>
    </cfRule>
  </conditionalFormatting>
  <conditionalFormatting sqref="L9">
    <cfRule type="containsText" dxfId="2449" priority="4" operator="containsText" text="FAIL">
      <formula>NOT(ISERROR(SEARCH("FAIL",L9)))</formula>
    </cfRule>
  </conditionalFormatting>
  <conditionalFormatting sqref="L9">
    <cfRule type="containsText" dxfId="2448" priority="3" operator="containsText" text="GOOD">
      <formula>NOT(ISERROR(SEARCH("GOOD",L9)))</formula>
    </cfRule>
  </conditionalFormatting>
  <conditionalFormatting sqref="L7">
    <cfRule type="containsText" dxfId="2447" priority="2" operator="containsText" text="FAIL">
      <formula>NOT(ISERROR(SEARCH("FAIL",L7)))</formula>
    </cfRule>
  </conditionalFormatting>
  <conditionalFormatting sqref="L7">
    <cfRule type="containsText" dxfId="2446" priority="1" operator="containsText" text="GOOD">
      <formula>NOT(ISERROR(SEARCH("GOOD",L7)))</formula>
    </cfRule>
  </conditionalFormatting>
  <pageMargins left="0.7" right="0.7" top="0.75" bottom="0.75" header="0.3" footer="0.3"/>
  <pageSetup paperSize="17" scale="85" orientation="landscape" r:id="rId1"/>
  <drawing r:id="rId2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sheetPr codeName="Sheet74">
    <tabColor rgb="FFFF0000"/>
  </sheetPr>
  <dimension ref="A2:O47"/>
  <sheetViews>
    <sheetView topLeftCell="A7" zoomScaleNormal="100" workbookViewId="0">
      <selection activeCell="D30" sqref="D30"/>
    </sheetView>
  </sheetViews>
  <sheetFormatPr defaultRowHeight="15" x14ac:dyDescent="0.25"/>
  <cols>
    <col min="1" max="2" width="4.42578125" customWidth="1"/>
    <col min="3" max="3" width="3" customWidth="1"/>
    <col min="4" max="4" width="24.85546875" customWidth="1"/>
    <col min="5" max="5" width="3" customWidth="1"/>
    <col min="6" max="6" width="15.7109375" customWidth="1"/>
    <col min="7" max="7" width="8.5703125" customWidth="1"/>
    <col min="8" max="8" width="5.85546875" customWidth="1"/>
    <col min="9" max="15" width="15.7109375" customWidth="1"/>
  </cols>
  <sheetData>
    <row r="2" spans="1:11" x14ac:dyDescent="0.25">
      <c r="C2" s="15" t="s">
        <v>32</v>
      </c>
      <c r="E2" s="15"/>
      <c r="F2" s="15"/>
      <c r="G2" s="15" t="s">
        <v>33</v>
      </c>
      <c r="H2" s="15"/>
      <c r="I2" s="15"/>
      <c r="J2" s="15"/>
      <c r="K2" s="15"/>
    </row>
    <row r="3" spans="1:11" ht="18.75" x14ac:dyDescent="0.3">
      <c r="C3" s="3" t="s">
        <v>26</v>
      </c>
      <c r="J3" s="8" t="s">
        <v>17</v>
      </c>
    </row>
    <row r="4" spans="1:11" x14ac:dyDescent="0.25">
      <c r="D4" s="2" t="s">
        <v>0</v>
      </c>
      <c r="E4" s="1"/>
      <c r="F4" t="s">
        <v>878</v>
      </c>
      <c r="I4" s="2" t="s">
        <v>4</v>
      </c>
      <c r="J4" t="s">
        <v>816</v>
      </c>
    </row>
    <row r="5" spans="1:11" x14ac:dyDescent="0.25">
      <c r="D5" s="2" t="s">
        <v>1</v>
      </c>
      <c r="F5" t="s">
        <v>879</v>
      </c>
    </row>
    <row r="6" spans="1:11" x14ac:dyDescent="0.25">
      <c r="D6" s="2" t="s">
        <v>2</v>
      </c>
      <c r="F6" s="6">
        <v>42766</v>
      </c>
      <c r="H6" s="11"/>
    </row>
    <row r="7" spans="1:11" x14ac:dyDescent="0.25">
      <c r="D7" s="2" t="s">
        <v>3</v>
      </c>
      <c r="F7" s="5">
        <v>2130000</v>
      </c>
      <c r="G7" s="2" t="s">
        <v>693</v>
      </c>
      <c r="H7" s="11"/>
    </row>
    <row r="8" spans="1:11" x14ac:dyDescent="0.25">
      <c r="D8" s="2" t="s">
        <v>18</v>
      </c>
      <c r="F8" s="5">
        <f>MIN(I23:I43)</f>
        <v>2552210</v>
      </c>
      <c r="H8" s="11"/>
    </row>
    <row r="9" spans="1:11" x14ac:dyDescent="0.25">
      <c r="D9" s="2" t="s">
        <v>67</v>
      </c>
      <c r="F9" s="4">
        <f>+F8-F7</f>
        <v>422210</v>
      </c>
      <c r="G9" s="16">
        <f>+F9/F7</f>
        <v>0.19822065727699531</v>
      </c>
      <c r="H9" s="12" t="s">
        <v>20</v>
      </c>
      <c r="I9" s="11" t="str">
        <f>(IF(G9&lt;-0.1,"FAIL",IF(G9&gt;0.05,"FAIL","GOOD")))</f>
        <v>FAIL</v>
      </c>
      <c r="J9" s="14" t="s">
        <v>72</v>
      </c>
    </row>
    <row r="10" spans="1:11" x14ac:dyDescent="0.25">
      <c r="D10" s="2" t="s">
        <v>68</v>
      </c>
      <c r="F10" s="4">
        <f>+F7-F12</f>
        <v>-717295.66666666651</v>
      </c>
      <c r="H10" s="11"/>
    </row>
    <row r="11" spans="1:11" x14ac:dyDescent="0.25">
      <c r="A11" s="52"/>
      <c r="D11" s="2" t="s">
        <v>71</v>
      </c>
      <c r="F11" s="11" t="str">
        <f>(IF(F7&lt;J12,"FAIL",IF(F7&gt;J13,"FAIL","GOOD")))</f>
        <v>FAIL</v>
      </c>
      <c r="H11" s="11"/>
    </row>
    <row r="12" spans="1:11" x14ac:dyDescent="0.25">
      <c r="D12" s="2" t="s">
        <v>28</v>
      </c>
      <c r="F12" s="4">
        <f>SUM(I23:I43)/H12</f>
        <v>2847295.6666666665</v>
      </c>
      <c r="G12" s="14"/>
      <c r="H12" s="11">
        <f>COUNT(I23:I43)</f>
        <v>6</v>
      </c>
      <c r="I12" s="1" t="s">
        <v>31</v>
      </c>
      <c r="J12" s="4">
        <f>+F8*0.9</f>
        <v>2296989</v>
      </c>
      <c r="K12" s="1" t="s">
        <v>69</v>
      </c>
    </row>
    <row r="13" spans="1:11" x14ac:dyDescent="0.25">
      <c r="D13" s="2" t="s">
        <v>29</v>
      </c>
      <c r="F13" s="4">
        <f>MAX(I23:I43)-MIN(I23:I43)</f>
        <v>928240</v>
      </c>
      <c r="G13" s="399">
        <f>MEDIAN(I23:I43)</f>
        <v>2738130.5</v>
      </c>
      <c r="H13" s="400"/>
      <c r="I13" s="1" t="s">
        <v>30</v>
      </c>
      <c r="J13" s="4">
        <f>+F12*1.1</f>
        <v>3132025.2333333334</v>
      </c>
      <c r="K13" s="1" t="s">
        <v>70</v>
      </c>
    </row>
    <row r="14" spans="1:11" x14ac:dyDescent="0.25">
      <c r="H14" s="11"/>
    </row>
    <row r="15" spans="1:11" x14ac:dyDescent="0.25">
      <c r="D15" s="2" t="s">
        <v>8</v>
      </c>
      <c r="F15" s="4"/>
      <c r="G15" s="1" t="s">
        <v>9</v>
      </c>
      <c r="H15" s="11"/>
      <c r="I15" t="s">
        <v>15</v>
      </c>
      <c r="J15" s="7" t="e">
        <f>+F16/F15</f>
        <v>#DIV/0!</v>
      </c>
    </row>
    <row r="16" spans="1:11" x14ac:dyDescent="0.25">
      <c r="F16" s="4"/>
      <c r="G16" s="1" t="s">
        <v>10</v>
      </c>
      <c r="H16" s="11"/>
      <c r="I16" t="s">
        <v>14</v>
      </c>
      <c r="J16" s="7" t="e">
        <f>+F17/F16</f>
        <v>#DIV/0!</v>
      </c>
    </row>
    <row r="17" spans="3:15" x14ac:dyDescent="0.25">
      <c r="F17" s="4"/>
      <c r="G17" s="1" t="s">
        <v>11</v>
      </c>
      <c r="H17" s="11"/>
      <c r="I17" t="s">
        <v>13</v>
      </c>
      <c r="J17" s="7" t="e">
        <f>+F18/F17</f>
        <v>#DIV/0!</v>
      </c>
      <c r="M17" s="21"/>
      <c r="N17" s="21"/>
      <c r="O17" s="21"/>
    </row>
    <row r="18" spans="3:15" x14ac:dyDescent="0.25">
      <c r="F18" s="4"/>
      <c r="G18" s="1" t="s">
        <v>12</v>
      </c>
      <c r="H18" s="11"/>
      <c r="I18" t="s">
        <v>16</v>
      </c>
      <c r="J18" s="7" t="e">
        <f>+F8/F18</f>
        <v>#DIV/0!</v>
      </c>
      <c r="M18" s="21"/>
      <c r="N18" s="21"/>
      <c r="O18" s="21"/>
    </row>
    <row r="19" spans="3:15" x14ac:dyDescent="0.25">
      <c r="F19" s="2" t="s">
        <v>51</v>
      </c>
      <c r="G19">
        <v>0</v>
      </c>
      <c r="H19" s="11" t="s">
        <v>52</v>
      </c>
      <c r="I19" t="s">
        <v>41</v>
      </c>
      <c r="J19" s="7" t="e">
        <f>+F8/F15</f>
        <v>#DIV/0!</v>
      </c>
      <c r="M19" s="21"/>
      <c r="N19" s="21"/>
      <c r="O19" s="21"/>
    </row>
    <row r="20" spans="3:15" x14ac:dyDescent="0.25">
      <c r="H20" s="11"/>
      <c r="M20" s="21"/>
      <c r="N20" s="21"/>
      <c r="O20" s="21"/>
    </row>
    <row r="21" spans="3:15" x14ac:dyDescent="0.25">
      <c r="C21" s="9"/>
      <c r="D21" s="13" t="s">
        <v>21</v>
      </c>
      <c r="E21" s="9"/>
      <c r="F21" s="9" t="s">
        <v>22</v>
      </c>
      <c r="G21" s="9" t="s">
        <v>23</v>
      </c>
      <c r="H21" s="13" t="s">
        <v>27</v>
      </c>
      <c r="I21" s="10" t="s">
        <v>24</v>
      </c>
      <c r="J21" s="9"/>
      <c r="K21" s="9"/>
      <c r="L21" s="9"/>
      <c r="M21" s="21"/>
      <c r="N21" s="21"/>
      <c r="O21" s="21"/>
    </row>
    <row r="22" spans="3:15" ht="6" customHeight="1" x14ac:dyDescent="0.25">
      <c r="M22" s="21"/>
      <c r="N22" s="21"/>
      <c r="O22" s="21"/>
    </row>
    <row r="23" spans="3:15" x14ac:dyDescent="0.25">
      <c r="C23" s="33" t="str">
        <f>IF(H23=1,"u","")</f>
        <v/>
      </c>
      <c r="D23" s="11" t="s">
        <v>470</v>
      </c>
      <c r="E23" s="33"/>
      <c r="F23" t="s">
        <v>113</v>
      </c>
      <c r="G23" t="s">
        <v>25</v>
      </c>
      <c r="H23">
        <f t="shared" ref="H23:H28" si="0">RANK(I23,I$23:I$43,1)</f>
        <v>2</v>
      </c>
      <c r="I23" s="4">
        <v>2583315</v>
      </c>
      <c r="J23" s="4"/>
      <c r="K23" s="4"/>
      <c r="L23" s="4"/>
      <c r="M23" s="22"/>
      <c r="N23" s="22"/>
      <c r="O23" s="22"/>
    </row>
    <row r="24" spans="3:15" x14ac:dyDescent="0.25">
      <c r="C24" s="33" t="str">
        <f>IF(H24=1,"u","")</f>
        <v/>
      </c>
      <c r="D24" s="11" t="s">
        <v>676</v>
      </c>
      <c r="E24" s="33"/>
      <c r="F24" t="s">
        <v>85</v>
      </c>
      <c r="G24" t="s">
        <v>25</v>
      </c>
      <c r="H24">
        <f t="shared" si="0"/>
        <v>6</v>
      </c>
      <c r="I24" s="4">
        <v>3480450</v>
      </c>
      <c r="J24" s="4"/>
      <c r="K24" s="4"/>
      <c r="L24" s="4"/>
      <c r="M24" s="22"/>
      <c r="N24" s="22"/>
      <c r="O24" s="22"/>
    </row>
    <row r="25" spans="3:15" x14ac:dyDescent="0.25">
      <c r="C25" s="33" t="str">
        <f>IF(H25=1,"u","")</f>
        <v/>
      </c>
      <c r="D25" s="11" t="s">
        <v>733</v>
      </c>
      <c r="E25" s="33"/>
      <c r="F25" t="s">
        <v>120</v>
      </c>
      <c r="G25" t="s">
        <v>25</v>
      </c>
      <c r="H25">
        <f t="shared" si="0"/>
        <v>4</v>
      </c>
      <c r="I25" s="4">
        <v>2769111</v>
      </c>
      <c r="J25" s="4"/>
      <c r="K25" s="4"/>
      <c r="L25" s="4"/>
      <c r="M25" s="22"/>
      <c r="N25" s="22"/>
      <c r="O25" s="22"/>
    </row>
    <row r="26" spans="3:15" x14ac:dyDescent="0.25">
      <c r="C26" s="33" t="str">
        <f t="shared" ref="C26:C43" si="1">IF(H26=1,"u","")</f>
        <v>u</v>
      </c>
      <c r="D26" s="11" t="s">
        <v>631</v>
      </c>
      <c r="E26" s="33"/>
      <c r="F26" t="s">
        <v>131</v>
      </c>
      <c r="G26" t="s">
        <v>25</v>
      </c>
      <c r="H26">
        <f t="shared" si="0"/>
        <v>1</v>
      </c>
      <c r="I26" s="4">
        <v>2552210</v>
      </c>
      <c r="J26" s="4"/>
      <c r="K26" s="4"/>
      <c r="L26" s="4"/>
      <c r="M26" s="22"/>
      <c r="N26" s="22"/>
      <c r="O26" s="22"/>
    </row>
    <row r="27" spans="3:15" x14ac:dyDescent="0.25">
      <c r="C27" s="33" t="str">
        <f t="shared" si="1"/>
        <v/>
      </c>
      <c r="D27" s="11" t="s">
        <v>347</v>
      </c>
      <c r="E27" s="33"/>
      <c r="F27" t="s">
        <v>147</v>
      </c>
      <c r="G27" t="s">
        <v>93</v>
      </c>
      <c r="H27">
        <f t="shared" si="0"/>
        <v>3</v>
      </c>
      <c r="I27" s="4">
        <v>2707150</v>
      </c>
      <c r="J27" s="4"/>
      <c r="K27" s="4"/>
      <c r="L27" s="4"/>
      <c r="M27" s="22"/>
      <c r="N27" s="22"/>
      <c r="O27" s="22"/>
    </row>
    <row r="28" spans="3:15" x14ac:dyDescent="0.25">
      <c r="C28" s="33" t="str">
        <f t="shared" si="1"/>
        <v/>
      </c>
      <c r="D28" s="11" t="s">
        <v>814</v>
      </c>
      <c r="E28" s="33"/>
      <c r="F28" t="s">
        <v>376</v>
      </c>
      <c r="G28" t="s">
        <v>93</v>
      </c>
      <c r="H28">
        <f t="shared" si="0"/>
        <v>5</v>
      </c>
      <c r="I28" s="4">
        <v>2991538</v>
      </c>
      <c r="J28" s="4"/>
      <c r="K28" s="4"/>
      <c r="L28" s="4"/>
      <c r="M28" s="22"/>
      <c r="N28" s="22"/>
      <c r="O28" s="22"/>
    </row>
    <row r="29" spans="3:15" x14ac:dyDescent="0.25">
      <c r="C29" s="33" t="str">
        <f t="shared" si="1"/>
        <v/>
      </c>
      <c r="D29" s="11"/>
      <c r="E29" s="33"/>
      <c r="I29" s="4"/>
      <c r="J29" s="4"/>
      <c r="K29" s="4"/>
      <c r="L29" s="4"/>
      <c r="M29" s="22"/>
      <c r="N29" s="22"/>
      <c r="O29" s="22"/>
    </row>
    <row r="30" spans="3:15" x14ac:dyDescent="0.25">
      <c r="C30" s="33" t="str">
        <f t="shared" si="1"/>
        <v/>
      </c>
      <c r="D30" s="11"/>
      <c r="E30" s="33"/>
      <c r="I30" s="4"/>
      <c r="J30" s="4"/>
      <c r="K30" s="4"/>
      <c r="L30" s="4"/>
      <c r="M30" s="22"/>
      <c r="N30" s="22"/>
      <c r="O30" s="22"/>
    </row>
    <row r="31" spans="3:15" x14ac:dyDescent="0.25">
      <c r="C31" s="33" t="str">
        <f t="shared" si="1"/>
        <v/>
      </c>
      <c r="D31" s="11"/>
      <c r="E31" s="33"/>
      <c r="I31" s="4"/>
      <c r="J31" s="4"/>
      <c r="K31" s="4"/>
      <c r="L31" s="4"/>
      <c r="M31" s="22"/>
      <c r="N31" s="22"/>
      <c r="O31" s="22"/>
    </row>
    <row r="32" spans="3:15" x14ac:dyDescent="0.25">
      <c r="C32" s="33" t="str">
        <f t="shared" si="1"/>
        <v/>
      </c>
      <c r="D32" s="11"/>
      <c r="E32" s="33"/>
      <c r="I32" s="4"/>
      <c r="J32" s="4"/>
      <c r="K32" s="4"/>
      <c r="L32" s="4"/>
      <c r="M32" s="22"/>
      <c r="N32" s="22"/>
      <c r="O32" s="22"/>
    </row>
    <row r="33" spans="3:15" x14ac:dyDescent="0.25">
      <c r="C33" s="33" t="str">
        <f t="shared" si="1"/>
        <v/>
      </c>
      <c r="D33" s="11"/>
      <c r="E33" s="33"/>
      <c r="I33" s="4"/>
      <c r="M33" s="21"/>
      <c r="N33" s="21"/>
      <c r="O33" s="21"/>
    </row>
    <row r="34" spans="3:15" x14ac:dyDescent="0.25">
      <c r="C34" s="33" t="str">
        <f t="shared" si="1"/>
        <v/>
      </c>
      <c r="D34" s="11"/>
      <c r="E34" s="33" t="str">
        <f t="shared" ref="E34:E43" si="2">IF(H34=1,"t","")</f>
        <v/>
      </c>
      <c r="M34" s="21"/>
      <c r="N34" s="21"/>
      <c r="O34" s="21"/>
    </row>
    <row r="35" spans="3:15" x14ac:dyDescent="0.25">
      <c r="C35" s="33" t="str">
        <f t="shared" si="1"/>
        <v/>
      </c>
      <c r="D35" s="11"/>
      <c r="E35" s="33" t="str">
        <f t="shared" si="2"/>
        <v/>
      </c>
      <c r="M35" s="21"/>
      <c r="N35" s="21"/>
      <c r="O35" s="21"/>
    </row>
    <row r="36" spans="3:15" x14ac:dyDescent="0.25">
      <c r="C36" s="33" t="str">
        <f t="shared" si="1"/>
        <v/>
      </c>
      <c r="D36" s="11"/>
      <c r="E36" s="33" t="str">
        <f t="shared" si="2"/>
        <v/>
      </c>
      <c r="M36" s="21"/>
      <c r="N36" s="21"/>
      <c r="O36" s="21"/>
    </row>
    <row r="37" spans="3:15" x14ac:dyDescent="0.25">
      <c r="C37" s="33" t="str">
        <f t="shared" si="1"/>
        <v/>
      </c>
      <c r="D37" s="11"/>
      <c r="E37" s="33" t="str">
        <f t="shared" si="2"/>
        <v/>
      </c>
      <c r="M37" s="21"/>
      <c r="N37" s="21"/>
      <c r="O37" s="21"/>
    </row>
    <row r="38" spans="3:15" x14ac:dyDescent="0.25">
      <c r="C38" s="33" t="str">
        <f t="shared" si="1"/>
        <v/>
      </c>
      <c r="D38" s="11"/>
      <c r="E38" s="33" t="str">
        <f t="shared" si="2"/>
        <v/>
      </c>
      <c r="M38" s="21"/>
      <c r="N38" s="21"/>
      <c r="O38" s="21"/>
    </row>
    <row r="39" spans="3:15" x14ac:dyDescent="0.25">
      <c r="C39" s="33" t="str">
        <f t="shared" si="1"/>
        <v/>
      </c>
      <c r="D39" s="11"/>
      <c r="E39" s="33" t="str">
        <f t="shared" si="2"/>
        <v/>
      </c>
      <c r="M39" s="21"/>
      <c r="N39" s="21"/>
      <c r="O39" s="21"/>
    </row>
    <row r="40" spans="3:15" x14ac:dyDescent="0.25">
      <c r="C40" s="33" t="str">
        <f t="shared" si="1"/>
        <v/>
      </c>
      <c r="D40" s="11"/>
      <c r="E40" s="33" t="str">
        <f t="shared" si="2"/>
        <v/>
      </c>
      <c r="M40" s="21"/>
      <c r="N40" s="21"/>
      <c r="O40" s="21"/>
    </row>
    <row r="41" spans="3:15" x14ac:dyDescent="0.25">
      <c r="C41" s="33" t="str">
        <f t="shared" si="1"/>
        <v/>
      </c>
      <c r="D41" s="11"/>
      <c r="E41" s="33" t="str">
        <f t="shared" si="2"/>
        <v/>
      </c>
      <c r="M41" s="21"/>
      <c r="N41" s="21"/>
      <c r="O41" s="21"/>
    </row>
    <row r="42" spans="3:15" x14ac:dyDescent="0.25">
      <c r="C42" s="33" t="str">
        <f t="shared" si="1"/>
        <v/>
      </c>
      <c r="D42" s="11"/>
      <c r="E42" s="33" t="str">
        <f t="shared" si="2"/>
        <v/>
      </c>
      <c r="M42" s="21"/>
      <c r="N42" s="21"/>
      <c r="O42" s="21"/>
    </row>
    <row r="43" spans="3:15" x14ac:dyDescent="0.25">
      <c r="C43" s="33" t="str">
        <f t="shared" si="1"/>
        <v/>
      </c>
      <c r="D43" s="11"/>
      <c r="E43" s="33" t="str">
        <f t="shared" si="2"/>
        <v/>
      </c>
      <c r="M43" s="21"/>
      <c r="N43" s="21"/>
      <c r="O43" s="21"/>
    </row>
    <row r="44" spans="3:15" ht="6" customHeight="1" x14ac:dyDescent="0.25">
      <c r="C44" s="9"/>
      <c r="D44" s="9"/>
      <c r="E44" s="9"/>
      <c r="F44" s="9"/>
      <c r="G44" s="9"/>
      <c r="H44" s="9"/>
      <c r="I44" s="9"/>
      <c r="J44" s="9"/>
      <c r="K44" s="9"/>
      <c r="L44" s="9"/>
      <c r="M44" s="21"/>
      <c r="N44" s="21"/>
      <c r="O44" s="21"/>
    </row>
    <row r="45" spans="3:15" ht="6" customHeight="1" x14ac:dyDescent="0.25">
      <c r="M45" s="21"/>
      <c r="N45" s="21"/>
      <c r="O45" s="21"/>
    </row>
    <row r="46" spans="3:15" x14ac:dyDescent="0.25">
      <c r="C46" s="15" t="s">
        <v>79</v>
      </c>
      <c r="M46" s="21"/>
      <c r="N46" s="21"/>
      <c r="O46" s="21"/>
    </row>
    <row r="47" spans="3:15" x14ac:dyDescent="0.25">
      <c r="C47" s="15" t="s">
        <v>78</v>
      </c>
    </row>
  </sheetData>
  <mergeCells count="1">
    <mergeCell ref="G13:H13"/>
  </mergeCells>
  <conditionalFormatting sqref="I9">
    <cfRule type="containsText" dxfId="1294" priority="13" operator="containsText" text="FAIL">
      <formula>NOT(ISERROR(SEARCH("FAIL",I9)))</formula>
    </cfRule>
  </conditionalFormatting>
  <conditionalFormatting sqref="I9">
    <cfRule type="containsText" dxfId="1293" priority="12" operator="containsText" text="GOOD">
      <formula>NOT(ISERROR(SEARCH("GOOD",I9)))</formula>
    </cfRule>
  </conditionalFormatting>
  <conditionalFormatting sqref="F11">
    <cfRule type="containsText" dxfId="1292" priority="11" operator="containsText" text="FAIL">
      <formula>NOT(ISERROR(SEARCH("FAIL",F11)))</formula>
    </cfRule>
  </conditionalFormatting>
  <conditionalFormatting sqref="F11">
    <cfRule type="containsText" dxfId="1291" priority="10" operator="containsText" text="GOOD">
      <formula>NOT(ISERROR(SEARCH("GOOD",F11)))</formula>
    </cfRule>
  </conditionalFormatting>
  <conditionalFormatting sqref="D25">
    <cfRule type="expression" dxfId="1290" priority="9" stopIfTrue="1">
      <formula>IF($H$25=1,0)</formula>
    </cfRule>
  </conditionalFormatting>
  <conditionalFormatting sqref="D23:D26 D29:D43">
    <cfRule type="expression" dxfId="1289" priority="8">
      <formula>H23=1</formula>
    </cfRule>
  </conditionalFormatting>
  <conditionalFormatting sqref="C23:C26 C29:C43">
    <cfRule type="expression" dxfId="1288" priority="7">
      <formula>H23=1</formula>
    </cfRule>
  </conditionalFormatting>
  <conditionalFormatting sqref="E23:E26 E29:E43">
    <cfRule type="expression" dxfId="1287" priority="6">
      <formula>H23=1</formula>
    </cfRule>
  </conditionalFormatting>
  <conditionalFormatting sqref="F11">
    <cfRule type="containsText" dxfId="1286" priority="5" operator="containsText" text="FAIL">
      <formula>NOT(ISERROR(SEARCH("FAIL",F11)))</formula>
    </cfRule>
  </conditionalFormatting>
  <conditionalFormatting sqref="F11">
    <cfRule type="containsText" dxfId="1285" priority="4" operator="containsText" text="GOOD">
      <formula>NOT(ISERROR(SEARCH("GOOD",F11)))</formula>
    </cfRule>
  </conditionalFormatting>
  <conditionalFormatting sqref="D27:D28">
    <cfRule type="expression" dxfId="1284" priority="3">
      <formula>H27=1</formula>
    </cfRule>
  </conditionalFormatting>
  <conditionalFormatting sqref="C27:C28">
    <cfRule type="expression" dxfId="1283" priority="2">
      <formula>H27=1</formula>
    </cfRule>
  </conditionalFormatting>
  <conditionalFormatting sqref="E27:E28">
    <cfRule type="expression" dxfId="1282" priority="1">
      <formula>H27=1</formula>
    </cfRule>
  </conditionalFormatting>
  <pageMargins left="0.7" right="0.7" top="0.75" bottom="0.75" header="0.3" footer="0.3"/>
  <pageSetup scale="68" orientation="portrait" r:id="rId1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sheetPr codeName="Sheet58"/>
  <dimension ref="A2:O47"/>
  <sheetViews>
    <sheetView zoomScaleNormal="100" workbookViewId="0">
      <selection activeCell="I29" sqref="I29"/>
    </sheetView>
  </sheetViews>
  <sheetFormatPr defaultRowHeight="15" x14ac:dyDescent="0.25"/>
  <cols>
    <col min="1" max="2" width="4.42578125" customWidth="1"/>
    <col min="3" max="3" width="3" customWidth="1"/>
    <col min="4" max="4" width="24.85546875" customWidth="1"/>
    <col min="5" max="5" width="3" customWidth="1"/>
    <col min="6" max="6" width="15.7109375" customWidth="1"/>
    <col min="7" max="7" width="8.5703125" customWidth="1"/>
    <col min="8" max="8" width="5.85546875" customWidth="1"/>
    <col min="9" max="15" width="15.7109375" customWidth="1"/>
  </cols>
  <sheetData>
    <row r="2" spans="1:11" x14ac:dyDescent="0.25">
      <c r="C2" s="15" t="s">
        <v>32</v>
      </c>
      <c r="E2" s="15"/>
      <c r="F2" s="15"/>
      <c r="G2" s="15" t="s">
        <v>33</v>
      </c>
      <c r="H2" s="15"/>
      <c r="I2" s="15"/>
      <c r="J2" s="15"/>
      <c r="K2" s="15"/>
    </row>
    <row r="3" spans="1:11" ht="18.75" x14ac:dyDescent="0.3">
      <c r="C3" s="3" t="s">
        <v>26</v>
      </c>
      <c r="J3" s="8" t="s">
        <v>17</v>
      </c>
    </row>
    <row r="4" spans="1:11" x14ac:dyDescent="0.25">
      <c r="D4" s="2" t="s">
        <v>0</v>
      </c>
      <c r="E4" s="1"/>
      <c r="F4" t="s">
        <v>989</v>
      </c>
      <c r="I4" s="2" t="s">
        <v>4</v>
      </c>
      <c r="J4" t="s">
        <v>816</v>
      </c>
    </row>
    <row r="5" spans="1:11" x14ac:dyDescent="0.25">
      <c r="D5" s="2" t="s">
        <v>1</v>
      </c>
      <c r="F5" t="s">
        <v>879</v>
      </c>
    </row>
    <row r="6" spans="1:11" x14ac:dyDescent="0.25">
      <c r="D6" s="2" t="s">
        <v>2</v>
      </c>
      <c r="F6" s="6">
        <v>42845</v>
      </c>
      <c r="H6" s="11"/>
    </row>
    <row r="7" spans="1:11" x14ac:dyDescent="0.25">
      <c r="D7" s="2" t="s">
        <v>3</v>
      </c>
      <c r="F7" s="5">
        <v>2625000</v>
      </c>
      <c r="G7" s="2" t="s">
        <v>693</v>
      </c>
      <c r="H7" s="11"/>
    </row>
    <row r="8" spans="1:11" x14ac:dyDescent="0.25">
      <c r="D8" s="2" t="s">
        <v>18</v>
      </c>
      <c r="F8" s="5">
        <f>MIN(I23:I43)</f>
        <v>2472675</v>
      </c>
      <c r="H8" s="11"/>
    </row>
    <row r="9" spans="1:11" x14ac:dyDescent="0.25">
      <c r="D9" s="2" t="s">
        <v>67</v>
      </c>
      <c r="F9" s="4">
        <f>+F8-F7</f>
        <v>-152325</v>
      </c>
      <c r="G9" s="16">
        <f>+F9/F7</f>
        <v>-5.8028571428571429E-2</v>
      </c>
      <c r="H9" s="12" t="s">
        <v>20</v>
      </c>
      <c r="I9" s="11" t="str">
        <f>(IF(G9&lt;-0.1,"FAIL",IF(G9&gt;0.05,"FAIL","GOOD")))</f>
        <v>GOOD</v>
      </c>
      <c r="J9" s="14" t="s">
        <v>72</v>
      </c>
    </row>
    <row r="10" spans="1:11" x14ac:dyDescent="0.25">
      <c r="D10" s="2" t="s">
        <v>68</v>
      </c>
      <c r="F10" s="4">
        <f>+F7-F12</f>
        <v>-100976.16666666651</v>
      </c>
      <c r="H10" s="11"/>
    </row>
    <row r="11" spans="1:11" x14ac:dyDescent="0.25">
      <c r="A11" s="52"/>
      <c r="D11" s="2" t="s">
        <v>71</v>
      </c>
      <c r="F11" s="11" t="str">
        <f>(IF(F7&lt;J12,"FAIL",IF(F7&gt;J13,"FAIL","GOOD")))</f>
        <v>GOOD</v>
      </c>
      <c r="H11" s="11"/>
    </row>
    <row r="12" spans="1:11" x14ac:dyDescent="0.25">
      <c r="D12" s="2" t="s">
        <v>28</v>
      </c>
      <c r="F12" s="4">
        <f>SUM(I23:I43)/H12</f>
        <v>2725976.1666666665</v>
      </c>
      <c r="G12" s="14"/>
      <c r="H12" s="11">
        <f>COUNT(I23:I43)</f>
        <v>6</v>
      </c>
      <c r="I12" s="1" t="s">
        <v>31</v>
      </c>
      <c r="J12" s="4">
        <f>+F8*0.9</f>
        <v>2225407.5</v>
      </c>
      <c r="K12" s="1" t="s">
        <v>69</v>
      </c>
    </row>
    <row r="13" spans="1:11" x14ac:dyDescent="0.25">
      <c r="D13" s="2" t="s">
        <v>29</v>
      </c>
      <c r="F13" s="4">
        <f>MAX(I23:I43)-MIN(I23:I43)</f>
        <v>1016025</v>
      </c>
      <c r="G13" s="399">
        <f>MEDIAN(I23:I43)</f>
        <v>2595760.5</v>
      </c>
      <c r="H13" s="400"/>
      <c r="I13" s="1" t="s">
        <v>30</v>
      </c>
      <c r="J13" s="4">
        <f>+F12*1.1</f>
        <v>2998573.7833333332</v>
      </c>
      <c r="K13" s="1" t="s">
        <v>70</v>
      </c>
    </row>
    <row r="14" spans="1:11" x14ac:dyDescent="0.25">
      <c r="H14" s="11"/>
    </row>
    <row r="15" spans="1:11" x14ac:dyDescent="0.25">
      <c r="D15" s="2" t="s">
        <v>8</v>
      </c>
      <c r="F15" s="4"/>
      <c r="G15" s="1" t="s">
        <v>9</v>
      </c>
      <c r="H15" s="11"/>
      <c r="I15" t="s">
        <v>15</v>
      </c>
      <c r="J15" s="7" t="e">
        <f>+F16/F15</f>
        <v>#DIV/0!</v>
      </c>
    </row>
    <row r="16" spans="1:11" x14ac:dyDescent="0.25">
      <c r="F16" s="4"/>
      <c r="G16" s="1" t="s">
        <v>10</v>
      </c>
      <c r="H16" s="11"/>
      <c r="I16" t="s">
        <v>14</v>
      </c>
      <c r="J16" s="7" t="e">
        <f>+F17/F16</f>
        <v>#DIV/0!</v>
      </c>
    </row>
    <row r="17" spans="3:15" x14ac:dyDescent="0.25">
      <c r="F17" s="4"/>
      <c r="G17" s="1" t="s">
        <v>11</v>
      </c>
      <c r="H17" s="11"/>
      <c r="I17" t="s">
        <v>13</v>
      </c>
      <c r="J17" s="7" t="e">
        <f>+F18/F17</f>
        <v>#DIV/0!</v>
      </c>
      <c r="M17" s="21"/>
      <c r="N17" s="21"/>
      <c r="O17" s="21"/>
    </row>
    <row r="18" spans="3:15" x14ac:dyDescent="0.25">
      <c r="F18" s="4"/>
      <c r="G18" s="1" t="s">
        <v>12</v>
      </c>
      <c r="H18" s="11"/>
      <c r="I18" t="s">
        <v>16</v>
      </c>
      <c r="J18" s="7" t="e">
        <f>+F8/F18</f>
        <v>#DIV/0!</v>
      </c>
      <c r="M18" s="21"/>
      <c r="N18" s="21"/>
      <c r="O18" s="21"/>
    </row>
    <row r="19" spans="3:15" x14ac:dyDescent="0.25">
      <c r="F19" s="2" t="s">
        <v>51</v>
      </c>
      <c r="G19">
        <v>0</v>
      </c>
      <c r="H19" s="11" t="s">
        <v>52</v>
      </c>
      <c r="I19" t="s">
        <v>41</v>
      </c>
      <c r="J19" s="7" t="e">
        <f>+F8/F15</f>
        <v>#DIV/0!</v>
      </c>
      <c r="M19" s="21"/>
      <c r="N19" s="21"/>
      <c r="O19" s="21"/>
    </row>
    <row r="20" spans="3:15" x14ac:dyDescent="0.25">
      <c r="H20" s="11"/>
      <c r="M20" s="21"/>
      <c r="N20" s="21"/>
      <c r="O20" s="21"/>
    </row>
    <row r="21" spans="3:15" x14ac:dyDescent="0.25">
      <c r="C21" s="9"/>
      <c r="D21" s="13" t="s">
        <v>21</v>
      </c>
      <c r="E21" s="9"/>
      <c r="F21" s="9" t="s">
        <v>22</v>
      </c>
      <c r="G21" s="9" t="s">
        <v>23</v>
      </c>
      <c r="H21" s="13" t="s">
        <v>27</v>
      </c>
      <c r="I21" s="10" t="s">
        <v>24</v>
      </c>
      <c r="J21" s="9"/>
      <c r="K21" s="9"/>
      <c r="L21" s="9"/>
      <c r="M21" s="21"/>
      <c r="N21" s="21"/>
      <c r="O21" s="21"/>
    </row>
    <row r="22" spans="3:15" ht="6" customHeight="1" x14ac:dyDescent="0.25">
      <c r="M22" s="21"/>
      <c r="N22" s="21"/>
      <c r="O22" s="21"/>
    </row>
    <row r="23" spans="3:15" x14ac:dyDescent="0.25">
      <c r="C23" s="33" t="str">
        <f>IF(H23=1,"u","")</f>
        <v>u</v>
      </c>
      <c r="D23" s="11" t="s">
        <v>470</v>
      </c>
      <c r="E23" s="33"/>
      <c r="F23" t="s">
        <v>113</v>
      </c>
      <c r="G23" t="s">
        <v>25</v>
      </c>
      <c r="H23">
        <f t="shared" ref="H23:H28" si="0">RANK(I23,I$23:I$43,1)</f>
        <v>1</v>
      </c>
      <c r="I23" s="4">
        <v>2472675</v>
      </c>
      <c r="J23" s="4"/>
      <c r="K23" s="4"/>
      <c r="L23" s="4"/>
      <c r="M23" s="22"/>
      <c r="N23" s="22"/>
      <c r="O23" s="22"/>
    </row>
    <row r="24" spans="3:15" x14ac:dyDescent="0.25">
      <c r="C24" s="33" t="str">
        <f>IF(H24=1,"u","")</f>
        <v/>
      </c>
      <c r="D24" s="11" t="s">
        <v>676</v>
      </c>
      <c r="E24" s="33"/>
      <c r="F24" t="s">
        <v>85</v>
      </c>
      <c r="G24" t="s">
        <v>25</v>
      </c>
      <c r="H24">
        <f t="shared" si="0"/>
        <v>6</v>
      </c>
      <c r="I24" s="4">
        <v>3488700</v>
      </c>
      <c r="J24" s="4"/>
      <c r="K24" s="4"/>
      <c r="L24" s="4"/>
      <c r="M24" s="22"/>
      <c r="N24" s="22"/>
      <c r="O24" s="22"/>
    </row>
    <row r="25" spans="3:15" x14ac:dyDescent="0.25">
      <c r="C25" s="33" t="str">
        <f>IF(H25=1,"u","")</f>
        <v/>
      </c>
      <c r="D25" s="11" t="s">
        <v>733</v>
      </c>
      <c r="E25" s="33"/>
      <c r="F25" t="s">
        <v>120</v>
      </c>
      <c r="G25" t="s">
        <v>25</v>
      </c>
      <c r="H25">
        <f t="shared" si="0"/>
        <v>5</v>
      </c>
      <c r="I25" s="4">
        <v>2669111</v>
      </c>
      <c r="J25" s="4"/>
      <c r="K25" s="4"/>
      <c r="L25" s="4"/>
      <c r="M25" s="22"/>
      <c r="N25" s="22"/>
      <c r="O25" s="22"/>
    </row>
    <row r="26" spans="3:15" x14ac:dyDescent="0.25">
      <c r="C26" s="33" t="str">
        <f t="shared" ref="C26:C43" si="1">IF(H26=1,"u","")</f>
        <v/>
      </c>
      <c r="D26" s="11" t="s">
        <v>631</v>
      </c>
      <c r="E26" s="33"/>
      <c r="F26" t="s">
        <v>131</v>
      </c>
      <c r="G26" t="s">
        <v>25</v>
      </c>
      <c r="H26">
        <f t="shared" si="0"/>
        <v>4</v>
      </c>
      <c r="I26" s="4">
        <v>2640765</v>
      </c>
      <c r="J26" s="4"/>
      <c r="K26" s="4"/>
      <c r="L26" s="4"/>
      <c r="M26" s="22"/>
      <c r="N26" s="22"/>
      <c r="O26" s="22"/>
    </row>
    <row r="27" spans="3:15" x14ac:dyDescent="0.25">
      <c r="C27" s="33" t="str">
        <f t="shared" si="1"/>
        <v/>
      </c>
      <c r="D27" s="11" t="s">
        <v>347</v>
      </c>
      <c r="E27" s="33"/>
      <c r="F27" t="s">
        <v>147</v>
      </c>
      <c r="G27" t="s">
        <v>93</v>
      </c>
      <c r="H27">
        <f t="shared" si="0"/>
        <v>2</v>
      </c>
      <c r="I27" s="4">
        <v>2533850</v>
      </c>
      <c r="J27" s="4"/>
      <c r="K27" s="4"/>
      <c r="L27" s="4"/>
      <c r="M27" s="22"/>
      <c r="N27" s="22"/>
      <c r="O27" s="22"/>
    </row>
    <row r="28" spans="3:15" x14ac:dyDescent="0.25">
      <c r="C28" s="33" t="str">
        <f t="shared" si="1"/>
        <v/>
      </c>
      <c r="D28" s="11" t="s">
        <v>929</v>
      </c>
      <c r="E28" s="33"/>
      <c r="F28" t="s">
        <v>990</v>
      </c>
      <c r="G28" t="s">
        <v>25</v>
      </c>
      <c r="H28">
        <f t="shared" si="0"/>
        <v>3</v>
      </c>
      <c r="I28" s="4">
        <v>2550756</v>
      </c>
      <c r="J28" s="4"/>
      <c r="K28" s="4"/>
      <c r="L28" s="4"/>
      <c r="M28" s="22"/>
      <c r="N28" s="22"/>
      <c r="O28" s="22"/>
    </row>
    <row r="29" spans="3:15" x14ac:dyDescent="0.25">
      <c r="C29" s="33" t="str">
        <f t="shared" si="1"/>
        <v/>
      </c>
      <c r="D29" s="11"/>
      <c r="E29" s="33"/>
      <c r="I29" s="4"/>
      <c r="J29" s="4"/>
      <c r="K29" s="4"/>
      <c r="L29" s="4"/>
      <c r="M29" s="22"/>
      <c r="N29" s="22"/>
      <c r="O29" s="22"/>
    </row>
    <row r="30" spans="3:15" x14ac:dyDescent="0.25">
      <c r="C30" s="33" t="str">
        <f t="shared" si="1"/>
        <v/>
      </c>
      <c r="D30" s="11"/>
      <c r="E30" s="33"/>
      <c r="I30" s="4"/>
      <c r="J30" s="4"/>
      <c r="K30" s="4"/>
      <c r="L30" s="4"/>
      <c r="M30" s="22"/>
      <c r="N30" s="22"/>
      <c r="O30" s="22"/>
    </row>
    <row r="31" spans="3:15" x14ac:dyDescent="0.25">
      <c r="C31" s="33" t="str">
        <f t="shared" si="1"/>
        <v/>
      </c>
      <c r="D31" s="11"/>
      <c r="E31" s="33"/>
      <c r="I31" s="4"/>
      <c r="J31" s="4"/>
      <c r="K31" s="4"/>
      <c r="L31" s="4"/>
      <c r="M31" s="22"/>
      <c r="N31" s="22"/>
      <c r="O31" s="22"/>
    </row>
    <row r="32" spans="3:15" x14ac:dyDescent="0.25">
      <c r="C32" s="33" t="str">
        <f t="shared" si="1"/>
        <v/>
      </c>
      <c r="D32" s="11"/>
      <c r="E32" s="33"/>
      <c r="I32" s="4"/>
      <c r="J32" s="4"/>
      <c r="K32" s="4"/>
      <c r="L32" s="4"/>
      <c r="M32" s="22"/>
      <c r="N32" s="22"/>
      <c r="O32" s="22"/>
    </row>
    <row r="33" spans="3:15" x14ac:dyDescent="0.25">
      <c r="C33" s="33" t="str">
        <f t="shared" si="1"/>
        <v/>
      </c>
      <c r="D33" s="11"/>
      <c r="E33" s="33"/>
      <c r="I33" s="4"/>
      <c r="M33" s="21"/>
      <c r="N33" s="21"/>
      <c r="O33" s="21"/>
    </row>
    <row r="34" spans="3:15" x14ac:dyDescent="0.25">
      <c r="C34" s="33" t="str">
        <f t="shared" si="1"/>
        <v/>
      </c>
      <c r="D34" s="11"/>
      <c r="E34" s="33" t="str">
        <f t="shared" ref="E34:E43" si="2">IF(H34=1,"t","")</f>
        <v/>
      </c>
      <c r="M34" s="21"/>
      <c r="N34" s="21"/>
      <c r="O34" s="21"/>
    </row>
    <row r="35" spans="3:15" x14ac:dyDescent="0.25">
      <c r="C35" s="33" t="str">
        <f t="shared" si="1"/>
        <v/>
      </c>
      <c r="D35" s="11"/>
      <c r="E35" s="33" t="str">
        <f t="shared" si="2"/>
        <v/>
      </c>
      <c r="M35" s="21"/>
      <c r="N35" s="21"/>
      <c r="O35" s="21"/>
    </row>
    <row r="36" spans="3:15" x14ac:dyDescent="0.25">
      <c r="C36" s="33" t="str">
        <f t="shared" si="1"/>
        <v/>
      </c>
      <c r="D36" s="11"/>
      <c r="E36" s="33" t="str">
        <f t="shared" si="2"/>
        <v/>
      </c>
      <c r="M36" s="21"/>
      <c r="N36" s="21"/>
      <c r="O36" s="21"/>
    </row>
    <row r="37" spans="3:15" x14ac:dyDescent="0.25">
      <c r="C37" s="33" t="str">
        <f t="shared" si="1"/>
        <v/>
      </c>
      <c r="D37" s="11"/>
      <c r="E37" s="33" t="str">
        <f t="shared" si="2"/>
        <v/>
      </c>
      <c r="M37" s="21"/>
      <c r="N37" s="21"/>
      <c r="O37" s="21"/>
    </row>
    <row r="38" spans="3:15" x14ac:dyDescent="0.25">
      <c r="C38" s="33" t="str">
        <f t="shared" si="1"/>
        <v/>
      </c>
      <c r="D38" s="11"/>
      <c r="E38" s="33" t="str">
        <f t="shared" si="2"/>
        <v/>
      </c>
      <c r="M38" s="21"/>
      <c r="N38" s="21"/>
      <c r="O38" s="21"/>
    </row>
    <row r="39" spans="3:15" x14ac:dyDescent="0.25">
      <c r="C39" s="33" t="str">
        <f t="shared" si="1"/>
        <v/>
      </c>
      <c r="D39" s="11"/>
      <c r="E39" s="33" t="str">
        <f t="shared" si="2"/>
        <v/>
      </c>
      <c r="M39" s="21"/>
      <c r="N39" s="21"/>
      <c r="O39" s="21"/>
    </row>
    <row r="40" spans="3:15" x14ac:dyDescent="0.25">
      <c r="C40" s="33" t="str">
        <f t="shared" si="1"/>
        <v/>
      </c>
      <c r="D40" s="11"/>
      <c r="E40" s="33" t="str">
        <f t="shared" si="2"/>
        <v/>
      </c>
      <c r="M40" s="21"/>
      <c r="N40" s="21"/>
      <c r="O40" s="21"/>
    </row>
    <row r="41" spans="3:15" x14ac:dyDescent="0.25">
      <c r="C41" s="33" t="str">
        <f t="shared" si="1"/>
        <v/>
      </c>
      <c r="D41" s="11"/>
      <c r="E41" s="33" t="str">
        <f t="shared" si="2"/>
        <v/>
      </c>
      <c r="M41" s="21"/>
      <c r="N41" s="21"/>
      <c r="O41" s="21"/>
    </row>
    <row r="42" spans="3:15" x14ac:dyDescent="0.25">
      <c r="C42" s="33" t="str">
        <f t="shared" si="1"/>
        <v/>
      </c>
      <c r="D42" s="11"/>
      <c r="E42" s="33" t="str">
        <f t="shared" si="2"/>
        <v/>
      </c>
      <c r="M42" s="21"/>
      <c r="N42" s="21"/>
      <c r="O42" s="21"/>
    </row>
    <row r="43" spans="3:15" x14ac:dyDescent="0.25">
      <c r="C43" s="33" t="str">
        <f t="shared" si="1"/>
        <v/>
      </c>
      <c r="D43" s="11"/>
      <c r="E43" s="33" t="str">
        <f t="shared" si="2"/>
        <v/>
      </c>
      <c r="M43" s="21"/>
      <c r="N43" s="21"/>
      <c r="O43" s="21"/>
    </row>
    <row r="44" spans="3:15" ht="6" customHeight="1" x14ac:dyDescent="0.25">
      <c r="C44" s="9"/>
      <c r="D44" s="9"/>
      <c r="E44" s="9"/>
      <c r="F44" s="9"/>
      <c r="G44" s="9"/>
      <c r="H44" s="9"/>
      <c r="I44" s="9"/>
      <c r="J44" s="9"/>
      <c r="K44" s="9"/>
      <c r="L44" s="9"/>
      <c r="M44" s="21"/>
      <c r="N44" s="21"/>
      <c r="O44" s="21"/>
    </row>
    <row r="45" spans="3:15" ht="6" customHeight="1" x14ac:dyDescent="0.25">
      <c r="M45" s="21"/>
      <c r="N45" s="21"/>
      <c r="O45" s="21"/>
    </row>
    <row r="46" spans="3:15" x14ac:dyDescent="0.25">
      <c r="C46" s="15" t="s">
        <v>79</v>
      </c>
      <c r="M46" s="21"/>
      <c r="N46" s="21"/>
      <c r="O46" s="21"/>
    </row>
    <row r="47" spans="3:15" x14ac:dyDescent="0.25">
      <c r="C47" s="15" t="s">
        <v>78</v>
      </c>
    </row>
  </sheetData>
  <mergeCells count="1">
    <mergeCell ref="G13:H13"/>
  </mergeCells>
  <conditionalFormatting sqref="I9">
    <cfRule type="containsText" dxfId="1603" priority="13" operator="containsText" text="FAIL">
      <formula>NOT(ISERROR(SEARCH("FAIL",I9)))</formula>
    </cfRule>
  </conditionalFormatting>
  <conditionalFormatting sqref="I9">
    <cfRule type="containsText" dxfId="1602" priority="12" operator="containsText" text="GOOD">
      <formula>NOT(ISERROR(SEARCH("GOOD",I9)))</formula>
    </cfRule>
  </conditionalFormatting>
  <conditionalFormatting sqref="F11">
    <cfRule type="containsText" dxfId="1601" priority="11" operator="containsText" text="FAIL">
      <formula>NOT(ISERROR(SEARCH("FAIL",F11)))</formula>
    </cfRule>
  </conditionalFormatting>
  <conditionalFormatting sqref="F11">
    <cfRule type="containsText" dxfId="1600" priority="10" operator="containsText" text="GOOD">
      <formula>NOT(ISERROR(SEARCH("GOOD",F11)))</formula>
    </cfRule>
  </conditionalFormatting>
  <conditionalFormatting sqref="D25">
    <cfRule type="expression" dxfId="1599" priority="9" stopIfTrue="1">
      <formula>IF($H$25=1,0)</formula>
    </cfRule>
  </conditionalFormatting>
  <conditionalFormatting sqref="D23:D26 D29:D43">
    <cfRule type="expression" dxfId="1598" priority="8">
      <formula>H23=1</formula>
    </cfRule>
  </conditionalFormatting>
  <conditionalFormatting sqref="C23:C26 C29:C43">
    <cfRule type="expression" dxfId="1597" priority="7">
      <formula>H23=1</formula>
    </cfRule>
  </conditionalFormatting>
  <conditionalFormatting sqref="E23:E26 E29:E43">
    <cfRule type="expression" dxfId="1596" priority="6">
      <formula>H23=1</formula>
    </cfRule>
  </conditionalFormatting>
  <conditionalFormatting sqref="F11">
    <cfRule type="containsText" dxfId="1595" priority="5" operator="containsText" text="FAIL">
      <formula>NOT(ISERROR(SEARCH("FAIL",F11)))</formula>
    </cfRule>
  </conditionalFormatting>
  <conditionalFormatting sqref="F11">
    <cfRule type="containsText" dxfId="1594" priority="4" operator="containsText" text="GOOD">
      <formula>NOT(ISERROR(SEARCH("GOOD",F11)))</formula>
    </cfRule>
  </conditionalFormatting>
  <conditionalFormatting sqref="D27:D28">
    <cfRule type="expression" dxfId="1593" priority="3">
      <formula>H27=1</formula>
    </cfRule>
  </conditionalFormatting>
  <conditionalFormatting sqref="C27:C28">
    <cfRule type="expression" dxfId="1592" priority="2">
      <formula>H27=1</formula>
    </cfRule>
  </conditionalFormatting>
  <conditionalFormatting sqref="E27:E28">
    <cfRule type="expression" dxfId="1591" priority="1">
      <formula>H27=1</formula>
    </cfRule>
  </conditionalFormatting>
  <pageMargins left="0.7" right="0.7" top="0.75" bottom="0.75" header="0.3" footer="0.3"/>
  <pageSetup scale="68" orientation="portrait" r:id="rId1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 codeName="Sheet39"/>
  <dimension ref="A2:P47"/>
  <sheetViews>
    <sheetView zoomScaleNormal="100" workbookViewId="0">
      <selection activeCell="I25" sqref="I25"/>
    </sheetView>
  </sheetViews>
  <sheetFormatPr defaultRowHeight="15" x14ac:dyDescent="0.25"/>
  <cols>
    <col min="1" max="2" width="4.42578125" customWidth="1"/>
    <col min="3" max="3" width="3" customWidth="1"/>
    <col min="4" max="4" width="24.85546875" customWidth="1"/>
    <col min="5" max="5" width="3" customWidth="1"/>
    <col min="6" max="6" width="15.7109375" customWidth="1"/>
    <col min="7" max="7" width="8.5703125" customWidth="1"/>
    <col min="8" max="8" width="5.85546875" customWidth="1"/>
    <col min="9" max="15" width="15.7109375" customWidth="1"/>
  </cols>
  <sheetData>
    <row r="2" spans="1:16" x14ac:dyDescent="0.25">
      <c r="C2" s="15" t="s">
        <v>32</v>
      </c>
      <c r="E2" s="15"/>
      <c r="F2" s="15"/>
      <c r="G2" s="15" t="s">
        <v>33</v>
      </c>
      <c r="H2" s="15"/>
      <c r="I2" s="15"/>
      <c r="J2" s="15"/>
      <c r="K2" s="15"/>
    </row>
    <row r="3" spans="1:16" ht="18.75" x14ac:dyDescent="0.3">
      <c r="C3" s="3" t="s">
        <v>26</v>
      </c>
      <c r="J3" s="8" t="s">
        <v>17</v>
      </c>
      <c r="P3" s="100"/>
    </row>
    <row r="4" spans="1:16" x14ac:dyDescent="0.25">
      <c r="D4" s="2" t="s">
        <v>0</v>
      </c>
      <c r="E4" s="1"/>
      <c r="F4" t="s">
        <v>1060</v>
      </c>
      <c r="I4" s="2" t="s">
        <v>4</v>
      </c>
      <c r="J4" t="s">
        <v>816</v>
      </c>
    </row>
    <row r="5" spans="1:16" x14ac:dyDescent="0.25">
      <c r="D5" s="2" t="s">
        <v>1</v>
      </c>
      <c r="F5" t="s">
        <v>1061</v>
      </c>
    </row>
    <row r="6" spans="1:16" x14ac:dyDescent="0.25">
      <c r="D6" s="2" t="s">
        <v>2</v>
      </c>
      <c r="F6" s="6">
        <v>42950</v>
      </c>
      <c r="H6" s="11"/>
    </row>
    <row r="7" spans="1:16" x14ac:dyDescent="0.25">
      <c r="D7" s="2" t="s">
        <v>3</v>
      </c>
      <c r="F7" s="5">
        <v>13720000</v>
      </c>
      <c r="G7" s="2" t="s">
        <v>190</v>
      </c>
      <c r="H7" s="11"/>
    </row>
    <row r="8" spans="1:16" x14ac:dyDescent="0.25">
      <c r="D8" s="2" t="s">
        <v>18</v>
      </c>
      <c r="F8" s="5">
        <f>MIN(I23:I43)</f>
        <v>11539200</v>
      </c>
      <c r="H8" s="11"/>
    </row>
    <row r="9" spans="1:16" x14ac:dyDescent="0.25">
      <c r="D9" s="2" t="s">
        <v>67</v>
      </c>
      <c r="F9" s="4">
        <f>+F8-F7</f>
        <v>-2180800</v>
      </c>
      <c r="G9" s="16">
        <f>+F9/F7</f>
        <v>-0.15895043731778424</v>
      </c>
      <c r="H9" s="12" t="s">
        <v>20</v>
      </c>
      <c r="I9" s="11" t="str">
        <f>(IF(G9&lt;-0.1,"FAIL",IF(G9&gt;0.05,"FAIL","GOOD")))</f>
        <v>FAIL</v>
      </c>
      <c r="J9" s="14" t="s">
        <v>72</v>
      </c>
    </row>
    <row r="10" spans="1:16" x14ac:dyDescent="0.25">
      <c r="D10" s="2" t="s">
        <v>68</v>
      </c>
      <c r="F10" s="4">
        <f>+F7-F12</f>
        <v>-1865112.5</v>
      </c>
      <c r="H10" s="11"/>
    </row>
    <row r="11" spans="1:16" x14ac:dyDescent="0.25">
      <c r="A11" s="52"/>
      <c r="D11" s="2" t="s">
        <v>71</v>
      </c>
      <c r="F11" s="11" t="str">
        <f>(IF(F7&lt;J12,"FAIL",IF(F7&gt;J13,"FAIL","GOOD")))</f>
        <v>GOOD</v>
      </c>
      <c r="H11" s="11"/>
    </row>
    <row r="12" spans="1:16" x14ac:dyDescent="0.25">
      <c r="D12" s="2" t="s">
        <v>28</v>
      </c>
      <c r="F12" s="4">
        <f>SUM(I23:I43)/H12</f>
        <v>15585112.5</v>
      </c>
      <c r="G12" s="14"/>
      <c r="H12" s="11">
        <f>COUNT(I23:I43)</f>
        <v>4</v>
      </c>
      <c r="I12" s="1" t="s">
        <v>31</v>
      </c>
      <c r="J12" s="4">
        <f>+F8*0.9</f>
        <v>10385280</v>
      </c>
      <c r="K12" s="1" t="s">
        <v>69</v>
      </c>
    </row>
    <row r="13" spans="1:16" x14ac:dyDescent="0.25">
      <c r="D13" s="2" t="s">
        <v>29</v>
      </c>
      <c r="F13" s="4">
        <f>MAX(I23:I43)-MIN(I23:I43)</f>
        <v>9810800</v>
      </c>
      <c r="G13" s="399">
        <f>MEDIAN(I23:I43)</f>
        <v>14725625</v>
      </c>
      <c r="H13" s="400"/>
      <c r="I13" s="1" t="s">
        <v>30</v>
      </c>
      <c r="J13" s="4">
        <f>+F12*1.1</f>
        <v>17143623.75</v>
      </c>
      <c r="K13" s="1" t="s">
        <v>70</v>
      </c>
    </row>
    <row r="14" spans="1:16" x14ac:dyDescent="0.25">
      <c r="H14" s="11"/>
    </row>
    <row r="15" spans="1:16" x14ac:dyDescent="0.25">
      <c r="D15" s="2" t="s">
        <v>8</v>
      </c>
      <c r="F15" s="4"/>
      <c r="G15" s="1" t="s">
        <v>9</v>
      </c>
      <c r="H15" s="11"/>
      <c r="I15" t="s">
        <v>15</v>
      </c>
      <c r="J15" s="7" t="e">
        <f>+F16/F15</f>
        <v>#DIV/0!</v>
      </c>
    </row>
    <row r="16" spans="1:16" x14ac:dyDescent="0.25">
      <c r="F16" s="4"/>
      <c r="G16" s="1" t="s">
        <v>10</v>
      </c>
      <c r="H16" s="11"/>
      <c r="I16" t="s">
        <v>14</v>
      </c>
      <c r="J16" s="7" t="e">
        <f>+F17/F16</f>
        <v>#DIV/0!</v>
      </c>
    </row>
    <row r="17" spans="3:15" x14ac:dyDescent="0.25">
      <c r="F17" s="4"/>
      <c r="G17" s="1" t="s">
        <v>11</v>
      </c>
      <c r="H17" s="11"/>
      <c r="I17" t="s">
        <v>13</v>
      </c>
      <c r="J17" s="7" t="e">
        <f>+F18/F17</f>
        <v>#DIV/0!</v>
      </c>
      <c r="M17" s="21"/>
      <c r="N17" s="21"/>
      <c r="O17" s="21"/>
    </row>
    <row r="18" spans="3:15" x14ac:dyDescent="0.25">
      <c r="F18" s="4"/>
      <c r="G18" s="1" t="s">
        <v>12</v>
      </c>
      <c r="H18" s="11"/>
      <c r="I18" t="s">
        <v>16</v>
      </c>
      <c r="J18" s="7" t="e">
        <f>+F8/F18</f>
        <v>#DIV/0!</v>
      </c>
      <c r="M18" s="21"/>
      <c r="N18" s="21"/>
      <c r="O18" s="21"/>
    </row>
    <row r="19" spans="3:15" x14ac:dyDescent="0.25">
      <c r="F19" s="2" t="s">
        <v>51</v>
      </c>
      <c r="G19">
        <v>0</v>
      </c>
      <c r="H19" s="11" t="s">
        <v>52</v>
      </c>
      <c r="I19" t="s">
        <v>41</v>
      </c>
      <c r="J19" s="7" t="e">
        <f>+F8/F15</f>
        <v>#DIV/0!</v>
      </c>
      <c r="M19" s="21"/>
      <c r="N19" s="21"/>
      <c r="O19" s="21"/>
    </row>
    <row r="20" spans="3:15" x14ac:dyDescent="0.25">
      <c r="H20" s="11"/>
      <c r="M20" s="21"/>
      <c r="N20" s="21"/>
      <c r="O20" s="21"/>
    </row>
    <row r="21" spans="3:15" x14ac:dyDescent="0.25">
      <c r="C21" s="9"/>
      <c r="D21" s="13" t="s">
        <v>21</v>
      </c>
      <c r="E21" s="9"/>
      <c r="F21" s="9" t="s">
        <v>22</v>
      </c>
      <c r="G21" s="9" t="s">
        <v>23</v>
      </c>
      <c r="H21" s="13" t="s">
        <v>27</v>
      </c>
      <c r="I21" s="10" t="s">
        <v>24</v>
      </c>
      <c r="J21" s="9"/>
      <c r="K21" s="9"/>
      <c r="L21" s="9"/>
      <c r="M21" s="21"/>
      <c r="N21" s="21"/>
      <c r="O21" s="21"/>
    </row>
    <row r="22" spans="3:15" ht="6" customHeight="1" x14ac:dyDescent="0.25">
      <c r="M22" s="21"/>
      <c r="N22" s="21"/>
      <c r="O22" s="21"/>
    </row>
    <row r="23" spans="3:15" x14ac:dyDescent="0.25">
      <c r="C23" s="33" t="str">
        <f>IF(H23=1,"u","")</f>
        <v/>
      </c>
      <c r="D23" s="11" t="s">
        <v>568</v>
      </c>
      <c r="E23" s="33"/>
      <c r="F23" t="s">
        <v>569</v>
      </c>
      <c r="G23" t="s">
        <v>570</v>
      </c>
      <c r="H23">
        <f>RANK(I23,I$23:I$43,1)</f>
        <v>3</v>
      </c>
      <c r="I23" s="4">
        <v>15050000</v>
      </c>
      <c r="J23" s="4"/>
      <c r="K23" s="4"/>
      <c r="L23" s="4"/>
      <c r="M23" s="22"/>
      <c r="N23" s="22"/>
      <c r="O23" s="22"/>
    </row>
    <row r="24" spans="3:15" x14ac:dyDescent="0.25">
      <c r="C24" s="33" t="str">
        <f>IF(H24=1,"u","")</f>
        <v/>
      </c>
      <c r="D24" s="11" t="s">
        <v>576</v>
      </c>
      <c r="E24" s="33"/>
      <c r="F24" t="s">
        <v>577</v>
      </c>
      <c r="G24" t="s">
        <v>355</v>
      </c>
      <c r="H24">
        <f>RANK(I24,I$23:I$43,1)</f>
        <v>4</v>
      </c>
      <c r="I24" s="4">
        <v>21350000</v>
      </c>
      <c r="J24" s="4"/>
      <c r="K24" s="4"/>
      <c r="L24" s="4"/>
      <c r="M24" s="22"/>
      <c r="N24" s="22"/>
      <c r="O24" s="22"/>
    </row>
    <row r="25" spans="3:15" x14ac:dyDescent="0.25">
      <c r="C25" s="33" t="str">
        <f>IF(H25=1,"u","")</f>
        <v/>
      </c>
      <c r="D25" s="11" t="s">
        <v>1062</v>
      </c>
      <c r="E25" s="33"/>
      <c r="F25" t="s">
        <v>575</v>
      </c>
      <c r="G25" t="s">
        <v>333</v>
      </c>
      <c r="H25">
        <f>RANK(I25,I$23:I$43,1)</f>
        <v>2</v>
      </c>
      <c r="I25" s="4">
        <v>14401250</v>
      </c>
      <c r="J25" s="4"/>
      <c r="K25" s="4"/>
      <c r="L25" s="4"/>
      <c r="M25" s="22"/>
      <c r="N25" s="22"/>
      <c r="O25" s="22"/>
    </row>
    <row r="26" spans="3:15" x14ac:dyDescent="0.25">
      <c r="C26" s="33"/>
      <c r="D26" s="11" t="s">
        <v>571</v>
      </c>
      <c r="E26" s="33"/>
      <c r="F26" t="s">
        <v>572</v>
      </c>
      <c r="G26" t="s">
        <v>321</v>
      </c>
      <c r="H26">
        <f>RANK(I26,I$23:I$43,1)</f>
        <v>1</v>
      </c>
      <c r="I26" s="4">
        <v>11539200</v>
      </c>
      <c r="J26" s="4"/>
      <c r="K26" s="4"/>
      <c r="L26" s="4"/>
      <c r="M26" s="22"/>
      <c r="N26" s="22"/>
      <c r="O26" s="22"/>
    </row>
    <row r="27" spans="3:15" x14ac:dyDescent="0.25">
      <c r="C27" s="33"/>
      <c r="D27" s="11"/>
      <c r="E27" s="33"/>
      <c r="I27" s="4"/>
      <c r="J27" s="4"/>
      <c r="K27" s="4"/>
      <c r="L27" s="4"/>
      <c r="M27" s="22"/>
      <c r="N27" s="22"/>
      <c r="O27" s="22"/>
    </row>
    <row r="28" spans="3:15" x14ac:dyDescent="0.25">
      <c r="C28" s="33"/>
      <c r="D28" s="11"/>
      <c r="E28" s="33"/>
      <c r="I28" s="4"/>
      <c r="J28" s="4"/>
      <c r="K28" s="4"/>
      <c r="L28" s="4"/>
      <c r="M28" s="22"/>
      <c r="N28" s="22"/>
      <c r="O28" s="22"/>
    </row>
    <row r="29" spans="3:15" x14ac:dyDescent="0.25">
      <c r="C29" s="33" t="str">
        <f t="shared" ref="C29:C43" si="0">IF(H29=1,"u","")</f>
        <v/>
      </c>
      <c r="D29" s="11"/>
      <c r="E29" s="33"/>
      <c r="I29" s="4"/>
      <c r="J29" s="4"/>
      <c r="K29" s="4"/>
      <c r="L29" s="4"/>
      <c r="M29" s="22"/>
      <c r="N29" s="22"/>
      <c r="O29" s="22"/>
    </row>
    <row r="30" spans="3:15" x14ac:dyDescent="0.25">
      <c r="C30" s="33" t="str">
        <f t="shared" si="0"/>
        <v/>
      </c>
      <c r="D30" s="11"/>
      <c r="E30" s="33"/>
      <c r="I30" s="4"/>
      <c r="J30" s="4"/>
      <c r="K30" s="4"/>
      <c r="L30" s="4"/>
      <c r="M30" s="22"/>
      <c r="N30" s="22"/>
      <c r="O30" s="22"/>
    </row>
    <row r="31" spans="3:15" x14ac:dyDescent="0.25">
      <c r="C31" s="33" t="str">
        <f t="shared" si="0"/>
        <v/>
      </c>
      <c r="D31" s="11"/>
      <c r="E31" s="33"/>
      <c r="I31" s="4"/>
      <c r="J31" s="4"/>
      <c r="K31" s="4"/>
      <c r="L31" s="4"/>
      <c r="M31" s="22"/>
      <c r="N31" s="22"/>
      <c r="O31" s="22"/>
    </row>
    <row r="32" spans="3:15" x14ac:dyDescent="0.25">
      <c r="C32" s="33" t="str">
        <f t="shared" si="0"/>
        <v/>
      </c>
      <c r="D32" s="11"/>
      <c r="E32" s="33"/>
      <c r="I32" s="4"/>
      <c r="J32" s="4"/>
      <c r="K32" s="4"/>
      <c r="L32" s="4"/>
      <c r="M32" s="22"/>
      <c r="N32" s="22"/>
      <c r="O32" s="22"/>
    </row>
    <row r="33" spans="3:15" x14ac:dyDescent="0.25">
      <c r="C33" s="33" t="str">
        <f t="shared" si="0"/>
        <v/>
      </c>
      <c r="D33" s="11"/>
      <c r="E33" s="33"/>
      <c r="I33" s="4"/>
      <c r="M33" s="21"/>
      <c r="N33" s="21"/>
      <c r="O33" s="21"/>
    </row>
    <row r="34" spans="3:15" x14ac:dyDescent="0.25">
      <c r="C34" s="33" t="str">
        <f t="shared" si="0"/>
        <v/>
      </c>
      <c r="D34" s="11"/>
      <c r="E34" s="33" t="str">
        <f t="shared" ref="E34:E43" si="1">IF(H34=1,"t","")</f>
        <v/>
      </c>
      <c r="M34" s="21"/>
      <c r="N34" s="21"/>
      <c r="O34" s="21"/>
    </row>
    <row r="35" spans="3:15" x14ac:dyDescent="0.25">
      <c r="C35" s="33" t="str">
        <f t="shared" si="0"/>
        <v/>
      </c>
      <c r="D35" s="11"/>
      <c r="E35" s="33" t="str">
        <f t="shared" si="1"/>
        <v/>
      </c>
      <c r="M35" s="21"/>
      <c r="N35" s="21"/>
      <c r="O35" s="21"/>
    </row>
    <row r="36" spans="3:15" x14ac:dyDescent="0.25">
      <c r="C36" s="33" t="str">
        <f t="shared" si="0"/>
        <v/>
      </c>
      <c r="D36" s="11"/>
      <c r="E36" s="33" t="str">
        <f t="shared" si="1"/>
        <v/>
      </c>
      <c r="M36" s="21"/>
      <c r="N36" s="21"/>
      <c r="O36" s="21"/>
    </row>
    <row r="37" spans="3:15" x14ac:dyDescent="0.25">
      <c r="C37" s="33" t="str">
        <f t="shared" si="0"/>
        <v/>
      </c>
      <c r="D37" s="11"/>
      <c r="E37" s="33" t="str">
        <f t="shared" si="1"/>
        <v/>
      </c>
      <c r="M37" s="21"/>
      <c r="N37" s="21"/>
      <c r="O37" s="21"/>
    </row>
    <row r="38" spans="3:15" x14ac:dyDescent="0.25">
      <c r="C38" s="33" t="str">
        <f t="shared" si="0"/>
        <v/>
      </c>
      <c r="D38" s="11"/>
      <c r="E38" s="33" t="str">
        <f t="shared" si="1"/>
        <v/>
      </c>
      <c r="M38" s="21"/>
      <c r="N38" s="21"/>
      <c r="O38" s="21"/>
    </row>
    <row r="39" spans="3:15" x14ac:dyDescent="0.25">
      <c r="C39" s="33" t="str">
        <f t="shared" si="0"/>
        <v/>
      </c>
      <c r="D39" s="11"/>
      <c r="E39" s="33" t="str">
        <f t="shared" si="1"/>
        <v/>
      </c>
      <c r="M39" s="21"/>
      <c r="N39" s="21"/>
      <c r="O39" s="21"/>
    </row>
    <row r="40" spans="3:15" x14ac:dyDescent="0.25">
      <c r="C40" s="33" t="str">
        <f t="shared" si="0"/>
        <v/>
      </c>
      <c r="D40" s="11"/>
      <c r="E40" s="33" t="str">
        <f t="shared" si="1"/>
        <v/>
      </c>
      <c r="M40" s="21"/>
      <c r="N40" s="21"/>
      <c r="O40" s="21"/>
    </row>
    <row r="41" spans="3:15" x14ac:dyDescent="0.25">
      <c r="C41" s="33" t="str">
        <f t="shared" si="0"/>
        <v/>
      </c>
      <c r="D41" s="11"/>
      <c r="E41" s="33" t="str">
        <f t="shared" si="1"/>
        <v/>
      </c>
      <c r="M41" s="21"/>
      <c r="N41" s="21"/>
      <c r="O41" s="21"/>
    </row>
    <row r="42" spans="3:15" x14ac:dyDescent="0.25">
      <c r="C42" s="33" t="str">
        <f t="shared" si="0"/>
        <v/>
      </c>
      <c r="D42" s="11"/>
      <c r="E42" s="33" t="str">
        <f t="shared" si="1"/>
        <v/>
      </c>
      <c r="M42" s="21"/>
      <c r="N42" s="21"/>
      <c r="O42" s="21"/>
    </row>
    <row r="43" spans="3:15" x14ac:dyDescent="0.25">
      <c r="C43" s="33" t="str">
        <f t="shared" si="0"/>
        <v/>
      </c>
      <c r="D43" s="11"/>
      <c r="E43" s="33" t="str">
        <f t="shared" si="1"/>
        <v/>
      </c>
      <c r="M43" s="21"/>
      <c r="N43" s="21"/>
      <c r="O43" s="21"/>
    </row>
    <row r="44" spans="3:15" ht="6" customHeight="1" x14ac:dyDescent="0.25">
      <c r="C44" s="9"/>
      <c r="D44" s="9"/>
      <c r="E44" s="9"/>
      <c r="F44" s="9"/>
      <c r="G44" s="9"/>
      <c r="H44" s="9"/>
      <c r="I44" s="9"/>
      <c r="J44" s="9"/>
      <c r="K44" s="9"/>
      <c r="L44" s="9"/>
      <c r="M44" s="21"/>
      <c r="N44" s="21"/>
      <c r="O44" s="21"/>
    </row>
    <row r="45" spans="3:15" ht="6" customHeight="1" x14ac:dyDescent="0.25">
      <c r="M45" s="21"/>
      <c r="N45" s="21"/>
      <c r="O45" s="21"/>
    </row>
    <row r="46" spans="3:15" x14ac:dyDescent="0.25">
      <c r="C46" s="15" t="s">
        <v>79</v>
      </c>
      <c r="M46" s="21"/>
      <c r="N46" s="21"/>
      <c r="O46" s="21"/>
    </row>
    <row r="47" spans="3:15" x14ac:dyDescent="0.25">
      <c r="C47" s="15" t="s">
        <v>78</v>
      </c>
    </row>
  </sheetData>
  <mergeCells count="1">
    <mergeCell ref="G13:H13"/>
  </mergeCells>
  <conditionalFormatting sqref="I9">
    <cfRule type="containsText" dxfId="1933" priority="16" operator="containsText" text="FAIL">
      <formula>NOT(ISERROR(SEARCH("FAIL",I9)))</formula>
    </cfRule>
  </conditionalFormatting>
  <conditionalFormatting sqref="I9">
    <cfRule type="containsText" dxfId="1932" priority="15" operator="containsText" text="GOOD">
      <formula>NOT(ISERROR(SEARCH("GOOD",I9)))</formula>
    </cfRule>
  </conditionalFormatting>
  <conditionalFormatting sqref="F11">
    <cfRule type="containsText" dxfId="1931" priority="14" operator="containsText" text="FAIL">
      <formula>NOT(ISERROR(SEARCH("FAIL",F11)))</formula>
    </cfRule>
  </conditionalFormatting>
  <conditionalFormatting sqref="F11">
    <cfRule type="containsText" dxfId="1930" priority="13" operator="containsText" text="GOOD">
      <formula>NOT(ISERROR(SEARCH("GOOD",F11)))</formula>
    </cfRule>
  </conditionalFormatting>
  <conditionalFormatting sqref="D25">
    <cfRule type="expression" dxfId="1929" priority="12" stopIfTrue="1">
      <formula>IF($H$25=1,0)</formula>
    </cfRule>
  </conditionalFormatting>
  <conditionalFormatting sqref="D23 D29:D43 D25:D26">
    <cfRule type="expression" dxfId="1928" priority="11">
      <formula>H23=1</formula>
    </cfRule>
  </conditionalFormatting>
  <conditionalFormatting sqref="C23:C26 C29:C43">
    <cfRule type="expression" dxfId="1927" priority="10">
      <formula>H23=1</formula>
    </cfRule>
  </conditionalFormatting>
  <conditionalFormatting sqref="E23 E29:E43 E25:E26">
    <cfRule type="expression" dxfId="1926" priority="9">
      <formula>H23=1</formula>
    </cfRule>
  </conditionalFormatting>
  <conditionalFormatting sqref="F11">
    <cfRule type="containsText" dxfId="1925" priority="8" operator="containsText" text="FAIL">
      <formula>NOT(ISERROR(SEARCH("FAIL",F11)))</formula>
    </cfRule>
  </conditionalFormatting>
  <conditionalFormatting sqref="F11">
    <cfRule type="containsText" dxfId="1924" priority="7" operator="containsText" text="GOOD">
      <formula>NOT(ISERROR(SEARCH("GOOD",F11)))</formula>
    </cfRule>
  </conditionalFormatting>
  <conditionalFormatting sqref="D27:D28">
    <cfRule type="expression" dxfId="1923" priority="6">
      <formula>H27=1</formula>
    </cfRule>
  </conditionalFormatting>
  <conditionalFormatting sqref="C27:C28">
    <cfRule type="expression" dxfId="1922" priority="5">
      <formula>H27=1</formula>
    </cfRule>
  </conditionalFormatting>
  <conditionalFormatting sqref="E27:E28">
    <cfRule type="expression" dxfId="1921" priority="4">
      <formula>H27=1</formula>
    </cfRule>
  </conditionalFormatting>
  <conditionalFormatting sqref="D24">
    <cfRule type="expression" dxfId="1920" priority="3" stopIfTrue="1">
      <formula>IF($H$25=1,0)</formula>
    </cfRule>
  </conditionalFormatting>
  <conditionalFormatting sqref="D24">
    <cfRule type="expression" dxfId="1919" priority="2">
      <formula>H24=1</formula>
    </cfRule>
  </conditionalFormatting>
  <conditionalFormatting sqref="E24">
    <cfRule type="expression" dxfId="1918" priority="1">
      <formula>H24=1</formula>
    </cfRule>
  </conditionalFormatting>
  <pageMargins left="0.7" right="0.7" top="0.75" bottom="0.75" header="0.3" footer="0.3"/>
  <pageSetup scale="68" orientation="portrait" r:id="rId1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1">
    <tabColor theme="9" tint="-0.249977111117893"/>
  </sheetPr>
  <dimension ref="B4:G13"/>
  <sheetViews>
    <sheetView workbookViewId="0">
      <selection activeCell="K12" sqref="K12"/>
    </sheetView>
  </sheetViews>
  <sheetFormatPr defaultRowHeight="15" x14ac:dyDescent="0.25"/>
  <cols>
    <col min="3" max="4" width="14.28515625" customWidth="1"/>
    <col min="5" max="5" width="13.140625" customWidth="1"/>
    <col min="7" max="7" width="9.5703125" customWidth="1"/>
  </cols>
  <sheetData>
    <row r="4" spans="2:7" ht="30" x14ac:dyDescent="0.25">
      <c r="B4" s="58" t="s">
        <v>583</v>
      </c>
      <c r="C4" s="59" t="s">
        <v>584</v>
      </c>
      <c r="D4" s="59" t="s">
        <v>585</v>
      </c>
      <c r="E4" s="59" t="s">
        <v>586</v>
      </c>
      <c r="F4" s="60" t="s">
        <v>62</v>
      </c>
      <c r="G4" s="61" t="s">
        <v>588</v>
      </c>
    </row>
    <row r="5" spans="2:7" x14ac:dyDescent="0.25">
      <c r="B5" t="s">
        <v>578</v>
      </c>
      <c r="C5" s="55">
        <f>+SUMMARY!Z119</f>
        <v>142801000</v>
      </c>
      <c r="D5" s="55">
        <f>+SUMMARY!AA119</f>
        <v>116652275</v>
      </c>
      <c r="E5" s="7">
        <f>+SUMMARY!AB119</f>
        <v>1.2241595802567931</v>
      </c>
      <c r="F5">
        <v>10</v>
      </c>
      <c r="G5" s="56">
        <v>0.7</v>
      </c>
    </row>
    <row r="6" spans="2:7" x14ac:dyDescent="0.25">
      <c r="B6" t="s">
        <v>579</v>
      </c>
      <c r="C6" s="55">
        <f>+SUMMARY!Z131</f>
        <v>39735100</v>
      </c>
      <c r="D6" s="55">
        <f>+SUMMARY!AA131</f>
        <v>37587329.5</v>
      </c>
      <c r="E6" s="7">
        <f>+SUMMARY!AB131</f>
        <v>1.0571408112406602</v>
      </c>
      <c r="F6">
        <v>11</v>
      </c>
      <c r="G6" s="56">
        <v>0.36</v>
      </c>
    </row>
    <row r="7" spans="2:7" x14ac:dyDescent="0.25">
      <c r="B7" t="s">
        <v>580</v>
      </c>
      <c r="C7" s="55">
        <f>+SUMMARY!Z144</f>
        <v>19147000</v>
      </c>
      <c r="D7" s="55">
        <f>+SUMMARY!AA144</f>
        <v>16682499</v>
      </c>
      <c r="E7" s="7">
        <f>+SUMMARY!AB144</f>
        <v>1.1477297256244403</v>
      </c>
      <c r="F7">
        <v>7</v>
      </c>
      <c r="G7" s="56">
        <v>0.43</v>
      </c>
    </row>
    <row r="8" spans="2:7" x14ac:dyDescent="0.25">
      <c r="B8" t="s">
        <v>581</v>
      </c>
      <c r="C8" s="55">
        <f>+SUMMARY!Z152</f>
        <v>64639000</v>
      </c>
      <c r="D8" s="55">
        <f>+SUMMARY!AA152</f>
        <v>66886744.329999998</v>
      </c>
      <c r="E8" s="7">
        <f>+SUMMARY!AB152</f>
        <v>0.96639477145261743</v>
      </c>
      <c r="F8">
        <v>17</v>
      </c>
      <c r="G8" s="56">
        <v>0.53</v>
      </c>
    </row>
    <row r="9" spans="2:7" x14ac:dyDescent="0.25">
      <c r="B9" t="s">
        <v>582</v>
      </c>
      <c r="C9" s="55">
        <f>+SUMMARY!Z170</f>
        <v>50160000</v>
      </c>
      <c r="D9" s="55">
        <f>+SUMMARY!AA170</f>
        <v>48431818</v>
      </c>
      <c r="E9" s="7">
        <f>+SUMMARY!AB170</f>
        <v>1.0356827819265426</v>
      </c>
      <c r="F9">
        <v>5</v>
      </c>
      <c r="G9" s="56">
        <v>0.8</v>
      </c>
    </row>
    <row r="10" spans="2:7" x14ac:dyDescent="0.25">
      <c r="G10" s="56"/>
    </row>
    <row r="11" spans="2:7" x14ac:dyDescent="0.25">
      <c r="B11" t="s">
        <v>587</v>
      </c>
      <c r="C11" s="57">
        <f>SUM(C5:C8)</f>
        <v>266322100</v>
      </c>
      <c r="D11" s="57">
        <f>SUM(D5:D8)</f>
        <v>237808847.82999998</v>
      </c>
      <c r="E11" s="7">
        <f>+C11/D11</f>
        <v>1.1198998793786807</v>
      </c>
      <c r="F11">
        <f>SUM(F5:F8)</f>
        <v>45</v>
      </c>
      <c r="G11" s="56">
        <v>0.51</v>
      </c>
    </row>
    <row r="12" spans="2:7" x14ac:dyDescent="0.25">
      <c r="B12" s="23">
        <v>2015</v>
      </c>
      <c r="C12" s="57">
        <f>SUM(C6:C9)</f>
        <v>173681100</v>
      </c>
      <c r="D12" s="57">
        <f>SUM(D6:D9)</f>
        <v>169588390.82999998</v>
      </c>
      <c r="E12" s="7">
        <f>+C12/D12</f>
        <v>1.0241331918415493</v>
      </c>
      <c r="F12">
        <f>SUM(F6:F9)</f>
        <v>40</v>
      </c>
      <c r="G12" s="56">
        <v>0.5</v>
      </c>
    </row>
    <row r="13" spans="2:7" x14ac:dyDescent="0.25">
      <c r="G13" s="56"/>
    </row>
  </sheetData>
  <pageMargins left="0.7" right="0.7" top="0.75" bottom="0.75" header="0.3" footer="0.3"/>
  <pageSetup orientation="portrait" r:id="rId1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3">
    <tabColor theme="8" tint="0.39997558519241921"/>
    <pageSetUpPr fitToPage="1"/>
  </sheetPr>
  <dimension ref="C2:X651"/>
  <sheetViews>
    <sheetView zoomScaleNormal="100" workbookViewId="0">
      <pane ySplit="5" topLeftCell="A6" activePane="bottomLeft" state="frozen"/>
      <selection pane="bottomLeft" activeCell="E15" sqref="E15"/>
    </sheetView>
  </sheetViews>
  <sheetFormatPr defaultRowHeight="15" x14ac:dyDescent="0.25"/>
  <cols>
    <col min="1" max="1" width="3.140625" customWidth="1"/>
    <col min="2" max="2" width="2.85546875" customWidth="1"/>
    <col min="3" max="3" width="5.28515625" customWidth="1"/>
    <col min="4" max="4" width="13.42578125" customWidth="1"/>
    <col min="5" max="5" width="51.5703125" customWidth="1"/>
    <col min="6" max="6" width="9.5703125" bestFit="1" customWidth="1"/>
    <col min="7" max="7" width="8.5703125" customWidth="1"/>
    <col min="8" max="10" width="13.7109375" customWidth="1"/>
    <col min="11" max="11" width="9.5703125" customWidth="1"/>
    <col min="12" max="12" width="7" customWidth="1"/>
    <col min="13" max="13" width="6.42578125" customWidth="1"/>
    <col min="14" max="14" width="5.7109375" style="11" customWidth="1"/>
    <col min="15" max="15" width="3.42578125" customWidth="1"/>
    <col min="16" max="16" width="6.140625" customWidth="1"/>
    <col min="17" max="17" width="3.42578125" customWidth="1"/>
    <col min="18" max="18" width="44.7109375" customWidth="1"/>
    <col min="19" max="19" width="27" customWidth="1"/>
    <col min="22" max="22" width="11.140625" bestFit="1" customWidth="1"/>
    <col min="23" max="23" width="12.42578125" bestFit="1" customWidth="1"/>
    <col min="24" max="24" width="12" bestFit="1" customWidth="1"/>
    <col min="26" max="27" width="12.140625" bestFit="1" customWidth="1"/>
  </cols>
  <sheetData>
    <row r="2" spans="3:24" ht="27.75" customHeight="1" x14ac:dyDescent="0.25">
      <c r="D2" s="21"/>
      <c r="E2" s="15"/>
      <c r="F2" s="15" t="s">
        <v>32</v>
      </c>
      <c r="I2" s="15"/>
      <c r="J2" s="15"/>
      <c r="L2" s="15" t="s">
        <v>936</v>
      </c>
    </row>
    <row r="3" spans="3:24" ht="18.75" x14ac:dyDescent="0.3">
      <c r="D3" s="3"/>
      <c r="F3" s="3" t="s">
        <v>53</v>
      </c>
      <c r="K3" s="36" t="s">
        <v>54</v>
      </c>
      <c r="L3" s="37">
        <v>2017</v>
      </c>
      <c r="S3" s="77" t="s">
        <v>994</v>
      </c>
    </row>
    <row r="5" spans="3:24" x14ac:dyDescent="0.25">
      <c r="C5" s="40" t="s">
        <v>423</v>
      </c>
      <c r="D5" s="49" t="s">
        <v>55</v>
      </c>
      <c r="E5" s="49" t="s">
        <v>56</v>
      </c>
      <c r="F5" s="49" t="s">
        <v>57</v>
      </c>
      <c r="G5" s="50" t="s">
        <v>424</v>
      </c>
      <c r="H5" s="47" t="s">
        <v>58</v>
      </c>
      <c r="I5" s="47" t="s">
        <v>59</v>
      </c>
      <c r="J5" s="42" t="s">
        <v>456</v>
      </c>
      <c r="K5" s="47" t="s">
        <v>60</v>
      </c>
      <c r="L5" s="48" t="s">
        <v>61</v>
      </c>
      <c r="M5" s="47" t="s">
        <v>62</v>
      </c>
      <c r="N5" s="43" t="s">
        <v>225</v>
      </c>
      <c r="O5" s="43" t="s">
        <v>422</v>
      </c>
      <c r="P5" s="43" t="s">
        <v>454</v>
      </c>
      <c r="Q5" s="43"/>
      <c r="R5" s="41" t="s">
        <v>63</v>
      </c>
      <c r="S5" s="9" t="s">
        <v>551</v>
      </c>
      <c r="T5" s="9"/>
      <c r="U5" s="9"/>
      <c r="V5" s="9"/>
    </row>
    <row r="6" spans="3:24" ht="7.5" customHeight="1" x14ac:dyDescent="0.25">
      <c r="C6" s="39"/>
      <c r="G6" s="45"/>
    </row>
    <row r="7" spans="3:24" x14ac:dyDescent="0.25">
      <c r="C7" s="39">
        <v>2017</v>
      </c>
      <c r="D7" s="62" t="str">
        <f>+'PAT-024.031'!$F$4</f>
        <v>PAT-024.031</v>
      </c>
      <c r="E7" s="63" t="str">
        <f>+'PAT-024.031'!$F$5</f>
        <v>Replacement of Substation 7</v>
      </c>
      <c r="F7" s="64">
        <f>+'PAT-024.031'!$F$6</f>
        <v>42873</v>
      </c>
      <c r="G7" s="65" t="str">
        <f>+'PAT-024.031'!$G$7</f>
        <v>VVP</v>
      </c>
      <c r="H7" s="94">
        <f>+'PAT-024.031'!$F$7</f>
        <v>29400000</v>
      </c>
      <c r="I7" s="27">
        <f>+'PAT-024.031'!$F$8</f>
        <v>40981000</v>
      </c>
      <c r="J7" s="27"/>
      <c r="K7" s="26">
        <f>+'PAT-024.031'!$G$9</f>
        <v>0.39391156462585036</v>
      </c>
      <c r="L7" s="11" t="str">
        <f>+'PAT-024.031'!$F$11</f>
        <v>FAIL</v>
      </c>
      <c r="M7" s="15">
        <f>+'PAT-024.031'!$H$12</f>
        <v>2</v>
      </c>
      <c r="N7" s="35" t="s">
        <v>25</v>
      </c>
      <c r="O7" s="15">
        <v>2</v>
      </c>
      <c r="P7" s="35" t="s">
        <v>459</v>
      </c>
      <c r="Q7" s="15"/>
      <c r="R7" s="24"/>
      <c r="S7" s="62" t="str">
        <f>+'PAT-024.031'!$J$4</f>
        <v>Nathan Demaisip</v>
      </c>
      <c r="T7" s="15"/>
      <c r="U7" s="15"/>
      <c r="V7" s="54">
        <f t="shared" ref="V7:W13" si="0">+H7</f>
        <v>29400000</v>
      </c>
      <c r="W7" s="54">
        <f t="shared" si="0"/>
        <v>40981000</v>
      </c>
      <c r="X7" s="54">
        <f t="shared" ref="X7:X13" si="1">+V7-W7</f>
        <v>-11581000</v>
      </c>
    </row>
    <row r="8" spans="3:24" x14ac:dyDescent="0.25">
      <c r="C8" s="39">
        <v>2017</v>
      </c>
      <c r="D8" s="62" t="str">
        <f>+'PAT-084.001'!$F$4</f>
        <v>PAT-084.001</v>
      </c>
      <c r="E8" s="63" t="str">
        <f>+'PAT-084.001'!$F$5</f>
        <v>Replacement of Substation 9</v>
      </c>
      <c r="F8" s="64">
        <f>+'PAT-084.001'!$F$6</f>
        <v>42844</v>
      </c>
      <c r="G8" s="65" t="str">
        <f>+'PAT-084.001'!$G$7</f>
        <v>PQL</v>
      </c>
      <c r="H8" s="94">
        <f>+'PAT-084.001'!$F$7</f>
        <v>30360000</v>
      </c>
      <c r="I8" s="27">
        <f>+'PAT-084.001'!$F$8</f>
        <v>32920674</v>
      </c>
      <c r="J8" s="27"/>
      <c r="K8" s="26">
        <f>+'PAT-084.001'!$G$9</f>
        <v>8.4343675889328062E-2</v>
      </c>
      <c r="L8" s="11" t="str">
        <f>+'PAT-084.001'!$F$11</f>
        <v>GOOD</v>
      </c>
      <c r="M8" s="15">
        <f>+'PAT-084.001'!$H$12</f>
        <v>3</v>
      </c>
      <c r="N8" s="35" t="s">
        <v>25</v>
      </c>
      <c r="O8" s="15">
        <v>2</v>
      </c>
      <c r="P8" s="35" t="s">
        <v>459</v>
      </c>
      <c r="Q8" s="15"/>
      <c r="R8" s="24"/>
      <c r="S8" s="62" t="str">
        <f>+'PAT-084.001'!$J$4</f>
        <v>Nathan Demaisip</v>
      </c>
      <c r="T8" s="15"/>
      <c r="U8" s="15"/>
      <c r="V8" s="54">
        <f t="shared" si="0"/>
        <v>30360000</v>
      </c>
      <c r="W8" s="54">
        <f t="shared" si="0"/>
        <v>32920674</v>
      </c>
      <c r="X8" s="54">
        <f t="shared" si="1"/>
        <v>-2560674</v>
      </c>
    </row>
    <row r="9" spans="3:24" x14ac:dyDescent="0.25">
      <c r="C9" s="39">
        <v>2016</v>
      </c>
      <c r="D9" s="62" t="str">
        <f>+'PAT-084.039'!$F$4</f>
        <v>PAT-084.039</v>
      </c>
      <c r="E9" s="63" t="str">
        <f>+'PAT-084.039'!$F$5</f>
        <v>Event Detection Systems for Tunnels E and F</v>
      </c>
      <c r="F9" s="64">
        <f>+'PAT-084.039'!$F$6</f>
        <v>42731</v>
      </c>
      <c r="G9" s="65" t="str">
        <f>+'PAT-084.039'!$G$7</f>
        <v>PQL</v>
      </c>
      <c r="H9" s="27">
        <f>+'PAT-084.039'!$F$7</f>
        <v>18500000</v>
      </c>
      <c r="I9" s="27">
        <f>+'PAT-084.039'!$F$8</f>
        <v>15978000</v>
      </c>
      <c r="J9" s="27">
        <v>15978000</v>
      </c>
      <c r="K9" s="26">
        <f>+'PAT-084.039'!$G$9</f>
        <v>-0.13632432432432431</v>
      </c>
      <c r="L9" s="11" t="str">
        <f>+'PAT-084.039'!$F$11</f>
        <v>GOOD</v>
      </c>
      <c r="M9" s="15">
        <f>+'PAT-084.039'!$H$12</f>
        <v>2</v>
      </c>
      <c r="N9" s="35" t="s">
        <v>226</v>
      </c>
      <c r="O9" s="15">
        <v>4</v>
      </c>
      <c r="P9" s="35" t="s">
        <v>459</v>
      </c>
      <c r="Q9" s="15"/>
      <c r="R9" s="24" t="s">
        <v>827</v>
      </c>
      <c r="S9" s="62" t="str">
        <f>+'PAT-084.039'!$J$4</f>
        <v>Nathan Demaisip</v>
      </c>
      <c r="T9" s="15"/>
      <c r="U9" s="15"/>
      <c r="V9" s="54">
        <f t="shared" si="0"/>
        <v>18500000</v>
      </c>
      <c r="W9" s="54">
        <f t="shared" si="0"/>
        <v>15978000</v>
      </c>
      <c r="X9" s="54">
        <f t="shared" si="1"/>
        <v>2522000</v>
      </c>
    </row>
    <row r="10" spans="3:24" x14ac:dyDescent="0.25">
      <c r="C10" s="39">
        <v>2016</v>
      </c>
      <c r="D10" s="62" t="str">
        <f>+'PAT-024.069A'!$F$4</f>
        <v>PAT-024.069A</v>
      </c>
      <c r="E10" s="63" t="str">
        <f>+'PAT-024.069A'!$F$5</f>
        <v>30th Street Mezzanine Rehab</v>
      </c>
      <c r="F10" s="64">
        <f>+'PAT-024.069A'!$F$6</f>
        <v>42667</v>
      </c>
      <c r="G10" s="65" t="str">
        <f>+'PAT-024.069A'!$G$7</f>
        <v>Public</v>
      </c>
      <c r="H10" s="27">
        <f>+'PAT-024.069A'!$F$7</f>
        <v>2400000</v>
      </c>
      <c r="I10" s="27">
        <f>+'PAT-024.069A'!$F$8</f>
        <v>3617000</v>
      </c>
      <c r="J10" s="27">
        <v>3617000</v>
      </c>
      <c r="K10" s="26">
        <f>+'PAT-024.069A'!$G$9</f>
        <v>0.50708333333333333</v>
      </c>
      <c r="L10" s="11" t="str">
        <f>+'PAT-024.069A'!$F$11</f>
        <v>FAIL</v>
      </c>
      <c r="M10" s="15">
        <f>+'PAT-024.069A'!$H$12</f>
        <v>2</v>
      </c>
      <c r="N10" s="35" t="s">
        <v>93</v>
      </c>
      <c r="O10" s="15">
        <v>4</v>
      </c>
      <c r="P10" s="35" t="s">
        <v>459</v>
      </c>
      <c r="Q10" s="15"/>
      <c r="R10" s="24"/>
      <c r="S10" s="62" t="str">
        <f>+'PAT-024.069A'!$J$4</f>
        <v>Nathan Demaisip</v>
      </c>
      <c r="T10" s="15"/>
      <c r="U10" s="15"/>
      <c r="V10" s="54">
        <f t="shared" si="0"/>
        <v>2400000</v>
      </c>
      <c r="W10" s="54">
        <f t="shared" si="0"/>
        <v>3617000</v>
      </c>
      <c r="X10" s="54">
        <f t="shared" si="1"/>
        <v>-1217000</v>
      </c>
    </row>
    <row r="11" spans="3:24" x14ac:dyDescent="0.25">
      <c r="C11" s="39">
        <v>2016</v>
      </c>
      <c r="D11" s="62" t="str">
        <f>+'PAT-784.164'!$F$4</f>
        <v>PAT-784.164</v>
      </c>
      <c r="E11" s="63" t="str">
        <f>+'PAT-784.164'!$F$5</f>
        <v>Replace Roof - MacMillian-Bloedel Building</v>
      </c>
      <c r="F11" s="64">
        <f>+'PAT-784.164'!$F$6</f>
        <v>42601</v>
      </c>
      <c r="G11" s="65" t="str">
        <f>+'PAT-784.164'!$G$7</f>
        <v>Public</v>
      </c>
      <c r="H11" s="27">
        <f>+'PAT-784.164'!$F$7</f>
        <v>6120000</v>
      </c>
      <c r="I11" s="27">
        <f>+'PAT-784.164'!$F$8</f>
        <v>4674300</v>
      </c>
      <c r="J11" s="27">
        <v>4753054</v>
      </c>
      <c r="K11" s="26">
        <f>+'PAT-784.164'!$G$9</f>
        <v>-0.23622549019607844</v>
      </c>
      <c r="L11" s="11" t="str">
        <f>+'PAT-784.164'!$F$11</f>
        <v>GOOD</v>
      </c>
      <c r="M11" s="15">
        <f>+'PAT-784.164'!$H$12</f>
        <v>6</v>
      </c>
      <c r="N11" s="35" t="s">
        <v>25</v>
      </c>
      <c r="O11" s="15">
        <v>3</v>
      </c>
      <c r="P11" s="35" t="s">
        <v>459</v>
      </c>
      <c r="Q11" s="15"/>
      <c r="R11" s="24" t="s">
        <v>726</v>
      </c>
      <c r="S11" s="62" t="str">
        <f>+'PAT-784.164'!$J$4</f>
        <v>Nathan Demaisip</v>
      </c>
      <c r="T11" s="15"/>
      <c r="U11" s="15"/>
      <c r="V11" s="54">
        <f t="shared" si="0"/>
        <v>6120000</v>
      </c>
      <c r="W11" s="54">
        <f t="shared" si="0"/>
        <v>4674300</v>
      </c>
      <c r="X11" s="54">
        <f t="shared" si="1"/>
        <v>1445700</v>
      </c>
    </row>
    <row r="12" spans="3:24" x14ac:dyDescent="0.25">
      <c r="C12" s="39">
        <v>2016</v>
      </c>
      <c r="D12" s="62" t="str">
        <f>+'PAT-784.163'!$F$4</f>
        <v>PAT-784.163</v>
      </c>
      <c r="E12" s="63" t="str">
        <f>+'PAT-784.163'!$F$5</f>
        <v>PATH - Infrastructure for Standby Generators</v>
      </c>
      <c r="F12" s="64">
        <f>+'PAT-784.163'!$F$6</f>
        <v>42473</v>
      </c>
      <c r="G12" s="65" t="str">
        <f>+'PAT-784.163'!$G$7</f>
        <v>Public</v>
      </c>
      <c r="H12" s="27">
        <f>+'PAT-784.163'!$F$7</f>
        <v>1900000</v>
      </c>
      <c r="I12" s="27">
        <f>+'PAT-784.163'!$F$8</f>
        <v>1348800</v>
      </c>
      <c r="J12" s="27">
        <v>1348800</v>
      </c>
      <c r="K12" s="26">
        <f>+'PAT-784.163'!$G$9</f>
        <v>-0.29010526315789475</v>
      </c>
      <c r="L12" s="11" t="str">
        <f>+'PAT-784.163'!$F$11</f>
        <v>GOOD</v>
      </c>
      <c r="M12" s="15">
        <f>+'PAT-784.163'!$H$12</f>
        <v>11</v>
      </c>
      <c r="N12" s="35" t="s">
        <v>25</v>
      </c>
      <c r="O12" s="15">
        <v>2</v>
      </c>
      <c r="P12" s="35" t="s">
        <v>459</v>
      </c>
      <c r="Q12" s="15"/>
      <c r="R12" s="24" t="s">
        <v>608</v>
      </c>
      <c r="S12" s="62" t="str">
        <f>+'PAT-784.163'!$J$4</f>
        <v>Nathan Demaisip</v>
      </c>
      <c r="T12" s="15"/>
      <c r="U12" s="15"/>
      <c r="V12" s="54">
        <f t="shared" si="0"/>
        <v>1900000</v>
      </c>
      <c r="W12" s="54">
        <f t="shared" si="0"/>
        <v>1348800</v>
      </c>
      <c r="X12" s="54">
        <f t="shared" si="1"/>
        <v>551200</v>
      </c>
    </row>
    <row r="13" spans="3:24" x14ac:dyDescent="0.25">
      <c r="C13" s="39">
        <v>2016</v>
      </c>
      <c r="D13" s="15" t="str">
        <f>+'PAT-774.154'!$F$4</f>
        <v>PAT-774.154</v>
      </c>
      <c r="E13" s="24" t="str">
        <f>+'PAT-774.154'!$F$5</f>
        <v>PATH - Hoboken Station Under-Platform Fan Replacement</v>
      </c>
      <c r="F13" s="25">
        <f>+'PAT-774.154'!$F$6</f>
        <v>42391</v>
      </c>
      <c r="G13" s="46" t="str">
        <f>+'PAT-774.154'!$G$7</f>
        <v>Public</v>
      </c>
      <c r="H13" s="27">
        <f>+'PAT-774.154'!$F$7</f>
        <v>4574000</v>
      </c>
      <c r="I13" s="27">
        <f>+'PAT-774.154'!$F$8</f>
        <v>3774000</v>
      </c>
      <c r="J13" s="27">
        <v>3774000</v>
      </c>
      <c r="K13" s="26">
        <f>+'PAT-774.154'!$G$9</f>
        <v>-0.17490161783996502</v>
      </c>
      <c r="L13" s="11" t="str">
        <f>+'PAT-774.154'!$F$11</f>
        <v>GOOD</v>
      </c>
      <c r="M13" s="15">
        <f>+'PAT-774.154'!$H$12</f>
        <v>4</v>
      </c>
      <c r="N13" s="35" t="s">
        <v>25</v>
      </c>
      <c r="O13" s="15">
        <v>1</v>
      </c>
      <c r="P13" s="35" t="s">
        <v>459</v>
      </c>
      <c r="Q13" s="15"/>
      <c r="R13" s="24"/>
      <c r="S13" s="15" t="str">
        <f>+'PAT-774.154'!$J$4</f>
        <v>Nathan Demaisip</v>
      </c>
      <c r="T13" s="15"/>
      <c r="U13" s="15"/>
      <c r="V13" s="54">
        <f t="shared" si="0"/>
        <v>4574000</v>
      </c>
      <c r="W13" s="54">
        <f t="shared" si="0"/>
        <v>3774000</v>
      </c>
      <c r="X13" s="54">
        <f t="shared" si="1"/>
        <v>800000</v>
      </c>
    </row>
    <row r="14" spans="3:24" x14ac:dyDescent="0.25">
      <c r="C14" s="39"/>
      <c r="G14" s="45"/>
      <c r="P14" s="11"/>
    </row>
    <row r="15" spans="3:24" x14ac:dyDescent="0.25">
      <c r="C15" s="39"/>
      <c r="G15" s="45"/>
      <c r="P15" s="11"/>
    </row>
    <row r="16" spans="3:24" x14ac:dyDescent="0.25">
      <c r="C16" s="39"/>
      <c r="G16" s="45"/>
      <c r="P16" s="11"/>
    </row>
    <row r="17" spans="3:16" x14ac:dyDescent="0.25">
      <c r="C17" s="39"/>
      <c r="G17" s="45"/>
      <c r="P17" s="11"/>
    </row>
    <row r="18" spans="3:16" x14ac:dyDescent="0.25">
      <c r="C18" s="39"/>
      <c r="G18" s="45"/>
      <c r="P18" s="11"/>
    </row>
    <row r="19" spans="3:16" x14ac:dyDescent="0.25">
      <c r="C19" s="39"/>
      <c r="G19" s="45"/>
      <c r="P19" s="11"/>
    </row>
    <row r="20" spans="3:16" x14ac:dyDescent="0.25">
      <c r="C20" s="39"/>
      <c r="G20" s="45"/>
    </row>
    <row r="21" spans="3:16" x14ac:dyDescent="0.25">
      <c r="C21" s="39"/>
      <c r="G21" s="45"/>
    </row>
    <row r="22" spans="3:16" x14ac:dyDescent="0.25">
      <c r="C22" s="39"/>
      <c r="G22" s="45"/>
    </row>
    <row r="23" spans="3:16" x14ac:dyDescent="0.25">
      <c r="C23" s="39"/>
      <c r="G23" s="45"/>
    </row>
    <row r="24" spans="3:16" x14ac:dyDescent="0.25">
      <c r="C24" s="39"/>
      <c r="G24" s="45"/>
    </row>
    <row r="25" spans="3:16" x14ac:dyDescent="0.25">
      <c r="C25" s="39"/>
      <c r="G25" s="45"/>
    </row>
    <row r="26" spans="3:16" x14ac:dyDescent="0.25">
      <c r="C26" s="39"/>
      <c r="G26" s="45"/>
    </row>
    <row r="27" spans="3:16" x14ac:dyDescent="0.25">
      <c r="C27" s="39"/>
      <c r="G27" s="45"/>
    </row>
    <row r="28" spans="3:16" x14ac:dyDescent="0.25">
      <c r="C28" s="39"/>
      <c r="G28" s="45"/>
    </row>
    <row r="29" spans="3:16" x14ac:dyDescent="0.25">
      <c r="C29" s="39"/>
      <c r="G29" s="45"/>
    </row>
    <row r="30" spans="3:16" x14ac:dyDescent="0.25">
      <c r="C30" s="39"/>
      <c r="G30" s="45"/>
    </row>
    <row r="31" spans="3:16" x14ac:dyDescent="0.25">
      <c r="C31" s="39"/>
      <c r="G31" s="45"/>
    </row>
    <row r="32" spans="3:16" x14ac:dyDescent="0.25">
      <c r="C32" s="39"/>
      <c r="G32" s="45"/>
    </row>
    <row r="33" spans="3:7" x14ac:dyDescent="0.25">
      <c r="C33" s="39"/>
      <c r="G33" s="45"/>
    </row>
    <row r="34" spans="3:7" x14ac:dyDescent="0.25">
      <c r="C34" s="39"/>
      <c r="G34" s="45"/>
    </row>
    <row r="35" spans="3:7" x14ac:dyDescent="0.25">
      <c r="C35" s="39"/>
      <c r="G35" s="45"/>
    </row>
    <row r="36" spans="3:7" x14ac:dyDescent="0.25">
      <c r="C36" s="39"/>
      <c r="G36" s="45"/>
    </row>
    <row r="37" spans="3:7" x14ac:dyDescent="0.25">
      <c r="C37" s="39"/>
      <c r="G37" s="45"/>
    </row>
    <row r="38" spans="3:7" x14ac:dyDescent="0.25">
      <c r="C38" s="39"/>
      <c r="G38" s="45"/>
    </row>
    <row r="39" spans="3:7" x14ac:dyDescent="0.25">
      <c r="C39" s="39"/>
      <c r="G39" s="45"/>
    </row>
    <row r="40" spans="3:7" x14ac:dyDescent="0.25">
      <c r="C40" s="39"/>
      <c r="G40" s="45"/>
    </row>
    <row r="41" spans="3:7" x14ac:dyDescent="0.25">
      <c r="C41" s="39"/>
      <c r="G41" s="45"/>
    </row>
    <row r="42" spans="3:7" x14ac:dyDescent="0.25">
      <c r="C42" s="39"/>
      <c r="G42" s="45"/>
    </row>
    <row r="43" spans="3:7" x14ac:dyDescent="0.25">
      <c r="C43" s="39"/>
      <c r="G43" s="45"/>
    </row>
    <row r="44" spans="3:7" x14ac:dyDescent="0.25">
      <c r="C44" s="39"/>
      <c r="G44" s="45"/>
    </row>
    <row r="45" spans="3:7" x14ac:dyDescent="0.25">
      <c r="C45" s="39"/>
      <c r="G45" s="45"/>
    </row>
    <row r="46" spans="3:7" x14ac:dyDescent="0.25">
      <c r="C46" s="39"/>
      <c r="G46" s="45"/>
    </row>
    <row r="47" spans="3:7" x14ac:dyDescent="0.25">
      <c r="C47" s="39"/>
      <c r="G47" s="45"/>
    </row>
    <row r="48" spans="3:7" x14ac:dyDescent="0.25">
      <c r="C48" s="39"/>
      <c r="G48" s="45"/>
    </row>
    <row r="49" spans="3:7" x14ac:dyDescent="0.25">
      <c r="C49" s="39"/>
      <c r="G49" s="45"/>
    </row>
    <row r="50" spans="3:7" x14ac:dyDescent="0.25">
      <c r="C50" s="39"/>
      <c r="G50" s="45"/>
    </row>
    <row r="51" spans="3:7" x14ac:dyDescent="0.25">
      <c r="C51" s="39"/>
      <c r="G51" s="45"/>
    </row>
    <row r="52" spans="3:7" x14ac:dyDescent="0.25">
      <c r="C52" s="39"/>
      <c r="G52" s="45"/>
    </row>
    <row r="53" spans="3:7" x14ac:dyDescent="0.25">
      <c r="C53" s="39"/>
      <c r="G53" s="45"/>
    </row>
    <row r="54" spans="3:7" x14ac:dyDescent="0.25">
      <c r="C54" s="39"/>
    </row>
    <row r="55" spans="3:7" x14ac:dyDescent="0.25">
      <c r="C55" s="39"/>
    </row>
    <row r="56" spans="3:7" x14ac:dyDescent="0.25">
      <c r="C56" s="39"/>
    </row>
    <row r="57" spans="3:7" x14ac:dyDescent="0.25">
      <c r="C57" s="39"/>
    </row>
    <row r="58" spans="3:7" x14ac:dyDescent="0.25">
      <c r="C58" s="39"/>
    </row>
    <row r="59" spans="3:7" x14ac:dyDescent="0.25">
      <c r="C59" s="39"/>
    </row>
    <row r="60" spans="3:7" x14ac:dyDescent="0.25">
      <c r="C60" s="39"/>
    </row>
    <row r="61" spans="3:7" x14ac:dyDescent="0.25">
      <c r="C61" s="39"/>
    </row>
    <row r="62" spans="3:7" x14ac:dyDescent="0.25">
      <c r="C62" s="39"/>
    </row>
    <row r="63" spans="3:7" x14ac:dyDescent="0.25">
      <c r="C63" s="39"/>
    </row>
    <row r="64" spans="3:7" x14ac:dyDescent="0.25">
      <c r="C64" s="39"/>
    </row>
    <row r="65" spans="3:3" x14ac:dyDescent="0.25">
      <c r="C65" s="39"/>
    </row>
    <row r="66" spans="3:3" x14ac:dyDescent="0.25">
      <c r="C66" s="39"/>
    </row>
    <row r="67" spans="3:3" x14ac:dyDescent="0.25">
      <c r="C67" s="39"/>
    </row>
    <row r="68" spans="3:3" x14ac:dyDescent="0.25">
      <c r="C68" s="39"/>
    </row>
    <row r="69" spans="3:3" x14ac:dyDescent="0.25">
      <c r="C69" s="39"/>
    </row>
    <row r="70" spans="3:3" x14ac:dyDescent="0.25">
      <c r="C70" s="39"/>
    </row>
    <row r="71" spans="3:3" x14ac:dyDescent="0.25">
      <c r="C71" s="39"/>
    </row>
    <row r="72" spans="3:3" x14ac:dyDescent="0.25">
      <c r="C72" s="39"/>
    </row>
    <row r="73" spans="3:3" x14ac:dyDescent="0.25">
      <c r="C73" s="39"/>
    </row>
    <row r="74" spans="3:3" x14ac:dyDescent="0.25">
      <c r="C74" s="39"/>
    </row>
    <row r="75" spans="3:3" x14ac:dyDescent="0.25">
      <c r="C75" s="39"/>
    </row>
    <row r="76" spans="3:3" x14ac:dyDescent="0.25">
      <c r="C76" s="39"/>
    </row>
    <row r="77" spans="3:3" x14ac:dyDescent="0.25">
      <c r="C77" s="39"/>
    </row>
    <row r="78" spans="3:3" x14ac:dyDescent="0.25">
      <c r="C78" s="39"/>
    </row>
    <row r="79" spans="3:3" x14ac:dyDescent="0.25">
      <c r="C79" s="39"/>
    </row>
    <row r="80" spans="3:3" x14ac:dyDescent="0.25">
      <c r="C80" s="39"/>
    </row>
    <row r="81" spans="3:3" x14ac:dyDescent="0.25">
      <c r="C81" s="39"/>
    </row>
    <row r="82" spans="3:3" x14ac:dyDescent="0.25">
      <c r="C82" s="39"/>
    </row>
    <row r="83" spans="3:3" x14ac:dyDescent="0.25">
      <c r="C83" s="39"/>
    </row>
    <row r="84" spans="3:3" x14ac:dyDescent="0.25">
      <c r="C84" s="39"/>
    </row>
    <row r="85" spans="3:3" x14ac:dyDescent="0.25">
      <c r="C85" s="39"/>
    </row>
    <row r="86" spans="3:3" x14ac:dyDescent="0.25">
      <c r="C86" s="39"/>
    </row>
    <row r="87" spans="3:3" x14ac:dyDescent="0.25">
      <c r="C87" s="39"/>
    </row>
    <row r="88" spans="3:3" x14ac:dyDescent="0.25">
      <c r="C88" s="39"/>
    </row>
    <row r="89" spans="3:3" x14ac:dyDescent="0.25">
      <c r="C89" s="39"/>
    </row>
    <row r="90" spans="3:3" x14ac:dyDescent="0.25">
      <c r="C90" s="39"/>
    </row>
    <row r="91" spans="3:3" x14ac:dyDescent="0.25">
      <c r="C91" s="39"/>
    </row>
    <row r="92" spans="3:3" x14ac:dyDescent="0.25">
      <c r="C92" s="39"/>
    </row>
    <row r="93" spans="3:3" x14ac:dyDescent="0.25">
      <c r="C93" s="39"/>
    </row>
    <row r="94" spans="3:3" x14ac:dyDescent="0.25">
      <c r="C94" s="39"/>
    </row>
    <row r="95" spans="3:3" x14ac:dyDescent="0.25">
      <c r="C95" s="39"/>
    </row>
    <row r="96" spans="3:3" x14ac:dyDescent="0.25">
      <c r="C96" s="39"/>
    </row>
    <row r="97" spans="3:3" x14ac:dyDescent="0.25">
      <c r="C97" s="39"/>
    </row>
    <row r="98" spans="3:3" x14ac:dyDescent="0.25">
      <c r="C98" s="39"/>
    </row>
    <row r="99" spans="3:3" x14ac:dyDescent="0.25">
      <c r="C99" s="39"/>
    </row>
    <row r="100" spans="3:3" x14ac:dyDescent="0.25">
      <c r="C100" s="39"/>
    </row>
    <row r="101" spans="3:3" x14ac:dyDescent="0.25">
      <c r="C101" s="39"/>
    </row>
    <row r="102" spans="3:3" x14ac:dyDescent="0.25">
      <c r="C102" s="39"/>
    </row>
    <row r="103" spans="3:3" x14ac:dyDescent="0.25">
      <c r="C103" s="39"/>
    </row>
    <row r="104" spans="3:3" x14ac:dyDescent="0.25">
      <c r="C104" s="39"/>
    </row>
    <row r="105" spans="3:3" x14ac:dyDescent="0.25">
      <c r="C105" s="39"/>
    </row>
    <row r="106" spans="3:3" x14ac:dyDescent="0.25">
      <c r="C106" s="39"/>
    </row>
    <row r="107" spans="3:3" x14ac:dyDescent="0.25">
      <c r="C107" s="39"/>
    </row>
    <row r="108" spans="3:3" x14ac:dyDescent="0.25">
      <c r="C108" s="39"/>
    </row>
    <row r="109" spans="3:3" x14ac:dyDescent="0.25">
      <c r="C109" s="39"/>
    </row>
    <row r="110" spans="3:3" x14ac:dyDescent="0.25">
      <c r="C110" s="39"/>
    </row>
    <row r="111" spans="3:3" x14ac:dyDescent="0.25">
      <c r="C111" s="39"/>
    </row>
    <row r="112" spans="3:3" x14ac:dyDescent="0.25">
      <c r="C112" s="39"/>
    </row>
    <row r="113" spans="3:3" x14ac:dyDescent="0.25">
      <c r="C113" s="39"/>
    </row>
    <row r="114" spans="3:3" x14ac:dyDescent="0.25">
      <c r="C114" s="39"/>
    </row>
    <row r="115" spans="3:3" x14ac:dyDescent="0.25">
      <c r="C115" s="39"/>
    </row>
    <row r="116" spans="3:3" x14ac:dyDescent="0.25">
      <c r="C116" s="39"/>
    </row>
    <row r="117" spans="3:3" x14ac:dyDescent="0.25">
      <c r="C117" s="39"/>
    </row>
    <row r="118" spans="3:3" x14ac:dyDescent="0.25">
      <c r="C118" s="39"/>
    </row>
    <row r="119" spans="3:3" x14ac:dyDescent="0.25">
      <c r="C119" s="39"/>
    </row>
    <row r="120" spans="3:3" x14ac:dyDescent="0.25">
      <c r="C120" s="39"/>
    </row>
    <row r="121" spans="3:3" x14ac:dyDescent="0.25">
      <c r="C121" s="39"/>
    </row>
    <row r="122" spans="3:3" x14ac:dyDescent="0.25">
      <c r="C122" s="39"/>
    </row>
    <row r="123" spans="3:3" x14ac:dyDescent="0.25">
      <c r="C123" s="39"/>
    </row>
    <row r="124" spans="3:3" x14ac:dyDescent="0.25">
      <c r="C124" s="39"/>
    </row>
    <row r="125" spans="3:3" x14ac:dyDescent="0.25">
      <c r="C125" s="39"/>
    </row>
    <row r="126" spans="3:3" x14ac:dyDescent="0.25">
      <c r="C126" s="39"/>
    </row>
    <row r="127" spans="3:3" x14ac:dyDescent="0.25">
      <c r="C127" s="39"/>
    </row>
    <row r="128" spans="3:3" x14ac:dyDescent="0.25">
      <c r="C128" s="39"/>
    </row>
    <row r="129" spans="3:3" x14ac:dyDescent="0.25">
      <c r="C129" s="39"/>
    </row>
    <row r="130" spans="3:3" x14ac:dyDescent="0.25">
      <c r="C130" s="39"/>
    </row>
    <row r="131" spans="3:3" x14ac:dyDescent="0.25">
      <c r="C131" s="39"/>
    </row>
    <row r="132" spans="3:3" x14ac:dyDescent="0.25">
      <c r="C132" s="39"/>
    </row>
    <row r="133" spans="3:3" x14ac:dyDescent="0.25">
      <c r="C133" s="39"/>
    </row>
    <row r="134" spans="3:3" x14ac:dyDescent="0.25">
      <c r="C134" s="39"/>
    </row>
    <row r="135" spans="3:3" x14ac:dyDescent="0.25">
      <c r="C135" s="39"/>
    </row>
    <row r="136" spans="3:3" x14ac:dyDescent="0.25">
      <c r="C136" s="39"/>
    </row>
    <row r="137" spans="3:3" x14ac:dyDescent="0.25">
      <c r="C137" s="39"/>
    </row>
    <row r="138" spans="3:3" x14ac:dyDescent="0.25">
      <c r="C138" s="39"/>
    </row>
    <row r="139" spans="3:3" x14ac:dyDescent="0.25">
      <c r="C139" s="39"/>
    </row>
    <row r="140" spans="3:3" x14ac:dyDescent="0.25">
      <c r="C140" s="39"/>
    </row>
    <row r="141" spans="3:3" x14ac:dyDescent="0.25">
      <c r="C141" s="39"/>
    </row>
    <row r="142" spans="3:3" x14ac:dyDescent="0.25">
      <c r="C142" s="39"/>
    </row>
    <row r="143" spans="3:3" x14ac:dyDescent="0.25">
      <c r="C143" s="39"/>
    </row>
    <row r="144" spans="3:3" x14ac:dyDescent="0.25">
      <c r="C144" s="39"/>
    </row>
    <row r="145" spans="3:3" x14ac:dyDescent="0.25">
      <c r="C145" s="39"/>
    </row>
    <row r="146" spans="3:3" x14ac:dyDescent="0.25">
      <c r="C146" s="39"/>
    </row>
    <row r="147" spans="3:3" x14ac:dyDescent="0.25">
      <c r="C147" s="39"/>
    </row>
    <row r="148" spans="3:3" x14ac:dyDescent="0.25">
      <c r="C148" s="39"/>
    </row>
    <row r="149" spans="3:3" x14ac:dyDescent="0.25">
      <c r="C149" s="39"/>
    </row>
    <row r="150" spans="3:3" x14ac:dyDescent="0.25">
      <c r="C150" s="39"/>
    </row>
    <row r="151" spans="3:3" x14ac:dyDescent="0.25">
      <c r="C151" s="39"/>
    </row>
    <row r="152" spans="3:3" x14ac:dyDescent="0.25">
      <c r="C152" s="39"/>
    </row>
    <row r="153" spans="3:3" x14ac:dyDescent="0.25">
      <c r="C153" s="39"/>
    </row>
    <row r="154" spans="3:3" x14ac:dyDescent="0.25">
      <c r="C154" s="39"/>
    </row>
    <row r="155" spans="3:3" x14ac:dyDescent="0.25">
      <c r="C155" s="39"/>
    </row>
    <row r="156" spans="3:3" x14ac:dyDescent="0.25">
      <c r="C156" s="39"/>
    </row>
    <row r="157" spans="3:3" x14ac:dyDescent="0.25">
      <c r="C157" s="39"/>
    </row>
    <row r="158" spans="3:3" x14ac:dyDescent="0.25">
      <c r="C158" s="39"/>
    </row>
    <row r="159" spans="3:3" x14ac:dyDescent="0.25">
      <c r="C159" s="39"/>
    </row>
    <row r="160" spans="3:3" x14ac:dyDescent="0.25">
      <c r="C160" s="39"/>
    </row>
    <row r="161" spans="3:3" x14ac:dyDescent="0.25">
      <c r="C161" s="39"/>
    </row>
    <row r="162" spans="3:3" x14ac:dyDescent="0.25">
      <c r="C162" s="39"/>
    </row>
    <row r="163" spans="3:3" x14ac:dyDescent="0.25">
      <c r="C163" s="39"/>
    </row>
    <row r="164" spans="3:3" x14ac:dyDescent="0.25">
      <c r="C164" s="39"/>
    </row>
    <row r="165" spans="3:3" x14ac:dyDescent="0.25">
      <c r="C165" s="39"/>
    </row>
    <row r="166" spans="3:3" x14ac:dyDescent="0.25">
      <c r="C166" s="39"/>
    </row>
    <row r="167" spans="3:3" x14ac:dyDescent="0.25">
      <c r="C167" s="39"/>
    </row>
    <row r="168" spans="3:3" x14ac:dyDescent="0.25">
      <c r="C168" s="39"/>
    </row>
    <row r="169" spans="3:3" x14ac:dyDescent="0.25">
      <c r="C169" s="39"/>
    </row>
    <row r="170" spans="3:3" x14ac:dyDescent="0.25">
      <c r="C170" s="39"/>
    </row>
    <row r="171" spans="3:3" x14ac:dyDescent="0.25">
      <c r="C171" s="39"/>
    </row>
    <row r="172" spans="3:3" x14ac:dyDescent="0.25">
      <c r="C172" s="39"/>
    </row>
    <row r="173" spans="3:3" x14ac:dyDescent="0.25">
      <c r="C173" s="39"/>
    </row>
    <row r="174" spans="3:3" x14ac:dyDescent="0.25">
      <c r="C174" s="39"/>
    </row>
    <row r="175" spans="3:3" x14ac:dyDescent="0.25">
      <c r="C175" s="39"/>
    </row>
    <row r="176" spans="3:3" x14ac:dyDescent="0.25">
      <c r="C176" s="39"/>
    </row>
    <row r="177" spans="3:3" x14ac:dyDescent="0.25">
      <c r="C177" s="39"/>
    </row>
    <row r="178" spans="3:3" x14ac:dyDescent="0.25">
      <c r="C178" s="39"/>
    </row>
    <row r="179" spans="3:3" x14ac:dyDescent="0.25">
      <c r="C179" s="39"/>
    </row>
    <row r="180" spans="3:3" x14ac:dyDescent="0.25">
      <c r="C180" s="39"/>
    </row>
    <row r="181" spans="3:3" x14ac:dyDescent="0.25">
      <c r="C181" s="39"/>
    </row>
    <row r="182" spans="3:3" x14ac:dyDescent="0.25">
      <c r="C182" s="39"/>
    </row>
    <row r="183" spans="3:3" x14ac:dyDescent="0.25">
      <c r="C183" s="39"/>
    </row>
    <row r="184" spans="3:3" x14ac:dyDescent="0.25">
      <c r="C184" s="39"/>
    </row>
    <row r="185" spans="3:3" x14ac:dyDescent="0.25">
      <c r="C185" s="39"/>
    </row>
    <row r="186" spans="3:3" x14ac:dyDescent="0.25">
      <c r="C186" s="39"/>
    </row>
    <row r="187" spans="3:3" x14ac:dyDescent="0.25">
      <c r="C187" s="39"/>
    </row>
    <row r="188" spans="3:3" x14ac:dyDescent="0.25">
      <c r="C188" s="39"/>
    </row>
    <row r="189" spans="3:3" x14ac:dyDescent="0.25">
      <c r="C189" s="39"/>
    </row>
    <row r="190" spans="3:3" x14ac:dyDescent="0.25">
      <c r="C190" s="39"/>
    </row>
    <row r="191" spans="3:3" x14ac:dyDescent="0.25">
      <c r="C191" s="39"/>
    </row>
    <row r="192" spans="3:3" x14ac:dyDescent="0.25">
      <c r="C192" s="39"/>
    </row>
    <row r="193" spans="3:3" x14ac:dyDescent="0.25">
      <c r="C193" s="39"/>
    </row>
    <row r="194" spans="3:3" x14ac:dyDescent="0.25">
      <c r="C194" s="39"/>
    </row>
    <row r="195" spans="3:3" x14ac:dyDescent="0.25">
      <c r="C195" s="39"/>
    </row>
    <row r="196" spans="3:3" x14ac:dyDescent="0.25">
      <c r="C196" s="39"/>
    </row>
    <row r="197" spans="3:3" x14ac:dyDescent="0.25">
      <c r="C197" s="39"/>
    </row>
    <row r="198" spans="3:3" x14ac:dyDescent="0.25">
      <c r="C198" s="39"/>
    </row>
    <row r="199" spans="3:3" x14ac:dyDescent="0.25">
      <c r="C199" s="39"/>
    </row>
    <row r="200" spans="3:3" x14ac:dyDescent="0.25">
      <c r="C200" s="39"/>
    </row>
    <row r="201" spans="3:3" x14ac:dyDescent="0.25">
      <c r="C201" s="39"/>
    </row>
    <row r="202" spans="3:3" x14ac:dyDescent="0.25">
      <c r="C202" s="39"/>
    </row>
    <row r="203" spans="3:3" x14ac:dyDescent="0.25">
      <c r="C203" s="39"/>
    </row>
    <row r="204" spans="3:3" x14ac:dyDescent="0.25">
      <c r="C204" s="39"/>
    </row>
    <row r="205" spans="3:3" x14ac:dyDescent="0.25">
      <c r="C205" s="39"/>
    </row>
    <row r="206" spans="3:3" x14ac:dyDescent="0.25">
      <c r="C206" s="39"/>
    </row>
    <row r="207" spans="3:3" x14ac:dyDescent="0.25">
      <c r="C207" s="39"/>
    </row>
    <row r="208" spans="3:3" x14ac:dyDescent="0.25">
      <c r="C208" s="39"/>
    </row>
    <row r="209" spans="3:3" x14ac:dyDescent="0.25">
      <c r="C209" s="39"/>
    </row>
    <row r="210" spans="3:3" x14ac:dyDescent="0.25">
      <c r="C210" s="39"/>
    </row>
    <row r="211" spans="3:3" x14ac:dyDescent="0.25">
      <c r="C211" s="39"/>
    </row>
    <row r="212" spans="3:3" x14ac:dyDescent="0.25">
      <c r="C212" s="39"/>
    </row>
    <row r="213" spans="3:3" x14ac:dyDescent="0.25">
      <c r="C213" s="39"/>
    </row>
    <row r="214" spans="3:3" x14ac:dyDescent="0.25">
      <c r="C214" s="39"/>
    </row>
    <row r="215" spans="3:3" x14ac:dyDescent="0.25">
      <c r="C215" s="39"/>
    </row>
    <row r="216" spans="3:3" x14ac:dyDescent="0.25">
      <c r="C216" s="39"/>
    </row>
    <row r="217" spans="3:3" x14ac:dyDescent="0.25">
      <c r="C217" s="39"/>
    </row>
    <row r="218" spans="3:3" x14ac:dyDescent="0.25">
      <c r="C218" s="39"/>
    </row>
    <row r="219" spans="3:3" x14ac:dyDescent="0.25">
      <c r="C219" s="39"/>
    </row>
    <row r="220" spans="3:3" x14ac:dyDescent="0.25">
      <c r="C220" s="39"/>
    </row>
    <row r="221" spans="3:3" x14ac:dyDescent="0.25">
      <c r="C221" s="39"/>
    </row>
    <row r="222" spans="3:3" x14ac:dyDescent="0.25">
      <c r="C222" s="39"/>
    </row>
    <row r="223" spans="3:3" x14ac:dyDescent="0.25">
      <c r="C223" s="39"/>
    </row>
    <row r="224" spans="3:3" x14ac:dyDescent="0.25">
      <c r="C224" s="39"/>
    </row>
    <row r="225" spans="3:3" x14ac:dyDescent="0.25">
      <c r="C225" s="39"/>
    </row>
    <row r="226" spans="3:3" x14ac:dyDescent="0.25">
      <c r="C226" s="39"/>
    </row>
    <row r="227" spans="3:3" x14ac:dyDescent="0.25">
      <c r="C227" s="39"/>
    </row>
    <row r="228" spans="3:3" x14ac:dyDescent="0.25">
      <c r="C228" s="39"/>
    </row>
    <row r="229" spans="3:3" x14ac:dyDescent="0.25">
      <c r="C229" s="39"/>
    </row>
    <row r="230" spans="3:3" x14ac:dyDescent="0.25">
      <c r="C230" s="39"/>
    </row>
    <row r="231" spans="3:3" x14ac:dyDescent="0.25">
      <c r="C231" s="39"/>
    </row>
    <row r="232" spans="3:3" x14ac:dyDescent="0.25">
      <c r="C232" s="39"/>
    </row>
    <row r="233" spans="3:3" x14ac:dyDescent="0.25">
      <c r="C233" s="39"/>
    </row>
    <row r="234" spans="3:3" x14ac:dyDescent="0.25">
      <c r="C234" s="39"/>
    </row>
    <row r="235" spans="3:3" x14ac:dyDescent="0.25">
      <c r="C235" s="39"/>
    </row>
    <row r="236" spans="3:3" x14ac:dyDescent="0.25">
      <c r="C236" s="39"/>
    </row>
    <row r="237" spans="3:3" x14ac:dyDescent="0.25">
      <c r="C237" s="39"/>
    </row>
    <row r="238" spans="3:3" x14ac:dyDescent="0.25">
      <c r="C238" s="39"/>
    </row>
    <row r="239" spans="3:3" x14ac:dyDescent="0.25">
      <c r="C239" s="39"/>
    </row>
    <row r="240" spans="3:3" x14ac:dyDescent="0.25">
      <c r="C240" s="39"/>
    </row>
    <row r="241" spans="3:3" x14ac:dyDescent="0.25">
      <c r="C241" s="39"/>
    </row>
    <row r="242" spans="3:3" x14ac:dyDescent="0.25">
      <c r="C242" s="39"/>
    </row>
    <row r="243" spans="3:3" x14ac:dyDescent="0.25">
      <c r="C243" s="39"/>
    </row>
    <row r="244" spans="3:3" x14ac:dyDescent="0.25">
      <c r="C244" s="39"/>
    </row>
    <row r="245" spans="3:3" x14ac:dyDescent="0.25">
      <c r="C245" s="39"/>
    </row>
    <row r="246" spans="3:3" x14ac:dyDescent="0.25">
      <c r="C246" s="39"/>
    </row>
    <row r="247" spans="3:3" x14ac:dyDescent="0.25">
      <c r="C247" s="39"/>
    </row>
    <row r="248" spans="3:3" x14ac:dyDescent="0.25">
      <c r="C248" s="39"/>
    </row>
    <row r="249" spans="3:3" x14ac:dyDescent="0.25">
      <c r="C249" s="39"/>
    </row>
    <row r="250" spans="3:3" x14ac:dyDescent="0.25">
      <c r="C250" s="39"/>
    </row>
    <row r="251" spans="3:3" x14ac:dyDescent="0.25">
      <c r="C251" s="39"/>
    </row>
    <row r="252" spans="3:3" x14ac:dyDescent="0.25">
      <c r="C252" s="39"/>
    </row>
    <row r="253" spans="3:3" x14ac:dyDescent="0.25">
      <c r="C253" s="39"/>
    </row>
    <row r="254" spans="3:3" x14ac:dyDescent="0.25">
      <c r="C254" s="39"/>
    </row>
    <row r="255" spans="3:3" x14ac:dyDescent="0.25">
      <c r="C255" s="39"/>
    </row>
    <row r="256" spans="3:3" x14ac:dyDescent="0.25">
      <c r="C256" s="39"/>
    </row>
    <row r="257" spans="3:3" x14ac:dyDescent="0.25">
      <c r="C257" s="39"/>
    </row>
    <row r="258" spans="3:3" x14ac:dyDescent="0.25">
      <c r="C258" s="39"/>
    </row>
    <row r="259" spans="3:3" x14ac:dyDescent="0.25">
      <c r="C259" s="39"/>
    </row>
    <row r="260" spans="3:3" x14ac:dyDescent="0.25">
      <c r="C260" s="39"/>
    </row>
    <row r="261" spans="3:3" x14ac:dyDescent="0.25">
      <c r="C261" s="39"/>
    </row>
    <row r="262" spans="3:3" x14ac:dyDescent="0.25">
      <c r="C262" s="39"/>
    </row>
    <row r="263" spans="3:3" x14ac:dyDescent="0.25">
      <c r="C263" s="39"/>
    </row>
    <row r="264" spans="3:3" x14ac:dyDescent="0.25">
      <c r="C264" s="39"/>
    </row>
    <row r="265" spans="3:3" x14ac:dyDescent="0.25">
      <c r="C265" s="39"/>
    </row>
    <row r="266" spans="3:3" x14ac:dyDescent="0.25">
      <c r="C266" s="39"/>
    </row>
    <row r="267" spans="3:3" x14ac:dyDescent="0.25">
      <c r="C267" s="39"/>
    </row>
    <row r="268" spans="3:3" x14ac:dyDescent="0.25">
      <c r="C268" s="39"/>
    </row>
    <row r="269" spans="3:3" x14ac:dyDescent="0.25">
      <c r="C269" s="39"/>
    </row>
    <row r="270" spans="3:3" x14ac:dyDescent="0.25">
      <c r="C270" s="39"/>
    </row>
    <row r="271" spans="3:3" x14ac:dyDescent="0.25">
      <c r="C271" s="39"/>
    </row>
    <row r="272" spans="3:3" x14ac:dyDescent="0.25">
      <c r="C272" s="39"/>
    </row>
    <row r="273" spans="3:3" x14ac:dyDescent="0.25">
      <c r="C273" s="39"/>
    </row>
    <row r="274" spans="3:3" x14ac:dyDescent="0.25">
      <c r="C274" s="39"/>
    </row>
    <row r="275" spans="3:3" x14ac:dyDescent="0.25">
      <c r="C275" s="39"/>
    </row>
    <row r="276" spans="3:3" x14ac:dyDescent="0.25">
      <c r="C276" s="39"/>
    </row>
    <row r="277" spans="3:3" x14ac:dyDescent="0.25">
      <c r="C277" s="39"/>
    </row>
    <row r="278" spans="3:3" x14ac:dyDescent="0.25">
      <c r="C278" s="39"/>
    </row>
    <row r="279" spans="3:3" x14ac:dyDescent="0.25">
      <c r="C279" s="39"/>
    </row>
    <row r="280" spans="3:3" x14ac:dyDescent="0.25">
      <c r="C280" s="39"/>
    </row>
    <row r="281" spans="3:3" x14ac:dyDescent="0.25">
      <c r="C281" s="39"/>
    </row>
    <row r="282" spans="3:3" x14ac:dyDescent="0.25">
      <c r="C282" s="39"/>
    </row>
    <row r="283" spans="3:3" x14ac:dyDescent="0.25">
      <c r="C283" s="39"/>
    </row>
    <row r="284" spans="3:3" x14ac:dyDescent="0.25">
      <c r="C284" s="39"/>
    </row>
    <row r="285" spans="3:3" x14ac:dyDescent="0.25">
      <c r="C285" s="39"/>
    </row>
    <row r="286" spans="3:3" x14ac:dyDescent="0.25">
      <c r="C286" s="39"/>
    </row>
    <row r="287" spans="3:3" x14ac:dyDescent="0.25">
      <c r="C287" s="39"/>
    </row>
    <row r="288" spans="3:3" x14ac:dyDescent="0.25">
      <c r="C288" s="39"/>
    </row>
    <row r="289" spans="3:3" x14ac:dyDescent="0.25">
      <c r="C289" s="39"/>
    </row>
    <row r="290" spans="3:3" x14ac:dyDescent="0.25">
      <c r="C290" s="39"/>
    </row>
    <row r="291" spans="3:3" x14ac:dyDescent="0.25">
      <c r="C291" s="39"/>
    </row>
    <row r="292" spans="3:3" x14ac:dyDescent="0.25">
      <c r="C292" s="39"/>
    </row>
    <row r="293" spans="3:3" x14ac:dyDescent="0.25">
      <c r="C293" s="39"/>
    </row>
    <row r="294" spans="3:3" x14ac:dyDescent="0.25">
      <c r="C294" s="39"/>
    </row>
    <row r="295" spans="3:3" x14ac:dyDescent="0.25">
      <c r="C295" s="39"/>
    </row>
    <row r="296" spans="3:3" x14ac:dyDescent="0.25">
      <c r="C296" s="39"/>
    </row>
    <row r="297" spans="3:3" x14ac:dyDescent="0.25">
      <c r="C297" s="39"/>
    </row>
    <row r="298" spans="3:3" x14ac:dyDescent="0.25">
      <c r="C298" s="39"/>
    </row>
    <row r="299" spans="3:3" x14ac:dyDescent="0.25">
      <c r="C299" s="39"/>
    </row>
    <row r="300" spans="3:3" x14ac:dyDescent="0.25">
      <c r="C300" s="39"/>
    </row>
    <row r="301" spans="3:3" x14ac:dyDescent="0.25">
      <c r="C301" s="39"/>
    </row>
    <row r="302" spans="3:3" x14ac:dyDescent="0.25">
      <c r="C302" s="39"/>
    </row>
    <row r="303" spans="3:3" x14ac:dyDescent="0.25">
      <c r="C303" s="39"/>
    </row>
    <row r="304" spans="3:3" x14ac:dyDescent="0.25">
      <c r="C304" s="39"/>
    </row>
    <row r="305" spans="3:3" x14ac:dyDescent="0.25">
      <c r="C305" s="39"/>
    </row>
    <row r="306" spans="3:3" x14ac:dyDescent="0.25">
      <c r="C306" s="39"/>
    </row>
    <row r="307" spans="3:3" x14ac:dyDescent="0.25">
      <c r="C307" s="39"/>
    </row>
    <row r="308" spans="3:3" x14ac:dyDescent="0.25">
      <c r="C308" s="39"/>
    </row>
    <row r="309" spans="3:3" x14ac:dyDescent="0.25">
      <c r="C309" s="39"/>
    </row>
    <row r="310" spans="3:3" x14ac:dyDescent="0.25">
      <c r="C310" s="39"/>
    </row>
    <row r="311" spans="3:3" x14ac:dyDescent="0.25">
      <c r="C311" s="39"/>
    </row>
    <row r="312" spans="3:3" x14ac:dyDescent="0.25">
      <c r="C312" s="39"/>
    </row>
    <row r="313" spans="3:3" x14ac:dyDescent="0.25">
      <c r="C313" s="39"/>
    </row>
    <row r="314" spans="3:3" x14ac:dyDescent="0.25">
      <c r="C314" s="39"/>
    </row>
    <row r="315" spans="3:3" x14ac:dyDescent="0.25">
      <c r="C315" s="39"/>
    </row>
    <row r="316" spans="3:3" x14ac:dyDescent="0.25">
      <c r="C316" s="39"/>
    </row>
    <row r="317" spans="3:3" x14ac:dyDescent="0.25">
      <c r="C317" s="39"/>
    </row>
    <row r="318" spans="3:3" x14ac:dyDescent="0.25">
      <c r="C318" s="39"/>
    </row>
    <row r="319" spans="3:3" x14ac:dyDescent="0.25">
      <c r="C319" s="39"/>
    </row>
    <row r="320" spans="3:3" x14ac:dyDescent="0.25">
      <c r="C320" s="39"/>
    </row>
    <row r="321" spans="3:3" x14ac:dyDescent="0.25">
      <c r="C321" s="39"/>
    </row>
    <row r="322" spans="3:3" x14ac:dyDescent="0.25">
      <c r="C322" s="39"/>
    </row>
    <row r="323" spans="3:3" x14ac:dyDescent="0.25">
      <c r="C323" s="39"/>
    </row>
    <row r="324" spans="3:3" x14ac:dyDescent="0.25">
      <c r="C324" s="39"/>
    </row>
    <row r="325" spans="3:3" x14ac:dyDescent="0.25">
      <c r="C325" s="39"/>
    </row>
    <row r="326" spans="3:3" x14ac:dyDescent="0.25">
      <c r="C326" s="39"/>
    </row>
    <row r="327" spans="3:3" x14ac:dyDescent="0.25">
      <c r="C327" s="39"/>
    </row>
    <row r="328" spans="3:3" x14ac:dyDescent="0.25">
      <c r="C328" s="39"/>
    </row>
    <row r="329" spans="3:3" x14ac:dyDescent="0.25">
      <c r="C329" s="39"/>
    </row>
    <row r="330" spans="3:3" x14ac:dyDescent="0.25">
      <c r="C330" s="39"/>
    </row>
    <row r="331" spans="3:3" x14ac:dyDescent="0.25">
      <c r="C331" s="39"/>
    </row>
    <row r="332" spans="3:3" x14ac:dyDescent="0.25">
      <c r="C332" s="39"/>
    </row>
    <row r="333" spans="3:3" x14ac:dyDescent="0.25">
      <c r="C333" s="39"/>
    </row>
    <row r="334" spans="3:3" x14ac:dyDescent="0.25">
      <c r="C334" s="39"/>
    </row>
    <row r="335" spans="3:3" x14ac:dyDescent="0.25">
      <c r="C335" s="39"/>
    </row>
    <row r="336" spans="3:3" x14ac:dyDescent="0.25">
      <c r="C336" s="39"/>
    </row>
    <row r="337" spans="3:3" x14ac:dyDescent="0.25">
      <c r="C337" s="39"/>
    </row>
    <row r="338" spans="3:3" x14ac:dyDescent="0.25">
      <c r="C338" s="39"/>
    </row>
    <row r="339" spans="3:3" x14ac:dyDescent="0.25">
      <c r="C339" s="39"/>
    </row>
    <row r="340" spans="3:3" x14ac:dyDescent="0.25">
      <c r="C340" s="39"/>
    </row>
    <row r="341" spans="3:3" x14ac:dyDescent="0.25">
      <c r="C341" s="39"/>
    </row>
    <row r="342" spans="3:3" x14ac:dyDescent="0.25">
      <c r="C342" s="39"/>
    </row>
    <row r="343" spans="3:3" x14ac:dyDescent="0.25">
      <c r="C343" s="39"/>
    </row>
    <row r="344" spans="3:3" x14ac:dyDescent="0.25">
      <c r="C344" s="39"/>
    </row>
    <row r="345" spans="3:3" x14ac:dyDescent="0.25">
      <c r="C345" s="39"/>
    </row>
    <row r="346" spans="3:3" x14ac:dyDescent="0.25">
      <c r="C346" s="39"/>
    </row>
    <row r="347" spans="3:3" x14ac:dyDescent="0.25">
      <c r="C347" s="39"/>
    </row>
    <row r="348" spans="3:3" x14ac:dyDescent="0.25">
      <c r="C348" s="39"/>
    </row>
    <row r="349" spans="3:3" x14ac:dyDescent="0.25">
      <c r="C349" s="39"/>
    </row>
    <row r="350" spans="3:3" x14ac:dyDescent="0.25">
      <c r="C350" s="39"/>
    </row>
    <row r="351" spans="3:3" x14ac:dyDescent="0.25">
      <c r="C351" s="39"/>
    </row>
    <row r="352" spans="3:3" x14ac:dyDescent="0.25">
      <c r="C352" s="39"/>
    </row>
    <row r="353" spans="3:3" x14ac:dyDescent="0.25">
      <c r="C353" s="39"/>
    </row>
    <row r="354" spans="3:3" x14ac:dyDescent="0.25">
      <c r="C354" s="39"/>
    </row>
    <row r="355" spans="3:3" x14ac:dyDescent="0.25">
      <c r="C355" s="39"/>
    </row>
    <row r="356" spans="3:3" x14ac:dyDescent="0.25">
      <c r="C356" s="39"/>
    </row>
    <row r="357" spans="3:3" x14ac:dyDescent="0.25">
      <c r="C357" s="39"/>
    </row>
    <row r="358" spans="3:3" x14ac:dyDescent="0.25">
      <c r="C358" s="39"/>
    </row>
    <row r="359" spans="3:3" x14ac:dyDescent="0.25">
      <c r="C359" s="39"/>
    </row>
    <row r="360" spans="3:3" x14ac:dyDescent="0.25">
      <c r="C360" s="39"/>
    </row>
    <row r="361" spans="3:3" x14ac:dyDescent="0.25">
      <c r="C361" s="39"/>
    </row>
    <row r="362" spans="3:3" x14ac:dyDescent="0.25">
      <c r="C362" s="39"/>
    </row>
    <row r="363" spans="3:3" x14ac:dyDescent="0.25">
      <c r="C363" s="39"/>
    </row>
    <row r="364" spans="3:3" x14ac:dyDescent="0.25">
      <c r="C364" s="39"/>
    </row>
    <row r="365" spans="3:3" x14ac:dyDescent="0.25">
      <c r="C365" s="39"/>
    </row>
    <row r="366" spans="3:3" x14ac:dyDescent="0.25">
      <c r="C366" s="39"/>
    </row>
    <row r="367" spans="3:3" x14ac:dyDescent="0.25">
      <c r="C367" s="39"/>
    </row>
    <row r="368" spans="3:3" x14ac:dyDescent="0.25">
      <c r="C368" s="39"/>
    </row>
    <row r="369" spans="3:3" x14ac:dyDescent="0.25">
      <c r="C369" s="39"/>
    </row>
    <row r="370" spans="3:3" x14ac:dyDescent="0.25">
      <c r="C370" s="39"/>
    </row>
    <row r="371" spans="3:3" x14ac:dyDescent="0.25">
      <c r="C371" s="39"/>
    </row>
    <row r="372" spans="3:3" x14ac:dyDescent="0.25">
      <c r="C372" s="39"/>
    </row>
    <row r="373" spans="3:3" x14ac:dyDescent="0.25">
      <c r="C373" s="39"/>
    </row>
    <row r="374" spans="3:3" x14ac:dyDescent="0.25">
      <c r="C374" s="39"/>
    </row>
    <row r="375" spans="3:3" x14ac:dyDescent="0.25">
      <c r="C375" s="39"/>
    </row>
    <row r="376" spans="3:3" x14ac:dyDescent="0.25">
      <c r="C376" s="39"/>
    </row>
    <row r="377" spans="3:3" x14ac:dyDescent="0.25">
      <c r="C377" s="39"/>
    </row>
    <row r="378" spans="3:3" x14ac:dyDescent="0.25">
      <c r="C378" s="39"/>
    </row>
    <row r="379" spans="3:3" x14ac:dyDescent="0.25">
      <c r="C379" s="39"/>
    </row>
    <row r="380" spans="3:3" x14ac:dyDescent="0.25">
      <c r="C380" s="39"/>
    </row>
    <row r="381" spans="3:3" x14ac:dyDescent="0.25">
      <c r="C381" s="39"/>
    </row>
    <row r="382" spans="3:3" x14ac:dyDescent="0.25">
      <c r="C382" s="39"/>
    </row>
    <row r="383" spans="3:3" x14ac:dyDescent="0.25">
      <c r="C383" s="39"/>
    </row>
    <row r="384" spans="3:3" x14ac:dyDescent="0.25">
      <c r="C384" s="39"/>
    </row>
    <row r="385" spans="3:3" x14ac:dyDescent="0.25">
      <c r="C385" s="39"/>
    </row>
    <row r="386" spans="3:3" x14ac:dyDescent="0.25">
      <c r="C386" s="39"/>
    </row>
    <row r="387" spans="3:3" x14ac:dyDescent="0.25">
      <c r="C387" s="39"/>
    </row>
    <row r="388" spans="3:3" x14ac:dyDescent="0.25">
      <c r="C388" s="39"/>
    </row>
    <row r="389" spans="3:3" x14ac:dyDescent="0.25">
      <c r="C389" s="39"/>
    </row>
    <row r="390" spans="3:3" x14ac:dyDescent="0.25">
      <c r="C390" s="39"/>
    </row>
    <row r="391" spans="3:3" x14ac:dyDescent="0.25">
      <c r="C391" s="39"/>
    </row>
    <row r="392" spans="3:3" x14ac:dyDescent="0.25">
      <c r="C392" s="39"/>
    </row>
    <row r="393" spans="3:3" x14ac:dyDescent="0.25">
      <c r="C393" s="39"/>
    </row>
    <row r="394" spans="3:3" x14ac:dyDescent="0.25">
      <c r="C394" s="39"/>
    </row>
    <row r="395" spans="3:3" x14ac:dyDescent="0.25">
      <c r="C395" s="39"/>
    </row>
    <row r="396" spans="3:3" x14ac:dyDescent="0.25">
      <c r="C396" s="38"/>
    </row>
    <row r="397" spans="3:3" x14ac:dyDescent="0.25">
      <c r="C397" s="38"/>
    </row>
    <row r="398" spans="3:3" x14ac:dyDescent="0.25">
      <c r="C398" s="38"/>
    </row>
    <row r="399" spans="3:3" x14ac:dyDescent="0.25">
      <c r="C399" s="38"/>
    </row>
    <row r="400" spans="3:3" x14ac:dyDescent="0.25">
      <c r="C400" s="38"/>
    </row>
    <row r="401" spans="3:3" x14ac:dyDescent="0.25">
      <c r="C401" s="38"/>
    </row>
    <row r="402" spans="3:3" x14ac:dyDescent="0.25">
      <c r="C402" s="38"/>
    </row>
    <row r="403" spans="3:3" x14ac:dyDescent="0.25">
      <c r="C403" s="38"/>
    </row>
    <row r="404" spans="3:3" x14ac:dyDescent="0.25">
      <c r="C404" s="38"/>
    </row>
    <row r="405" spans="3:3" x14ac:dyDescent="0.25">
      <c r="C405" s="38"/>
    </row>
    <row r="406" spans="3:3" x14ac:dyDescent="0.25">
      <c r="C406" s="38"/>
    </row>
    <row r="407" spans="3:3" x14ac:dyDescent="0.25">
      <c r="C407" s="38"/>
    </row>
    <row r="408" spans="3:3" x14ac:dyDescent="0.25">
      <c r="C408" s="38"/>
    </row>
    <row r="409" spans="3:3" x14ac:dyDescent="0.25">
      <c r="C409" s="38"/>
    </row>
    <row r="410" spans="3:3" x14ac:dyDescent="0.25">
      <c r="C410" s="38"/>
    </row>
    <row r="411" spans="3:3" x14ac:dyDescent="0.25">
      <c r="C411" s="38"/>
    </row>
    <row r="412" spans="3:3" x14ac:dyDescent="0.25">
      <c r="C412" s="38"/>
    </row>
    <row r="413" spans="3:3" x14ac:dyDescent="0.25">
      <c r="C413" s="38"/>
    </row>
    <row r="414" spans="3:3" x14ac:dyDescent="0.25">
      <c r="C414" s="38"/>
    </row>
    <row r="415" spans="3:3" x14ac:dyDescent="0.25">
      <c r="C415" s="38"/>
    </row>
    <row r="416" spans="3:3" x14ac:dyDescent="0.25">
      <c r="C416" s="38"/>
    </row>
    <row r="417" spans="3:3" x14ac:dyDescent="0.25">
      <c r="C417" s="38"/>
    </row>
    <row r="418" spans="3:3" x14ac:dyDescent="0.25">
      <c r="C418" s="38"/>
    </row>
    <row r="419" spans="3:3" x14ac:dyDescent="0.25">
      <c r="C419" s="38"/>
    </row>
    <row r="420" spans="3:3" x14ac:dyDescent="0.25">
      <c r="C420" s="38"/>
    </row>
    <row r="421" spans="3:3" x14ac:dyDescent="0.25">
      <c r="C421" s="38"/>
    </row>
    <row r="422" spans="3:3" x14ac:dyDescent="0.25">
      <c r="C422" s="38"/>
    </row>
    <row r="423" spans="3:3" x14ac:dyDescent="0.25">
      <c r="C423" s="38"/>
    </row>
    <row r="424" spans="3:3" x14ac:dyDescent="0.25">
      <c r="C424" s="38"/>
    </row>
    <row r="425" spans="3:3" x14ac:dyDescent="0.25">
      <c r="C425" s="38"/>
    </row>
    <row r="426" spans="3:3" x14ac:dyDescent="0.25">
      <c r="C426" s="38"/>
    </row>
    <row r="427" spans="3:3" x14ac:dyDescent="0.25">
      <c r="C427" s="38"/>
    </row>
    <row r="428" spans="3:3" x14ac:dyDescent="0.25">
      <c r="C428" s="38"/>
    </row>
    <row r="429" spans="3:3" x14ac:dyDescent="0.25">
      <c r="C429" s="38"/>
    </row>
    <row r="430" spans="3:3" x14ac:dyDescent="0.25">
      <c r="C430" s="38"/>
    </row>
    <row r="431" spans="3:3" x14ac:dyDescent="0.25">
      <c r="C431" s="38"/>
    </row>
    <row r="432" spans="3:3" x14ac:dyDescent="0.25">
      <c r="C432" s="38"/>
    </row>
    <row r="433" spans="3:3" x14ac:dyDescent="0.25">
      <c r="C433" s="38"/>
    </row>
    <row r="434" spans="3:3" x14ac:dyDescent="0.25">
      <c r="C434" s="38"/>
    </row>
    <row r="435" spans="3:3" x14ac:dyDescent="0.25">
      <c r="C435" s="38"/>
    </row>
    <row r="436" spans="3:3" x14ac:dyDescent="0.25">
      <c r="C436" s="38"/>
    </row>
    <row r="437" spans="3:3" x14ac:dyDescent="0.25">
      <c r="C437" s="38"/>
    </row>
    <row r="438" spans="3:3" x14ac:dyDescent="0.25">
      <c r="C438" s="38"/>
    </row>
    <row r="439" spans="3:3" x14ac:dyDescent="0.25">
      <c r="C439" s="38"/>
    </row>
    <row r="440" spans="3:3" x14ac:dyDescent="0.25">
      <c r="C440" s="38"/>
    </row>
    <row r="441" spans="3:3" x14ac:dyDescent="0.25">
      <c r="C441" s="38"/>
    </row>
    <row r="442" spans="3:3" x14ac:dyDescent="0.25">
      <c r="C442" s="38"/>
    </row>
    <row r="443" spans="3:3" x14ac:dyDescent="0.25">
      <c r="C443" s="38"/>
    </row>
    <row r="444" spans="3:3" x14ac:dyDescent="0.25">
      <c r="C444" s="38"/>
    </row>
    <row r="445" spans="3:3" x14ac:dyDescent="0.25">
      <c r="C445" s="38"/>
    </row>
    <row r="446" spans="3:3" x14ac:dyDescent="0.25">
      <c r="C446" s="38"/>
    </row>
    <row r="447" spans="3:3" x14ac:dyDescent="0.25">
      <c r="C447" s="38"/>
    </row>
    <row r="448" spans="3:3" x14ac:dyDescent="0.25">
      <c r="C448" s="38"/>
    </row>
    <row r="449" spans="3:3" x14ac:dyDescent="0.25">
      <c r="C449" s="38"/>
    </row>
    <row r="450" spans="3:3" x14ac:dyDescent="0.25">
      <c r="C450" s="38"/>
    </row>
    <row r="451" spans="3:3" x14ac:dyDescent="0.25">
      <c r="C451" s="38"/>
    </row>
    <row r="452" spans="3:3" x14ac:dyDescent="0.25">
      <c r="C452" s="38"/>
    </row>
    <row r="453" spans="3:3" x14ac:dyDescent="0.25">
      <c r="C453" s="38"/>
    </row>
    <row r="454" spans="3:3" x14ac:dyDescent="0.25">
      <c r="C454" s="38"/>
    </row>
    <row r="455" spans="3:3" x14ac:dyDescent="0.25">
      <c r="C455" s="38"/>
    </row>
    <row r="456" spans="3:3" x14ac:dyDescent="0.25">
      <c r="C456" s="38"/>
    </row>
    <row r="457" spans="3:3" x14ac:dyDescent="0.25">
      <c r="C457" s="38"/>
    </row>
    <row r="458" spans="3:3" x14ac:dyDescent="0.25">
      <c r="C458" s="38"/>
    </row>
    <row r="459" spans="3:3" x14ac:dyDescent="0.25">
      <c r="C459" s="38"/>
    </row>
    <row r="460" spans="3:3" x14ac:dyDescent="0.25">
      <c r="C460" s="38"/>
    </row>
    <row r="461" spans="3:3" x14ac:dyDescent="0.25">
      <c r="C461" s="38"/>
    </row>
    <row r="462" spans="3:3" x14ac:dyDescent="0.25">
      <c r="C462" s="38"/>
    </row>
    <row r="463" spans="3:3" x14ac:dyDescent="0.25">
      <c r="C463" s="38"/>
    </row>
    <row r="464" spans="3:3" x14ac:dyDescent="0.25">
      <c r="C464" s="38"/>
    </row>
    <row r="465" spans="3:3" x14ac:dyDescent="0.25">
      <c r="C465" s="38"/>
    </row>
    <row r="466" spans="3:3" x14ac:dyDescent="0.25">
      <c r="C466" s="38"/>
    </row>
    <row r="467" spans="3:3" x14ac:dyDescent="0.25">
      <c r="C467" s="38"/>
    </row>
    <row r="468" spans="3:3" x14ac:dyDescent="0.25">
      <c r="C468" s="38"/>
    </row>
    <row r="469" spans="3:3" x14ac:dyDescent="0.25">
      <c r="C469" s="38"/>
    </row>
    <row r="470" spans="3:3" x14ac:dyDescent="0.25">
      <c r="C470" s="38"/>
    </row>
    <row r="471" spans="3:3" x14ac:dyDescent="0.25">
      <c r="C471" s="38"/>
    </row>
    <row r="472" spans="3:3" x14ac:dyDescent="0.25">
      <c r="C472" s="38"/>
    </row>
    <row r="473" spans="3:3" x14ac:dyDescent="0.25">
      <c r="C473" s="38"/>
    </row>
    <row r="474" spans="3:3" x14ac:dyDescent="0.25">
      <c r="C474" s="38"/>
    </row>
    <row r="475" spans="3:3" x14ac:dyDescent="0.25">
      <c r="C475" s="38"/>
    </row>
    <row r="476" spans="3:3" x14ac:dyDescent="0.25">
      <c r="C476" s="38"/>
    </row>
    <row r="477" spans="3:3" x14ac:dyDescent="0.25">
      <c r="C477" s="38"/>
    </row>
    <row r="478" spans="3:3" x14ac:dyDescent="0.25">
      <c r="C478" s="38"/>
    </row>
    <row r="479" spans="3:3" x14ac:dyDescent="0.25">
      <c r="C479" s="38"/>
    </row>
    <row r="480" spans="3:3" x14ac:dyDescent="0.25">
      <c r="C480" s="38"/>
    </row>
    <row r="481" spans="3:3" x14ac:dyDescent="0.25">
      <c r="C481" s="38"/>
    </row>
    <row r="482" spans="3:3" x14ac:dyDescent="0.25">
      <c r="C482" s="38"/>
    </row>
    <row r="483" spans="3:3" x14ac:dyDescent="0.25">
      <c r="C483" s="38"/>
    </row>
    <row r="484" spans="3:3" x14ac:dyDescent="0.25">
      <c r="C484" s="38"/>
    </row>
    <row r="485" spans="3:3" x14ac:dyDescent="0.25">
      <c r="C485" s="38"/>
    </row>
    <row r="486" spans="3:3" x14ac:dyDescent="0.25">
      <c r="C486" s="38"/>
    </row>
    <row r="487" spans="3:3" x14ac:dyDescent="0.25">
      <c r="C487" s="38"/>
    </row>
    <row r="488" spans="3:3" x14ac:dyDescent="0.25">
      <c r="C488" s="38"/>
    </row>
    <row r="489" spans="3:3" x14ac:dyDescent="0.25">
      <c r="C489" s="38"/>
    </row>
    <row r="490" spans="3:3" x14ac:dyDescent="0.25">
      <c r="C490" s="38"/>
    </row>
    <row r="491" spans="3:3" x14ac:dyDescent="0.25">
      <c r="C491" s="38"/>
    </row>
    <row r="492" spans="3:3" x14ac:dyDescent="0.25">
      <c r="C492" s="38"/>
    </row>
    <row r="493" spans="3:3" x14ac:dyDescent="0.25">
      <c r="C493" s="38"/>
    </row>
    <row r="494" spans="3:3" x14ac:dyDescent="0.25">
      <c r="C494" s="38"/>
    </row>
    <row r="495" spans="3:3" x14ac:dyDescent="0.25">
      <c r="C495" s="38"/>
    </row>
    <row r="496" spans="3:3" x14ac:dyDescent="0.25">
      <c r="C496" s="38"/>
    </row>
    <row r="497" spans="3:3" x14ac:dyDescent="0.25">
      <c r="C497" s="38"/>
    </row>
    <row r="498" spans="3:3" x14ac:dyDescent="0.25">
      <c r="C498" s="38"/>
    </row>
    <row r="499" spans="3:3" x14ac:dyDescent="0.25">
      <c r="C499" s="38"/>
    </row>
    <row r="500" spans="3:3" x14ac:dyDescent="0.25">
      <c r="C500" s="38"/>
    </row>
    <row r="501" spans="3:3" x14ac:dyDescent="0.25">
      <c r="C501" s="38"/>
    </row>
    <row r="502" spans="3:3" x14ac:dyDescent="0.25">
      <c r="C502" s="38"/>
    </row>
    <row r="503" spans="3:3" x14ac:dyDescent="0.25">
      <c r="C503" s="38"/>
    </row>
    <row r="504" spans="3:3" x14ac:dyDescent="0.25">
      <c r="C504" s="38"/>
    </row>
    <row r="505" spans="3:3" x14ac:dyDescent="0.25">
      <c r="C505" s="38"/>
    </row>
    <row r="506" spans="3:3" x14ac:dyDescent="0.25">
      <c r="C506" s="38"/>
    </row>
    <row r="507" spans="3:3" x14ac:dyDescent="0.25">
      <c r="C507" s="38"/>
    </row>
    <row r="508" spans="3:3" x14ac:dyDescent="0.25">
      <c r="C508" s="38"/>
    </row>
    <row r="509" spans="3:3" x14ac:dyDescent="0.25">
      <c r="C509" s="38"/>
    </row>
    <row r="510" spans="3:3" x14ac:dyDescent="0.25">
      <c r="C510" s="38"/>
    </row>
    <row r="511" spans="3:3" x14ac:dyDescent="0.25">
      <c r="C511" s="38"/>
    </row>
    <row r="512" spans="3:3" x14ac:dyDescent="0.25">
      <c r="C512" s="38"/>
    </row>
    <row r="513" spans="3:3" x14ac:dyDescent="0.25">
      <c r="C513" s="38"/>
    </row>
    <row r="514" spans="3:3" x14ac:dyDescent="0.25">
      <c r="C514" s="38"/>
    </row>
    <row r="515" spans="3:3" x14ac:dyDescent="0.25">
      <c r="C515" s="38"/>
    </row>
    <row r="516" spans="3:3" x14ac:dyDescent="0.25">
      <c r="C516" s="38"/>
    </row>
    <row r="517" spans="3:3" x14ac:dyDescent="0.25">
      <c r="C517" s="38"/>
    </row>
    <row r="518" spans="3:3" x14ac:dyDescent="0.25">
      <c r="C518" s="38"/>
    </row>
    <row r="519" spans="3:3" x14ac:dyDescent="0.25">
      <c r="C519" s="38"/>
    </row>
    <row r="520" spans="3:3" x14ac:dyDescent="0.25">
      <c r="C520" s="38"/>
    </row>
    <row r="521" spans="3:3" x14ac:dyDescent="0.25">
      <c r="C521" s="38"/>
    </row>
    <row r="522" spans="3:3" x14ac:dyDescent="0.25">
      <c r="C522" s="38"/>
    </row>
    <row r="523" spans="3:3" x14ac:dyDescent="0.25">
      <c r="C523" s="38"/>
    </row>
    <row r="524" spans="3:3" x14ac:dyDescent="0.25">
      <c r="C524" s="38"/>
    </row>
    <row r="525" spans="3:3" x14ac:dyDescent="0.25">
      <c r="C525" s="38"/>
    </row>
    <row r="526" spans="3:3" x14ac:dyDescent="0.25">
      <c r="C526" s="38"/>
    </row>
    <row r="527" spans="3:3" x14ac:dyDescent="0.25">
      <c r="C527" s="38"/>
    </row>
    <row r="528" spans="3:3" x14ac:dyDescent="0.25">
      <c r="C528" s="38"/>
    </row>
    <row r="529" spans="3:3" x14ac:dyDescent="0.25">
      <c r="C529" s="38"/>
    </row>
    <row r="530" spans="3:3" x14ac:dyDescent="0.25">
      <c r="C530" s="38"/>
    </row>
    <row r="531" spans="3:3" x14ac:dyDescent="0.25">
      <c r="C531" s="38"/>
    </row>
    <row r="532" spans="3:3" x14ac:dyDescent="0.25">
      <c r="C532" s="38"/>
    </row>
    <row r="533" spans="3:3" x14ac:dyDescent="0.25">
      <c r="C533" s="38"/>
    </row>
    <row r="534" spans="3:3" x14ac:dyDescent="0.25">
      <c r="C534" s="38"/>
    </row>
    <row r="535" spans="3:3" x14ac:dyDescent="0.25">
      <c r="C535" s="38"/>
    </row>
    <row r="536" spans="3:3" x14ac:dyDescent="0.25">
      <c r="C536" s="38"/>
    </row>
    <row r="537" spans="3:3" x14ac:dyDescent="0.25">
      <c r="C537" s="38"/>
    </row>
    <row r="538" spans="3:3" x14ac:dyDescent="0.25">
      <c r="C538" s="38"/>
    </row>
    <row r="539" spans="3:3" x14ac:dyDescent="0.25">
      <c r="C539" s="38"/>
    </row>
    <row r="540" spans="3:3" x14ac:dyDescent="0.25">
      <c r="C540" s="38"/>
    </row>
    <row r="541" spans="3:3" x14ac:dyDescent="0.25">
      <c r="C541" s="38"/>
    </row>
    <row r="542" spans="3:3" x14ac:dyDescent="0.25">
      <c r="C542" s="38"/>
    </row>
    <row r="543" spans="3:3" x14ac:dyDescent="0.25">
      <c r="C543" s="38"/>
    </row>
    <row r="544" spans="3:3" x14ac:dyDescent="0.25">
      <c r="C544" s="38"/>
    </row>
    <row r="545" spans="3:3" x14ac:dyDescent="0.25">
      <c r="C545" s="38"/>
    </row>
    <row r="546" spans="3:3" x14ac:dyDescent="0.25">
      <c r="C546" s="38"/>
    </row>
    <row r="547" spans="3:3" x14ac:dyDescent="0.25">
      <c r="C547" s="38"/>
    </row>
    <row r="548" spans="3:3" x14ac:dyDescent="0.25">
      <c r="C548" s="38"/>
    </row>
    <row r="549" spans="3:3" x14ac:dyDescent="0.25">
      <c r="C549" s="38"/>
    </row>
    <row r="550" spans="3:3" x14ac:dyDescent="0.25">
      <c r="C550" s="38"/>
    </row>
    <row r="551" spans="3:3" x14ac:dyDescent="0.25">
      <c r="C551" s="38"/>
    </row>
    <row r="552" spans="3:3" x14ac:dyDescent="0.25">
      <c r="C552" s="38"/>
    </row>
    <row r="553" spans="3:3" x14ac:dyDescent="0.25">
      <c r="C553" s="38"/>
    </row>
    <row r="554" spans="3:3" x14ac:dyDescent="0.25">
      <c r="C554" s="38"/>
    </row>
    <row r="555" spans="3:3" x14ac:dyDescent="0.25">
      <c r="C555" s="38"/>
    </row>
    <row r="556" spans="3:3" x14ac:dyDescent="0.25">
      <c r="C556" s="38"/>
    </row>
    <row r="557" spans="3:3" x14ac:dyDescent="0.25">
      <c r="C557" s="38"/>
    </row>
    <row r="558" spans="3:3" x14ac:dyDescent="0.25">
      <c r="C558" s="38"/>
    </row>
    <row r="559" spans="3:3" x14ac:dyDescent="0.25">
      <c r="C559" s="38"/>
    </row>
    <row r="560" spans="3:3" x14ac:dyDescent="0.25">
      <c r="C560" s="38"/>
    </row>
    <row r="561" spans="3:3" x14ac:dyDescent="0.25">
      <c r="C561" s="38"/>
    </row>
    <row r="562" spans="3:3" x14ac:dyDescent="0.25">
      <c r="C562" s="38"/>
    </row>
    <row r="563" spans="3:3" x14ac:dyDescent="0.25">
      <c r="C563" s="38"/>
    </row>
    <row r="564" spans="3:3" x14ac:dyDescent="0.25">
      <c r="C564" s="38"/>
    </row>
    <row r="565" spans="3:3" x14ac:dyDescent="0.25">
      <c r="C565" s="38"/>
    </row>
    <row r="566" spans="3:3" x14ac:dyDescent="0.25">
      <c r="C566" s="38"/>
    </row>
    <row r="567" spans="3:3" x14ac:dyDescent="0.25">
      <c r="C567" s="38"/>
    </row>
    <row r="568" spans="3:3" x14ac:dyDescent="0.25">
      <c r="C568" s="38"/>
    </row>
    <row r="569" spans="3:3" x14ac:dyDescent="0.25">
      <c r="C569" s="38"/>
    </row>
    <row r="570" spans="3:3" x14ac:dyDescent="0.25">
      <c r="C570" s="38"/>
    </row>
    <row r="571" spans="3:3" x14ac:dyDescent="0.25">
      <c r="C571" s="38"/>
    </row>
    <row r="572" spans="3:3" x14ac:dyDescent="0.25">
      <c r="C572" s="38"/>
    </row>
    <row r="573" spans="3:3" x14ac:dyDescent="0.25">
      <c r="C573" s="38"/>
    </row>
    <row r="574" spans="3:3" x14ac:dyDescent="0.25">
      <c r="C574" s="38"/>
    </row>
    <row r="575" spans="3:3" x14ac:dyDescent="0.25">
      <c r="C575" s="38"/>
    </row>
    <row r="576" spans="3:3" x14ac:dyDescent="0.25">
      <c r="C576" s="38"/>
    </row>
    <row r="577" spans="3:3" x14ac:dyDescent="0.25">
      <c r="C577" s="38"/>
    </row>
    <row r="578" spans="3:3" x14ac:dyDescent="0.25">
      <c r="C578" s="38"/>
    </row>
    <row r="579" spans="3:3" x14ac:dyDescent="0.25">
      <c r="C579" s="38"/>
    </row>
    <row r="580" spans="3:3" x14ac:dyDescent="0.25">
      <c r="C580" s="38"/>
    </row>
    <row r="581" spans="3:3" x14ac:dyDescent="0.25">
      <c r="C581" s="38"/>
    </row>
    <row r="582" spans="3:3" x14ac:dyDescent="0.25">
      <c r="C582" s="38"/>
    </row>
    <row r="583" spans="3:3" x14ac:dyDescent="0.25">
      <c r="C583" s="38"/>
    </row>
    <row r="584" spans="3:3" x14ac:dyDescent="0.25">
      <c r="C584" s="38"/>
    </row>
    <row r="585" spans="3:3" x14ac:dyDescent="0.25">
      <c r="C585" s="38"/>
    </row>
    <row r="586" spans="3:3" x14ac:dyDescent="0.25">
      <c r="C586" s="38"/>
    </row>
    <row r="587" spans="3:3" x14ac:dyDescent="0.25">
      <c r="C587" s="38"/>
    </row>
    <row r="588" spans="3:3" x14ac:dyDescent="0.25">
      <c r="C588" s="38"/>
    </row>
    <row r="589" spans="3:3" x14ac:dyDescent="0.25">
      <c r="C589" s="38"/>
    </row>
    <row r="590" spans="3:3" x14ac:dyDescent="0.25">
      <c r="C590" s="38"/>
    </row>
    <row r="591" spans="3:3" x14ac:dyDescent="0.25">
      <c r="C591" s="38"/>
    </row>
    <row r="592" spans="3:3" x14ac:dyDescent="0.25">
      <c r="C592" s="38"/>
    </row>
    <row r="593" spans="3:3" x14ac:dyDescent="0.25">
      <c r="C593" s="38"/>
    </row>
    <row r="594" spans="3:3" x14ac:dyDescent="0.25">
      <c r="C594" s="38"/>
    </row>
    <row r="595" spans="3:3" x14ac:dyDescent="0.25">
      <c r="C595" s="38"/>
    </row>
    <row r="596" spans="3:3" x14ac:dyDescent="0.25">
      <c r="C596" s="38"/>
    </row>
    <row r="597" spans="3:3" x14ac:dyDescent="0.25">
      <c r="C597" s="38"/>
    </row>
    <row r="598" spans="3:3" x14ac:dyDescent="0.25">
      <c r="C598" s="38"/>
    </row>
    <row r="599" spans="3:3" x14ac:dyDescent="0.25">
      <c r="C599" s="38"/>
    </row>
    <row r="600" spans="3:3" x14ac:dyDescent="0.25">
      <c r="C600" s="38"/>
    </row>
    <row r="601" spans="3:3" x14ac:dyDescent="0.25">
      <c r="C601" s="38"/>
    </row>
    <row r="602" spans="3:3" x14ac:dyDescent="0.25">
      <c r="C602" s="38"/>
    </row>
    <row r="603" spans="3:3" x14ac:dyDescent="0.25">
      <c r="C603" s="38"/>
    </row>
    <row r="604" spans="3:3" x14ac:dyDescent="0.25">
      <c r="C604" s="38"/>
    </row>
    <row r="605" spans="3:3" x14ac:dyDescent="0.25">
      <c r="C605" s="38"/>
    </row>
    <row r="606" spans="3:3" x14ac:dyDescent="0.25">
      <c r="C606" s="38"/>
    </row>
    <row r="607" spans="3:3" x14ac:dyDescent="0.25">
      <c r="C607" s="38"/>
    </row>
    <row r="608" spans="3:3" x14ac:dyDescent="0.25">
      <c r="C608" s="38"/>
    </row>
    <row r="609" spans="3:3" x14ac:dyDescent="0.25">
      <c r="C609" s="38"/>
    </row>
    <row r="610" spans="3:3" x14ac:dyDescent="0.25">
      <c r="C610" s="38"/>
    </row>
    <row r="611" spans="3:3" x14ac:dyDescent="0.25">
      <c r="C611" s="38"/>
    </row>
    <row r="612" spans="3:3" x14ac:dyDescent="0.25">
      <c r="C612" s="38"/>
    </row>
    <row r="613" spans="3:3" x14ac:dyDescent="0.25">
      <c r="C613" s="38"/>
    </row>
    <row r="614" spans="3:3" x14ac:dyDescent="0.25">
      <c r="C614" s="38"/>
    </row>
    <row r="615" spans="3:3" x14ac:dyDescent="0.25">
      <c r="C615" s="38"/>
    </row>
    <row r="616" spans="3:3" x14ac:dyDescent="0.25">
      <c r="C616" s="38"/>
    </row>
    <row r="617" spans="3:3" x14ac:dyDescent="0.25">
      <c r="C617" s="38"/>
    </row>
    <row r="618" spans="3:3" x14ac:dyDescent="0.25">
      <c r="C618" s="38"/>
    </row>
    <row r="619" spans="3:3" x14ac:dyDescent="0.25">
      <c r="C619" s="38"/>
    </row>
    <row r="620" spans="3:3" x14ac:dyDescent="0.25">
      <c r="C620" s="38"/>
    </row>
    <row r="621" spans="3:3" x14ac:dyDescent="0.25">
      <c r="C621" s="38"/>
    </row>
    <row r="622" spans="3:3" x14ac:dyDescent="0.25">
      <c r="C622" s="38"/>
    </row>
    <row r="623" spans="3:3" x14ac:dyDescent="0.25">
      <c r="C623" s="38"/>
    </row>
    <row r="624" spans="3:3" x14ac:dyDescent="0.25">
      <c r="C624" s="38"/>
    </row>
    <row r="625" spans="3:3" x14ac:dyDescent="0.25">
      <c r="C625" s="38"/>
    </row>
    <row r="626" spans="3:3" x14ac:dyDescent="0.25">
      <c r="C626" s="38"/>
    </row>
    <row r="627" spans="3:3" x14ac:dyDescent="0.25">
      <c r="C627" s="38"/>
    </row>
    <row r="628" spans="3:3" x14ac:dyDescent="0.25">
      <c r="C628" s="38"/>
    </row>
    <row r="629" spans="3:3" x14ac:dyDescent="0.25">
      <c r="C629" s="38"/>
    </row>
    <row r="630" spans="3:3" x14ac:dyDescent="0.25">
      <c r="C630" s="38"/>
    </row>
    <row r="631" spans="3:3" x14ac:dyDescent="0.25">
      <c r="C631" s="38"/>
    </row>
    <row r="632" spans="3:3" x14ac:dyDescent="0.25">
      <c r="C632" s="38"/>
    </row>
    <row r="633" spans="3:3" x14ac:dyDescent="0.25">
      <c r="C633" s="38"/>
    </row>
    <row r="634" spans="3:3" x14ac:dyDescent="0.25">
      <c r="C634" s="38"/>
    </row>
    <row r="635" spans="3:3" x14ac:dyDescent="0.25">
      <c r="C635" s="38"/>
    </row>
    <row r="636" spans="3:3" x14ac:dyDescent="0.25">
      <c r="C636" s="38"/>
    </row>
    <row r="637" spans="3:3" x14ac:dyDescent="0.25">
      <c r="C637" s="38"/>
    </row>
    <row r="638" spans="3:3" x14ac:dyDescent="0.25">
      <c r="C638" s="38"/>
    </row>
    <row r="639" spans="3:3" x14ac:dyDescent="0.25">
      <c r="C639" s="38"/>
    </row>
    <row r="640" spans="3:3" x14ac:dyDescent="0.25">
      <c r="C640" s="38"/>
    </row>
    <row r="641" spans="3:3" x14ac:dyDescent="0.25">
      <c r="C641" s="38"/>
    </row>
    <row r="642" spans="3:3" x14ac:dyDescent="0.25">
      <c r="C642" s="38"/>
    </row>
    <row r="643" spans="3:3" x14ac:dyDescent="0.25">
      <c r="C643" s="38"/>
    </row>
    <row r="644" spans="3:3" x14ac:dyDescent="0.25">
      <c r="C644" s="38"/>
    </row>
    <row r="645" spans="3:3" x14ac:dyDescent="0.25">
      <c r="C645" s="38"/>
    </row>
    <row r="646" spans="3:3" x14ac:dyDescent="0.25">
      <c r="C646" s="38"/>
    </row>
    <row r="647" spans="3:3" x14ac:dyDescent="0.25">
      <c r="C647" s="38"/>
    </row>
    <row r="648" spans="3:3" x14ac:dyDescent="0.25">
      <c r="C648" s="38"/>
    </row>
    <row r="649" spans="3:3" x14ac:dyDescent="0.25">
      <c r="C649" s="38"/>
    </row>
    <row r="650" spans="3:3" x14ac:dyDescent="0.25">
      <c r="C650" s="38"/>
    </row>
    <row r="651" spans="3:3" x14ac:dyDescent="0.25">
      <c r="C651" s="38"/>
    </row>
  </sheetData>
  <conditionalFormatting sqref="L13">
    <cfRule type="containsText" dxfId="2669" priority="154" operator="containsText" text="FAIL">
      <formula>NOT(ISERROR(SEARCH("FAIL",L13)))</formula>
    </cfRule>
  </conditionalFormatting>
  <conditionalFormatting sqref="L13">
    <cfRule type="containsText" dxfId="2668" priority="153" operator="containsText" text="GOOD">
      <formula>NOT(ISERROR(SEARCH("GOOD",L13)))</formula>
    </cfRule>
  </conditionalFormatting>
  <conditionalFormatting sqref="L13">
    <cfRule type="containsText" dxfId="2667" priority="132" operator="containsText" text="FAIL">
      <formula>NOT(ISERROR(SEARCH("FAIL",L13)))</formula>
    </cfRule>
  </conditionalFormatting>
  <conditionalFormatting sqref="L13">
    <cfRule type="containsText" dxfId="2666" priority="131" operator="containsText" text="GOOD">
      <formula>NOT(ISERROR(SEARCH("GOOD",L13)))</formula>
    </cfRule>
  </conditionalFormatting>
  <conditionalFormatting sqref="L12">
    <cfRule type="containsText" dxfId="2665" priority="122" operator="containsText" text="FAIL">
      <formula>NOT(ISERROR(SEARCH("FAIL",L12)))</formula>
    </cfRule>
  </conditionalFormatting>
  <conditionalFormatting sqref="L12">
    <cfRule type="containsText" dxfId="2664" priority="121" operator="containsText" text="GOOD">
      <formula>NOT(ISERROR(SEARCH("GOOD",L12)))</formula>
    </cfRule>
  </conditionalFormatting>
  <conditionalFormatting sqref="L11">
    <cfRule type="containsText" dxfId="2663" priority="94" operator="containsText" text="FAIL">
      <formula>NOT(ISERROR(SEARCH("FAIL",L11)))</formula>
    </cfRule>
  </conditionalFormatting>
  <conditionalFormatting sqref="L11">
    <cfRule type="containsText" dxfId="2662" priority="93" operator="containsText" text="GOOD">
      <formula>NOT(ISERROR(SEARCH("GOOD",L11)))</formula>
    </cfRule>
  </conditionalFormatting>
  <conditionalFormatting sqref="L10">
    <cfRule type="containsText" dxfId="2661" priority="84" operator="containsText" text="FAIL">
      <formula>NOT(ISERROR(SEARCH("FAIL",L10)))</formula>
    </cfRule>
  </conditionalFormatting>
  <conditionalFormatting sqref="L10">
    <cfRule type="containsText" dxfId="2660" priority="83" operator="containsText" text="GOOD">
      <formula>NOT(ISERROR(SEARCH("GOOD",L10)))</formula>
    </cfRule>
  </conditionalFormatting>
  <conditionalFormatting sqref="L9">
    <cfRule type="containsText" dxfId="2659" priority="66" operator="containsText" text="FAIL">
      <formula>NOT(ISERROR(SEARCH("FAIL",L9)))</formula>
    </cfRule>
  </conditionalFormatting>
  <conditionalFormatting sqref="L9">
    <cfRule type="containsText" dxfId="2658" priority="65" operator="containsText" text="GOOD">
      <formula>NOT(ISERROR(SEARCH("GOOD",L9)))</formula>
    </cfRule>
  </conditionalFormatting>
  <conditionalFormatting sqref="L8">
    <cfRule type="containsText" dxfId="2657" priority="22" operator="containsText" text="FAIL">
      <formula>NOT(ISERROR(SEARCH("FAIL",L8)))</formula>
    </cfRule>
  </conditionalFormatting>
  <conditionalFormatting sqref="L8">
    <cfRule type="containsText" dxfId="2656" priority="21" operator="containsText" text="GOOD">
      <formula>NOT(ISERROR(SEARCH("GOOD",L8)))</formula>
    </cfRule>
  </conditionalFormatting>
  <pageMargins left="0.7" right="0.7" top="0.75" bottom="0.75" header="0.3" footer="0.3"/>
  <pageSetup paperSize="17" scale="85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text="FAIL" id="{86CF8EBF-C6B2-49B8-8609-F255EA1AA7EE}">
            <xm:f>NOT(ISERROR(SEARCH("FAIL",SUMMARY!L49)))</xm:f>
            <x14:dxf>
              <font>
                <b/>
                <i/>
                <color theme="0"/>
              </font>
              <fill>
                <patternFill>
                  <bgColor rgb="FFFF0000"/>
                </patternFill>
              </fill>
            </x14:dxf>
          </x14:cfRule>
          <xm:sqref>L7</xm:sqref>
        </x14:conditionalFormatting>
        <x14:conditionalFormatting xmlns:xm="http://schemas.microsoft.com/office/excel/2006/main">
          <x14:cfRule type="containsText" priority="1" operator="containsText" text="GOOD" id="{E1DBF368-B562-42E5-9F48-EA677EF26A02}">
            <xm:f>NOT(ISERROR(SEARCH("GOOD",SUMMARY!L49)))</xm:f>
            <x14:dxf>
              <font>
                <b/>
                <i/>
                <color theme="0"/>
              </font>
              <fill>
                <patternFill>
                  <bgColor rgb="FF00B050"/>
                </patternFill>
              </fill>
            </x14:dxf>
          </x14:cfRule>
          <xm:sqref>L7</xm:sqref>
        </x14:conditionalFormatting>
      </x14:conditionalFormattings>
    </ext>
  </extLst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600-000000000000}">
  <sheetPr codeName="Sheet152"/>
  <dimension ref="A2:O47"/>
  <sheetViews>
    <sheetView topLeftCell="A7" workbookViewId="0">
      <selection activeCell="K33" sqref="K33"/>
    </sheetView>
  </sheetViews>
  <sheetFormatPr defaultRowHeight="15" x14ac:dyDescent="0.25"/>
  <cols>
    <col min="1" max="2" width="4.42578125" customWidth="1"/>
    <col min="3" max="3" width="3" customWidth="1"/>
    <col min="4" max="4" width="24.7109375" customWidth="1"/>
    <col min="5" max="5" width="3" customWidth="1"/>
    <col min="6" max="6" width="15.7109375" customWidth="1"/>
    <col min="7" max="7" width="8.5703125" customWidth="1"/>
    <col min="8" max="8" width="5.85546875" customWidth="1"/>
    <col min="9" max="15" width="15.7109375" customWidth="1"/>
  </cols>
  <sheetData>
    <row r="2" spans="1:11" x14ac:dyDescent="0.25">
      <c r="C2" s="15" t="s">
        <v>32</v>
      </c>
      <c r="E2" s="15"/>
      <c r="F2" s="15"/>
      <c r="G2" s="15" t="s">
        <v>33</v>
      </c>
      <c r="H2" s="15"/>
      <c r="I2" s="15"/>
      <c r="J2" s="15"/>
      <c r="K2" s="15"/>
    </row>
    <row r="3" spans="1:11" ht="18.75" x14ac:dyDescent="0.3">
      <c r="C3" s="3" t="s">
        <v>26</v>
      </c>
      <c r="J3" s="8" t="s">
        <v>47</v>
      </c>
    </row>
    <row r="4" spans="1:11" x14ac:dyDescent="0.25">
      <c r="D4" s="2" t="s">
        <v>0</v>
      </c>
      <c r="E4" s="1"/>
      <c r="F4" t="s">
        <v>35</v>
      </c>
      <c r="I4" s="2" t="s">
        <v>4</v>
      </c>
    </row>
    <row r="5" spans="1:11" x14ac:dyDescent="0.25">
      <c r="D5" s="2" t="s">
        <v>1</v>
      </c>
      <c r="F5" t="s">
        <v>36</v>
      </c>
    </row>
    <row r="6" spans="1:11" x14ac:dyDescent="0.25">
      <c r="D6" s="2" t="s">
        <v>2</v>
      </c>
      <c r="F6" s="6">
        <v>42157</v>
      </c>
      <c r="H6" s="11"/>
    </row>
    <row r="7" spans="1:11" x14ac:dyDescent="0.25">
      <c r="D7" s="2" t="s">
        <v>3</v>
      </c>
      <c r="F7" s="5">
        <f>+I7+J7</f>
        <v>29100000</v>
      </c>
      <c r="G7" s="2" t="s">
        <v>34</v>
      </c>
      <c r="H7" s="11"/>
      <c r="I7" s="19">
        <v>5000000</v>
      </c>
      <c r="J7" s="19">
        <v>24100000</v>
      </c>
    </row>
    <row r="8" spans="1:11" x14ac:dyDescent="0.25">
      <c r="D8" s="2" t="s">
        <v>18</v>
      </c>
      <c r="F8" s="5">
        <f>MIN(K23:K43)</f>
        <v>30452500</v>
      </c>
      <c r="H8" s="11"/>
      <c r="I8" s="18" t="s">
        <v>43</v>
      </c>
      <c r="J8" s="18" t="s">
        <v>44</v>
      </c>
    </row>
    <row r="9" spans="1:11" x14ac:dyDescent="0.25">
      <c r="D9" s="2" t="s">
        <v>19</v>
      </c>
      <c r="F9" s="4">
        <f>+F8-F7</f>
        <v>1352500</v>
      </c>
      <c r="G9" s="16">
        <f>+F9/F7</f>
        <v>4.6477663230240551E-2</v>
      </c>
      <c r="H9" s="12" t="s">
        <v>20</v>
      </c>
      <c r="I9" s="11" t="str">
        <f>(IF(G9&lt;-0.1,"FAIL",IF(G9&gt;0.05,"FAIL","GOOD")))</f>
        <v>GOOD</v>
      </c>
    </row>
    <row r="10" spans="1:11" x14ac:dyDescent="0.25">
      <c r="D10" s="2" t="s">
        <v>68</v>
      </c>
      <c r="F10" s="4">
        <f>+F7-F12</f>
        <v>-8227415.5036363602</v>
      </c>
      <c r="H10" s="11"/>
    </row>
    <row r="11" spans="1:11" x14ac:dyDescent="0.25">
      <c r="A11" s="30"/>
      <c r="D11" s="2" t="s">
        <v>71</v>
      </c>
      <c r="F11" s="11" t="str">
        <f>(IF(F7&lt;J12,"FAIL",IF(F7&gt;J13,"FAIL","GOOD")))</f>
        <v>GOOD</v>
      </c>
      <c r="H11" s="11"/>
    </row>
    <row r="12" spans="1:11" x14ac:dyDescent="0.25">
      <c r="D12" s="2" t="s">
        <v>28</v>
      </c>
      <c r="F12" s="4">
        <f>SUM(K23:K43)/H12</f>
        <v>37327415.50363636</v>
      </c>
      <c r="G12" s="14"/>
      <c r="H12" s="11">
        <f>COUNT(K23:K43)</f>
        <v>11</v>
      </c>
      <c r="I12" s="1" t="s">
        <v>31</v>
      </c>
      <c r="J12" s="4">
        <f>+F8*0.9</f>
        <v>27407250</v>
      </c>
      <c r="K12" s="1" t="s">
        <v>69</v>
      </c>
    </row>
    <row r="13" spans="1:11" x14ac:dyDescent="0.25">
      <c r="D13" s="2" t="s">
        <v>29</v>
      </c>
      <c r="F13" s="4">
        <f>MAX(K23:K43)-MIN(K23:K43)</f>
        <v>23985200</v>
      </c>
      <c r="G13" s="399">
        <f>MEDIAN(K23:K43)</f>
        <v>35627000</v>
      </c>
      <c r="H13" s="400"/>
      <c r="I13" s="1" t="s">
        <v>30</v>
      </c>
      <c r="J13" s="4">
        <f>+F12*1.1</f>
        <v>41060157.053999998</v>
      </c>
      <c r="K13" s="1" t="s">
        <v>70</v>
      </c>
    </row>
    <row r="14" spans="1:11" x14ac:dyDescent="0.25">
      <c r="H14" s="11"/>
    </row>
    <row r="15" spans="1:11" x14ac:dyDescent="0.25">
      <c r="D15" s="2" t="s">
        <v>8</v>
      </c>
      <c r="F15" s="4"/>
      <c r="G15" s="1" t="s">
        <v>9</v>
      </c>
      <c r="H15" s="11"/>
      <c r="I15" t="s">
        <v>15</v>
      </c>
      <c r="J15" s="7" t="e">
        <f>+F16/F15</f>
        <v>#DIV/0!</v>
      </c>
    </row>
    <row r="16" spans="1:11" x14ac:dyDescent="0.25">
      <c r="F16" s="4"/>
      <c r="G16" s="1" t="s">
        <v>10</v>
      </c>
      <c r="H16" s="11"/>
      <c r="I16" t="s">
        <v>14</v>
      </c>
      <c r="J16" s="7" t="e">
        <f>+F17/F16</f>
        <v>#DIV/0!</v>
      </c>
    </row>
    <row r="17" spans="3:15" x14ac:dyDescent="0.25">
      <c r="F17" s="4"/>
      <c r="G17" s="1" t="s">
        <v>11</v>
      </c>
      <c r="H17" s="11"/>
      <c r="I17" t="s">
        <v>13</v>
      </c>
      <c r="J17" s="7" t="e">
        <f>+F18/F17</f>
        <v>#DIV/0!</v>
      </c>
    </row>
    <row r="18" spans="3:15" x14ac:dyDescent="0.25">
      <c r="F18" s="4"/>
      <c r="G18" s="1" t="s">
        <v>12</v>
      </c>
      <c r="H18" s="11"/>
      <c r="I18" t="s">
        <v>16</v>
      </c>
      <c r="J18" s="7" t="e">
        <f>+F8/F18</f>
        <v>#DIV/0!</v>
      </c>
    </row>
    <row r="19" spans="3:15" x14ac:dyDescent="0.25">
      <c r="F19" s="2" t="s">
        <v>51</v>
      </c>
      <c r="G19">
        <v>0</v>
      </c>
      <c r="H19" s="11" t="s">
        <v>52</v>
      </c>
      <c r="I19" t="s">
        <v>41</v>
      </c>
      <c r="J19" s="7" t="e">
        <f>+F8/F15</f>
        <v>#DIV/0!</v>
      </c>
    </row>
    <row r="20" spans="3:15" x14ac:dyDescent="0.25">
      <c r="H20" s="11"/>
      <c r="M20" s="21"/>
      <c r="N20" s="21"/>
      <c r="O20" s="21"/>
    </row>
    <row r="21" spans="3:15" x14ac:dyDescent="0.25">
      <c r="C21" s="9"/>
      <c r="D21" s="13" t="s">
        <v>21</v>
      </c>
      <c r="E21" s="9"/>
      <c r="F21" s="9" t="s">
        <v>22</v>
      </c>
      <c r="G21" s="9" t="s">
        <v>23</v>
      </c>
      <c r="H21" s="13" t="s">
        <v>27</v>
      </c>
      <c r="I21" s="10" t="s">
        <v>38</v>
      </c>
      <c r="J21" s="10" t="s">
        <v>37</v>
      </c>
      <c r="K21" s="10" t="s">
        <v>39</v>
      </c>
      <c r="L21" s="9"/>
      <c r="M21" s="21"/>
      <c r="N21" s="21"/>
      <c r="O21" s="21"/>
    </row>
    <row r="22" spans="3:15" ht="6" customHeight="1" x14ac:dyDescent="0.25">
      <c r="M22" s="21"/>
      <c r="N22" s="21"/>
      <c r="O22" s="21"/>
    </row>
    <row r="23" spans="3:15" x14ac:dyDescent="0.25">
      <c r="C23" s="33" t="str">
        <f>IF(H23=1,"u","")</f>
        <v>u</v>
      </c>
      <c r="D23" s="23" t="s">
        <v>284</v>
      </c>
      <c r="E23" s="33"/>
      <c r="F23" t="s">
        <v>285</v>
      </c>
      <c r="G23" t="s">
        <v>25</v>
      </c>
      <c r="H23">
        <f>RANK(K23,K$23:K$43,1)</f>
        <v>1</v>
      </c>
      <c r="I23" s="4">
        <v>4781500</v>
      </c>
      <c r="J23" s="4">
        <v>25671000</v>
      </c>
      <c r="K23" s="4">
        <f>+J23+I23</f>
        <v>30452500</v>
      </c>
      <c r="L23" s="4"/>
      <c r="M23" s="22"/>
      <c r="N23" s="22"/>
      <c r="O23" s="22"/>
    </row>
    <row r="24" spans="3:15" x14ac:dyDescent="0.25">
      <c r="C24" s="33" t="str">
        <f>IF(H24=1,"u","")</f>
        <v/>
      </c>
      <c r="D24" s="23" t="s">
        <v>200</v>
      </c>
      <c r="E24" s="33"/>
      <c r="F24" t="s">
        <v>201</v>
      </c>
      <c r="G24" t="s">
        <v>25</v>
      </c>
      <c r="H24">
        <f t="shared" ref="H24:H33" si="0">RANK(K24,K$23:K$43,1)</f>
        <v>2</v>
      </c>
      <c r="I24" s="4">
        <v>10278100</v>
      </c>
      <c r="J24" s="4">
        <v>21003000</v>
      </c>
      <c r="K24" s="4">
        <f t="shared" ref="K24:K33" si="1">+J24+I24</f>
        <v>31281100</v>
      </c>
      <c r="L24" s="4"/>
      <c r="M24" s="22"/>
      <c r="N24" s="22"/>
      <c r="O24" s="22"/>
    </row>
    <row r="25" spans="3:15" x14ac:dyDescent="0.25">
      <c r="C25" s="33" t="str">
        <f>IF(H25=1,"u","")</f>
        <v/>
      </c>
      <c r="D25" s="23" t="s">
        <v>286</v>
      </c>
      <c r="E25" s="33"/>
      <c r="F25" t="s">
        <v>287</v>
      </c>
      <c r="G25" t="s">
        <v>25</v>
      </c>
      <c r="H25">
        <f t="shared" si="0"/>
        <v>3</v>
      </c>
      <c r="I25" s="4">
        <v>6031780</v>
      </c>
      <c r="J25" s="4">
        <v>26760237</v>
      </c>
      <c r="K25" s="4">
        <f t="shared" si="1"/>
        <v>32792017</v>
      </c>
      <c r="L25" s="4"/>
      <c r="M25" s="22"/>
      <c r="N25" s="22"/>
      <c r="O25" s="22"/>
    </row>
    <row r="26" spans="3:15" x14ac:dyDescent="0.25">
      <c r="C26" s="33" t="str">
        <f t="shared" ref="C26:C43" si="2">IF(H26=1,"u","")</f>
        <v/>
      </c>
      <c r="D26" s="23" t="s">
        <v>83</v>
      </c>
      <c r="E26" s="33"/>
      <c r="F26" t="s">
        <v>40</v>
      </c>
      <c r="G26" t="s">
        <v>25</v>
      </c>
      <c r="H26">
        <f t="shared" si="0"/>
        <v>4</v>
      </c>
      <c r="I26" s="4">
        <v>5498000</v>
      </c>
      <c r="J26" s="4">
        <v>28980870</v>
      </c>
      <c r="K26" s="4">
        <f t="shared" si="1"/>
        <v>34478870</v>
      </c>
      <c r="L26" s="4"/>
      <c r="M26" s="22"/>
      <c r="N26" s="22"/>
      <c r="O26" s="22"/>
    </row>
    <row r="27" spans="3:15" x14ac:dyDescent="0.25">
      <c r="C27" s="33" t="str">
        <f t="shared" si="2"/>
        <v/>
      </c>
      <c r="D27" s="23" t="s">
        <v>288</v>
      </c>
      <c r="E27" s="33"/>
      <c r="F27" t="s">
        <v>289</v>
      </c>
      <c r="G27" t="s">
        <v>93</v>
      </c>
      <c r="H27">
        <f t="shared" si="0"/>
        <v>5</v>
      </c>
      <c r="I27" s="4">
        <v>7804000</v>
      </c>
      <c r="J27" s="4">
        <v>27007000</v>
      </c>
      <c r="K27" s="4">
        <f t="shared" si="1"/>
        <v>34811000</v>
      </c>
      <c r="L27" s="4"/>
      <c r="M27" s="22"/>
      <c r="N27" s="22"/>
      <c r="O27" s="22"/>
    </row>
    <row r="28" spans="3:15" x14ac:dyDescent="0.25">
      <c r="C28" s="33" t="str">
        <f t="shared" si="2"/>
        <v/>
      </c>
      <c r="D28" s="23" t="s">
        <v>290</v>
      </c>
      <c r="E28" s="33"/>
      <c r="F28" t="s">
        <v>137</v>
      </c>
      <c r="G28" t="s">
        <v>25</v>
      </c>
      <c r="H28">
        <f t="shared" si="0"/>
        <v>6</v>
      </c>
      <c r="I28" s="4">
        <v>6185000</v>
      </c>
      <c r="J28" s="4">
        <v>29442000</v>
      </c>
      <c r="K28" s="4">
        <f t="shared" si="1"/>
        <v>35627000</v>
      </c>
      <c r="L28" s="4"/>
      <c r="M28" s="22"/>
      <c r="N28" s="22"/>
      <c r="O28" s="22"/>
    </row>
    <row r="29" spans="3:15" x14ac:dyDescent="0.25">
      <c r="C29" s="33" t="str">
        <f t="shared" si="2"/>
        <v/>
      </c>
      <c r="D29" s="23" t="s">
        <v>134</v>
      </c>
      <c r="E29" s="33"/>
      <c r="F29" t="s">
        <v>135</v>
      </c>
      <c r="G29" t="s">
        <v>25</v>
      </c>
      <c r="H29">
        <f t="shared" si="0"/>
        <v>7</v>
      </c>
      <c r="I29" s="4">
        <v>7202150</v>
      </c>
      <c r="J29" s="4">
        <v>29733813.539999999</v>
      </c>
      <c r="K29" s="4">
        <f t="shared" si="1"/>
        <v>36935963.539999999</v>
      </c>
      <c r="L29" s="4"/>
      <c r="M29" s="22"/>
      <c r="N29" s="22"/>
      <c r="O29" s="22"/>
    </row>
    <row r="30" spans="3:15" x14ac:dyDescent="0.25">
      <c r="C30" s="33" t="str">
        <f t="shared" si="2"/>
        <v/>
      </c>
      <c r="D30" s="23" t="s">
        <v>291</v>
      </c>
      <c r="E30" s="33"/>
      <c r="F30" t="s">
        <v>292</v>
      </c>
      <c r="G30" t="s">
        <v>25</v>
      </c>
      <c r="H30">
        <f t="shared" si="0"/>
        <v>8</v>
      </c>
      <c r="I30" s="4">
        <v>6531600</v>
      </c>
      <c r="J30" s="4">
        <v>30653820</v>
      </c>
      <c r="K30" s="4">
        <f t="shared" si="1"/>
        <v>37185420</v>
      </c>
      <c r="L30" s="4"/>
      <c r="M30" s="22"/>
      <c r="N30" s="22"/>
      <c r="O30" s="22"/>
    </row>
    <row r="31" spans="3:15" x14ac:dyDescent="0.25">
      <c r="C31" s="33" t="str">
        <f t="shared" si="2"/>
        <v/>
      </c>
      <c r="D31" s="23" t="s">
        <v>293</v>
      </c>
      <c r="E31" s="33"/>
      <c r="F31" t="s">
        <v>145</v>
      </c>
      <c r="G31" t="s">
        <v>25</v>
      </c>
      <c r="H31">
        <f t="shared" si="0"/>
        <v>9</v>
      </c>
      <c r="I31" s="4">
        <v>8014600</v>
      </c>
      <c r="J31" s="4">
        <v>30681400</v>
      </c>
      <c r="K31" s="4">
        <f t="shared" si="1"/>
        <v>38696000</v>
      </c>
      <c r="L31" s="4"/>
      <c r="M31" s="22"/>
      <c r="N31" s="22"/>
      <c r="O31" s="22"/>
    </row>
    <row r="32" spans="3:15" x14ac:dyDescent="0.25">
      <c r="C32" s="33" t="str">
        <f t="shared" si="2"/>
        <v/>
      </c>
      <c r="D32" s="23" t="s">
        <v>294</v>
      </c>
      <c r="E32" s="33"/>
      <c r="F32" t="s">
        <v>295</v>
      </c>
      <c r="G32" t="s">
        <v>25</v>
      </c>
      <c r="H32">
        <f t="shared" si="0"/>
        <v>10</v>
      </c>
      <c r="I32" s="4">
        <v>7064000</v>
      </c>
      <c r="J32" s="4">
        <v>36840000</v>
      </c>
      <c r="K32" s="4">
        <f t="shared" si="1"/>
        <v>43904000</v>
      </c>
      <c r="L32" s="4"/>
      <c r="M32" s="22"/>
      <c r="N32" s="22"/>
      <c r="O32" s="22"/>
    </row>
    <row r="33" spans="3:15" x14ac:dyDescent="0.25">
      <c r="C33" s="33" t="str">
        <f t="shared" si="2"/>
        <v/>
      </c>
      <c r="D33" s="23" t="s">
        <v>296</v>
      </c>
      <c r="E33" s="33"/>
      <c r="F33" t="s">
        <v>215</v>
      </c>
      <c r="G33" t="s">
        <v>25</v>
      </c>
      <c r="H33">
        <f t="shared" si="0"/>
        <v>11</v>
      </c>
      <c r="I33" s="4">
        <v>12832600</v>
      </c>
      <c r="J33" s="4">
        <v>41605100</v>
      </c>
      <c r="K33" s="4">
        <f t="shared" si="1"/>
        <v>54437700</v>
      </c>
      <c r="M33" s="21"/>
      <c r="N33" s="21"/>
      <c r="O33" s="21"/>
    </row>
    <row r="34" spans="3:15" x14ac:dyDescent="0.25">
      <c r="C34" s="33" t="str">
        <f t="shared" si="2"/>
        <v/>
      </c>
      <c r="D34" s="23"/>
      <c r="E34" s="33" t="str">
        <f t="shared" ref="E34:E43" si="3">IF(H34=1,"t","")</f>
        <v/>
      </c>
      <c r="K34" s="4"/>
      <c r="M34" s="21"/>
      <c r="N34" s="21"/>
      <c r="O34" s="21"/>
    </row>
    <row r="35" spans="3:15" x14ac:dyDescent="0.25">
      <c r="C35" s="33" t="str">
        <f t="shared" si="2"/>
        <v/>
      </c>
      <c r="D35" s="23"/>
      <c r="E35" s="33" t="str">
        <f t="shared" si="3"/>
        <v/>
      </c>
      <c r="K35" s="4"/>
      <c r="M35" s="21"/>
      <c r="N35" s="21"/>
      <c r="O35" s="21"/>
    </row>
    <row r="36" spans="3:15" x14ac:dyDescent="0.25">
      <c r="C36" s="33" t="str">
        <f t="shared" si="2"/>
        <v/>
      </c>
      <c r="D36" s="23"/>
      <c r="E36" s="33" t="str">
        <f t="shared" si="3"/>
        <v/>
      </c>
      <c r="K36" s="4"/>
      <c r="M36" s="21"/>
      <c r="N36" s="21"/>
      <c r="O36" s="21"/>
    </row>
    <row r="37" spans="3:15" x14ac:dyDescent="0.25">
      <c r="C37" s="33" t="str">
        <f t="shared" si="2"/>
        <v/>
      </c>
      <c r="D37" s="23"/>
      <c r="E37" s="33" t="str">
        <f t="shared" si="3"/>
        <v/>
      </c>
      <c r="K37" s="4"/>
      <c r="M37" s="21"/>
      <c r="N37" s="21"/>
      <c r="O37" s="21"/>
    </row>
    <row r="38" spans="3:15" x14ac:dyDescent="0.25">
      <c r="C38" s="33" t="str">
        <f t="shared" si="2"/>
        <v/>
      </c>
      <c r="D38" s="23"/>
      <c r="E38" s="33" t="str">
        <f t="shared" si="3"/>
        <v/>
      </c>
      <c r="K38" s="4"/>
      <c r="M38" s="21"/>
      <c r="N38" s="21"/>
      <c r="O38" s="21"/>
    </row>
    <row r="39" spans="3:15" x14ac:dyDescent="0.25">
      <c r="C39" s="33" t="str">
        <f t="shared" si="2"/>
        <v/>
      </c>
      <c r="D39" s="23"/>
      <c r="E39" s="33" t="str">
        <f t="shared" si="3"/>
        <v/>
      </c>
      <c r="K39" s="4"/>
      <c r="M39" s="21"/>
      <c r="N39" s="21"/>
      <c r="O39" s="21"/>
    </row>
    <row r="40" spans="3:15" x14ac:dyDescent="0.25">
      <c r="C40" s="33" t="str">
        <f t="shared" si="2"/>
        <v/>
      </c>
      <c r="D40" s="11"/>
      <c r="E40" s="33" t="str">
        <f t="shared" si="3"/>
        <v/>
      </c>
      <c r="K40" s="4"/>
      <c r="M40" s="21"/>
      <c r="N40" s="21"/>
      <c r="O40" s="21"/>
    </row>
    <row r="41" spans="3:15" x14ac:dyDescent="0.25">
      <c r="C41" s="33" t="str">
        <f t="shared" si="2"/>
        <v/>
      </c>
      <c r="D41" s="11"/>
      <c r="E41" s="33" t="str">
        <f t="shared" si="3"/>
        <v/>
      </c>
      <c r="K41" s="4"/>
      <c r="M41" s="21"/>
      <c r="N41" s="21"/>
      <c r="O41" s="21"/>
    </row>
    <row r="42" spans="3:15" x14ac:dyDescent="0.25">
      <c r="C42" s="33" t="str">
        <f t="shared" si="2"/>
        <v/>
      </c>
      <c r="D42" s="11"/>
      <c r="E42" s="33" t="str">
        <f t="shared" si="3"/>
        <v/>
      </c>
      <c r="K42" s="4"/>
      <c r="M42" s="21"/>
      <c r="N42" s="21"/>
      <c r="O42" s="21"/>
    </row>
    <row r="43" spans="3:15" x14ac:dyDescent="0.25">
      <c r="C43" s="33" t="str">
        <f t="shared" si="2"/>
        <v/>
      </c>
      <c r="D43" s="11"/>
      <c r="E43" s="33" t="str">
        <f t="shared" si="3"/>
        <v/>
      </c>
      <c r="K43" s="4"/>
      <c r="M43" s="21"/>
      <c r="N43" s="21"/>
      <c r="O43" s="21"/>
    </row>
    <row r="44" spans="3:15" ht="6" customHeight="1" x14ac:dyDescent="0.25">
      <c r="C44" s="9"/>
      <c r="D44" s="9"/>
      <c r="E44" s="9"/>
      <c r="F44" s="9"/>
      <c r="G44" s="9"/>
      <c r="H44" s="9"/>
      <c r="I44" s="9"/>
      <c r="J44" s="9"/>
      <c r="K44" s="9"/>
      <c r="L44" s="9"/>
      <c r="M44" s="21"/>
      <c r="N44" s="21"/>
      <c r="O44" s="21"/>
    </row>
    <row r="45" spans="3:15" ht="6" customHeight="1" x14ac:dyDescent="0.25">
      <c r="M45" s="21"/>
      <c r="N45" s="21"/>
      <c r="O45" s="21"/>
    </row>
    <row r="46" spans="3:15" x14ac:dyDescent="0.25">
      <c r="C46" s="15" t="s">
        <v>79</v>
      </c>
      <c r="M46" s="21"/>
      <c r="N46" s="21"/>
      <c r="O46" s="21"/>
    </row>
    <row r="47" spans="3:15" x14ac:dyDescent="0.25">
      <c r="C47" s="15" t="s">
        <v>78</v>
      </c>
    </row>
  </sheetData>
  <mergeCells count="1">
    <mergeCell ref="G13:H13"/>
  </mergeCells>
  <conditionalFormatting sqref="I9">
    <cfRule type="containsText" dxfId="290" priority="19" operator="containsText" text="FAIL">
      <formula>NOT(ISERROR(SEARCH("FAIL",I9)))</formula>
    </cfRule>
  </conditionalFormatting>
  <conditionalFormatting sqref="I9">
    <cfRule type="containsText" dxfId="289" priority="18" operator="containsText" text="GOOD">
      <formula>NOT(ISERROR(SEARCH("GOOD",I9)))</formula>
    </cfRule>
  </conditionalFormatting>
  <conditionalFormatting sqref="I9">
    <cfRule type="containsText" dxfId="288" priority="17" operator="containsText" text="FAIL">
      <formula>NOT(ISERROR(SEARCH("FAIL",I9)))</formula>
    </cfRule>
  </conditionalFormatting>
  <conditionalFormatting sqref="I9">
    <cfRule type="containsText" dxfId="287" priority="16" operator="containsText" text="GOOD">
      <formula>NOT(ISERROR(SEARCH("GOOD",I9)))</formula>
    </cfRule>
  </conditionalFormatting>
  <conditionalFormatting sqref="I9">
    <cfRule type="containsText" dxfId="286" priority="15" operator="containsText" text="FAIL">
      <formula>NOT(ISERROR(SEARCH("FAIL",I9)))</formula>
    </cfRule>
  </conditionalFormatting>
  <conditionalFormatting sqref="I9">
    <cfRule type="containsText" dxfId="285" priority="14" operator="containsText" text="GOOD">
      <formula>NOT(ISERROR(SEARCH("GOOD",I9)))</formula>
    </cfRule>
  </conditionalFormatting>
  <conditionalFormatting sqref="F11">
    <cfRule type="containsText" dxfId="284" priority="13" operator="containsText" text="FAIL">
      <formula>NOT(ISERROR(SEARCH("FAIL",F11)))</formula>
    </cfRule>
  </conditionalFormatting>
  <conditionalFormatting sqref="F11">
    <cfRule type="containsText" dxfId="283" priority="12" operator="containsText" text="GOOD">
      <formula>NOT(ISERROR(SEARCH("GOOD",F11)))</formula>
    </cfRule>
  </conditionalFormatting>
  <conditionalFormatting sqref="I9">
    <cfRule type="containsText" dxfId="282" priority="11" operator="containsText" text="FAIL">
      <formula>NOT(ISERROR(SEARCH("FAIL",I9)))</formula>
    </cfRule>
  </conditionalFormatting>
  <conditionalFormatting sqref="I9">
    <cfRule type="containsText" dxfId="281" priority="10" operator="containsText" text="GOOD">
      <formula>NOT(ISERROR(SEARCH("GOOD",I9)))</formula>
    </cfRule>
  </conditionalFormatting>
  <conditionalFormatting sqref="F11">
    <cfRule type="containsText" dxfId="280" priority="9" operator="containsText" text="FAIL">
      <formula>NOT(ISERROR(SEARCH("FAIL",F11)))</formula>
    </cfRule>
  </conditionalFormatting>
  <conditionalFormatting sqref="F11">
    <cfRule type="containsText" dxfId="279" priority="8" operator="containsText" text="GOOD">
      <formula>NOT(ISERROR(SEARCH("GOOD",F11)))</formula>
    </cfRule>
  </conditionalFormatting>
  <conditionalFormatting sqref="D25">
    <cfRule type="expression" dxfId="278" priority="7" stopIfTrue="1">
      <formula>IF($H$25=1,0)</formula>
    </cfRule>
  </conditionalFormatting>
  <conditionalFormatting sqref="D23:D43">
    <cfRule type="expression" dxfId="277" priority="6">
      <formula>H23=1</formula>
    </cfRule>
  </conditionalFormatting>
  <conditionalFormatting sqref="C23:C43">
    <cfRule type="expression" dxfId="276" priority="5">
      <formula>H23=1</formula>
    </cfRule>
  </conditionalFormatting>
  <conditionalFormatting sqref="E23:E43">
    <cfRule type="expression" dxfId="275" priority="4">
      <formula>H23=1</formula>
    </cfRule>
  </conditionalFormatting>
  <conditionalFormatting sqref="E23:E43">
    <cfRule type="expression" dxfId="274" priority="3">
      <formula>H23=1</formula>
    </cfRule>
  </conditionalFormatting>
  <conditionalFormatting sqref="F11">
    <cfRule type="containsText" dxfId="273" priority="2" operator="containsText" text="FAIL">
      <formula>NOT(ISERROR(SEARCH("FAIL",F11)))</formula>
    </cfRule>
  </conditionalFormatting>
  <conditionalFormatting sqref="F11">
    <cfRule type="containsText" dxfId="272" priority="1" operator="containsText" text="GOOD">
      <formula>NOT(ISERROR(SEARCH("GOOD",F11)))</formula>
    </cfRule>
  </conditionalFormatting>
  <pageMargins left="0.7" right="0.7" top="0.75" bottom="0.75" header="0.3" footer="0.3"/>
  <pageSetup orientation="portrait" r:id="rId1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C00-000000000000}">
  <sheetPr codeName="Sheet110"/>
  <dimension ref="A2:O47"/>
  <sheetViews>
    <sheetView topLeftCell="C1" zoomScaleNormal="100" workbookViewId="0">
      <selection activeCell="O18" sqref="O18"/>
    </sheetView>
  </sheetViews>
  <sheetFormatPr defaultRowHeight="15" x14ac:dyDescent="0.25"/>
  <cols>
    <col min="1" max="2" width="4.42578125" customWidth="1"/>
    <col min="3" max="3" width="3" customWidth="1"/>
    <col min="4" max="4" width="24.7109375" customWidth="1"/>
    <col min="5" max="5" width="3" customWidth="1"/>
    <col min="6" max="6" width="15.7109375" customWidth="1"/>
    <col min="7" max="7" width="8.5703125" customWidth="1"/>
    <col min="8" max="8" width="5.85546875" customWidth="1"/>
    <col min="9" max="15" width="15.7109375" customWidth="1"/>
  </cols>
  <sheetData>
    <row r="2" spans="1:11" x14ac:dyDescent="0.25">
      <c r="C2" s="15" t="s">
        <v>32</v>
      </c>
      <c r="E2" s="15"/>
      <c r="F2" s="15"/>
      <c r="G2" s="15" t="s">
        <v>33</v>
      </c>
      <c r="H2" s="15"/>
      <c r="I2" s="15"/>
      <c r="J2" s="15"/>
      <c r="K2" s="15"/>
    </row>
    <row r="3" spans="1:11" ht="18.75" x14ac:dyDescent="0.3">
      <c r="C3" s="3" t="s">
        <v>26</v>
      </c>
      <c r="J3" s="8" t="s">
        <v>47</v>
      </c>
    </row>
    <row r="4" spans="1:11" x14ac:dyDescent="0.25">
      <c r="D4" s="2" t="s">
        <v>0</v>
      </c>
      <c r="E4" s="1"/>
      <c r="F4" t="s">
        <v>648</v>
      </c>
      <c r="I4" s="2" t="s">
        <v>4</v>
      </c>
      <c r="J4" t="s">
        <v>442</v>
      </c>
    </row>
    <row r="5" spans="1:11" x14ac:dyDescent="0.25">
      <c r="D5" s="2" t="s">
        <v>1</v>
      </c>
      <c r="F5" t="s">
        <v>649</v>
      </c>
    </row>
    <row r="6" spans="1:11" x14ac:dyDescent="0.25">
      <c r="D6" s="2" t="s">
        <v>2</v>
      </c>
      <c r="F6" s="6">
        <v>42500</v>
      </c>
      <c r="H6" s="11"/>
    </row>
    <row r="7" spans="1:11" x14ac:dyDescent="0.25">
      <c r="D7" s="2" t="s">
        <v>3</v>
      </c>
      <c r="F7" s="5">
        <f>+I7+J7</f>
        <v>4000000</v>
      </c>
      <c r="G7" s="2" t="s">
        <v>34</v>
      </c>
      <c r="H7" s="11"/>
      <c r="I7" s="19">
        <v>3600000</v>
      </c>
      <c r="J7" s="19">
        <v>400000</v>
      </c>
    </row>
    <row r="8" spans="1:11" x14ac:dyDescent="0.25">
      <c r="D8" s="2" t="s">
        <v>18</v>
      </c>
      <c r="F8" s="5">
        <f>MIN(K23:K43)</f>
        <v>3838287</v>
      </c>
      <c r="H8" s="11"/>
      <c r="I8" s="18" t="s">
        <v>43</v>
      </c>
      <c r="J8" s="18" t="s">
        <v>44</v>
      </c>
    </row>
    <row r="9" spans="1:11" x14ac:dyDescent="0.25">
      <c r="D9" s="2" t="s">
        <v>19</v>
      </c>
      <c r="F9" s="4">
        <f>+F8-F7</f>
        <v>-161713</v>
      </c>
      <c r="G9" s="16">
        <f>+F9/F7</f>
        <v>-4.0428249999999999E-2</v>
      </c>
      <c r="H9" s="12" t="s">
        <v>20</v>
      </c>
      <c r="I9" s="11" t="str">
        <f>(IF(G9&lt;-0.1,"FAIL",IF(G9&gt;0.05,"FAIL","GOOD")))</f>
        <v>GOOD</v>
      </c>
      <c r="J9" s="14" t="s">
        <v>72</v>
      </c>
    </row>
    <row r="10" spans="1:11" x14ac:dyDescent="0.25">
      <c r="D10" s="2" t="s">
        <v>68</v>
      </c>
      <c r="F10" s="4">
        <f>+F7-F12</f>
        <v>-1748930.4545454541</v>
      </c>
      <c r="H10" s="11"/>
    </row>
    <row r="11" spans="1:11" x14ac:dyDescent="0.25">
      <c r="A11" s="30"/>
      <c r="D11" s="2" t="s">
        <v>71</v>
      </c>
      <c r="F11" s="11" t="str">
        <f>(IF(F7&lt;J12,"FAIL",IF(F7&gt;J13,"FAIL","GOOD")))</f>
        <v>GOOD</v>
      </c>
      <c r="H11" s="11"/>
    </row>
    <row r="12" spans="1:11" x14ac:dyDescent="0.25">
      <c r="D12" s="2" t="s">
        <v>28</v>
      </c>
      <c r="F12" s="4">
        <f>SUM(K23:K43)/H12</f>
        <v>5748930.4545454541</v>
      </c>
      <c r="G12" s="14"/>
      <c r="H12" s="11">
        <f>COUNT(K23:K43)</f>
        <v>11</v>
      </c>
      <c r="I12" s="1" t="s">
        <v>31</v>
      </c>
      <c r="J12" s="4">
        <f>+F8*0.9</f>
        <v>3454458.3000000003</v>
      </c>
      <c r="K12" s="1" t="s">
        <v>69</v>
      </c>
    </row>
    <row r="13" spans="1:11" x14ac:dyDescent="0.25">
      <c r="D13" s="2" t="s">
        <v>29</v>
      </c>
      <c r="F13" s="4">
        <f>MAX(K23:K43)-MIN(K23:K43)</f>
        <v>3536261</v>
      </c>
      <c r="G13" s="399">
        <f>MEDIAN(K23:K43)</f>
        <v>5708850</v>
      </c>
      <c r="H13" s="400"/>
      <c r="I13" s="1" t="s">
        <v>30</v>
      </c>
      <c r="J13" s="4">
        <f>+F12*1.1</f>
        <v>6323823.5</v>
      </c>
      <c r="K13" s="1" t="s">
        <v>70</v>
      </c>
    </row>
    <row r="14" spans="1:11" x14ac:dyDescent="0.25">
      <c r="H14" s="11"/>
    </row>
    <row r="15" spans="1:11" x14ac:dyDescent="0.25">
      <c r="D15" s="2" t="s">
        <v>8</v>
      </c>
      <c r="F15" s="4"/>
      <c r="G15" s="1" t="s">
        <v>9</v>
      </c>
      <c r="H15" s="11"/>
      <c r="I15" t="s">
        <v>15</v>
      </c>
      <c r="J15" s="7" t="e">
        <f>+F16/F15</f>
        <v>#DIV/0!</v>
      </c>
    </row>
    <row r="16" spans="1:11" x14ac:dyDescent="0.25">
      <c r="F16" s="4"/>
      <c r="G16" s="1" t="s">
        <v>10</v>
      </c>
      <c r="H16" s="11"/>
      <c r="I16" t="s">
        <v>14</v>
      </c>
      <c r="J16" s="7" t="e">
        <f>+F17/F16</f>
        <v>#DIV/0!</v>
      </c>
    </row>
    <row r="17" spans="3:15" x14ac:dyDescent="0.25">
      <c r="F17" s="4"/>
      <c r="G17" s="1" t="s">
        <v>11</v>
      </c>
      <c r="H17" s="11"/>
      <c r="I17" t="s">
        <v>13</v>
      </c>
      <c r="J17" s="7" t="e">
        <f>+F18/F17</f>
        <v>#DIV/0!</v>
      </c>
    </row>
    <row r="18" spans="3:15" x14ac:dyDescent="0.25">
      <c r="F18" s="4"/>
      <c r="G18" s="1" t="s">
        <v>12</v>
      </c>
      <c r="H18" s="11"/>
      <c r="I18" t="s">
        <v>16</v>
      </c>
      <c r="J18" s="7" t="e">
        <f>+F8/F18</f>
        <v>#DIV/0!</v>
      </c>
    </row>
    <row r="19" spans="3:15" x14ac:dyDescent="0.25">
      <c r="F19" s="2" t="s">
        <v>51</v>
      </c>
      <c r="G19">
        <v>0</v>
      </c>
      <c r="H19" s="11" t="s">
        <v>52</v>
      </c>
      <c r="I19" t="s">
        <v>41</v>
      </c>
      <c r="J19" s="7" t="e">
        <f>+F8/F15</f>
        <v>#DIV/0!</v>
      </c>
    </row>
    <row r="20" spans="3:15" x14ac:dyDescent="0.25">
      <c r="H20" s="11"/>
      <c r="M20" s="21"/>
      <c r="N20" s="21"/>
      <c r="O20" s="21"/>
    </row>
    <row r="21" spans="3:15" x14ac:dyDescent="0.25">
      <c r="C21" s="9"/>
      <c r="D21" s="13" t="s">
        <v>21</v>
      </c>
      <c r="E21" s="9"/>
      <c r="F21" s="9" t="s">
        <v>22</v>
      </c>
      <c r="G21" s="9" t="s">
        <v>23</v>
      </c>
      <c r="H21" s="13" t="s">
        <v>27</v>
      </c>
      <c r="I21" s="10" t="s">
        <v>38</v>
      </c>
      <c r="J21" s="10" t="s">
        <v>37</v>
      </c>
      <c r="K21" s="10" t="s">
        <v>39</v>
      </c>
      <c r="L21" s="9"/>
      <c r="M21" s="21"/>
      <c r="N21" s="21"/>
      <c r="O21" s="21"/>
    </row>
    <row r="22" spans="3:15" ht="6" customHeight="1" x14ac:dyDescent="0.25">
      <c r="M22" s="21"/>
      <c r="N22" s="21"/>
      <c r="O22" s="21"/>
    </row>
    <row r="23" spans="3:15" x14ac:dyDescent="0.25">
      <c r="C23" s="33" t="str">
        <f>IF(H23=1,"u","")</f>
        <v/>
      </c>
      <c r="D23" s="11" t="s">
        <v>650</v>
      </c>
      <c r="E23" s="33"/>
      <c r="F23" t="s">
        <v>308</v>
      </c>
      <c r="G23" t="s">
        <v>25</v>
      </c>
      <c r="H23">
        <f>RANK(K23,K$23:K$43,1)</f>
        <v>2</v>
      </c>
      <c r="I23" s="4">
        <v>1796500</v>
      </c>
      <c r="J23" s="4">
        <v>2895000</v>
      </c>
      <c r="K23" s="4">
        <f>+J23+I23</f>
        <v>4691500</v>
      </c>
      <c r="L23" s="4"/>
      <c r="M23" s="22"/>
      <c r="N23" s="22"/>
      <c r="O23" s="22"/>
    </row>
    <row r="24" spans="3:15" x14ac:dyDescent="0.25">
      <c r="C24" s="33" t="str">
        <f>IF(H24=1,"u","")</f>
        <v/>
      </c>
      <c r="D24" s="11" t="s">
        <v>568</v>
      </c>
      <c r="E24" s="33"/>
      <c r="F24" t="s">
        <v>292</v>
      </c>
      <c r="G24" t="s">
        <v>25</v>
      </c>
      <c r="H24">
        <f t="shared" ref="H24:H33" si="0">RANK(K24,K$23:K$43,1)</f>
        <v>3</v>
      </c>
      <c r="I24" s="4">
        <v>2100000</v>
      </c>
      <c r="J24" s="4">
        <v>3057400</v>
      </c>
      <c r="K24" s="4">
        <f t="shared" ref="K24:K33" si="1">+J24+I24</f>
        <v>5157400</v>
      </c>
      <c r="L24" s="4"/>
      <c r="M24" s="22"/>
      <c r="N24" s="22"/>
      <c r="O24" s="22"/>
    </row>
    <row r="25" spans="3:15" x14ac:dyDescent="0.25">
      <c r="C25" s="33" t="str">
        <f>IF(H25=1,"u","")</f>
        <v/>
      </c>
      <c r="D25" s="11" t="s">
        <v>651</v>
      </c>
      <c r="E25" s="33"/>
      <c r="F25" t="s">
        <v>208</v>
      </c>
      <c r="G25" t="s">
        <v>93</v>
      </c>
      <c r="H25">
        <f t="shared" si="0"/>
        <v>9</v>
      </c>
      <c r="I25" s="4">
        <v>1180680</v>
      </c>
      <c r="J25" s="4">
        <v>5199320</v>
      </c>
      <c r="K25" s="4">
        <f t="shared" si="1"/>
        <v>6380000</v>
      </c>
      <c r="L25" s="4"/>
      <c r="M25" s="22"/>
      <c r="N25" s="22"/>
      <c r="O25" s="22"/>
    </row>
    <row r="26" spans="3:15" x14ac:dyDescent="0.25">
      <c r="C26" s="33" t="str">
        <f t="shared" ref="C26:C43" si="2">IF(H26=1,"u","")</f>
        <v>u</v>
      </c>
      <c r="D26" s="11" t="s">
        <v>652</v>
      </c>
      <c r="E26" s="33"/>
      <c r="F26" t="s">
        <v>292</v>
      </c>
      <c r="G26" t="s">
        <v>25</v>
      </c>
      <c r="H26">
        <f t="shared" si="0"/>
        <v>1</v>
      </c>
      <c r="I26" s="4">
        <v>2495780</v>
      </c>
      <c r="J26" s="4">
        <v>1342507</v>
      </c>
      <c r="K26" s="4">
        <f t="shared" si="1"/>
        <v>3838287</v>
      </c>
      <c r="L26" s="4"/>
      <c r="M26" s="22"/>
      <c r="N26" s="22"/>
      <c r="O26" s="22"/>
    </row>
    <row r="27" spans="3:15" x14ac:dyDescent="0.25">
      <c r="C27" s="33" t="str">
        <f t="shared" si="2"/>
        <v/>
      </c>
      <c r="D27" s="11" t="s">
        <v>653</v>
      </c>
      <c r="E27" s="33"/>
      <c r="F27" t="s">
        <v>391</v>
      </c>
      <c r="G27" t="s">
        <v>93</v>
      </c>
      <c r="H27">
        <f t="shared" si="0"/>
        <v>10</v>
      </c>
      <c r="I27" s="4">
        <v>1584000</v>
      </c>
      <c r="J27" s="4">
        <v>5710000</v>
      </c>
      <c r="K27" s="4">
        <f t="shared" si="1"/>
        <v>7294000</v>
      </c>
      <c r="L27" s="4"/>
      <c r="M27" s="22"/>
      <c r="N27" s="22"/>
      <c r="O27" s="22"/>
    </row>
    <row r="28" spans="3:15" x14ac:dyDescent="0.25">
      <c r="C28" s="33" t="str">
        <f t="shared" si="2"/>
        <v/>
      </c>
      <c r="D28" s="11" t="s">
        <v>654</v>
      </c>
      <c r="E28" s="33"/>
      <c r="F28" t="s">
        <v>305</v>
      </c>
      <c r="G28" t="s">
        <v>25</v>
      </c>
      <c r="H28">
        <f t="shared" si="0"/>
        <v>11</v>
      </c>
      <c r="I28" s="4">
        <v>2564470</v>
      </c>
      <c r="J28" s="4">
        <v>4810078</v>
      </c>
      <c r="K28" s="4">
        <f t="shared" si="1"/>
        <v>7374548</v>
      </c>
      <c r="L28" s="4"/>
      <c r="M28" s="22"/>
      <c r="N28" s="22"/>
      <c r="O28" s="22"/>
    </row>
    <row r="29" spans="3:15" x14ac:dyDescent="0.25">
      <c r="C29" s="33" t="str">
        <f t="shared" si="2"/>
        <v/>
      </c>
      <c r="D29" s="11" t="s">
        <v>655</v>
      </c>
      <c r="E29" s="33"/>
      <c r="F29" t="s">
        <v>135</v>
      </c>
      <c r="G29" t="s">
        <v>25</v>
      </c>
      <c r="H29">
        <f t="shared" si="0"/>
        <v>4</v>
      </c>
      <c r="I29" s="4">
        <v>3525200</v>
      </c>
      <c r="J29" s="4">
        <v>1700050</v>
      </c>
      <c r="K29" s="4">
        <f t="shared" si="1"/>
        <v>5225250</v>
      </c>
      <c r="L29" s="4"/>
      <c r="M29" s="22"/>
      <c r="N29" s="22"/>
      <c r="O29" s="22"/>
    </row>
    <row r="30" spans="3:15" x14ac:dyDescent="0.25">
      <c r="C30" s="33" t="str">
        <f t="shared" si="2"/>
        <v/>
      </c>
      <c r="D30" s="11" t="s">
        <v>656</v>
      </c>
      <c r="E30" s="33"/>
      <c r="F30" t="s">
        <v>312</v>
      </c>
      <c r="G30" t="s">
        <v>25</v>
      </c>
      <c r="H30">
        <f t="shared" si="0"/>
        <v>6</v>
      </c>
      <c r="I30" s="4">
        <v>3386000</v>
      </c>
      <c r="J30" s="4">
        <v>2322850</v>
      </c>
      <c r="K30" s="4">
        <f t="shared" si="1"/>
        <v>5708850</v>
      </c>
      <c r="L30" s="4"/>
      <c r="M30" s="22"/>
      <c r="N30" s="22"/>
      <c r="O30" s="22"/>
    </row>
    <row r="31" spans="3:15" x14ac:dyDescent="0.25">
      <c r="C31" s="33" t="str">
        <f t="shared" si="2"/>
        <v/>
      </c>
      <c r="D31" s="11" t="s">
        <v>657</v>
      </c>
      <c r="E31" s="33"/>
      <c r="F31" t="s">
        <v>658</v>
      </c>
      <c r="G31" t="s">
        <v>93</v>
      </c>
      <c r="H31">
        <f t="shared" si="0"/>
        <v>5</v>
      </c>
      <c r="I31" s="4">
        <v>3588000</v>
      </c>
      <c r="J31" s="4">
        <v>2099000</v>
      </c>
      <c r="K31" s="4">
        <f t="shared" si="1"/>
        <v>5687000</v>
      </c>
      <c r="L31" s="4"/>
      <c r="M31" s="22"/>
      <c r="N31" s="22"/>
      <c r="O31" s="22"/>
    </row>
    <row r="32" spans="3:15" x14ac:dyDescent="0.25">
      <c r="C32" s="33" t="str">
        <f t="shared" si="2"/>
        <v/>
      </c>
      <c r="D32" s="11" t="s">
        <v>659</v>
      </c>
      <c r="E32" s="33"/>
      <c r="F32" t="s">
        <v>661</v>
      </c>
      <c r="G32" t="s">
        <v>93</v>
      </c>
      <c r="H32">
        <f t="shared" si="0"/>
        <v>8</v>
      </c>
      <c r="I32" s="4">
        <v>4072500</v>
      </c>
      <c r="J32" s="4">
        <v>1900000</v>
      </c>
      <c r="K32" s="4">
        <f t="shared" si="1"/>
        <v>5972500</v>
      </c>
      <c r="L32" s="4"/>
      <c r="M32" s="22"/>
      <c r="N32" s="22"/>
      <c r="O32" s="22"/>
    </row>
    <row r="33" spans="3:15" x14ac:dyDescent="0.25">
      <c r="C33" s="33" t="str">
        <f t="shared" si="2"/>
        <v/>
      </c>
      <c r="D33" s="11" t="s">
        <v>660</v>
      </c>
      <c r="E33" s="33"/>
      <c r="F33" t="s">
        <v>572</v>
      </c>
      <c r="G33" t="s">
        <v>321</v>
      </c>
      <c r="H33">
        <f t="shared" si="0"/>
        <v>7</v>
      </c>
      <c r="I33" s="4">
        <v>2658900</v>
      </c>
      <c r="J33" s="4">
        <v>3250000</v>
      </c>
      <c r="K33" s="4">
        <f t="shared" si="1"/>
        <v>5908900</v>
      </c>
      <c r="M33" s="21"/>
      <c r="N33" s="21"/>
      <c r="O33" s="21"/>
    </row>
    <row r="34" spans="3:15" x14ac:dyDescent="0.25">
      <c r="C34" s="33" t="str">
        <f t="shared" si="2"/>
        <v/>
      </c>
      <c r="D34" s="11"/>
      <c r="E34" s="33" t="str">
        <f t="shared" ref="E34:E43" si="3">IF(H34=1,"t","")</f>
        <v/>
      </c>
      <c r="K34" s="4"/>
      <c r="M34" s="21"/>
      <c r="N34" s="21"/>
      <c r="O34" s="21"/>
    </row>
    <row r="35" spans="3:15" x14ac:dyDescent="0.25">
      <c r="C35" s="33" t="str">
        <f t="shared" si="2"/>
        <v/>
      </c>
      <c r="D35" s="11"/>
      <c r="E35" s="33" t="str">
        <f t="shared" si="3"/>
        <v/>
      </c>
      <c r="K35" s="4"/>
      <c r="M35" s="21"/>
      <c r="N35" s="21"/>
      <c r="O35" s="21"/>
    </row>
    <row r="36" spans="3:15" x14ac:dyDescent="0.25">
      <c r="C36" s="33" t="str">
        <f t="shared" si="2"/>
        <v/>
      </c>
      <c r="D36" s="11"/>
      <c r="E36" s="33" t="str">
        <f t="shared" si="3"/>
        <v/>
      </c>
      <c r="K36" s="4"/>
      <c r="M36" s="21"/>
      <c r="N36" s="21"/>
      <c r="O36" s="21"/>
    </row>
    <row r="37" spans="3:15" x14ac:dyDescent="0.25">
      <c r="C37" s="33" t="str">
        <f t="shared" si="2"/>
        <v/>
      </c>
      <c r="D37" s="11"/>
      <c r="E37" s="33" t="str">
        <f t="shared" si="3"/>
        <v/>
      </c>
      <c r="K37" s="4"/>
      <c r="M37" s="21"/>
      <c r="N37" s="21"/>
      <c r="O37" s="21"/>
    </row>
    <row r="38" spans="3:15" x14ac:dyDescent="0.25">
      <c r="C38" s="33" t="str">
        <f t="shared" si="2"/>
        <v/>
      </c>
      <c r="D38" s="11"/>
      <c r="E38" s="33" t="str">
        <f t="shared" si="3"/>
        <v/>
      </c>
      <c r="K38" s="4"/>
      <c r="M38" s="21"/>
      <c r="N38" s="21"/>
      <c r="O38" s="21"/>
    </row>
    <row r="39" spans="3:15" x14ac:dyDescent="0.25">
      <c r="C39" s="33" t="str">
        <f t="shared" si="2"/>
        <v/>
      </c>
      <c r="D39" s="11"/>
      <c r="E39" s="33" t="str">
        <f t="shared" si="3"/>
        <v/>
      </c>
      <c r="K39" s="4"/>
      <c r="M39" s="21"/>
      <c r="N39" s="21"/>
      <c r="O39" s="21"/>
    </row>
    <row r="40" spans="3:15" x14ac:dyDescent="0.25">
      <c r="C40" s="33" t="str">
        <f t="shared" si="2"/>
        <v/>
      </c>
      <c r="D40" s="11"/>
      <c r="E40" s="33" t="str">
        <f t="shared" si="3"/>
        <v/>
      </c>
      <c r="K40" s="4"/>
      <c r="M40" s="21"/>
      <c r="N40" s="21"/>
      <c r="O40" s="21"/>
    </row>
    <row r="41" spans="3:15" x14ac:dyDescent="0.25">
      <c r="C41" s="33" t="str">
        <f t="shared" si="2"/>
        <v/>
      </c>
      <c r="D41" s="11"/>
      <c r="E41" s="33" t="str">
        <f t="shared" si="3"/>
        <v/>
      </c>
      <c r="K41" s="4"/>
      <c r="M41" s="21"/>
      <c r="N41" s="21"/>
      <c r="O41" s="21"/>
    </row>
    <row r="42" spans="3:15" x14ac:dyDescent="0.25">
      <c r="C42" s="33" t="str">
        <f t="shared" si="2"/>
        <v/>
      </c>
      <c r="D42" s="11"/>
      <c r="E42" s="33" t="str">
        <f t="shared" si="3"/>
        <v/>
      </c>
      <c r="K42" s="4"/>
      <c r="M42" s="21"/>
      <c r="N42" s="21"/>
      <c r="O42" s="21"/>
    </row>
    <row r="43" spans="3:15" x14ac:dyDescent="0.25">
      <c r="C43" s="33" t="str">
        <f t="shared" si="2"/>
        <v/>
      </c>
      <c r="D43" s="11"/>
      <c r="E43" s="33" t="str">
        <f t="shared" si="3"/>
        <v/>
      </c>
      <c r="K43" s="4"/>
      <c r="M43" s="21"/>
      <c r="N43" s="21"/>
      <c r="O43" s="21"/>
    </row>
    <row r="44" spans="3:15" ht="6" customHeight="1" x14ac:dyDescent="0.25">
      <c r="C44" s="9"/>
      <c r="D44" s="9"/>
      <c r="E44" s="9"/>
      <c r="F44" s="9"/>
      <c r="G44" s="9"/>
      <c r="H44" s="9"/>
      <c r="I44" s="9"/>
      <c r="J44" s="9"/>
      <c r="K44" s="9"/>
      <c r="L44" s="9"/>
      <c r="M44" s="21"/>
      <c r="N44" s="21"/>
      <c r="O44" s="21"/>
    </row>
    <row r="45" spans="3:15" ht="6" customHeight="1" x14ac:dyDescent="0.25">
      <c r="M45" s="21"/>
      <c r="N45" s="21"/>
      <c r="O45" s="21"/>
    </row>
    <row r="46" spans="3:15" x14ac:dyDescent="0.25">
      <c r="C46" s="15" t="s">
        <v>79</v>
      </c>
      <c r="M46" s="21"/>
      <c r="N46" s="21"/>
      <c r="O46" s="21"/>
    </row>
    <row r="47" spans="3:15" x14ac:dyDescent="0.25">
      <c r="C47" s="15" t="s">
        <v>78</v>
      </c>
    </row>
  </sheetData>
  <mergeCells count="1">
    <mergeCell ref="G13:H13"/>
  </mergeCells>
  <conditionalFormatting sqref="I9">
    <cfRule type="containsText" dxfId="788" priority="19" operator="containsText" text="FAIL">
      <formula>NOT(ISERROR(SEARCH("FAIL",I9)))</formula>
    </cfRule>
  </conditionalFormatting>
  <conditionalFormatting sqref="I9">
    <cfRule type="containsText" dxfId="787" priority="18" operator="containsText" text="GOOD">
      <formula>NOT(ISERROR(SEARCH("GOOD",I9)))</formula>
    </cfRule>
  </conditionalFormatting>
  <conditionalFormatting sqref="I9">
    <cfRule type="containsText" dxfId="786" priority="17" operator="containsText" text="FAIL">
      <formula>NOT(ISERROR(SEARCH("FAIL",I9)))</formula>
    </cfRule>
  </conditionalFormatting>
  <conditionalFormatting sqref="I9">
    <cfRule type="containsText" dxfId="785" priority="16" operator="containsText" text="GOOD">
      <formula>NOT(ISERROR(SEARCH("GOOD",I9)))</formula>
    </cfRule>
  </conditionalFormatting>
  <conditionalFormatting sqref="I9">
    <cfRule type="containsText" dxfId="784" priority="15" operator="containsText" text="FAIL">
      <formula>NOT(ISERROR(SEARCH("FAIL",I9)))</formula>
    </cfRule>
  </conditionalFormatting>
  <conditionalFormatting sqref="I9">
    <cfRule type="containsText" dxfId="783" priority="14" operator="containsText" text="GOOD">
      <formula>NOT(ISERROR(SEARCH("GOOD",I9)))</formula>
    </cfRule>
  </conditionalFormatting>
  <conditionalFormatting sqref="F11">
    <cfRule type="containsText" dxfId="782" priority="13" operator="containsText" text="FAIL">
      <formula>NOT(ISERROR(SEARCH("FAIL",F11)))</formula>
    </cfRule>
  </conditionalFormatting>
  <conditionalFormatting sqref="F11">
    <cfRule type="containsText" dxfId="781" priority="12" operator="containsText" text="GOOD">
      <formula>NOT(ISERROR(SEARCH("GOOD",F11)))</formula>
    </cfRule>
  </conditionalFormatting>
  <conditionalFormatting sqref="I9">
    <cfRule type="containsText" dxfId="780" priority="11" operator="containsText" text="FAIL">
      <formula>NOT(ISERROR(SEARCH("FAIL",I9)))</formula>
    </cfRule>
  </conditionalFormatting>
  <conditionalFormatting sqref="I9">
    <cfRule type="containsText" dxfId="779" priority="10" operator="containsText" text="GOOD">
      <formula>NOT(ISERROR(SEARCH("GOOD",I9)))</formula>
    </cfRule>
  </conditionalFormatting>
  <conditionalFormatting sqref="F11">
    <cfRule type="containsText" dxfId="778" priority="9" operator="containsText" text="FAIL">
      <formula>NOT(ISERROR(SEARCH("FAIL",F11)))</formula>
    </cfRule>
  </conditionalFormatting>
  <conditionalFormatting sqref="F11">
    <cfRule type="containsText" dxfId="777" priority="8" operator="containsText" text="GOOD">
      <formula>NOT(ISERROR(SEARCH("GOOD",F11)))</formula>
    </cfRule>
  </conditionalFormatting>
  <conditionalFormatting sqref="D25">
    <cfRule type="expression" dxfId="776" priority="7" stopIfTrue="1">
      <formula>IF($H$25=1,0)</formula>
    </cfRule>
  </conditionalFormatting>
  <conditionalFormatting sqref="D23:D43">
    <cfRule type="expression" dxfId="775" priority="6">
      <formula>H23=1</formula>
    </cfRule>
  </conditionalFormatting>
  <conditionalFormatting sqref="C23:C43">
    <cfRule type="expression" dxfId="774" priority="5">
      <formula>H23=1</formula>
    </cfRule>
  </conditionalFormatting>
  <conditionalFormatting sqref="E23:E43">
    <cfRule type="expression" dxfId="773" priority="4">
      <formula>H23=1</formula>
    </cfRule>
  </conditionalFormatting>
  <conditionalFormatting sqref="E23:E43">
    <cfRule type="expression" dxfId="772" priority="3">
      <formula>H23=1</formula>
    </cfRule>
  </conditionalFormatting>
  <conditionalFormatting sqref="F11">
    <cfRule type="containsText" dxfId="771" priority="2" operator="containsText" text="FAIL">
      <formula>NOT(ISERROR(SEARCH("FAIL",F11)))</formula>
    </cfRule>
  </conditionalFormatting>
  <conditionalFormatting sqref="F11">
    <cfRule type="containsText" dxfId="770" priority="1" operator="containsText" text="GOOD">
      <formula>NOT(ISERROR(SEARCH("GOOD",F11)))</formula>
    </cfRule>
  </conditionalFormatting>
  <pageMargins left="0.7" right="0.7" top="0.75" bottom="0.75" header="0.3" footer="0.3"/>
  <pageSetup scale="68" orientation="portrait" r:id="rId1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 codeName="Sheet44"/>
  <dimension ref="A2:P47"/>
  <sheetViews>
    <sheetView zoomScaleNormal="100" workbookViewId="0">
      <selection activeCell="G8" sqref="G8"/>
    </sheetView>
  </sheetViews>
  <sheetFormatPr defaultRowHeight="15" x14ac:dyDescent="0.25"/>
  <cols>
    <col min="1" max="2" width="4.42578125" customWidth="1"/>
    <col min="3" max="3" width="3" customWidth="1"/>
    <col min="4" max="4" width="24.85546875" customWidth="1"/>
    <col min="5" max="5" width="3" customWidth="1"/>
    <col min="6" max="6" width="15.7109375" customWidth="1"/>
    <col min="7" max="7" width="8.5703125" customWidth="1"/>
    <col min="8" max="8" width="5.85546875" customWidth="1"/>
    <col min="9" max="15" width="15.7109375" customWidth="1"/>
  </cols>
  <sheetData>
    <row r="2" spans="1:16" x14ac:dyDescent="0.25">
      <c r="C2" s="15" t="s">
        <v>32</v>
      </c>
      <c r="E2" s="15"/>
      <c r="F2" s="15"/>
      <c r="G2" s="15" t="s">
        <v>33</v>
      </c>
      <c r="H2" s="15"/>
      <c r="I2" s="15"/>
      <c r="J2" s="15"/>
      <c r="K2" s="15"/>
    </row>
    <row r="3" spans="1:16" ht="18.75" x14ac:dyDescent="0.3">
      <c r="C3" s="3" t="s">
        <v>26</v>
      </c>
      <c r="J3" s="8" t="s">
        <v>17</v>
      </c>
      <c r="P3" s="100"/>
    </row>
    <row r="4" spans="1:16" x14ac:dyDescent="0.25">
      <c r="D4" s="2" t="s">
        <v>0</v>
      </c>
      <c r="E4" s="1"/>
      <c r="F4" t="s">
        <v>1042</v>
      </c>
      <c r="I4" s="2" t="s">
        <v>4</v>
      </c>
      <c r="J4" t="s">
        <v>447</v>
      </c>
    </row>
    <row r="5" spans="1:16" x14ac:dyDescent="0.25">
      <c r="D5" s="2" t="s">
        <v>1</v>
      </c>
      <c r="F5" t="s">
        <v>1043</v>
      </c>
    </row>
    <row r="6" spans="1:16" x14ac:dyDescent="0.25">
      <c r="D6" s="2" t="s">
        <v>2</v>
      </c>
      <c r="F6" s="6">
        <v>42913</v>
      </c>
      <c r="H6" s="11"/>
    </row>
    <row r="7" spans="1:16" x14ac:dyDescent="0.25">
      <c r="D7" s="2" t="s">
        <v>3</v>
      </c>
      <c r="F7" s="5">
        <v>1480000</v>
      </c>
      <c r="G7" s="2" t="s">
        <v>190</v>
      </c>
      <c r="H7" s="11"/>
    </row>
    <row r="8" spans="1:16" x14ac:dyDescent="0.25">
      <c r="D8" s="2" t="s">
        <v>18</v>
      </c>
      <c r="F8" s="5">
        <f>MIN(I23:I43)</f>
        <v>1483000</v>
      </c>
      <c r="H8" s="11"/>
    </row>
    <row r="9" spans="1:16" x14ac:dyDescent="0.25">
      <c r="D9" s="2" t="s">
        <v>67</v>
      </c>
      <c r="F9" s="4">
        <f>+F8-F7</f>
        <v>3000</v>
      </c>
      <c r="G9" s="16">
        <f>+F9/F7</f>
        <v>2.0270270270270271E-3</v>
      </c>
      <c r="H9" s="12" t="s">
        <v>20</v>
      </c>
      <c r="I9" s="11" t="str">
        <f>(IF(G9&lt;-0.1,"FAIL",IF(G9&gt;0.05,"FAIL","GOOD")))</f>
        <v>GOOD</v>
      </c>
      <c r="J9" s="14" t="s">
        <v>72</v>
      </c>
    </row>
    <row r="10" spans="1:16" x14ac:dyDescent="0.25">
      <c r="D10" s="2" t="s">
        <v>68</v>
      </c>
      <c r="F10" s="4">
        <f>+F7-F12</f>
        <v>-480153.57142857136</v>
      </c>
      <c r="H10" s="11"/>
    </row>
    <row r="11" spans="1:16" x14ac:dyDescent="0.25">
      <c r="A11" s="52"/>
      <c r="D11" s="2" t="s">
        <v>71</v>
      </c>
      <c r="F11" s="11" t="str">
        <f>(IF(F7&lt;J12,"FAIL",IF(F7&gt;J13,"FAIL","GOOD")))</f>
        <v>GOOD</v>
      </c>
      <c r="H11" s="11"/>
    </row>
    <row r="12" spans="1:16" x14ac:dyDescent="0.25">
      <c r="D12" s="2" t="s">
        <v>28</v>
      </c>
      <c r="F12" s="4">
        <f>SUM(I23:I43)/H12</f>
        <v>1960153.5714285714</v>
      </c>
      <c r="G12" s="14"/>
      <c r="H12" s="11">
        <f>COUNT(I23:I43)</f>
        <v>7</v>
      </c>
      <c r="I12" s="1" t="s">
        <v>31</v>
      </c>
      <c r="J12" s="4">
        <f>+F8*0.9</f>
        <v>1334700</v>
      </c>
      <c r="K12" s="1" t="s">
        <v>69</v>
      </c>
    </row>
    <row r="13" spans="1:16" x14ac:dyDescent="0.25">
      <c r="D13" s="2" t="s">
        <v>29</v>
      </c>
      <c r="F13" s="4">
        <f>MAX(I23:I43)-MIN(I23:I43)</f>
        <v>1084596</v>
      </c>
      <c r="G13" s="399">
        <f>MEDIAN(I23:I43)</f>
        <v>1850000</v>
      </c>
      <c r="H13" s="400"/>
      <c r="I13" s="1" t="s">
        <v>30</v>
      </c>
      <c r="J13" s="4">
        <f>+F12*1.1</f>
        <v>2156168.9285714286</v>
      </c>
      <c r="K13" s="1" t="s">
        <v>70</v>
      </c>
    </row>
    <row r="14" spans="1:16" x14ac:dyDescent="0.25">
      <c r="H14" s="11"/>
    </row>
    <row r="15" spans="1:16" x14ac:dyDescent="0.25">
      <c r="D15" s="2" t="s">
        <v>8</v>
      </c>
      <c r="F15" s="4"/>
      <c r="G15" s="1" t="s">
        <v>9</v>
      </c>
      <c r="H15" s="11"/>
      <c r="I15" t="s">
        <v>15</v>
      </c>
      <c r="J15" s="7" t="e">
        <f>+F16/F15</f>
        <v>#DIV/0!</v>
      </c>
    </row>
    <row r="16" spans="1:16" x14ac:dyDescent="0.25">
      <c r="F16" s="4"/>
      <c r="G16" s="1" t="s">
        <v>10</v>
      </c>
      <c r="H16" s="11"/>
      <c r="I16" t="s">
        <v>14</v>
      </c>
      <c r="J16" s="7" t="e">
        <f>+F17/F16</f>
        <v>#DIV/0!</v>
      </c>
    </row>
    <row r="17" spans="3:15" x14ac:dyDescent="0.25">
      <c r="F17" s="4"/>
      <c r="G17" s="1" t="s">
        <v>11</v>
      </c>
      <c r="H17" s="11"/>
      <c r="I17" t="s">
        <v>13</v>
      </c>
      <c r="J17" s="7" t="e">
        <f>+F18/F17</f>
        <v>#DIV/0!</v>
      </c>
      <c r="M17" s="21"/>
      <c r="N17" s="21"/>
      <c r="O17" s="21"/>
    </row>
    <row r="18" spans="3:15" x14ac:dyDescent="0.25">
      <c r="F18" s="4"/>
      <c r="G18" s="1" t="s">
        <v>12</v>
      </c>
      <c r="H18" s="11"/>
      <c r="I18" t="s">
        <v>16</v>
      </c>
      <c r="J18" s="7" t="e">
        <f>+F8/F18</f>
        <v>#DIV/0!</v>
      </c>
      <c r="M18" s="21"/>
      <c r="N18" s="21"/>
      <c r="O18" s="21"/>
    </row>
    <row r="19" spans="3:15" x14ac:dyDescent="0.25">
      <c r="F19" s="2" t="s">
        <v>51</v>
      </c>
      <c r="G19">
        <v>0</v>
      </c>
      <c r="H19" s="11" t="s">
        <v>52</v>
      </c>
      <c r="I19" t="s">
        <v>41</v>
      </c>
      <c r="J19" s="7" t="e">
        <f>+F8/F15</f>
        <v>#DIV/0!</v>
      </c>
      <c r="M19" s="21"/>
      <c r="N19" s="21"/>
      <c r="O19" s="21"/>
    </row>
    <row r="20" spans="3:15" x14ac:dyDescent="0.25">
      <c r="H20" s="11"/>
      <c r="M20" s="21"/>
      <c r="N20" s="21"/>
      <c r="O20" s="21"/>
    </row>
    <row r="21" spans="3:15" x14ac:dyDescent="0.25">
      <c r="C21" s="9"/>
      <c r="D21" s="13" t="s">
        <v>21</v>
      </c>
      <c r="E21" s="9"/>
      <c r="F21" s="9" t="s">
        <v>22</v>
      </c>
      <c r="G21" s="9" t="s">
        <v>23</v>
      </c>
      <c r="H21" s="13" t="s">
        <v>27</v>
      </c>
      <c r="I21" s="10" t="s">
        <v>24</v>
      </c>
      <c r="J21" s="9"/>
      <c r="K21" s="9"/>
      <c r="L21" s="9"/>
      <c r="M21" s="21"/>
      <c r="N21" s="21"/>
      <c r="O21" s="21"/>
    </row>
    <row r="22" spans="3:15" ht="6" customHeight="1" x14ac:dyDescent="0.25">
      <c r="M22" s="21"/>
      <c r="N22" s="21"/>
      <c r="O22" s="21"/>
    </row>
    <row r="23" spans="3:15" x14ac:dyDescent="0.25">
      <c r="C23" s="33" t="str">
        <f>IF(H23=1,"u","")</f>
        <v/>
      </c>
      <c r="D23" s="11" t="s">
        <v>907</v>
      </c>
      <c r="E23" s="33"/>
      <c r="F23" t="s">
        <v>312</v>
      </c>
      <c r="G23" t="s">
        <v>25</v>
      </c>
      <c r="H23">
        <f>RANK(I23,I$23:I$43,1)</f>
        <v>7</v>
      </c>
      <c r="I23" s="4">
        <v>2567596</v>
      </c>
      <c r="J23" s="4"/>
      <c r="K23" s="4"/>
      <c r="L23" s="4"/>
      <c r="M23" s="22"/>
      <c r="N23" s="22"/>
      <c r="O23" s="22"/>
    </row>
    <row r="24" spans="3:15" x14ac:dyDescent="0.25">
      <c r="C24" s="33" t="str">
        <f>IF(H24=1,"u","")</f>
        <v/>
      </c>
      <c r="D24" s="11" t="s">
        <v>626</v>
      </c>
      <c r="E24" s="33"/>
      <c r="F24" t="s">
        <v>308</v>
      </c>
      <c r="G24" t="s">
        <v>25</v>
      </c>
      <c r="H24">
        <f t="shared" ref="H24:H29" si="0">RANK(I24,I$23:I$43,1)</f>
        <v>2</v>
      </c>
      <c r="I24" s="4">
        <v>1764407</v>
      </c>
      <c r="J24" s="4"/>
      <c r="K24" s="4"/>
      <c r="L24" s="4"/>
      <c r="M24" s="22"/>
      <c r="N24" s="22"/>
      <c r="O24" s="22"/>
    </row>
    <row r="25" spans="3:15" x14ac:dyDescent="0.25">
      <c r="C25" s="33" t="str">
        <f>IF(H25=1,"u","")</f>
        <v/>
      </c>
      <c r="D25" s="11" t="s">
        <v>623</v>
      </c>
      <c r="E25" s="33"/>
      <c r="F25" t="s">
        <v>624</v>
      </c>
      <c r="G25" t="s">
        <v>25</v>
      </c>
      <c r="H25">
        <f t="shared" si="0"/>
        <v>4</v>
      </c>
      <c r="I25" s="4">
        <v>1850000</v>
      </c>
      <c r="J25" s="4"/>
      <c r="K25" s="4"/>
      <c r="L25" s="4"/>
      <c r="M25" s="22"/>
      <c r="N25" s="22"/>
      <c r="O25" s="22"/>
    </row>
    <row r="26" spans="3:15" x14ac:dyDescent="0.25">
      <c r="C26" s="33"/>
      <c r="D26" s="11" t="s">
        <v>1005</v>
      </c>
      <c r="E26" s="33"/>
      <c r="F26" t="s">
        <v>95</v>
      </c>
      <c r="G26" t="s">
        <v>93</v>
      </c>
      <c r="H26">
        <f t="shared" si="0"/>
        <v>1</v>
      </c>
      <c r="I26" s="4">
        <v>1483000</v>
      </c>
      <c r="J26" s="4"/>
      <c r="K26" s="4"/>
      <c r="L26" s="4"/>
      <c r="M26" s="22"/>
      <c r="N26" s="22"/>
      <c r="O26" s="22"/>
    </row>
    <row r="27" spans="3:15" x14ac:dyDescent="0.25">
      <c r="C27" s="33"/>
      <c r="D27" s="11" t="s">
        <v>997</v>
      </c>
      <c r="E27" s="33"/>
      <c r="F27" t="s">
        <v>998</v>
      </c>
      <c r="G27" t="s">
        <v>25</v>
      </c>
      <c r="H27">
        <f t="shared" si="0"/>
        <v>6</v>
      </c>
      <c r="I27" s="4">
        <v>2241500</v>
      </c>
      <c r="J27" s="4"/>
      <c r="K27" s="4"/>
      <c r="L27" s="4"/>
      <c r="M27" s="22"/>
      <c r="N27" s="22"/>
      <c r="O27" s="22"/>
    </row>
    <row r="28" spans="3:15" x14ac:dyDescent="0.25">
      <c r="C28" s="33"/>
      <c r="D28" s="11" t="s">
        <v>996</v>
      </c>
      <c r="E28" s="33"/>
      <c r="F28" t="s">
        <v>381</v>
      </c>
      <c r="G28" t="s">
        <v>93</v>
      </c>
      <c r="H28">
        <f t="shared" si="0"/>
        <v>3</v>
      </c>
      <c r="I28" s="4">
        <v>1826679</v>
      </c>
      <c r="J28" s="4"/>
      <c r="K28" s="4"/>
      <c r="L28" s="4"/>
      <c r="M28" s="22"/>
      <c r="N28" s="22"/>
      <c r="O28" s="22"/>
    </row>
    <row r="29" spans="3:15" x14ac:dyDescent="0.25">
      <c r="C29" s="33" t="str">
        <f t="shared" ref="C29:C43" si="1">IF(H29=1,"u","")</f>
        <v/>
      </c>
      <c r="D29" s="11" t="s">
        <v>1044</v>
      </c>
      <c r="E29" s="33"/>
      <c r="F29" t="s">
        <v>1045</v>
      </c>
      <c r="G29" t="s">
        <v>1046</v>
      </c>
      <c r="H29">
        <f t="shared" si="0"/>
        <v>5</v>
      </c>
      <c r="I29" s="4">
        <v>1987893</v>
      </c>
      <c r="J29" s="4"/>
      <c r="K29" s="4"/>
      <c r="L29" s="4"/>
      <c r="M29" s="22"/>
      <c r="N29" s="22"/>
      <c r="O29" s="22"/>
    </row>
    <row r="30" spans="3:15" x14ac:dyDescent="0.25">
      <c r="C30" s="33" t="str">
        <f t="shared" si="1"/>
        <v/>
      </c>
      <c r="D30" s="11"/>
      <c r="E30" s="33"/>
      <c r="I30" s="4"/>
      <c r="J30" s="4"/>
      <c r="K30" s="4"/>
      <c r="L30" s="4"/>
      <c r="M30" s="22"/>
      <c r="N30" s="22"/>
      <c r="O30" s="22"/>
    </row>
    <row r="31" spans="3:15" x14ac:dyDescent="0.25">
      <c r="C31" s="33" t="str">
        <f t="shared" si="1"/>
        <v/>
      </c>
      <c r="D31" s="11"/>
      <c r="E31" s="33"/>
      <c r="I31" s="4"/>
      <c r="J31" s="4"/>
      <c r="K31" s="4"/>
      <c r="L31" s="4"/>
      <c r="M31" s="22"/>
      <c r="N31" s="22"/>
      <c r="O31" s="22"/>
    </row>
    <row r="32" spans="3:15" x14ac:dyDescent="0.25">
      <c r="C32" s="33" t="str">
        <f t="shared" si="1"/>
        <v/>
      </c>
      <c r="D32" s="11"/>
      <c r="E32" s="33"/>
      <c r="I32" s="4"/>
      <c r="J32" s="4"/>
      <c r="K32" s="4"/>
      <c r="L32" s="4"/>
      <c r="M32" s="22"/>
      <c r="N32" s="22"/>
      <c r="O32" s="22"/>
    </row>
    <row r="33" spans="3:15" x14ac:dyDescent="0.25">
      <c r="C33" s="33" t="str">
        <f t="shared" si="1"/>
        <v/>
      </c>
      <c r="D33" s="11"/>
      <c r="E33" s="33"/>
      <c r="I33" s="4"/>
      <c r="M33" s="21"/>
      <c r="N33" s="21"/>
      <c r="O33" s="21"/>
    </row>
    <row r="34" spans="3:15" x14ac:dyDescent="0.25">
      <c r="C34" s="33" t="str">
        <f t="shared" si="1"/>
        <v/>
      </c>
      <c r="D34" s="11"/>
      <c r="E34" s="33" t="str">
        <f t="shared" ref="E34:E43" si="2">IF(H34=1,"t","")</f>
        <v/>
      </c>
      <c r="M34" s="21"/>
      <c r="N34" s="21"/>
      <c r="O34" s="21"/>
    </row>
    <row r="35" spans="3:15" x14ac:dyDescent="0.25">
      <c r="C35" s="33" t="str">
        <f t="shared" si="1"/>
        <v/>
      </c>
      <c r="D35" s="11"/>
      <c r="E35" s="33" t="str">
        <f t="shared" si="2"/>
        <v/>
      </c>
      <c r="M35" s="21"/>
      <c r="N35" s="21"/>
      <c r="O35" s="21"/>
    </row>
    <row r="36" spans="3:15" x14ac:dyDescent="0.25">
      <c r="C36" s="33" t="str">
        <f t="shared" si="1"/>
        <v/>
      </c>
      <c r="D36" s="11"/>
      <c r="E36" s="33" t="str">
        <f t="shared" si="2"/>
        <v/>
      </c>
      <c r="M36" s="21"/>
      <c r="N36" s="21"/>
      <c r="O36" s="21"/>
    </row>
    <row r="37" spans="3:15" x14ac:dyDescent="0.25">
      <c r="C37" s="33" t="str">
        <f t="shared" si="1"/>
        <v/>
      </c>
      <c r="D37" s="11"/>
      <c r="E37" s="33" t="str">
        <f t="shared" si="2"/>
        <v/>
      </c>
      <c r="M37" s="21"/>
      <c r="N37" s="21"/>
      <c r="O37" s="21"/>
    </row>
    <row r="38" spans="3:15" x14ac:dyDescent="0.25">
      <c r="C38" s="33" t="str">
        <f t="shared" si="1"/>
        <v/>
      </c>
      <c r="D38" s="11"/>
      <c r="E38" s="33" t="str">
        <f t="shared" si="2"/>
        <v/>
      </c>
      <c r="M38" s="21"/>
      <c r="N38" s="21"/>
      <c r="O38" s="21"/>
    </row>
    <row r="39" spans="3:15" x14ac:dyDescent="0.25">
      <c r="C39" s="33" t="str">
        <f t="shared" si="1"/>
        <v/>
      </c>
      <c r="D39" s="11"/>
      <c r="E39" s="33" t="str">
        <f t="shared" si="2"/>
        <v/>
      </c>
      <c r="M39" s="21"/>
      <c r="N39" s="21"/>
      <c r="O39" s="21"/>
    </row>
    <row r="40" spans="3:15" x14ac:dyDescent="0.25">
      <c r="C40" s="33" t="str">
        <f t="shared" si="1"/>
        <v/>
      </c>
      <c r="D40" s="11"/>
      <c r="E40" s="33" t="str">
        <f t="shared" si="2"/>
        <v/>
      </c>
      <c r="M40" s="21"/>
      <c r="N40" s="21"/>
      <c r="O40" s="21"/>
    </row>
    <row r="41" spans="3:15" x14ac:dyDescent="0.25">
      <c r="C41" s="33" t="str">
        <f t="shared" si="1"/>
        <v/>
      </c>
      <c r="D41" s="11"/>
      <c r="E41" s="33" t="str">
        <f t="shared" si="2"/>
        <v/>
      </c>
      <c r="M41" s="21"/>
      <c r="N41" s="21"/>
      <c r="O41" s="21"/>
    </row>
    <row r="42" spans="3:15" x14ac:dyDescent="0.25">
      <c r="C42" s="33" t="str">
        <f t="shared" si="1"/>
        <v/>
      </c>
      <c r="D42" s="11"/>
      <c r="E42" s="33" t="str">
        <f t="shared" si="2"/>
        <v/>
      </c>
      <c r="M42" s="21"/>
      <c r="N42" s="21"/>
      <c r="O42" s="21"/>
    </row>
    <row r="43" spans="3:15" x14ac:dyDescent="0.25">
      <c r="C43" s="33" t="str">
        <f t="shared" si="1"/>
        <v/>
      </c>
      <c r="D43" s="11"/>
      <c r="E43" s="33" t="str">
        <f t="shared" si="2"/>
        <v/>
      </c>
      <c r="M43" s="21"/>
      <c r="N43" s="21"/>
      <c r="O43" s="21"/>
    </row>
    <row r="44" spans="3:15" ht="6" customHeight="1" x14ac:dyDescent="0.25">
      <c r="C44" s="9"/>
      <c r="D44" s="9"/>
      <c r="E44" s="9"/>
      <c r="F44" s="9"/>
      <c r="G44" s="9"/>
      <c r="H44" s="9"/>
      <c r="I44" s="9"/>
      <c r="J44" s="9"/>
      <c r="K44" s="9"/>
      <c r="L44" s="9"/>
      <c r="M44" s="21"/>
      <c r="N44" s="21"/>
      <c r="O44" s="21"/>
    </row>
    <row r="45" spans="3:15" ht="6" customHeight="1" x14ac:dyDescent="0.25">
      <c r="M45" s="21"/>
      <c r="N45" s="21"/>
      <c r="O45" s="21"/>
    </row>
    <row r="46" spans="3:15" x14ac:dyDescent="0.25">
      <c r="C46" s="15" t="s">
        <v>79</v>
      </c>
      <c r="M46" s="21"/>
      <c r="N46" s="21"/>
      <c r="O46" s="21"/>
    </row>
    <row r="47" spans="3:15" x14ac:dyDescent="0.25">
      <c r="C47" s="15" t="s">
        <v>78</v>
      </c>
    </row>
  </sheetData>
  <mergeCells count="1">
    <mergeCell ref="G13:H13"/>
  </mergeCells>
  <conditionalFormatting sqref="I9">
    <cfRule type="containsText" dxfId="1853" priority="16" operator="containsText" text="FAIL">
      <formula>NOT(ISERROR(SEARCH("FAIL",I9)))</formula>
    </cfRule>
  </conditionalFormatting>
  <conditionalFormatting sqref="I9">
    <cfRule type="containsText" dxfId="1852" priority="15" operator="containsText" text="GOOD">
      <formula>NOT(ISERROR(SEARCH("GOOD",I9)))</formula>
    </cfRule>
  </conditionalFormatting>
  <conditionalFormatting sqref="F11">
    <cfRule type="containsText" dxfId="1851" priority="14" operator="containsText" text="FAIL">
      <formula>NOT(ISERROR(SEARCH("FAIL",F11)))</formula>
    </cfRule>
  </conditionalFormatting>
  <conditionalFormatting sqref="F11">
    <cfRule type="containsText" dxfId="1850" priority="13" operator="containsText" text="GOOD">
      <formula>NOT(ISERROR(SEARCH("GOOD",F11)))</formula>
    </cfRule>
  </conditionalFormatting>
  <conditionalFormatting sqref="D25">
    <cfRule type="expression" dxfId="1849" priority="12" stopIfTrue="1">
      <formula>IF($H$25=1,0)</formula>
    </cfRule>
  </conditionalFormatting>
  <conditionalFormatting sqref="D23 D29:D43 D25:D26">
    <cfRule type="expression" dxfId="1848" priority="11">
      <formula>H23=1</formula>
    </cfRule>
  </conditionalFormatting>
  <conditionalFormatting sqref="C23:C26 C29:C43">
    <cfRule type="expression" dxfId="1847" priority="10">
      <formula>H23=1</formula>
    </cfRule>
  </conditionalFormatting>
  <conditionalFormatting sqref="E23 E29:E43 E25:E26">
    <cfRule type="expression" dxfId="1846" priority="9">
      <formula>H23=1</formula>
    </cfRule>
  </conditionalFormatting>
  <conditionalFormatting sqref="F11">
    <cfRule type="containsText" dxfId="1845" priority="8" operator="containsText" text="FAIL">
      <formula>NOT(ISERROR(SEARCH("FAIL",F11)))</formula>
    </cfRule>
  </conditionalFormatting>
  <conditionalFormatting sqref="F11">
    <cfRule type="containsText" dxfId="1844" priority="7" operator="containsText" text="GOOD">
      <formula>NOT(ISERROR(SEARCH("GOOD",F11)))</formula>
    </cfRule>
  </conditionalFormatting>
  <conditionalFormatting sqref="D27:D28">
    <cfRule type="expression" dxfId="1843" priority="6">
      <formula>H27=1</formula>
    </cfRule>
  </conditionalFormatting>
  <conditionalFormatting sqref="C27:C28">
    <cfRule type="expression" dxfId="1842" priority="5">
      <formula>H27=1</formula>
    </cfRule>
  </conditionalFormatting>
  <conditionalFormatting sqref="E27:E28">
    <cfRule type="expression" dxfId="1841" priority="4">
      <formula>H27=1</formula>
    </cfRule>
  </conditionalFormatting>
  <conditionalFormatting sqref="D24">
    <cfRule type="expression" dxfId="1840" priority="3" stopIfTrue="1">
      <formula>IF($H$25=1,0)</formula>
    </cfRule>
  </conditionalFormatting>
  <conditionalFormatting sqref="D24">
    <cfRule type="expression" dxfId="1839" priority="2">
      <formula>H24=1</formula>
    </cfRule>
  </conditionalFormatting>
  <conditionalFormatting sqref="E24">
    <cfRule type="expression" dxfId="1838" priority="1">
      <formula>H24=1</formula>
    </cfRule>
  </conditionalFormatting>
  <pageMargins left="0.7" right="0.7" top="0.75" bottom="0.75" header="0.3" footer="0.3"/>
  <pageSetup scale="68" orientation="portrait" r:id="rId1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sheetPr codeName="Sheet53"/>
  <dimension ref="A2:O56"/>
  <sheetViews>
    <sheetView zoomScaleNormal="100" workbookViewId="0">
      <selection activeCell="F6" sqref="F6"/>
    </sheetView>
  </sheetViews>
  <sheetFormatPr defaultRowHeight="15" x14ac:dyDescent="0.25"/>
  <cols>
    <col min="1" max="2" width="4.42578125" customWidth="1"/>
    <col min="3" max="3" width="3" customWidth="1"/>
    <col min="4" max="4" width="24.7109375" customWidth="1"/>
    <col min="5" max="5" width="3" customWidth="1"/>
    <col min="6" max="6" width="15.7109375" customWidth="1"/>
    <col min="7" max="7" width="8.5703125" customWidth="1"/>
    <col min="8" max="8" width="5.85546875" customWidth="1"/>
    <col min="9" max="15" width="15.7109375" customWidth="1"/>
  </cols>
  <sheetData>
    <row r="2" spans="1:11" x14ac:dyDescent="0.25">
      <c r="C2" s="15" t="s">
        <v>32</v>
      </c>
      <c r="E2" s="15"/>
      <c r="F2" s="15"/>
      <c r="G2" s="15" t="s">
        <v>33</v>
      </c>
      <c r="H2" s="15"/>
      <c r="I2" s="15"/>
      <c r="J2" s="15"/>
      <c r="K2" s="15"/>
    </row>
    <row r="3" spans="1:11" ht="18.75" x14ac:dyDescent="0.3">
      <c r="C3" s="3" t="s">
        <v>26</v>
      </c>
      <c r="J3" s="8" t="s">
        <v>47</v>
      </c>
    </row>
    <row r="4" spans="1:11" x14ac:dyDescent="0.25">
      <c r="D4" s="2" t="s">
        <v>0</v>
      </c>
      <c r="E4" s="1"/>
      <c r="F4" t="s">
        <v>1018</v>
      </c>
      <c r="I4" s="2" t="s">
        <v>4</v>
      </c>
      <c r="J4" t="s">
        <v>447</v>
      </c>
    </row>
    <row r="5" spans="1:11" x14ac:dyDescent="0.25">
      <c r="D5" s="2" t="s">
        <v>1</v>
      </c>
      <c r="F5" t="s">
        <v>1019</v>
      </c>
    </row>
    <row r="6" spans="1:11" x14ac:dyDescent="0.25">
      <c r="D6" s="2" t="s">
        <v>2</v>
      </c>
      <c r="F6" s="6">
        <v>42873</v>
      </c>
      <c r="H6" s="11"/>
    </row>
    <row r="7" spans="1:11" x14ac:dyDescent="0.25">
      <c r="D7" s="2" t="s">
        <v>3</v>
      </c>
      <c r="F7" s="5">
        <f>+I7+J7</f>
        <v>29400000</v>
      </c>
      <c r="G7" s="2" t="s">
        <v>756</v>
      </c>
      <c r="H7" s="11"/>
      <c r="I7" s="19">
        <v>3100000</v>
      </c>
      <c r="J7" s="19">
        <v>26300000</v>
      </c>
    </row>
    <row r="8" spans="1:11" x14ac:dyDescent="0.25">
      <c r="D8" s="2" t="s">
        <v>18</v>
      </c>
      <c r="F8" s="5">
        <f>MIN(K23:K43)</f>
        <v>40981000</v>
      </c>
      <c r="H8" s="11"/>
      <c r="I8" s="18" t="s">
        <v>43</v>
      </c>
      <c r="J8" s="18" t="s">
        <v>44</v>
      </c>
    </row>
    <row r="9" spans="1:11" x14ac:dyDescent="0.25">
      <c r="D9" s="2" t="s">
        <v>19</v>
      </c>
      <c r="F9" s="4">
        <f>+F8-F7</f>
        <v>11581000</v>
      </c>
      <c r="G9" s="16">
        <f>+F9/F7</f>
        <v>0.39391156462585036</v>
      </c>
      <c r="H9" s="12" t="s">
        <v>20</v>
      </c>
      <c r="I9" s="11" t="str">
        <f>(IF(G9&lt;-0.1,"FAIL",IF(G9&gt;0.05,"FAIL","GOOD")))</f>
        <v>FAIL</v>
      </c>
      <c r="J9" s="14" t="s">
        <v>72</v>
      </c>
    </row>
    <row r="10" spans="1:11" x14ac:dyDescent="0.25">
      <c r="D10" s="2" t="s">
        <v>68</v>
      </c>
      <c r="F10" s="4">
        <f>+F7-F12</f>
        <v>-13799000</v>
      </c>
      <c r="H10" s="11"/>
    </row>
    <row r="11" spans="1:11" x14ac:dyDescent="0.25">
      <c r="A11" s="30"/>
      <c r="D11" s="2" t="s">
        <v>71</v>
      </c>
      <c r="F11" s="11" t="str">
        <f>(IF(F7&lt;J12,"FAIL",IF(F7&gt;J13,"FAIL","GOOD")))</f>
        <v>FAIL</v>
      </c>
      <c r="H11" s="11"/>
    </row>
    <row r="12" spans="1:11" x14ac:dyDescent="0.25">
      <c r="D12" s="2" t="s">
        <v>28</v>
      </c>
      <c r="F12" s="4">
        <f>SUM(K23:K43)/H12</f>
        <v>43199000</v>
      </c>
      <c r="G12" s="14"/>
      <c r="H12" s="11">
        <f>COUNT(K23:K43)</f>
        <v>2</v>
      </c>
      <c r="I12" s="1" t="s">
        <v>31</v>
      </c>
      <c r="J12" s="4">
        <f>+F8*0.9</f>
        <v>36882900</v>
      </c>
      <c r="K12" s="1" t="s">
        <v>69</v>
      </c>
    </row>
    <row r="13" spans="1:11" x14ac:dyDescent="0.25">
      <c r="D13" s="2" t="s">
        <v>29</v>
      </c>
      <c r="F13" s="4">
        <f>MAX(K23:K43)-MIN(K23:K43)</f>
        <v>4436000</v>
      </c>
      <c r="G13" s="399">
        <f>MEDIAN(K23:K43)</f>
        <v>43199000</v>
      </c>
      <c r="H13" s="400"/>
      <c r="I13" s="1" t="s">
        <v>30</v>
      </c>
      <c r="J13" s="4">
        <f>+F12*1.1</f>
        <v>47518900.000000007</v>
      </c>
      <c r="K13" s="1" t="s">
        <v>70</v>
      </c>
    </row>
    <row r="14" spans="1:11" x14ac:dyDescent="0.25">
      <c r="H14" s="11"/>
    </row>
    <row r="15" spans="1:11" hidden="1" x14ac:dyDescent="0.25">
      <c r="D15" s="2" t="s">
        <v>8</v>
      </c>
      <c r="F15" s="4">
        <v>30000000</v>
      </c>
      <c r="G15" s="1" t="s">
        <v>9</v>
      </c>
      <c r="H15" s="11"/>
      <c r="I15" t="s">
        <v>15</v>
      </c>
      <c r="J15" s="7">
        <f>+F16/F15</f>
        <v>0.93333333333333335</v>
      </c>
    </row>
    <row r="16" spans="1:11" hidden="1" x14ac:dyDescent="0.25">
      <c r="F16" s="4">
        <v>28000000</v>
      </c>
      <c r="G16" s="1" t="s">
        <v>10</v>
      </c>
      <c r="H16" s="11"/>
      <c r="I16" t="s">
        <v>14</v>
      </c>
      <c r="J16" s="7">
        <f>+F17/F16</f>
        <v>1.0535714285714286</v>
      </c>
    </row>
    <row r="17" spans="3:15" hidden="1" x14ac:dyDescent="0.25">
      <c r="F17" s="4">
        <v>29500000</v>
      </c>
      <c r="G17" s="1" t="s">
        <v>11</v>
      </c>
      <c r="H17" s="11"/>
      <c r="I17" t="s">
        <v>13</v>
      </c>
      <c r="J17" s="7">
        <f>+F18/F17</f>
        <v>0.99661016949152548</v>
      </c>
    </row>
    <row r="18" spans="3:15" hidden="1" x14ac:dyDescent="0.25">
      <c r="F18" s="4">
        <f>+F7</f>
        <v>29400000</v>
      </c>
      <c r="G18" s="1" t="s">
        <v>12</v>
      </c>
      <c r="H18" s="11"/>
      <c r="I18" t="s">
        <v>16</v>
      </c>
      <c r="J18" s="7">
        <f>+F8/F18</f>
        <v>1.3939115646258504</v>
      </c>
    </row>
    <row r="19" spans="3:15" hidden="1" x14ac:dyDescent="0.25">
      <c r="F19" s="2" t="s">
        <v>51</v>
      </c>
      <c r="G19">
        <v>0</v>
      </c>
      <c r="H19" s="11" t="s">
        <v>52</v>
      </c>
      <c r="I19" t="s">
        <v>41</v>
      </c>
      <c r="J19" s="7">
        <f>+F8/F15</f>
        <v>1.3660333333333334</v>
      </c>
    </row>
    <row r="20" spans="3:15" x14ac:dyDescent="0.25">
      <c r="H20" s="11"/>
      <c r="M20" s="21"/>
      <c r="N20" s="21"/>
      <c r="O20" s="21"/>
    </row>
    <row r="21" spans="3:15" x14ac:dyDescent="0.25">
      <c r="C21" s="9"/>
      <c r="D21" s="13" t="s">
        <v>21</v>
      </c>
      <c r="E21" s="9"/>
      <c r="F21" s="9" t="s">
        <v>22</v>
      </c>
      <c r="G21" s="9" t="s">
        <v>23</v>
      </c>
      <c r="H21" s="13" t="s">
        <v>27</v>
      </c>
      <c r="I21" s="10" t="s">
        <v>38</v>
      </c>
      <c r="J21" s="10" t="s">
        <v>37</v>
      </c>
      <c r="K21" s="10" t="s">
        <v>39</v>
      </c>
      <c r="L21" s="9"/>
      <c r="M21" s="21"/>
      <c r="N21" s="21"/>
      <c r="O21" s="21"/>
    </row>
    <row r="22" spans="3:15" ht="6" customHeight="1" x14ac:dyDescent="0.25">
      <c r="M22" s="21"/>
      <c r="N22" s="21"/>
      <c r="O22" s="21"/>
    </row>
    <row r="23" spans="3:15" x14ac:dyDescent="0.25">
      <c r="C23" s="33" t="str">
        <f>IF(H23=1,"u","")</f>
        <v/>
      </c>
      <c r="D23" s="11" t="s">
        <v>502</v>
      </c>
      <c r="E23" s="33"/>
      <c r="F23" t="s">
        <v>95</v>
      </c>
      <c r="G23" t="s">
        <v>93</v>
      </c>
      <c r="H23">
        <f>RANK(K23,K$23:K$43,1)</f>
        <v>2</v>
      </c>
      <c r="I23" s="4">
        <v>1695000</v>
      </c>
      <c r="J23" s="4">
        <v>43722000</v>
      </c>
      <c r="K23" s="4">
        <f>+J23+I23</f>
        <v>45417000</v>
      </c>
      <c r="L23" s="4"/>
      <c r="M23" s="22"/>
      <c r="N23" s="22"/>
      <c r="O23" s="22"/>
    </row>
    <row r="24" spans="3:15" x14ac:dyDescent="0.25">
      <c r="C24" s="33" t="str">
        <f>IF(H24=1,"u","")</f>
        <v>u</v>
      </c>
      <c r="D24" s="11" t="s">
        <v>496</v>
      </c>
      <c r="E24" s="33"/>
      <c r="F24" t="s">
        <v>295</v>
      </c>
      <c r="G24" t="s">
        <v>25</v>
      </c>
      <c r="H24">
        <f>RANK(K24,K$23:K$43,1)</f>
        <v>1</v>
      </c>
      <c r="I24" s="4">
        <v>1385000</v>
      </c>
      <c r="J24" s="4">
        <v>39596000</v>
      </c>
      <c r="K24" s="4">
        <f>+J24+I24</f>
        <v>40981000</v>
      </c>
      <c r="L24" s="4"/>
      <c r="M24" s="22"/>
      <c r="N24" s="22"/>
      <c r="O24" s="22"/>
    </row>
    <row r="25" spans="3:15" x14ac:dyDescent="0.25">
      <c r="C25" s="33" t="str">
        <f>IF(H25=1,"u","")</f>
        <v/>
      </c>
      <c r="D25" s="11"/>
      <c r="E25" s="33"/>
      <c r="I25" s="4"/>
      <c r="J25" s="4"/>
      <c r="K25" s="4"/>
      <c r="L25" s="4"/>
      <c r="M25" s="22"/>
      <c r="N25" s="22"/>
      <c r="O25" s="22"/>
    </row>
    <row r="26" spans="3:15" x14ac:dyDescent="0.25">
      <c r="C26" s="33" t="str">
        <f t="shared" ref="C26:C43" si="0">IF(H26=1,"u","")</f>
        <v/>
      </c>
      <c r="D26" s="11"/>
      <c r="E26" s="33"/>
      <c r="I26" s="4"/>
      <c r="J26" s="4"/>
      <c r="K26" s="4"/>
      <c r="L26" s="4"/>
      <c r="M26" s="22"/>
      <c r="N26" s="22"/>
      <c r="O26" s="22"/>
    </row>
    <row r="27" spans="3:15" x14ac:dyDescent="0.25">
      <c r="C27" s="33" t="str">
        <f t="shared" si="0"/>
        <v/>
      </c>
      <c r="D27" s="11"/>
      <c r="E27" s="33"/>
      <c r="I27" s="4"/>
      <c r="J27" s="4"/>
      <c r="K27" s="4"/>
      <c r="L27" s="4"/>
      <c r="M27" s="22"/>
      <c r="N27" s="22"/>
      <c r="O27" s="22"/>
    </row>
    <row r="28" spans="3:15" x14ac:dyDescent="0.25">
      <c r="C28" s="33" t="str">
        <f t="shared" si="0"/>
        <v/>
      </c>
      <c r="D28" s="11"/>
      <c r="E28" s="33"/>
      <c r="I28" s="4"/>
      <c r="J28" s="4"/>
      <c r="K28" s="4"/>
      <c r="L28" s="4"/>
      <c r="M28" s="22"/>
      <c r="N28" s="22"/>
      <c r="O28" s="22"/>
    </row>
    <row r="29" spans="3:15" x14ac:dyDescent="0.25">
      <c r="C29" s="33" t="str">
        <f t="shared" si="0"/>
        <v/>
      </c>
      <c r="D29" s="11"/>
      <c r="E29" s="33"/>
      <c r="I29" s="4"/>
      <c r="J29" s="4"/>
      <c r="K29" s="4"/>
      <c r="L29" s="4"/>
      <c r="M29" s="22"/>
      <c r="N29" s="22"/>
      <c r="O29" s="22"/>
    </row>
    <row r="30" spans="3:15" x14ac:dyDescent="0.25">
      <c r="C30" s="33" t="str">
        <f t="shared" si="0"/>
        <v/>
      </c>
      <c r="D30" s="11"/>
      <c r="E30" s="33"/>
      <c r="I30" s="4"/>
      <c r="J30" s="4"/>
      <c r="K30" s="4"/>
      <c r="L30" s="4"/>
      <c r="M30" s="22"/>
      <c r="N30" s="22"/>
      <c r="O30" s="22"/>
    </row>
    <row r="31" spans="3:15" x14ac:dyDescent="0.25">
      <c r="C31" s="33" t="str">
        <f t="shared" si="0"/>
        <v/>
      </c>
      <c r="D31" s="11"/>
      <c r="E31" s="33"/>
      <c r="I31" s="4"/>
      <c r="J31" s="4"/>
      <c r="K31" s="4"/>
      <c r="L31" s="4"/>
      <c r="M31" s="22"/>
      <c r="N31" s="22"/>
      <c r="O31" s="22"/>
    </row>
    <row r="32" spans="3:15" x14ac:dyDescent="0.25">
      <c r="C32" s="33" t="str">
        <f t="shared" si="0"/>
        <v/>
      </c>
      <c r="D32" s="11"/>
      <c r="E32" s="33"/>
      <c r="I32" s="4"/>
      <c r="J32" s="4"/>
      <c r="K32" s="4"/>
      <c r="L32" s="4"/>
      <c r="M32" s="22"/>
      <c r="N32" s="22"/>
      <c r="O32" s="22"/>
    </row>
    <row r="33" spans="3:15" x14ac:dyDescent="0.25">
      <c r="C33" s="33" t="str">
        <f t="shared" si="0"/>
        <v/>
      </c>
      <c r="D33" s="11"/>
      <c r="E33" s="33"/>
      <c r="I33" s="4"/>
      <c r="J33" s="4"/>
      <c r="K33" s="4"/>
      <c r="M33" s="21"/>
      <c r="N33" s="21"/>
      <c r="O33" s="21"/>
    </row>
    <row r="34" spans="3:15" x14ac:dyDescent="0.25">
      <c r="C34" s="33" t="str">
        <f t="shared" si="0"/>
        <v/>
      </c>
      <c r="D34" s="11"/>
      <c r="E34" s="33"/>
      <c r="I34" s="4"/>
      <c r="J34" s="4"/>
      <c r="K34" s="4"/>
      <c r="M34" s="21"/>
      <c r="N34" s="21"/>
      <c r="O34" s="21"/>
    </row>
    <row r="35" spans="3:15" x14ac:dyDescent="0.25">
      <c r="C35" s="33" t="str">
        <f t="shared" si="0"/>
        <v/>
      </c>
      <c r="D35" s="11"/>
      <c r="E35" s="33"/>
      <c r="I35" s="4"/>
      <c r="J35" s="4"/>
      <c r="K35" s="4"/>
      <c r="M35" s="21"/>
      <c r="N35" s="21"/>
      <c r="O35" s="21"/>
    </row>
    <row r="36" spans="3:15" x14ac:dyDescent="0.25">
      <c r="C36" s="33" t="str">
        <f t="shared" si="0"/>
        <v/>
      </c>
      <c r="D36" s="11"/>
      <c r="E36" s="33"/>
      <c r="I36" s="4"/>
      <c r="J36" s="4"/>
      <c r="K36" s="4"/>
      <c r="M36" s="21"/>
      <c r="N36" s="21"/>
      <c r="O36" s="21"/>
    </row>
    <row r="37" spans="3:15" x14ac:dyDescent="0.25">
      <c r="C37" s="33" t="str">
        <f t="shared" si="0"/>
        <v/>
      </c>
      <c r="D37" s="11"/>
      <c r="E37" s="33"/>
      <c r="I37" s="4"/>
      <c r="J37" s="4"/>
      <c r="K37" s="4"/>
      <c r="M37" s="21"/>
      <c r="N37" s="21"/>
      <c r="O37" s="21"/>
    </row>
    <row r="38" spans="3:15" x14ac:dyDescent="0.25">
      <c r="C38" s="33" t="str">
        <f t="shared" si="0"/>
        <v/>
      </c>
      <c r="D38" s="11"/>
      <c r="E38" s="33"/>
      <c r="I38" s="4"/>
      <c r="J38" s="4"/>
      <c r="K38" s="4"/>
      <c r="M38" s="21"/>
      <c r="N38" s="21"/>
      <c r="O38" s="21"/>
    </row>
    <row r="39" spans="3:15" x14ac:dyDescent="0.25">
      <c r="C39" s="33" t="str">
        <f t="shared" si="0"/>
        <v/>
      </c>
      <c r="D39" s="11"/>
      <c r="E39" s="33" t="str">
        <f>IF(H39=1,"t","")</f>
        <v/>
      </c>
      <c r="K39" s="4"/>
      <c r="M39" s="21"/>
      <c r="N39" s="21"/>
      <c r="O39" s="21"/>
    </row>
    <row r="40" spans="3:15" x14ac:dyDescent="0.25">
      <c r="C40" s="33" t="str">
        <f t="shared" si="0"/>
        <v/>
      </c>
      <c r="D40" s="11"/>
      <c r="E40" s="33" t="str">
        <f>IF(H40=1,"t","")</f>
        <v/>
      </c>
      <c r="K40" s="4"/>
      <c r="M40" s="21"/>
      <c r="N40" s="21"/>
      <c r="O40" s="21"/>
    </row>
    <row r="41" spans="3:15" x14ac:dyDescent="0.25">
      <c r="C41" s="33" t="str">
        <f t="shared" si="0"/>
        <v/>
      </c>
      <c r="D41" s="11"/>
      <c r="E41" s="33" t="str">
        <f>IF(H41=1,"t","")</f>
        <v/>
      </c>
      <c r="K41" s="4"/>
      <c r="M41" s="21"/>
      <c r="N41" s="21"/>
      <c r="O41" s="21"/>
    </row>
    <row r="42" spans="3:15" x14ac:dyDescent="0.25">
      <c r="C42" s="33" t="str">
        <f t="shared" si="0"/>
        <v/>
      </c>
      <c r="D42" s="11"/>
      <c r="E42" s="33" t="str">
        <f>IF(H42=1,"t","")</f>
        <v/>
      </c>
      <c r="K42" s="4"/>
      <c r="M42" s="21"/>
      <c r="N42" s="21"/>
      <c r="O42" s="21"/>
    </row>
    <row r="43" spans="3:15" x14ac:dyDescent="0.25">
      <c r="C43" s="33" t="str">
        <f t="shared" si="0"/>
        <v/>
      </c>
      <c r="D43" s="11"/>
      <c r="E43" s="33" t="str">
        <f>IF(H43=1,"t","")</f>
        <v/>
      </c>
      <c r="K43" s="4"/>
      <c r="M43" s="21"/>
      <c r="N43" s="21"/>
      <c r="O43" s="21"/>
    </row>
    <row r="44" spans="3:15" ht="6" customHeight="1" x14ac:dyDescent="0.25">
      <c r="C44" s="9"/>
      <c r="D44" s="9"/>
      <c r="E44" s="9"/>
      <c r="F44" s="9"/>
      <c r="G44" s="9"/>
      <c r="H44" s="9"/>
      <c r="I44" s="9"/>
      <c r="J44" s="9"/>
      <c r="K44" s="9"/>
      <c r="L44" s="9"/>
      <c r="M44" s="21"/>
      <c r="N44" s="21"/>
      <c r="O44" s="21"/>
    </row>
    <row r="45" spans="3:15" ht="6" customHeight="1" x14ac:dyDescent="0.25">
      <c r="M45" s="21"/>
      <c r="N45" s="21"/>
      <c r="O45" s="21"/>
    </row>
    <row r="46" spans="3:15" x14ac:dyDescent="0.25">
      <c r="C46" s="15" t="s">
        <v>79</v>
      </c>
      <c r="M46" s="21"/>
      <c r="N46" s="21"/>
      <c r="O46" s="21"/>
    </row>
    <row r="47" spans="3:15" x14ac:dyDescent="0.25">
      <c r="C47" s="15" t="s">
        <v>78</v>
      </c>
    </row>
    <row r="49" spans="3:10" x14ac:dyDescent="0.25">
      <c r="C49" s="31" t="s">
        <v>948</v>
      </c>
      <c r="D49" s="31"/>
      <c r="H49" t="s">
        <v>949</v>
      </c>
      <c r="I49" t="s">
        <v>784</v>
      </c>
      <c r="J49" s="6">
        <v>42802</v>
      </c>
    </row>
    <row r="50" spans="3:10" ht="6" customHeight="1" x14ac:dyDescent="0.25"/>
    <row r="51" spans="3:10" x14ac:dyDescent="0.25">
      <c r="D51" s="93" t="s">
        <v>950</v>
      </c>
    </row>
    <row r="52" spans="3:10" x14ac:dyDescent="0.25">
      <c r="D52" s="93" t="s">
        <v>951</v>
      </c>
    </row>
    <row r="53" spans="3:10" x14ac:dyDescent="0.25">
      <c r="D53" s="93" t="s">
        <v>952</v>
      </c>
    </row>
    <row r="54" spans="3:10" x14ac:dyDescent="0.25">
      <c r="D54" s="93" t="s">
        <v>953</v>
      </c>
    </row>
    <row r="55" spans="3:10" x14ac:dyDescent="0.25">
      <c r="D55" s="93" t="s">
        <v>954</v>
      </c>
    </row>
    <row r="56" spans="3:10" x14ac:dyDescent="0.25">
      <c r="D56" s="93" t="s">
        <v>955</v>
      </c>
    </row>
  </sheetData>
  <mergeCells count="1">
    <mergeCell ref="G13:H13"/>
  </mergeCells>
  <conditionalFormatting sqref="I9">
    <cfRule type="containsText" dxfId="1693" priority="32" operator="containsText" text="FAIL">
      <formula>NOT(ISERROR(SEARCH("FAIL",I9)))</formula>
    </cfRule>
  </conditionalFormatting>
  <conditionalFormatting sqref="I9">
    <cfRule type="containsText" dxfId="1692" priority="31" operator="containsText" text="GOOD">
      <formula>NOT(ISERROR(SEARCH("GOOD",I9)))</formula>
    </cfRule>
  </conditionalFormatting>
  <conditionalFormatting sqref="I9">
    <cfRule type="containsText" dxfId="1691" priority="30" operator="containsText" text="FAIL">
      <formula>NOT(ISERROR(SEARCH("FAIL",I9)))</formula>
    </cfRule>
  </conditionalFormatting>
  <conditionalFormatting sqref="I9">
    <cfRule type="containsText" dxfId="1690" priority="29" operator="containsText" text="GOOD">
      <formula>NOT(ISERROR(SEARCH("GOOD",I9)))</formula>
    </cfRule>
  </conditionalFormatting>
  <conditionalFormatting sqref="I9">
    <cfRule type="containsText" dxfId="1689" priority="28" operator="containsText" text="FAIL">
      <formula>NOT(ISERROR(SEARCH("FAIL",I9)))</formula>
    </cfRule>
  </conditionalFormatting>
  <conditionalFormatting sqref="I9">
    <cfRule type="containsText" dxfId="1688" priority="27" operator="containsText" text="GOOD">
      <formula>NOT(ISERROR(SEARCH("GOOD",I9)))</formula>
    </cfRule>
  </conditionalFormatting>
  <conditionalFormatting sqref="F11">
    <cfRule type="containsText" dxfId="1687" priority="26" operator="containsText" text="FAIL">
      <formula>NOT(ISERROR(SEARCH("FAIL",F11)))</formula>
    </cfRule>
  </conditionalFormatting>
  <conditionalFormatting sqref="F11">
    <cfRule type="containsText" dxfId="1686" priority="25" operator="containsText" text="GOOD">
      <formula>NOT(ISERROR(SEARCH("GOOD",F11)))</formula>
    </cfRule>
  </conditionalFormatting>
  <conditionalFormatting sqref="I9">
    <cfRule type="containsText" dxfId="1685" priority="24" operator="containsText" text="FAIL">
      <formula>NOT(ISERROR(SEARCH("FAIL",I9)))</formula>
    </cfRule>
  </conditionalFormatting>
  <conditionalFormatting sqref="I9">
    <cfRule type="containsText" dxfId="1684" priority="23" operator="containsText" text="GOOD">
      <formula>NOT(ISERROR(SEARCH("GOOD",I9)))</formula>
    </cfRule>
  </conditionalFormatting>
  <conditionalFormatting sqref="F11">
    <cfRule type="containsText" dxfId="1683" priority="22" operator="containsText" text="FAIL">
      <formula>NOT(ISERROR(SEARCH("FAIL",F11)))</formula>
    </cfRule>
  </conditionalFormatting>
  <conditionalFormatting sqref="F11">
    <cfRule type="containsText" dxfId="1682" priority="21" operator="containsText" text="GOOD">
      <formula>NOT(ISERROR(SEARCH("GOOD",F11)))</formula>
    </cfRule>
  </conditionalFormatting>
  <conditionalFormatting sqref="D25">
    <cfRule type="expression" dxfId="1681" priority="20" stopIfTrue="1">
      <formula>IF($H$25=1,0)</formula>
    </cfRule>
  </conditionalFormatting>
  <conditionalFormatting sqref="D23 D39:D43 D25:D33">
    <cfRule type="expression" dxfId="1680" priority="19">
      <formula>H23=1</formula>
    </cfRule>
  </conditionalFormatting>
  <conditionalFormatting sqref="C23 C39:C43 C25:C33">
    <cfRule type="expression" dxfId="1679" priority="18">
      <formula>H23=1</formula>
    </cfRule>
  </conditionalFormatting>
  <conditionalFormatting sqref="E23 E39:E43 E25:E33">
    <cfRule type="expression" dxfId="1678" priority="17">
      <formula>H23=1</formula>
    </cfRule>
  </conditionalFormatting>
  <conditionalFormatting sqref="E23 E39:E43 E25:E33">
    <cfRule type="expression" dxfId="1677" priority="16">
      <formula>H23=1</formula>
    </cfRule>
  </conditionalFormatting>
  <conditionalFormatting sqref="F11">
    <cfRule type="containsText" dxfId="1676" priority="15" operator="containsText" text="FAIL">
      <formula>NOT(ISERROR(SEARCH("FAIL",F11)))</formula>
    </cfRule>
  </conditionalFormatting>
  <conditionalFormatting sqref="F11">
    <cfRule type="containsText" dxfId="1675" priority="14" operator="containsText" text="GOOD">
      <formula>NOT(ISERROR(SEARCH("GOOD",F11)))</formula>
    </cfRule>
  </conditionalFormatting>
  <conditionalFormatting sqref="D34:D37">
    <cfRule type="expression" dxfId="1674" priority="13">
      <formula>H34=1</formula>
    </cfRule>
  </conditionalFormatting>
  <conditionalFormatting sqref="C34:C37">
    <cfRule type="expression" dxfId="1673" priority="12">
      <formula>H34=1</formula>
    </cfRule>
  </conditionalFormatting>
  <conditionalFormatting sqref="E34:E37">
    <cfRule type="expression" dxfId="1672" priority="11">
      <formula>H34=1</formula>
    </cfRule>
  </conditionalFormatting>
  <conditionalFormatting sqref="E34:E37">
    <cfRule type="expression" dxfId="1671" priority="10">
      <formula>H34=1</formula>
    </cfRule>
  </conditionalFormatting>
  <conditionalFormatting sqref="D38">
    <cfRule type="expression" dxfId="1670" priority="9">
      <formula>H38=1</formula>
    </cfRule>
  </conditionalFormatting>
  <conditionalFormatting sqref="C38">
    <cfRule type="expression" dxfId="1669" priority="8">
      <formula>H38=1</formula>
    </cfRule>
  </conditionalFormatting>
  <conditionalFormatting sqref="E38">
    <cfRule type="expression" dxfId="1668" priority="7">
      <formula>H38=1</formula>
    </cfRule>
  </conditionalFormatting>
  <conditionalFormatting sqref="E38">
    <cfRule type="expression" dxfId="1667" priority="6">
      <formula>H38=1</formula>
    </cfRule>
  </conditionalFormatting>
  <conditionalFormatting sqref="E24">
    <cfRule type="expression" dxfId="1666" priority="1">
      <formula>H24=1</formula>
    </cfRule>
  </conditionalFormatting>
  <conditionalFormatting sqref="D24">
    <cfRule type="expression" dxfId="1665" priority="5" stopIfTrue="1">
      <formula>IF($H$25=1,0)</formula>
    </cfRule>
  </conditionalFormatting>
  <conditionalFormatting sqref="D24">
    <cfRule type="expression" dxfId="1664" priority="4">
      <formula>H24=1</formula>
    </cfRule>
  </conditionalFormatting>
  <conditionalFormatting sqref="C24">
    <cfRule type="expression" dxfId="1663" priority="3">
      <formula>H24=1</formula>
    </cfRule>
  </conditionalFormatting>
  <conditionalFormatting sqref="E24">
    <cfRule type="expression" dxfId="1662" priority="2">
      <formula>H24=1</formula>
    </cfRule>
  </conditionalFormatting>
  <pageMargins left="0.7" right="0.7" top="0.75" bottom="0.75" header="0.3" footer="0.3"/>
  <pageSetup scale="68" orientation="portrait" r:id="rId1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0-000000000000}">
  <sheetPr codeName="Sheet95"/>
  <dimension ref="A2:O47"/>
  <sheetViews>
    <sheetView zoomScaleNormal="100" workbookViewId="0">
      <selection activeCell="M10" sqref="M10"/>
    </sheetView>
  </sheetViews>
  <sheetFormatPr defaultRowHeight="15" x14ac:dyDescent="0.25"/>
  <cols>
    <col min="1" max="2" width="4.42578125" customWidth="1"/>
    <col min="3" max="3" width="3" customWidth="1"/>
    <col min="4" max="4" width="24.85546875" customWidth="1"/>
    <col min="5" max="5" width="3" customWidth="1"/>
    <col min="6" max="6" width="15.7109375" customWidth="1"/>
    <col min="7" max="7" width="8.5703125" customWidth="1"/>
    <col min="8" max="8" width="5.85546875" customWidth="1"/>
    <col min="9" max="15" width="15.7109375" customWidth="1"/>
  </cols>
  <sheetData>
    <row r="2" spans="1:11" x14ac:dyDescent="0.25">
      <c r="C2" s="15" t="s">
        <v>32</v>
      </c>
      <c r="E2" s="15"/>
      <c r="F2" s="15"/>
      <c r="G2" s="15" t="s">
        <v>33</v>
      </c>
      <c r="H2" s="15"/>
      <c r="I2" s="15"/>
      <c r="J2" s="15"/>
      <c r="K2" s="15"/>
    </row>
    <row r="3" spans="1:11" ht="18.75" x14ac:dyDescent="0.3">
      <c r="C3" s="3" t="s">
        <v>26</v>
      </c>
      <c r="J3" s="8" t="s">
        <v>17</v>
      </c>
    </row>
    <row r="4" spans="1:11" x14ac:dyDescent="0.25">
      <c r="D4" s="2" t="s">
        <v>0</v>
      </c>
      <c r="E4" s="1"/>
      <c r="F4" t="s">
        <v>758</v>
      </c>
      <c r="I4" s="2" t="s">
        <v>4</v>
      </c>
      <c r="J4" t="s">
        <v>447</v>
      </c>
    </row>
    <row r="5" spans="1:11" x14ac:dyDescent="0.25">
      <c r="D5" s="2" t="s">
        <v>1</v>
      </c>
      <c r="F5" t="s">
        <v>759</v>
      </c>
    </row>
    <row r="6" spans="1:11" x14ac:dyDescent="0.25">
      <c r="D6" s="2" t="s">
        <v>2</v>
      </c>
      <c r="F6" s="6">
        <v>42667</v>
      </c>
      <c r="H6" s="11"/>
    </row>
    <row r="7" spans="1:11" x14ac:dyDescent="0.25">
      <c r="D7" s="2" t="s">
        <v>3</v>
      </c>
      <c r="F7" s="5">
        <v>2400000</v>
      </c>
      <c r="G7" s="2" t="s">
        <v>34</v>
      </c>
      <c r="H7" s="11"/>
    </row>
    <row r="8" spans="1:11" x14ac:dyDescent="0.25">
      <c r="D8" s="2" t="s">
        <v>18</v>
      </c>
      <c r="F8" s="5">
        <f>MIN(I23:I43)</f>
        <v>3617000</v>
      </c>
      <c r="H8" s="11"/>
    </row>
    <row r="9" spans="1:11" x14ac:dyDescent="0.25">
      <c r="D9" s="2" t="s">
        <v>67</v>
      </c>
      <c r="F9" s="4">
        <f>+F8-F7</f>
        <v>1217000</v>
      </c>
      <c r="G9" s="16">
        <f>+F9/F7</f>
        <v>0.50708333333333333</v>
      </c>
      <c r="H9" s="12" t="s">
        <v>20</v>
      </c>
      <c r="I9" s="11" t="str">
        <f>(IF(G9&lt;-0.1,"FAIL",IF(G9&gt;0.05,"FAIL","GOOD")))</f>
        <v>FAIL</v>
      </c>
      <c r="J9" s="14" t="s">
        <v>72</v>
      </c>
    </row>
    <row r="10" spans="1:11" x14ac:dyDescent="0.25">
      <c r="D10" s="2" t="s">
        <v>68</v>
      </c>
      <c r="F10" s="4">
        <f>+F7-F12</f>
        <v>-1880561.5</v>
      </c>
      <c r="H10" s="11"/>
    </row>
    <row r="11" spans="1:11" x14ac:dyDescent="0.25">
      <c r="A11" s="52"/>
      <c r="D11" s="2" t="s">
        <v>71</v>
      </c>
      <c r="F11" s="11" t="str">
        <f>(IF(F7&lt;J12,"FAIL",IF(F7&gt;J13,"FAIL","GOOD")))</f>
        <v>FAIL</v>
      </c>
      <c r="H11" s="11"/>
    </row>
    <row r="12" spans="1:11" x14ac:dyDescent="0.25">
      <c r="D12" s="2" t="s">
        <v>28</v>
      </c>
      <c r="F12" s="4">
        <f>SUM(I23:I43)/H12</f>
        <v>4280561.5</v>
      </c>
      <c r="G12" s="14"/>
      <c r="H12" s="11">
        <f>COUNT(I23:I43)</f>
        <v>2</v>
      </c>
      <c r="I12" s="1" t="s">
        <v>31</v>
      </c>
      <c r="J12" s="4">
        <f>+F8*0.9</f>
        <v>3255300</v>
      </c>
      <c r="K12" s="1" t="s">
        <v>69</v>
      </c>
    </row>
    <row r="13" spans="1:11" x14ac:dyDescent="0.25">
      <c r="D13" s="2" t="s">
        <v>29</v>
      </c>
      <c r="F13" s="4">
        <f>MAX(I23:I43)-MIN(I23:I43)</f>
        <v>1327123</v>
      </c>
      <c r="G13" s="399">
        <f>MEDIAN(I23:I43)</f>
        <v>4280561.5</v>
      </c>
      <c r="H13" s="400"/>
      <c r="I13" s="1" t="s">
        <v>30</v>
      </c>
      <c r="J13" s="4">
        <f>+F12*1.1</f>
        <v>4708617.6500000004</v>
      </c>
      <c r="K13" s="1" t="s">
        <v>70</v>
      </c>
    </row>
    <row r="14" spans="1:11" x14ac:dyDescent="0.25">
      <c r="H14" s="11"/>
    </row>
    <row r="15" spans="1:11" x14ac:dyDescent="0.25">
      <c r="D15" s="2" t="s">
        <v>8</v>
      </c>
      <c r="F15" s="4"/>
      <c r="G15" s="1" t="s">
        <v>9</v>
      </c>
      <c r="H15" s="11"/>
      <c r="I15" t="s">
        <v>15</v>
      </c>
      <c r="J15" s="7" t="e">
        <f>+F16/F15</f>
        <v>#DIV/0!</v>
      </c>
    </row>
    <row r="16" spans="1:11" x14ac:dyDescent="0.25">
      <c r="F16" s="4"/>
      <c r="G16" s="1" t="s">
        <v>10</v>
      </c>
      <c r="H16" s="11"/>
      <c r="I16" t="s">
        <v>14</v>
      </c>
      <c r="J16" s="7" t="e">
        <f>+F17/F16</f>
        <v>#DIV/0!</v>
      </c>
    </row>
    <row r="17" spans="3:15" x14ac:dyDescent="0.25">
      <c r="F17" s="4"/>
      <c r="G17" s="1" t="s">
        <v>11</v>
      </c>
      <c r="H17" s="11"/>
      <c r="I17" t="s">
        <v>13</v>
      </c>
      <c r="J17" s="7" t="e">
        <f>+F18/F17</f>
        <v>#DIV/0!</v>
      </c>
      <c r="M17" s="21"/>
      <c r="N17" s="21"/>
      <c r="O17" s="21"/>
    </row>
    <row r="18" spans="3:15" x14ac:dyDescent="0.25">
      <c r="F18" s="4"/>
      <c r="G18" s="1" t="s">
        <v>12</v>
      </c>
      <c r="H18" s="11"/>
      <c r="I18" t="s">
        <v>16</v>
      </c>
      <c r="J18" s="7" t="e">
        <f>+F8/F18</f>
        <v>#DIV/0!</v>
      </c>
      <c r="M18" s="21"/>
      <c r="N18" s="21"/>
      <c r="O18" s="21"/>
    </row>
    <row r="19" spans="3:15" x14ac:dyDescent="0.25">
      <c r="F19" s="2" t="s">
        <v>51</v>
      </c>
      <c r="G19">
        <v>0</v>
      </c>
      <c r="H19" s="11" t="s">
        <v>52</v>
      </c>
      <c r="I19" t="s">
        <v>41</v>
      </c>
      <c r="J19" s="7" t="e">
        <f>+F8/F15</f>
        <v>#DIV/0!</v>
      </c>
      <c r="M19" s="21"/>
      <c r="N19" s="21"/>
      <c r="O19" s="21"/>
    </row>
    <row r="20" spans="3:15" x14ac:dyDescent="0.25">
      <c r="H20" s="11"/>
      <c r="M20" s="21"/>
      <c r="N20" s="21"/>
      <c r="O20" s="21"/>
    </row>
    <row r="21" spans="3:15" x14ac:dyDescent="0.25">
      <c r="C21" s="9"/>
      <c r="D21" s="13" t="s">
        <v>21</v>
      </c>
      <c r="E21" s="9"/>
      <c r="F21" s="9" t="s">
        <v>22</v>
      </c>
      <c r="G21" s="9" t="s">
        <v>23</v>
      </c>
      <c r="H21" s="13" t="s">
        <v>27</v>
      </c>
      <c r="I21" s="10" t="s">
        <v>24</v>
      </c>
      <c r="J21" s="9"/>
      <c r="K21" s="9"/>
      <c r="L21" s="9"/>
      <c r="M21" s="21"/>
      <c r="N21" s="21"/>
      <c r="O21" s="21"/>
    </row>
    <row r="22" spans="3:15" ht="6" customHeight="1" x14ac:dyDescent="0.25">
      <c r="M22" s="21"/>
      <c r="N22" s="21"/>
      <c r="O22" s="21"/>
    </row>
    <row r="23" spans="3:15" x14ac:dyDescent="0.25">
      <c r="C23" s="33" t="str">
        <f>IF(H23=1,"u","")</f>
        <v>u</v>
      </c>
      <c r="D23" s="11" t="s">
        <v>502</v>
      </c>
      <c r="E23" s="33"/>
      <c r="F23" t="s">
        <v>95</v>
      </c>
      <c r="G23" t="s">
        <v>93</v>
      </c>
      <c r="H23">
        <f>RANK(I23,I$23:I$43,1)</f>
        <v>1</v>
      </c>
      <c r="I23" s="4">
        <v>3617000</v>
      </c>
      <c r="J23" s="4"/>
      <c r="K23" s="4"/>
      <c r="L23" s="4"/>
      <c r="M23" s="22"/>
      <c r="N23" s="22"/>
      <c r="O23" s="22"/>
    </row>
    <row r="24" spans="3:15" x14ac:dyDescent="0.25">
      <c r="C24" s="33" t="str">
        <f>IF(H24=1,"u","")</f>
        <v/>
      </c>
      <c r="D24" s="11" t="s">
        <v>522</v>
      </c>
      <c r="E24" s="33"/>
      <c r="F24" t="s">
        <v>100</v>
      </c>
      <c r="G24" t="s">
        <v>93</v>
      </c>
      <c r="H24">
        <f>RANK(I24,I$23:I$43,1)</f>
        <v>2</v>
      </c>
      <c r="I24" s="4">
        <v>4944123</v>
      </c>
      <c r="J24" s="4"/>
      <c r="K24" s="4"/>
      <c r="L24" s="4"/>
      <c r="M24" s="22"/>
      <c r="N24" s="22"/>
      <c r="O24" s="22"/>
    </row>
    <row r="25" spans="3:15" x14ac:dyDescent="0.25">
      <c r="C25" s="33"/>
      <c r="D25" s="11"/>
      <c r="E25" s="33"/>
      <c r="I25" s="4"/>
      <c r="J25" s="4"/>
      <c r="K25" s="4"/>
      <c r="L25" s="4"/>
      <c r="M25" s="22"/>
      <c r="N25" s="22"/>
      <c r="O25" s="22"/>
    </row>
    <row r="26" spans="3:15" x14ac:dyDescent="0.25">
      <c r="C26" s="33"/>
      <c r="D26" s="11"/>
      <c r="E26" s="33"/>
      <c r="I26" s="4"/>
      <c r="J26" s="4"/>
      <c r="K26" s="4"/>
      <c r="L26" s="4"/>
      <c r="M26" s="22"/>
      <c r="N26" s="22"/>
      <c r="O26" s="22"/>
    </row>
    <row r="27" spans="3:15" x14ac:dyDescent="0.25">
      <c r="C27" s="33" t="str">
        <f t="shared" ref="C27:C43" si="0">IF(H27=1,"u","")</f>
        <v/>
      </c>
      <c r="D27" s="11"/>
      <c r="E27" s="33"/>
      <c r="I27" s="4"/>
      <c r="J27" s="4"/>
      <c r="K27" s="4"/>
      <c r="L27" s="4"/>
      <c r="M27" s="22"/>
      <c r="N27" s="22"/>
      <c r="O27" s="22"/>
    </row>
    <row r="28" spans="3:15" x14ac:dyDescent="0.25">
      <c r="C28" s="33" t="str">
        <f t="shared" si="0"/>
        <v/>
      </c>
      <c r="D28" s="11"/>
      <c r="E28" s="33"/>
      <c r="I28" s="4"/>
      <c r="J28" s="4"/>
      <c r="K28" s="4"/>
      <c r="L28" s="4"/>
      <c r="M28" s="22"/>
      <c r="N28" s="22"/>
      <c r="O28" s="22"/>
    </row>
    <row r="29" spans="3:15" x14ac:dyDescent="0.25">
      <c r="C29" s="33" t="str">
        <f t="shared" si="0"/>
        <v/>
      </c>
      <c r="D29" s="11"/>
      <c r="E29" s="33"/>
      <c r="I29" s="4"/>
      <c r="J29" s="4"/>
      <c r="K29" s="4"/>
      <c r="L29" s="4"/>
      <c r="M29" s="22"/>
      <c r="N29" s="22"/>
      <c r="O29" s="22"/>
    </row>
    <row r="30" spans="3:15" x14ac:dyDescent="0.25">
      <c r="C30" s="33" t="str">
        <f t="shared" si="0"/>
        <v/>
      </c>
      <c r="D30" s="11"/>
      <c r="E30" s="33"/>
      <c r="I30" s="4"/>
      <c r="J30" s="4"/>
      <c r="K30" s="4"/>
      <c r="L30" s="4"/>
      <c r="M30" s="22"/>
      <c r="N30" s="22"/>
      <c r="O30" s="22"/>
    </row>
    <row r="31" spans="3:15" x14ac:dyDescent="0.25">
      <c r="C31" s="33" t="str">
        <f t="shared" si="0"/>
        <v/>
      </c>
      <c r="D31" s="11"/>
      <c r="E31" s="33"/>
      <c r="I31" s="4"/>
      <c r="J31" s="4"/>
      <c r="K31" s="4"/>
      <c r="L31" s="4"/>
      <c r="M31" s="22"/>
      <c r="N31" s="22"/>
      <c r="O31" s="22"/>
    </row>
    <row r="32" spans="3:15" x14ac:dyDescent="0.25">
      <c r="C32" s="33" t="str">
        <f t="shared" si="0"/>
        <v/>
      </c>
      <c r="D32" s="11"/>
      <c r="E32" s="33"/>
      <c r="I32" s="4"/>
      <c r="J32" s="4"/>
      <c r="K32" s="4"/>
      <c r="L32" s="4"/>
      <c r="M32" s="22"/>
      <c r="N32" s="22"/>
      <c r="O32" s="22"/>
    </row>
    <row r="33" spans="3:15" x14ac:dyDescent="0.25">
      <c r="C33" s="33" t="str">
        <f t="shared" si="0"/>
        <v/>
      </c>
      <c r="D33" s="11"/>
      <c r="E33" s="33"/>
      <c r="I33" s="4"/>
      <c r="M33" s="21"/>
      <c r="N33" s="21"/>
      <c r="O33" s="21"/>
    </row>
    <row r="34" spans="3:15" x14ac:dyDescent="0.25">
      <c r="C34" s="33" t="str">
        <f t="shared" si="0"/>
        <v/>
      </c>
      <c r="D34" s="11"/>
      <c r="E34" s="33" t="str">
        <f t="shared" ref="E34:E43" si="1">IF(H34=1,"t","")</f>
        <v/>
      </c>
      <c r="M34" s="21"/>
      <c r="N34" s="21"/>
      <c r="O34" s="21"/>
    </row>
    <row r="35" spans="3:15" x14ac:dyDescent="0.25">
      <c r="C35" s="33" t="str">
        <f t="shared" si="0"/>
        <v/>
      </c>
      <c r="D35" s="11"/>
      <c r="E35" s="33" t="str">
        <f t="shared" si="1"/>
        <v/>
      </c>
      <c r="M35" s="21"/>
      <c r="N35" s="21"/>
      <c r="O35" s="21"/>
    </row>
    <row r="36" spans="3:15" x14ac:dyDescent="0.25">
      <c r="C36" s="33" t="str">
        <f t="shared" si="0"/>
        <v/>
      </c>
      <c r="D36" s="11"/>
      <c r="E36" s="33" t="str">
        <f t="shared" si="1"/>
        <v/>
      </c>
      <c r="M36" s="21"/>
      <c r="N36" s="21"/>
      <c r="O36" s="21"/>
    </row>
    <row r="37" spans="3:15" x14ac:dyDescent="0.25">
      <c r="C37" s="33" t="str">
        <f t="shared" si="0"/>
        <v/>
      </c>
      <c r="D37" s="11"/>
      <c r="E37" s="33" t="str">
        <f t="shared" si="1"/>
        <v/>
      </c>
      <c r="M37" s="21"/>
      <c r="N37" s="21"/>
      <c r="O37" s="21"/>
    </row>
    <row r="38" spans="3:15" x14ac:dyDescent="0.25">
      <c r="C38" s="33" t="str">
        <f t="shared" si="0"/>
        <v/>
      </c>
      <c r="D38" s="11"/>
      <c r="E38" s="33" t="str">
        <f t="shared" si="1"/>
        <v/>
      </c>
      <c r="M38" s="21"/>
      <c r="N38" s="21"/>
      <c r="O38" s="21"/>
    </row>
    <row r="39" spans="3:15" x14ac:dyDescent="0.25">
      <c r="C39" s="33" t="str">
        <f t="shared" si="0"/>
        <v/>
      </c>
      <c r="D39" s="11"/>
      <c r="E39" s="33" t="str">
        <f t="shared" si="1"/>
        <v/>
      </c>
      <c r="M39" s="21"/>
      <c r="N39" s="21"/>
      <c r="O39" s="21"/>
    </row>
    <row r="40" spans="3:15" x14ac:dyDescent="0.25">
      <c r="C40" s="33" t="str">
        <f t="shared" si="0"/>
        <v/>
      </c>
      <c r="D40" s="11"/>
      <c r="E40" s="33" t="str">
        <f t="shared" si="1"/>
        <v/>
      </c>
      <c r="M40" s="21"/>
      <c r="N40" s="21"/>
      <c r="O40" s="21"/>
    </row>
    <row r="41" spans="3:15" x14ac:dyDescent="0.25">
      <c r="C41" s="33" t="str">
        <f t="shared" si="0"/>
        <v/>
      </c>
      <c r="D41" s="11"/>
      <c r="E41" s="33" t="str">
        <f t="shared" si="1"/>
        <v/>
      </c>
      <c r="M41" s="21"/>
      <c r="N41" s="21"/>
      <c r="O41" s="21"/>
    </row>
    <row r="42" spans="3:15" x14ac:dyDescent="0.25">
      <c r="C42" s="33" t="str">
        <f t="shared" si="0"/>
        <v/>
      </c>
      <c r="D42" s="11"/>
      <c r="E42" s="33" t="str">
        <f t="shared" si="1"/>
        <v/>
      </c>
      <c r="M42" s="21"/>
      <c r="N42" s="21"/>
      <c r="O42" s="21"/>
    </row>
    <row r="43" spans="3:15" x14ac:dyDescent="0.25">
      <c r="C43" s="33" t="str">
        <f t="shared" si="0"/>
        <v/>
      </c>
      <c r="D43" s="11"/>
      <c r="E43" s="33" t="str">
        <f t="shared" si="1"/>
        <v/>
      </c>
      <c r="M43" s="21"/>
      <c r="N43" s="21"/>
      <c r="O43" s="21"/>
    </row>
    <row r="44" spans="3:15" ht="6" customHeight="1" x14ac:dyDescent="0.25">
      <c r="C44" s="9"/>
      <c r="D44" s="9"/>
      <c r="E44" s="9"/>
      <c r="F44" s="9"/>
      <c r="G44" s="9"/>
      <c r="H44" s="9"/>
      <c r="I44" s="9"/>
      <c r="J44" s="9"/>
      <c r="K44" s="9"/>
      <c r="L44" s="9"/>
      <c r="M44" s="21"/>
      <c r="N44" s="21"/>
      <c r="O44" s="21"/>
    </row>
    <row r="45" spans="3:15" ht="6" customHeight="1" x14ac:dyDescent="0.25">
      <c r="M45" s="21"/>
      <c r="N45" s="21"/>
      <c r="O45" s="21"/>
    </row>
    <row r="46" spans="3:15" x14ac:dyDescent="0.25">
      <c r="C46" s="15" t="s">
        <v>79</v>
      </c>
      <c r="M46" s="21"/>
      <c r="N46" s="21"/>
      <c r="O46" s="21"/>
    </row>
    <row r="47" spans="3:15" x14ac:dyDescent="0.25">
      <c r="C47" s="15" t="s">
        <v>78</v>
      </c>
    </row>
  </sheetData>
  <mergeCells count="1">
    <mergeCell ref="G13:H13"/>
  </mergeCells>
  <conditionalFormatting sqref="I9">
    <cfRule type="containsText" dxfId="997" priority="10" operator="containsText" text="FAIL">
      <formula>NOT(ISERROR(SEARCH("FAIL",I9)))</formula>
    </cfRule>
  </conditionalFormatting>
  <conditionalFormatting sqref="I9">
    <cfRule type="containsText" dxfId="996" priority="9" operator="containsText" text="GOOD">
      <formula>NOT(ISERROR(SEARCH("GOOD",I9)))</formula>
    </cfRule>
  </conditionalFormatting>
  <conditionalFormatting sqref="F11">
    <cfRule type="containsText" dxfId="995" priority="8" operator="containsText" text="FAIL">
      <formula>NOT(ISERROR(SEARCH("FAIL",F11)))</formula>
    </cfRule>
  </conditionalFormatting>
  <conditionalFormatting sqref="F11">
    <cfRule type="containsText" dxfId="994" priority="7" operator="containsText" text="GOOD">
      <formula>NOT(ISERROR(SEARCH("GOOD",F11)))</formula>
    </cfRule>
  </conditionalFormatting>
  <conditionalFormatting sqref="D25">
    <cfRule type="expression" dxfId="993" priority="6" stopIfTrue="1">
      <formula>IF($H$25=1,0)</formula>
    </cfRule>
  </conditionalFormatting>
  <conditionalFormatting sqref="D23:D43">
    <cfRule type="expression" dxfId="992" priority="5">
      <formula>H23=1</formula>
    </cfRule>
  </conditionalFormatting>
  <conditionalFormatting sqref="C23:C43">
    <cfRule type="expression" dxfId="991" priority="4">
      <formula>H23=1</formula>
    </cfRule>
  </conditionalFormatting>
  <conditionalFormatting sqref="E23:E43">
    <cfRule type="expression" dxfId="990" priority="3">
      <formula>H23=1</formula>
    </cfRule>
  </conditionalFormatting>
  <conditionalFormatting sqref="F11">
    <cfRule type="containsText" dxfId="989" priority="2" operator="containsText" text="FAIL">
      <formula>NOT(ISERROR(SEARCH("FAIL",F11)))</formula>
    </cfRule>
  </conditionalFormatting>
  <conditionalFormatting sqref="F11">
    <cfRule type="containsText" dxfId="988" priority="1" operator="containsText" text="GOOD">
      <formula>NOT(ISERROR(SEARCH("GOOD",F11)))</formula>
    </cfRule>
  </conditionalFormatting>
  <pageMargins left="0.7" right="0.7" top="0.75" bottom="0.75" header="0.3" footer="0.3"/>
  <pageSetup scale="68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100-000000000000}">
  <sheetPr codeName="Sheet131"/>
  <dimension ref="A2:O47"/>
  <sheetViews>
    <sheetView workbookViewId="0">
      <selection activeCell="J26" sqref="J26"/>
    </sheetView>
  </sheetViews>
  <sheetFormatPr defaultRowHeight="15" x14ac:dyDescent="0.25"/>
  <cols>
    <col min="1" max="2" width="4.42578125" customWidth="1"/>
    <col min="3" max="3" width="3" customWidth="1"/>
    <col min="4" max="4" width="24.85546875" customWidth="1"/>
    <col min="5" max="5" width="3" customWidth="1"/>
    <col min="6" max="6" width="15.7109375" customWidth="1"/>
    <col min="7" max="7" width="8.5703125" customWidth="1"/>
    <col min="8" max="8" width="5.85546875" customWidth="1"/>
    <col min="9" max="15" width="15.7109375" customWidth="1"/>
  </cols>
  <sheetData>
    <row r="2" spans="1:11" x14ac:dyDescent="0.25">
      <c r="C2" s="15" t="s">
        <v>32</v>
      </c>
      <c r="E2" s="15"/>
      <c r="F2" s="15"/>
      <c r="G2" s="15" t="s">
        <v>33</v>
      </c>
      <c r="H2" s="15"/>
      <c r="I2" s="15"/>
      <c r="J2" s="15"/>
      <c r="K2" s="15"/>
    </row>
    <row r="3" spans="1:11" ht="18.75" x14ac:dyDescent="0.3">
      <c r="C3" s="3" t="s">
        <v>26</v>
      </c>
      <c r="J3" s="8" t="s">
        <v>17</v>
      </c>
    </row>
    <row r="4" spans="1:11" x14ac:dyDescent="0.25">
      <c r="D4" s="2" t="s">
        <v>0</v>
      </c>
      <c r="E4" s="1"/>
      <c r="F4" t="s">
        <v>434</v>
      </c>
      <c r="I4" s="2" t="s">
        <v>4</v>
      </c>
      <c r="J4" t="s">
        <v>435</v>
      </c>
    </row>
    <row r="5" spans="1:11" x14ac:dyDescent="0.25">
      <c r="D5" s="2" t="s">
        <v>1</v>
      </c>
      <c r="F5" t="s">
        <v>436</v>
      </c>
    </row>
    <row r="6" spans="1:11" x14ac:dyDescent="0.25">
      <c r="D6" s="2" t="s">
        <v>2</v>
      </c>
      <c r="F6" s="6">
        <v>42342</v>
      </c>
      <c r="H6" s="11"/>
    </row>
    <row r="7" spans="1:11" x14ac:dyDescent="0.25">
      <c r="D7" s="2" t="s">
        <v>3</v>
      </c>
      <c r="F7" s="5">
        <v>2000000</v>
      </c>
      <c r="G7" s="2" t="s">
        <v>190</v>
      </c>
      <c r="H7" s="11"/>
    </row>
    <row r="8" spans="1:11" x14ac:dyDescent="0.25">
      <c r="D8" s="2" t="s">
        <v>18</v>
      </c>
      <c r="F8" s="5">
        <f>MIN(I23:I43)</f>
        <v>2092850</v>
      </c>
      <c r="H8" s="11"/>
    </row>
    <row r="9" spans="1:11" x14ac:dyDescent="0.25">
      <c r="D9" s="2" t="s">
        <v>67</v>
      </c>
      <c r="F9" s="4">
        <f>+F8-F7</f>
        <v>92850</v>
      </c>
      <c r="G9" s="16">
        <f>+F9/F7</f>
        <v>4.6425000000000001E-2</v>
      </c>
      <c r="H9" s="12" t="s">
        <v>20</v>
      </c>
      <c r="I9" s="11" t="str">
        <f>(IF(G9&lt;-0.1,"FAIL",IF(G9&gt;0.05,"FAIL","GOOD")))</f>
        <v>GOOD</v>
      </c>
      <c r="J9" s="14" t="s">
        <v>72</v>
      </c>
    </row>
    <row r="10" spans="1:11" x14ac:dyDescent="0.25">
      <c r="D10" s="2" t="s">
        <v>68</v>
      </c>
      <c r="F10" s="4">
        <f>+F7-F12</f>
        <v>-564887.5</v>
      </c>
      <c r="H10" s="11"/>
    </row>
    <row r="11" spans="1:11" x14ac:dyDescent="0.25">
      <c r="A11" s="30"/>
      <c r="D11" s="2" t="s">
        <v>71</v>
      </c>
      <c r="F11" s="11" t="str">
        <f>(IF(F7&lt;J12,"FAIL",IF(F7&gt;J13,"FAIL","GOOD")))</f>
        <v>GOOD</v>
      </c>
      <c r="H11" s="11"/>
    </row>
    <row r="12" spans="1:11" x14ac:dyDescent="0.25">
      <c r="D12" s="2" t="s">
        <v>28</v>
      </c>
      <c r="F12" s="4">
        <f>SUM(I23:I43)/H12</f>
        <v>2564887.5</v>
      </c>
      <c r="G12" s="14"/>
      <c r="H12" s="11">
        <f>COUNT(I23:I43)</f>
        <v>4</v>
      </c>
      <c r="I12" s="1" t="s">
        <v>31</v>
      </c>
      <c r="J12" s="4">
        <f>+F8*0.9</f>
        <v>1883565</v>
      </c>
      <c r="K12" s="1" t="s">
        <v>69</v>
      </c>
    </row>
    <row r="13" spans="1:11" x14ac:dyDescent="0.25">
      <c r="D13" s="2" t="s">
        <v>29</v>
      </c>
      <c r="F13" s="4">
        <f>MAX(I23:I43)-MIN(I23:I43)</f>
        <v>1092750</v>
      </c>
      <c r="G13" s="399">
        <f>MEDIAN(I23:I43)</f>
        <v>2490550</v>
      </c>
      <c r="H13" s="400"/>
      <c r="I13" s="1" t="s">
        <v>30</v>
      </c>
      <c r="J13" s="4">
        <f>+F12*1.1</f>
        <v>2821376.25</v>
      </c>
      <c r="K13" s="1" t="s">
        <v>70</v>
      </c>
    </row>
    <row r="14" spans="1:11" x14ac:dyDescent="0.25">
      <c r="H14" s="11"/>
    </row>
    <row r="15" spans="1:11" x14ac:dyDescent="0.25">
      <c r="D15" s="2" t="s">
        <v>8</v>
      </c>
      <c r="F15" s="4"/>
      <c r="G15" s="1" t="s">
        <v>9</v>
      </c>
      <c r="H15" s="11"/>
      <c r="I15" t="s">
        <v>15</v>
      </c>
      <c r="J15" s="7" t="e">
        <f>+F16/F15</f>
        <v>#DIV/0!</v>
      </c>
    </row>
    <row r="16" spans="1:11" x14ac:dyDescent="0.25">
      <c r="F16" s="4"/>
      <c r="G16" s="1" t="s">
        <v>10</v>
      </c>
      <c r="H16" s="11"/>
      <c r="I16" t="s">
        <v>14</v>
      </c>
      <c r="J16" s="7" t="e">
        <f>+F17/F16</f>
        <v>#DIV/0!</v>
      </c>
    </row>
    <row r="17" spans="3:15" x14ac:dyDescent="0.25">
      <c r="F17" s="4"/>
      <c r="G17" s="1" t="s">
        <v>11</v>
      </c>
      <c r="H17" s="11"/>
      <c r="I17" t="s">
        <v>13</v>
      </c>
      <c r="J17" s="7" t="e">
        <f>+F18/F17</f>
        <v>#DIV/0!</v>
      </c>
      <c r="M17" s="21"/>
      <c r="N17" s="21"/>
      <c r="O17" s="21"/>
    </row>
    <row r="18" spans="3:15" x14ac:dyDescent="0.25">
      <c r="F18" s="4"/>
      <c r="G18" s="1" t="s">
        <v>12</v>
      </c>
      <c r="H18" s="11"/>
      <c r="I18" t="s">
        <v>16</v>
      </c>
      <c r="J18" s="7" t="e">
        <f>+F8/F18</f>
        <v>#DIV/0!</v>
      </c>
      <c r="M18" s="21"/>
      <c r="N18" s="21"/>
      <c r="O18" s="21"/>
    </row>
    <row r="19" spans="3:15" x14ac:dyDescent="0.25">
      <c r="F19" s="2" t="s">
        <v>51</v>
      </c>
      <c r="G19">
        <v>0</v>
      </c>
      <c r="H19" s="11" t="s">
        <v>52</v>
      </c>
      <c r="I19" t="s">
        <v>41</v>
      </c>
      <c r="J19" s="7" t="e">
        <f>+F8/F15</f>
        <v>#DIV/0!</v>
      </c>
      <c r="M19" s="21"/>
      <c r="N19" s="21"/>
      <c r="O19" s="21"/>
    </row>
    <row r="20" spans="3:15" x14ac:dyDescent="0.25">
      <c r="H20" s="11"/>
      <c r="M20" s="21"/>
      <c r="N20" s="21"/>
      <c r="O20" s="21"/>
    </row>
    <row r="21" spans="3:15" x14ac:dyDescent="0.25">
      <c r="C21" s="9"/>
      <c r="D21" s="13" t="s">
        <v>21</v>
      </c>
      <c r="E21" s="9"/>
      <c r="F21" s="9" t="s">
        <v>22</v>
      </c>
      <c r="G21" s="9" t="s">
        <v>23</v>
      </c>
      <c r="H21" s="13" t="s">
        <v>27</v>
      </c>
      <c r="I21" s="10" t="s">
        <v>24</v>
      </c>
      <c r="J21" s="9"/>
      <c r="K21" s="9"/>
      <c r="L21" s="9"/>
      <c r="M21" s="21"/>
      <c r="N21" s="21"/>
      <c r="O21" s="21"/>
    </row>
    <row r="22" spans="3:15" ht="6" customHeight="1" x14ac:dyDescent="0.25">
      <c r="M22" s="21"/>
      <c r="N22" s="21"/>
      <c r="O22" s="21"/>
    </row>
    <row r="23" spans="3:15" x14ac:dyDescent="0.25">
      <c r="C23" s="33" t="str">
        <f>IF(H23=1,"u","")</f>
        <v/>
      </c>
      <c r="D23" s="11" t="s">
        <v>437</v>
      </c>
      <c r="E23" s="33"/>
      <c r="F23" t="s">
        <v>161</v>
      </c>
      <c r="G23" t="s">
        <v>93</v>
      </c>
      <c r="H23">
        <f>RANK(I23,I$23:I$43,1)</f>
        <v>2</v>
      </c>
      <c r="I23" s="4">
        <v>2196300</v>
      </c>
      <c r="J23" s="4"/>
      <c r="K23" s="4"/>
      <c r="L23" s="4"/>
      <c r="M23" s="22"/>
      <c r="N23" s="22"/>
      <c r="O23" s="22"/>
    </row>
    <row r="24" spans="3:15" x14ac:dyDescent="0.25">
      <c r="C24" s="33" t="str">
        <f>IF(H24=1,"u","")</f>
        <v>u</v>
      </c>
      <c r="D24" s="11" t="s">
        <v>438</v>
      </c>
      <c r="E24" s="33"/>
      <c r="F24" t="s">
        <v>131</v>
      </c>
      <c r="G24" t="s">
        <v>25</v>
      </c>
      <c r="H24">
        <f>RANK(I24,I$23:I$43,1)</f>
        <v>1</v>
      </c>
      <c r="I24" s="4">
        <v>2092850</v>
      </c>
      <c r="J24" s="4"/>
      <c r="K24" s="4"/>
      <c r="L24" s="4"/>
      <c r="M24" s="22"/>
      <c r="N24" s="22"/>
      <c r="O24" s="22"/>
    </row>
    <row r="25" spans="3:15" x14ac:dyDescent="0.25">
      <c r="C25" s="33" t="str">
        <f>IF(H25=1,"u","")</f>
        <v/>
      </c>
      <c r="D25" s="11" t="s">
        <v>439</v>
      </c>
      <c r="E25" s="33"/>
      <c r="F25" t="s">
        <v>147</v>
      </c>
      <c r="G25" t="s">
        <v>93</v>
      </c>
      <c r="H25">
        <f>RANK(I25,I$23:I$43,1)</f>
        <v>4</v>
      </c>
      <c r="I25" s="4">
        <v>3185600</v>
      </c>
      <c r="J25" s="4"/>
      <c r="K25" s="4"/>
      <c r="L25" s="4"/>
      <c r="M25" s="22"/>
      <c r="N25" s="22"/>
      <c r="O25" s="22"/>
    </row>
    <row r="26" spans="3:15" x14ac:dyDescent="0.25">
      <c r="C26" s="33" t="str">
        <f t="shared" ref="C26:C43" si="0">IF(H26=1,"u","")</f>
        <v/>
      </c>
      <c r="D26" s="11" t="s">
        <v>440</v>
      </c>
      <c r="E26" s="33"/>
      <c r="F26" t="s">
        <v>193</v>
      </c>
      <c r="G26" t="s">
        <v>25</v>
      </c>
      <c r="H26">
        <f>RANK(I26,I$23:I$43,1)</f>
        <v>3</v>
      </c>
      <c r="I26" s="4">
        <v>2784800</v>
      </c>
      <c r="J26" s="4"/>
      <c r="K26" s="4"/>
      <c r="L26" s="4"/>
      <c r="M26" s="22"/>
      <c r="N26" s="22"/>
      <c r="O26" s="22"/>
    </row>
    <row r="27" spans="3:15" x14ac:dyDescent="0.25">
      <c r="C27" s="33" t="str">
        <f t="shared" si="0"/>
        <v/>
      </c>
      <c r="D27" s="11"/>
      <c r="E27" s="33" t="str">
        <f t="shared" ref="E27:E43" si="1">IF(H27=1,"t","")</f>
        <v/>
      </c>
      <c r="I27" s="4"/>
      <c r="J27" s="4"/>
      <c r="K27" s="4"/>
      <c r="L27" s="4"/>
      <c r="M27" s="22"/>
      <c r="N27" s="22"/>
      <c r="O27" s="22"/>
    </row>
    <row r="28" spans="3:15" x14ac:dyDescent="0.25">
      <c r="C28" s="33" t="str">
        <f t="shared" si="0"/>
        <v/>
      </c>
      <c r="D28" s="11"/>
      <c r="E28" s="33" t="str">
        <f t="shared" si="1"/>
        <v/>
      </c>
      <c r="I28" s="4"/>
      <c r="J28" s="4"/>
      <c r="K28" s="4"/>
      <c r="L28" s="4"/>
      <c r="M28" s="22"/>
      <c r="N28" s="22"/>
      <c r="O28" s="22"/>
    </row>
    <row r="29" spans="3:15" x14ac:dyDescent="0.25">
      <c r="C29" s="33" t="str">
        <f t="shared" si="0"/>
        <v/>
      </c>
      <c r="D29" s="11"/>
      <c r="E29" s="33" t="str">
        <f t="shared" si="1"/>
        <v/>
      </c>
      <c r="I29" s="4"/>
      <c r="J29" s="4"/>
      <c r="K29" s="4"/>
      <c r="L29" s="4"/>
      <c r="M29" s="22"/>
      <c r="N29" s="22"/>
      <c r="O29" s="22"/>
    </row>
    <row r="30" spans="3:15" x14ac:dyDescent="0.25">
      <c r="C30" s="33" t="str">
        <f t="shared" si="0"/>
        <v/>
      </c>
      <c r="D30" s="11"/>
      <c r="E30" s="33" t="str">
        <f t="shared" si="1"/>
        <v/>
      </c>
      <c r="I30" s="4"/>
      <c r="J30" s="4"/>
      <c r="K30" s="4"/>
      <c r="L30" s="4"/>
      <c r="M30" s="22"/>
      <c r="N30" s="22"/>
      <c r="O30" s="22"/>
    </row>
    <row r="31" spans="3:15" x14ac:dyDescent="0.25">
      <c r="C31" s="33" t="str">
        <f t="shared" si="0"/>
        <v/>
      </c>
      <c r="D31" s="11"/>
      <c r="E31" s="33" t="str">
        <f t="shared" si="1"/>
        <v/>
      </c>
      <c r="I31" s="4"/>
      <c r="J31" s="4"/>
      <c r="K31" s="4"/>
      <c r="L31" s="4"/>
      <c r="M31" s="22"/>
      <c r="N31" s="22"/>
      <c r="O31" s="22"/>
    </row>
    <row r="32" spans="3:15" x14ac:dyDescent="0.25">
      <c r="C32" s="33" t="str">
        <f t="shared" si="0"/>
        <v/>
      </c>
      <c r="D32" s="11"/>
      <c r="E32" s="33" t="str">
        <f t="shared" si="1"/>
        <v/>
      </c>
      <c r="I32" s="4"/>
      <c r="J32" s="4"/>
      <c r="K32" s="4"/>
      <c r="L32" s="4"/>
      <c r="M32" s="22"/>
      <c r="N32" s="22"/>
      <c r="O32" s="22"/>
    </row>
    <row r="33" spans="3:15" x14ac:dyDescent="0.25">
      <c r="C33" s="33" t="str">
        <f t="shared" si="0"/>
        <v/>
      </c>
      <c r="D33" s="11"/>
      <c r="E33" s="33" t="str">
        <f t="shared" si="1"/>
        <v/>
      </c>
      <c r="M33" s="21"/>
      <c r="N33" s="21"/>
      <c r="O33" s="21"/>
    </row>
    <row r="34" spans="3:15" x14ac:dyDescent="0.25">
      <c r="C34" s="33" t="str">
        <f t="shared" si="0"/>
        <v/>
      </c>
      <c r="D34" s="11"/>
      <c r="E34" s="33" t="str">
        <f t="shared" si="1"/>
        <v/>
      </c>
      <c r="M34" s="21"/>
      <c r="N34" s="21"/>
      <c r="O34" s="21"/>
    </row>
    <row r="35" spans="3:15" x14ac:dyDescent="0.25">
      <c r="C35" s="33" t="str">
        <f t="shared" si="0"/>
        <v/>
      </c>
      <c r="D35" s="11"/>
      <c r="E35" s="33" t="str">
        <f t="shared" si="1"/>
        <v/>
      </c>
      <c r="M35" s="21"/>
      <c r="N35" s="21"/>
      <c r="O35" s="21"/>
    </row>
    <row r="36" spans="3:15" x14ac:dyDescent="0.25">
      <c r="C36" s="33" t="str">
        <f t="shared" si="0"/>
        <v/>
      </c>
      <c r="D36" s="11"/>
      <c r="E36" s="33" t="str">
        <f t="shared" si="1"/>
        <v/>
      </c>
      <c r="M36" s="21"/>
      <c r="N36" s="21"/>
      <c r="O36" s="21"/>
    </row>
    <row r="37" spans="3:15" x14ac:dyDescent="0.25">
      <c r="C37" s="33" t="str">
        <f t="shared" si="0"/>
        <v/>
      </c>
      <c r="D37" s="11"/>
      <c r="E37" s="33" t="str">
        <f t="shared" si="1"/>
        <v/>
      </c>
      <c r="M37" s="21"/>
      <c r="N37" s="21"/>
      <c r="O37" s="21"/>
    </row>
    <row r="38" spans="3:15" x14ac:dyDescent="0.25">
      <c r="C38" s="33" t="str">
        <f t="shared" si="0"/>
        <v/>
      </c>
      <c r="D38" s="11"/>
      <c r="E38" s="33" t="str">
        <f t="shared" si="1"/>
        <v/>
      </c>
      <c r="M38" s="21"/>
      <c r="N38" s="21"/>
      <c r="O38" s="21"/>
    </row>
    <row r="39" spans="3:15" x14ac:dyDescent="0.25">
      <c r="C39" s="33" t="str">
        <f t="shared" si="0"/>
        <v/>
      </c>
      <c r="D39" s="11"/>
      <c r="E39" s="33" t="str">
        <f t="shared" si="1"/>
        <v/>
      </c>
      <c r="M39" s="21"/>
      <c r="N39" s="21"/>
      <c r="O39" s="21"/>
    </row>
    <row r="40" spans="3:15" x14ac:dyDescent="0.25">
      <c r="C40" s="33" t="str">
        <f t="shared" si="0"/>
        <v/>
      </c>
      <c r="D40" s="11"/>
      <c r="E40" s="33" t="str">
        <f t="shared" si="1"/>
        <v/>
      </c>
      <c r="M40" s="21"/>
      <c r="N40" s="21"/>
      <c r="O40" s="21"/>
    </row>
    <row r="41" spans="3:15" x14ac:dyDescent="0.25">
      <c r="C41" s="33" t="str">
        <f t="shared" si="0"/>
        <v/>
      </c>
      <c r="D41" s="11"/>
      <c r="E41" s="33" t="str">
        <f t="shared" si="1"/>
        <v/>
      </c>
      <c r="M41" s="21"/>
      <c r="N41" s="21"/>
      <c r="O41" s="21"/>
    </row>
    <row r="42" spans="3:15" x14ac:dyDescent="0.25">
      <c r="C42" s="33" t="str">
        <f t="shared" si="0"/>
        <v/>
      </c>
      <c r="D42" s="11"/>
      <c r="E42" s="33" t="str">
        <f t="shared" si="1"/>
        <v/>
      </c>
      <c r="M42" s="21"/>
      <c r="N42" s="21"/>
      <c r="O42" s="21"/>
    </row>
    <row r="43" spans="3:15" x14ac:dyDescent="0.25">
      <c r="C43" s="33" t="str">
        <f t="shared" si="0"/>
        <v/>
      </c>
      <c r="D43" s="11"/>
      <c r="E43" s="33" t="str">
        <f t="shared" si="1"/>
        <v/>
      </c>
      <c r="M43" s="21"/>
      <c r="N43" s="21"/>
      <c r="O43" s="21"/>
    </row>
    <row r="44" spans="3:15" ht="6" customHeight="1" x14ac:dyDescent="0.25">
      <c r="C44" s="9"/>
      <c r="D44" s="9"/>
      <c r="E44" s="9"/>
      <c r="F44" s="9"/>
      <c r="G44" s="9"/>
      <c r="H44" s="9"/>
      <c r="I44" s="9"/>
      <c r="J44" s="9"/>
      <c r="K44" s="9"/>
      <c r="L44" s="9"/>
      <c r="M44" s="21"/>
      <c r="N44" s="21"/>
      <c r="O44" s="21"/>
    </row>
    <row r="45" spans="3:15" ht="6" customHeight="1" x14ac:dyDescent="0.25">
      <c r="M45" s="21"/>
      <c r="N45" s="21"/>
      <c r="O45" s="21"/>
    </row>
    <row r="46" spans="3:15" x14ac:dyDescent="0.25">
      <c r="C46" s="15" t="s">
        <v>79</v>
      </c>
      <c r="M46" s="21"/>
      <c r="N46" s="21"/>
      <c r="O46" s="21"/>
    </row>
    <row r="47" spans="3:15" x14ac:dyDescent="0.25">
      <c r="C47" s="15" t="s">
        <v>78</v>
      </c>
    </row>
  </sheetData>
  <mergeCells count="1">
    <mergeCell ref="G13:H13"/>
  </mergeCells>
  <conditionalFormatting sqref="I9">
    <cfRule type="containsText" dxfId="517" priority="10" operator="containsText" text="FAIL">
      <formula>NOT(ISERROR(SEARCH("FAIL",I9)))</formula>
    </cfRule>
  </conditionalFormatting>
  <conditionalFormatting sqref="I9">
    <cfRule type="containsText" dxfId="516" priority="9" operator="containsText" text="GOOD">
      <formula>NOT(ISERROR(SEARCH("GOOD",I9)))</formula>
    </cfRule>
  </conditionalFormatting>
  <conditionalFormatting sqref="F11">
    <cfRule type="containsText" dxfId="515" priority="8" operator="containsText" text="FAIL">
      <formula>NOT(ISERROR(SEARCH("FAIL",F11)))</formula>
    </cfRule>
  </conditionalFormatting>
  <conditionalFormatting sqref="F11">
    <cfRule type="containsText" dxfId="514" priority="7" operator="containsText" text="GOOD">
      <formula>NOT(ISERROR(SEARCH("GOOD",F11)))</formula>
    </cfRule>
  </conditionalFormatting>
  <conditionalFormatting sqref="D25">
    <cfRule type="expression" dxfId="513" priority="6" stopIfTrue="1">
      <formula>IF($H$25=1,0)</formula>
    </cfRule>
  </conditionalFormatting>
  <conditionalFormatting sqref="D23:D43">
    <cfRule type="expression" dxfId="512" priority="5">
      <formula>H23=1</formula>
    </cfRule>
  </conditionalFormatting>
  <conditionalFormatting sqref="C23:C43">
    <cfRule type="expression" dxfId="511" priority="4">
      <formula>H23=1</formula>
    </cfRule>
  </conditionalFormatting>
  <conditionalFormatting sqref="E23:E43">
    <cfRule type="expression" dxfId="510" priority="3">
      <formula>H23=1</formula>
    </cfRule>
  </conditionalFormatting>
  <conditionalFormatting sqref="F11">
    <cfRule type="containsText" dxfId="509" priority="2" operator="containsText" text="FAIL">
      <formula>NOT(ISERROR(SEARCH("FAIL",F11)))</formula>
    </cfRule>
  </conditionalFormatting>
  <conditionalFormatting sqref="F11">
    <cfRule type="containsText" dxfId="508" priority="1" operator="containsText" text="GOOD">
      <formula>NOT(ISERROR(SEARCH("GOOD",F11)))</formula>
    </cfRule>
  </conditionalFormatting>
  <pageMargins left="0.7" right="0.7" top="0.75" bottom="0.75" header="0.3" footer="0.3"/>
  <pageSetup orientation="portrait" r:id="rId1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sheetPr codeName="Sheet61"/>
  <dimension ref="A2:O56"/>
  <sheetViews>
    <sheetView zoomScaleNormal="100" workbookViewId="0">
      <selection activeCell="K25" sqref="K25"/>
    </sheetView>
  </sheetViews>
  <sheetFormatPr defaultRowHeight="15" x14ac:dyDescent="0.25"/>
  <cols>
    <col min="1" max="2" width="4.42578125" customWidth="1"/>
    <col min="3" max="3" width="3" customWidth="1"/>
    <col min="4" max="4" width="24.7109375" customWidth="1"/>
    <col min="5" max="5" width="3" customWidth="1"/>
    <col min="6" max="6" width="15.7109375" customWidth="1"/>
    <col min="7" max="7" width="8.5703125" customWidth="1"/>
    <col min="8" max="8" width="5.85546875" customWidth="1"/>
    <col min="9" max="15" width="15.7109375" customWidth="1"/>
  </cols>
  <sheetData>
    <row r="2" spans="1:11" x14ac:dyDescent="0.25">
      <c r="C2" s="15" t="s">
        <v>32</v>
      </c>
      <c r="E2" s="15"/>
      <c r="F2" s="15"/>
      <c r="G2" s="15" t="s">
        <v>33</v>
      </c>
      <c r="H2" s="15"/>
      <c r="I2" s="15"/>
      <c r="J2" s="15"/>
      <c r="K2" s="15"/>
    </row>
    <row r="3" spans="1:11" ht="18.75" x14ac:dyDescent="0.3">
      <c r="C3" s="3" t="s">
        <v>26</v>
      </c>
      <c r="J3" s="8" t="s">
        <v>47</v>
      </c>
    </row>
    <row r="4" spans="1:11" x14ac:dyDescent="0.25">
      <c r="D4" s="2" t="s">
        <v>0</v>
      </c>
      <c r="E4" s="1"/>
      <c r="F4" t="s">
        <v>983</v>
      </c>
      <c r="I4" s="2" t="s">
        <v>4</v>
      </c>
      <c r="J4" t="s">
        <v>447</v>
      </c>
    </row>
    <row r="5" spans="1:11" x14ac:dyDescent="0.25">
      <c r="D5" s="2" t="s">
        <v>1</v>
      </c>
      <c r="F5" t="s">
        <v>985</v>
      </c>
    </row>
    <row r="6" spans="1:11" x14ac:dyDescent="0.25">
      <c r="D6" s="2" t="s">
        <v>2</v>
      </c>
      <c r="F6" s="6">
        <v>42844</v>
      </c>
      <c r="H6" s="11"/>
    </row>
    <row r="7" spans="1:11" x14ac:dyDescent="0.25">
      <c r="D7" s="2" t="s">
        <v>3</v>
      </c>
      <c r="F7" s="5">
        <f>+I7+J7</f>
        <v>30360000</v>
      </c>
      <c r="G7" s="2" t="s">
        <v>190</v>
      </c>
      <c r="H7" s="11"/>
      <c r="I7" s="19">
        <v>2630000</v>
      </c>
      <c r="J7" s="19">
        <v>27730000</v>
      </c>
    </row>
    <row r="8" spans="1:11" x14ac:dyDescent="0.25">
      <c r="D8" s="2" t="s">
        <v>18</v>
      </c>
      <c r="F8" s="5">
        <f>MIN(K23:K43)</f>
        <v>32920674</v>
      </c>
      <c r="H8" s="11"/>
      <c r="I8" s="18" t="s">
        <v>43</v>
      </c>
      <c r="J8" s="18" t="s">
        <v>44</v>
      </c>
    </row>
    <row r="9" spans="1:11" x14ac:dyDescent="0.25">
      <c r="D9" s="2" t="s">
        <v>19</v>
      </c>
      <c r="F9" s="4">
        <f>+F8-F7</f>
        <v>2560674</v>
      </c>
      <c r="G9" s="16">
        <f>+F9/F7</f>
        <v>8.4343675889328062E-2</v>
      </c>
      <c r="H9" s="12" t="s">
        <v>20</v>
      </c>
      <c r="I9" s="11" t="str">
        <f>(IF(G9&lt;-0.1,"FAIL",IF(G9&gt;0.05,"FAIL","GOOD")))</f>
        <v>FAIL</v>
      </c>
      <c r="J9" s="14" t="s">
        <v>72</v>
      </c>
    </row>
    <row r="10" spans="1:11" x14ac:dyDescent="0.25">
      <c r="D10" s="2" t="s">
        <v>68</v>
      </c>
      <c r="F10" s="4">
        <f>+F7-F12</f>
        <v>-11072104.666666664</v>
      </c>
      <c r="H10" s="11"/>
    </row>
    <row r="11" spans="1:11" x14ac:dyDescent="0.25">
      <c r="A11" s="30"/>
      <c r="D11" s="2" t="s">
        <v>71</v>
      </c>
      <c r="F11" s="11" t="str">
        <f>(IF(F7&lt;J12,"FAIL",IF(F7&gt;J13,"FAIL","GOOD")))</f>
        <v>GOOD</v>
      </c>
      <c r="H11" s="11"/>
    </row>
    <row r="12" spans="1:11" x14ac:dyDescent="0.25">
      <c r="D12" s="2" t="s">
        <v>28</v>
      </c>
      <c r="F12" s="4">
        <f>SUM(K23:K43)/H12</f>
        <v>41432104.666666664</v>
      </c>
      <c r="G12" s="14"/>
      <c r="H12" s="11">
        <f>COUNT(K23:K43)</f>
        <v>3</v>
      </c>
      <c r="I12" s="1" t="s">
        <v>31</v>
      </c>
      <c r="J12" s="4">
        <f>+F8*0.9</f>
        <v>29628606.600000001</v>
      </c>
      <c r="K12" s="1" t="s">
        <v>69</v>
      </c>
    </row>
    <row r="13" spans="1:11" x14ac:dyDescent="0.25">
      <c r="D13" s="2" t="s">
        <v>29</v>
      </c>
      <c r="F13" s="4">
        <f>MAX(K23:K43)-MIN(K23:K43)</f>
        <v>14496326</v>
      </c>
      <c r="G13" s="399">
        <f>MEDIAN(K23:K43)</f>
        <v>43958640</v>
      </c>
      <c r="H13" s="400"/>
      <c r="I13" s="1" t="s">
        <v>30</v>
      </c>
      <c r="J13" s="4">
        <f>+F12*1.1</f>
        <v>45575315.133333333</v>
      </c>
      <c r="K13" s="1" t="s">
        <v>70</v>
      </c>
    </row>
    <row r="14" spans="1:11" x14ac:dyDescent="0.25">
      <c r="H14" s="11"/>
    </row>
    <row r="15" spans="1:11" hidden="1" x14ac:dyDescent="0.25">
      <c r="D15" s="2" t="s">
        <v>8</v>
      </c>
      <c r="F15" s="4">
        <v>30000000</v>
      </c>
      <c r="G15" s="1" t="s">
        <v>9</v>
      </c>
      <c r="H15" s="11"/>
      <c r="I15" t="s">
        <v>15</v>
      </c>
      <c r="J15" s="7">
        <f>+F16/F15</f>
        <v>0.93333333333333335</v>
      </c>
    </row>
    <row r="16" spans="1:11" hidden="1" x14ac:dyDescent="0.25">
      <c r="F16" s="4">
        <v>28000000</v>
      </c>
      <c r="G16" s="1" t="s">
        <v>10</v>
      </c>
      <c r="H16" s="11"/>
      <c r="I16" t="s">
        <v>14</v>
      </c>
      <c r="J16" s="7">
        <f>+F17/F16</f>
        <v>1.0535714285714286</v>
      </c>
    </row>
    <row r="17" spans="3:15" hidden="1" x14ac:dyDescent="0.25">
      <c r="F17" s="4">
        <v>29500000</v>
      </c>
      <c r="G17" s="1" t="s">
        <v>11</v>
      </c>
      <c r="H17" s="11"/>
      <c r="I17" t="s">
        <v>13</v>
      </c>
      <c r="J17" s="7">
        <f>+F18/F17</f>
        <v>1.0291525423728813</v>
      </c>
    </row>
    <row r="18" spans="3:15" hidden="1" x14ac:dyDescent="0.25">
      <c r="F18" s="4">
        <f>+F7</f>
        <v>30360000</v>
      </c>
      <c r="G18" s="1" t="s">
        <v>12</v>
      </c>
      <c r="H18" s="11"/>
      <c r="I18" t="s">
        <v>16</v>
      </c>
      <c r="J18" s="7">
        <f>+F8/F18</f>
        <v>1.0843436758893281</v>
      </c>
    </row>
    <row r="19" spans="3:15" hidden="1" x14ac:dyDescent="0.25">
      <c r="F19" s="2" t="s">
        <v>51</v>
      </c>
      <c r="G19">
        <v>0</v>
      </c>
      <c r="H19" s="11" t="s">
        <v>52</v>
      </c>
      <c r="I19" t="s">
        <v>41</v>
      </c>
      <c r="J19" s="7">
        <f>+F8/F15</f>
        <v>1.0973558000000001</v>
      </c>
    </row>
    <row r="20" spans="3:15" x14ac:dyDescent="0.25">
      <c r="H20" s="11"/>
      <c r="M20" s="21"/>
      <c r="N20" s="21"/>
      <c r="O20" s="21"/>
    </row>
    <row r="21" spans="3:15" x14ac:dyDescent="0.25">
      <c r="C21" s="9"/>
      <c r="D21" s="13" t="s">
        <v>21</v>
      </c>
      <c r="E21" s="9"/>
      <c r="F21" s="9" t="s">
        <v>22</v>
      </c>
      <c r="G21" s="9" t="s">
        <v>23</v>
      </c>
      <c r="H21" s="13" t="s">
        <v>27</v>
      </c>
      <c r="I21" s="10" t="s">
        <v>38</v>
      </c>
      <c r="J21" s="10" t="s">
        <v>37</v>
      </c>
      <c r="K21" s="10" t="s">
        <v>39</v>
      </c>
      <c r="L21" s="9"/>
      <c r="M21" s="21"/>
      <c r="N21" s="21"/>
      <c r="O21" s="21"/>
    </row>
    <row r="22" spans="3:15" ht="6" customHeight="1" x14ac:dyDescent="0.25">
      <c r="M22" s="21"/>
      <c r="N22" s="21"/>
      <c r="O22" s="21"/>
    </row>
    <row r="23" spans="3:15" x14ac:dyDescent="0.25">
      <c r="C23" s="33" t="str">
        <f>IF(H23=1,"u","")</f>
        <v/>
      </c>
      <c r="D23" s="11" t="s">
        <v>487</v>
      </c>
      <c r="E23" s="33"/>
      <c r="F23" t="s">
        <v>113</v>
      </c>
      <c r="G23" t="s">
        <v>25</v>
      </c>
      <c r="H23">
        <f>RANK(K23,K$23:K$43,1)</f>
        <v>2</v>
      </c>
      <c r="I23" s="4">
        <v>149430</v>
      </c>
      <c r="J23" s="4">
        <v>43809210</v>
      </c>
      <c r="K23" s="4">
        <f>+J23+I23</f>
        <v>43958640</v>
      </c>
      <c r="L23" s="4"/>
      <c r="M23" s="22"/>
      <c r="N23" s="22"/>
      <c r="O23" s="22"/>
    </row>
    <row r="24" spans="3:15" x14ac:dyDescent="0.25">
      <c r="C24" s="33" t="str">
        <f>IF(H24=1,"u","")</f>
        <v>u</v>
      </c>
      <c r="D24" s="11" t="s">
        <v>984</v>
      </c>
      <c r="E24" s="33"/>
      <c r="F24" t="s">
        <v>208</v>
      </c>
      <c r="G24" t="s">
        <v>93</v>
      </c>
      <c r="H24">
        <f>RANK(K24,K$23:K$43,1)</f>
        <v>1</v>
      </c>
      <c r="I24" s="4">
        <v>1192240</v>
      </c>
      <c r="J24" s="4">
        <v>31728434</v>
      </c>
      <c r="K24" s="4">
        <f>+J24+I24</f>
        <v>32920674</v>
      </c>
      <c r="L24" s="4"/>
      <c r="M24" s="22"/>
      <c r="N24" s="22"/>
      <c r="O24" s="22"/>
    </row>
    <row r="25" spans="3:15" x14ac:dyDescent="0.25">
      <c r="C25" s="33" t="str">
        <f>IF(H25=1,"u","")</f>
        <v/>
      </c>
      <c r="D25" s="11" t="s">
        <v>700</v>
      </c>
      <c r="E25" s="33"/>
      <c r="F25" t="s">
        <v>95</v>
      </c>
      <c r="G25" t="s">
        <v>93</v>
      </c>
      <c r="H25">
        <f>RANK(K25,K$23:K$43,1)</f>
        <v>3</v>
      </c>
      <c r="I25" s="4">
        <v>1427500</v>
      </c>
      <c r="J25" s="4">
        <v>45989500</v>
      </c>
      <c r="K25" s="4">
        <f>+J25+I25</f>
        <v>47417000</v>
      </c>
      <c r="L25" s="4"/>
      <c r="M25" s="22"/>
      <c r="N25" s="22"/>
      <c r="O25" s="22"/>
    </row>
    <row r="26" spans="3:15" x14ac:dyDescent="0.25">
      <c r="C26" s="33" t="str">
        <f t="shared" ref="C26:C43" si="0">IF(H26=1,"u","")</f>
        <v/>
      </c>
      <c r="D26" s="11"/>
      <c r="E26" s="33"/>
      <c r="I26" s="4"/>
      <c r="J26" s="4"/>
      <c r="K26" s="4"/>
      <c r="L26" s="4"/>
      <c r="M26" s="22"/>
      <c r="N26" s="22"/>
      <c r="O26" s="22"/>
    </row>
    <row r="27" spans="3:15" x14ac:dyDescent="0.25">
      <c r="C27" s="33" t="str">
        <f t="shared" si="0"/>
        <v/>
      </c>
      <c r="D27" s="11"/>
      <c r="E27" s="33"/>
      <c r="I27" s="4"/>
      <c r="J27" s="4"/>
      <c r="K27" s="4"/>
      <c r="L27" s="4"/>
      <c r="M27" s="22"/>
      <c r="N27" s="22"/>
      <c r="O27" s="22"/>
    </row>
    <row r="28" spans="3:15" x14ac:dyDescent="0.25">
      <c r="C28" s="33" t="str">
        <f t="shared" si="0"/>
        <v/>
      </c>
      <c r="D28" s="11"/>
      <c r="E28" s="33"/>
      <c r="I28" s="4"/>
      <c r="J28" s="4"/>
      <c r="K28" s="4"/>
      <c r="L28" s="4"/>
      <c r="M28" s="22"/>
      <c r="N28" s="22"/>
      <c r="O28" s="22"/>
    </row>
    <row r="29" spans="3:15" x14ac:dyDescent="0.25">
      <c r="C29" s="33" t="str">
        <f t="shared" si="0"/>
        <v/>
      </c>
      <c r="D29" s="11"/>
      <c r="E29" s="33"/>
      <c r="I29" s="4"/>
      <c r="J29" s="4"/>
      <c r="K29" s="4"/>
      <c r="L29" s="4"/>
      <c r="M29" s="22"/>
      <c r="N29" s="22"/>
      <c r="O29" s="22"/>
    </row>
    <row r="30" spans="3:15" x14ac:dyDescent="0.25">
      <c r="C30" s="33" t="str">
        <f t="shared" si="0"/>
        <v/>
      </c>
      <c r="D30" s="11"/>
      <c r="E30" s="33"/>
      <c r="I30" s="4"/>
      <c r="J30" s="4"/>
      <c r="K30" s="4"/>
      <c r="L30" s="4"/>
      <c r="M30" s="22"/>
      <c r="N30" s="22"/>
      <c r="O30" s="22"/>
    </row>
    <row r="31" spans="3:15" x14ac:dyDescent="0.25">
      <c r="C31" s="33" t="str">
        <f t="shared" si="0"/>
        <v/>
      </c>
      <c r="D31" s="11"/>
      <c r="E31" s="33"/>
      <c r="I31" s="4"/>
      <c r="J31" s="4"/>
      <c r="K31" s="4"/>
      <c r="L31" s="4"/>
      <c r="M31" s="22"/>
      <c r="N31" s="22"/>
      <c r="O31" s="22"/>
    </row>
    <row r="32" spans="3:15" x14ac:dyDescent="0.25">
      <c r="C32" s="33" t="str">
        <f t="shared" si="0"/>
        <v/>
      </c>
      <c r="D32" s="11"/>
      <c r="E32" s="33"/>
      <c r="I32" s="4"/>
      <c r="J32" s="4"/>
      <c r="K32" s="4"/>
      <c r="L32" s="4"/>
      <c r="M32" s="22"/>
      <c r="N32" s="22"/>
      <c r="O32" s="22"/>
    </row>
    <row r="33" spans="3:15" x14ac:dyDescent="0.25">
      <c r="C33" s="33" t="str">
        <f t="shared" si="0"/>
        <v/>
      </c>
      <c r="D33" s="11"/>
      <c r="E33" s="33"/>
      <c r="I33" s="4"/>
      <c r="J33" s="4"/>
      <c r="K33" s="4"/>
      <c r="M33" s="21"/>
      <c r="N33" s="21"/>
      <c r="O33" s="21"/>
    </row>
    <row r="34" spans="3:15" x14ac:dyDescent="0.25">
      <c r="C34" s="33" t="str">
        <f t="shared" si="0"/>
        <v/>
      </c>
      <c r="D34" s="11"/>
      <c r="E34" s="33"/>
      <c r="I34" s="4"/>
      <c r="J34" s="4"/>
      <c r="K34" s="4"/>
      <c r="M34" s="21"/>
      <c r="N34" s="21"/>
      <c r="O34" s="21"/>
    </row>
    <row r="35" spans="3:15" x14ac:dyDescent="0.25">
      <c r="C35" s="33" t="str">
        <f t="shared" si="0"/>
        <v/>
      </c>
      <c r="D35" s="11"/>
      <c r="E35" s="33"/>
      <c r="I35" s="4"/>
      <c r="J35" s="4"/>
      <c r="K35" s="4"/>
      <c r="M35" s="21"/>
      <c r="N35" s="21"/>
      <c r="O35" s="21"/>
    </row>
    <row r="36" spans="3:15" x14ac:dyDescent="0.25">
      <c r="C36" s="33" t="str">
        <f t="shared" si="0"/>
        <v/>
      </c>
      <c r="D36" s="11"/>
      <c r="E36" s="33"/>
      <c r="I36" s="4"/>
      <c r="J36" s="4"/>
      <c r="K36" s="4"/>
      <c r="M36" s="21"/>
      <c r="N36" s="21"/>
      <c r="O36" s="21"/>
    </row>
    <row r="37" spans="3:15" x14ac:dyDescent="0.25">
      <c r="C37" s="33" t="str">
        <f t="shared" si="0"/>
        <v/>
      </c>
      <c r="D37" s="11"/>
      <c r="E37" s="33"/>
      <c r="I37" s="4"/>
      <c r="J37" s="4"/>
      <c r="K37" s="4"/>
      <c r="M37" s="21"/>
      <c r="N37" s="21"/>
      <c r="O37" s="21"/>
    </row>
    <row r="38" spans="3:15" x14ac:dyDescent="0.25">
      <c r="C38" s="33" t="str">
        <f t="shared" si="0"/>
        <v/>
      </c>
      <c r="D38" s="11"/>
      <c r="E38" s="33"/>
      <c r="I38" s="4"/>
      <c r="J38" s="4"/>
      <c r="K38" s="4"/>
      <c r="M38" s="21"/>
      <c r="N38" s="21"/>
      <c r="O38" s="21"/>
    </row>
    <row r="39" spans="3:15" x14ac:dyDescent="0.25">
      <c r="C39" s="33" t="str">
        <f t="shared" si="0"/>
        <v/>
      </c>
      <c r="D39" s="11"/>
      <c r="E39" s="33" t="str">
        <f>IF(H39=1,"t","")</f>
        <v/>
      </c>
      <c r="K39" s="4"/>
      <c r="M39" s="21"/>
      <c r="N39" s="21"/>
      <c r="O39" s="21"/>
    </row>
    <row r="40" spans="3:15" x14ac:dyDescent="0.25">
      <c r="C40" s="33" t="str">
        <f t="shared" si="0"/>
        <v/>
      </c>
      <c r="D40" s="11"/>
      <c r="E40" s="33" t="str">
        <f>IF(H40=1,"t","")</f>
        <v/>
      </c>
      <c r="K40" s="4"/>
      <c r="M40" s="21"/>
      <c r="N40" s="21"/>
      <c r="O40" s="21"/>
    </row>
    <row r="41" spans="3:15" x14ac:dyDescent="0.25">
      <c r="C41" s="33" t="str">
        <f t="shared" si="0"/>
        <v/>
      </c>
      <c r="D41" s="11"/>
      <c r="E41" s="33" t="str">
        <f>IF(H41=1,"t","")</f>
        <v/>
      </c>
      <c r="K41" s="4"/>
      <c r="M41" s="21"/>
      <c r="N41" s="21"/>
      <c r="O41" s="21"/>
    </row>
    <row r="42" spans="3:15" x14ac:dyDescent="0.25">
      <c r="C42" s="33" t="str">
        <f t="shared" si="0"/>
        <v/>
      </c>
      <c r="D42" s="11"/>
      <c r="E42" s="33" t="str">
        <f>IF(H42=1,"t","")</f>
        <v/>
      </c>
      <c r="K42" s="4"/>
      <c r="M42" s="21"/>
      <c r="N42" s="21"/>
      <c r="O42" s="21"/>
    </row>
    <row r="43" spans="3:15" x14ac:dyDescent="0.25">
      <c r="C43" s="33" t="str">
        <f t="shared" si="0"/>
        <v/>
      </c>
      <c r="D43" s="11"/>
      <c r="E43" s="33" t="str">
        <f>IF(H43=1,"t","")</f>
        <v/>
      </c>
      <c r="K43" s="4"/>
      <c r="M43" s="21"/>
      <c r="N43" s="21"/>
      <c r="O43" s="21"/>
    </row>
    <row r="44" spans="3:15" ht="6" customHeight="1" x14ac:dyDescent="0.25">
      <c r="C44" s="9"/>
      <c r="D44" s="9"/>
      <c r="E44" s="9"/>
      <c r="F44" s="9"/>
      <c r="G44" s="9"/>
      <c r="H44" s="9"/>
      <c r="I44" s="9"/>
      <c r="J44" s="9"/>
      <c r="K44" s="9"/>
      <c r="L44" s="9"/>
      <c r="M44" s="21"/>
      <c r="N44" s="21"/>
      <c r="O44" s="21"/>
    </row>
    <row r="45" spans="3:15" ht="6" customHeight="1" x14ac:dyDescent="0.25">
      <c r="M45" s="21"/>
      <c r="N45" s="21"/>
      <c r="O45" s="21"/>
    </row>
    <row r="46" spans="3:15" x14ac:dyDescent="0.25">
      <c r="C46" s="15" t="s">
        <v>79</v>
      </c>
      <c r="M46" s="21"/>
      <c r="N46" s="21"/>
      <c r="O46" s="21"/>
    </row>
    <row r="47" spans="3:15" x14ac:dyDescent="0.25">
      <c r="C47" s="15" t="s">
        <v>78</v>
      </c>
    </row>
    <row r="49" spans="3:10" x14ac:dyDescent="0.25">
      <c r="C49" s="31" t="s">
        <v>948</v>
      </c>
      <c r="D49" s="31"/>
      <c r="H49" t="s">
        <v>949</v>
      </c>
      <c r="I49" t="s">
        <v>784</v>
      </c>
      <c r="J49" s="6">
        <v>42802</v>
      </c>
    </row>
    <row r="50" spans="3:10" ht="6" customHeight="1" x14ac:dyDescent="0.25"/>
    <row r="51" spans="3:10" x14ac:dyDescent="0.25">
      <c r="D51" s="93" t="s">
        <v>950</v>
      </c>
    </row>
    <row r="52" spans="3:10" x14ac:dyDescent="0.25">
      <c r="D52" s="93" t="s">
        <v>951</v>
      </c>
    </row>
    <row r="53" spans="3:10" x14ac:dyDescent="0.25">
      <c r="D53" s="93" t="s">
        <v>952</v>
      </c>
    </row>
    <row r="54" spans="3:10" x14ac:dyDescent="0.25">
      <c r="D54" s="93" t="s">
        <v>953</v>
      </c>
    </row>
    <row r="55" spans="3:10" x14ac:dyDescent="0.25">
      <c r="D55" s="93" t="s">
        <v>954</v>
      </c>
    </row>
    <row r="56" spans="3:10" x14ac:dyDescent="0.25">
      <c r="D56" s="93" t="s">
        <v>955</v>
      </c>
    </row>
  </sheetData>
  <mergeCells count="1">
    <mergeCell ref="G13:H13"/>
  </mergeCells>
  <conditionalFormatting sqref="I9">
    <cfRule type="containsText" dxfId="1539" priority="27" operator="containsText" text="FAIL">
      <formula>NOT(ISERROR(SEARCH("FAIL",I9)))</formula>
    </cfRule>
  </conditionalFormatting>
  <conditionalFormatting sqref="I9">
    <cfRule type="containsText" dxfId="1538" priority="26" operator="containsText" text="GOOD">
      <formula>NOT(ISERROR(SEARCH("GOOD",I9)))</formula>
    </cfRule>
  </conditionalFormatting>
  <conditionalFormatting sqref="I9">
    <cfRule type="containsText" dxfId="1537" priority="25" operator="containsText" text="FAIL">
      <formula>NOT(ISERROR(SEARCH("FAIL",I9)))</formula>
    </cfRule>
  </conditionalFormatting>
  <conditionalFormatting sqref="I9">
    <cfRule type="containsText" dxfId="1536" priority="24" operator="containsText" text="GOOD">
      <formula>NOT(ISERROR(SEARCH("GOOD",I9)))</formula>
    </cfRule>
  </conditionalFormatting>
  <conditionalFormatting sqref="I9">
    <cfRule type="containsText" dxfId="1535" priority="23" operator="containsText" text="FAIL">
      <formula>NOT(ISERROR(SEARCH("FAIL",I9)))</formula>
    </cfRule>
  </conditionalFormatting>
  <conditionalFormatting sqref="I9">
    <cfRule type="containsText" dxfId="1534" priority="22" operator="containsText" text="GOOD">
      <formula>NOT(ISERROR(SEARCH("GOOD",I9)))</formula>
    </cfRule>
  </conditionalFormatting>
  <conditionalFormatting sqref="F11">
    <cfRule type="containsText" dxfId="1533" priority="21" operator="containsText" text="FAIL">
      <formula>NOT(ISERROR(SEARCH("FAIL",F11)))</formula>
    </cfRule>
  </conditionalFormatting>
  <conditionalFormatting sqref="F11">
    <cfRule type="containsText" dxfId="1532" priority="20" operator="containsText" text="GOOD">
      <formula>NOT(ISERROR(SEARCH("GOOD",F11)))</formula>
    </cfRule>
  </conditionalFormatting>
  <conditionalFormatting sqref="I9">
    <cfRule type="containsText" dxfId="1531" priority="19" operator="containsText" text="FAIL">
      <formula>NOT(ISERROR(SEARCH("FAIL",I9)))</formula>
    </cfRule>
  </conditionalFormatting>
  <conditionalFormatting sqref="I9">
    <cfRule type="containsText" dxfId="1530" priority="18" operator="containsText" text="GOOD">
      <formula>NOT(ISERROR(SEARCH("GOOD",I9)))</formula>
    </cfRule>
  </conditionalFormatting>
  <conditionalFormatting sqref="F11">
    <cfRule type="containsText" dxfId="1529" priority="17" operator="containsText" text="FAIL">
      <formula>NOT(ISERROR(SEARCH("FAIL",F11)))</formula>
    </cfRule>
  </conditionalFormatting>
  <conditionalFormatting sqref="F11">
    <cfRule type="containsText" dxfId="1528" priority="16" operator="containsText" text="GOOD">
      <formula>NOT(ISERROR(SEARCH("GOOD",F11)))</formula>
    </cfRule>
  </conditionalFormatting>
  <conditionalFormatting sqref="D25">
    <cfRule type="expression" dxfId="1527" priority="15" stopIfTrue="1">
      <formula>IF($H$25=1,0)</formula>
    </cfRule>
  </conditionalFormatting>
  <conditionalFormatting sqref="D23:D33 D39:D43">
    <cfRule type="expression" dxfId="1526" priority="14">
      <formula>H23=1</formula>
    </cfRule>
  </conditionalFormatting>
  <conditionalFormatting sqref="C23:C33 C39:C43">
    <cfRule type="expression" dxfId="1525" priority="13">
      <formula>H23=1</formula>
    </cfRule>
  </conditionalFormatting>
  <conditionalFormatting sqref="E23:E33 E39:E43">
    <cfRule type="expression" dxfId="1524" priority="12">
      <formula>H23=1</formula>
    </cfRule>
  </conditionalFormatting>
  <conditionalFormatting sqref="E23:E33 E39:E43">
    <cfRule type="expression" dxfId="1523" priority="11">
      <formula>H23=1</formula>
    </cfRule>
  </conditionalFormatting>
  <conditionalFormatting sqref="F11">
    <cfRule type="containsText" dxfId="1522" priority="10" operator="containsText" text="FAIL">
      <formula>NOT(ISERROR(SEARCH("FAIL",F11)))</formula>
    </cfRule>
  </conditionalFormatting>
  <conditionalFormatting sqref="F11">
    <cfRule type="containsText" dxfId="1521" priority="9" operator="containsText" text="GOOD">
      <formula>NOT(ISERROR(SEARCH("GOOD",F11)))</formula>
    </cfRule>
  </conditionalFormatting>
  <conditionalFormatting sqref="D34:D37">
    <cfRule type="expression" dxfId="1520" priority="8">
      <formula>H34=1</formula>
    </cfRule>
  </conditionalFormatting>
  <conditionalFormatting sqref="C34:C37">
    <cfRule type="expression" dxfId="1519" priority="7">
      <formula>H34=1</formula>
    </cfRule>
  </conditionalFormatting>
  <conditionalFormatting sqref="E34:E37">
    <cfRule type="expression" dxfId="1518" priority="6">
      <formula>H34=1</formula>
    </cfRule>
  </conditionalFormatting>
  <conditionalFormatting sqref="E34:E37">
    <cfRule type="expression" dxfId="1517" priority="5">
      <formula>H34=1</formula>
    </cfRule>
  </conditionalFormatting>
  <conditionalFormatting sqref="D38">
    <cfRule type="expression" dxfId="1516" priority="4">
      <formula>H38=1</formula>
    </cfRule>
  </conditionalFormatting>
  <conditionalFormatting sqref="C38">
    <cfRule type="expression" dxfId="1515" priority="3">
      <formula>H38=1</formula>
    </cfRule>
  </conditionalFormatting>
  <conditionalFormatting sqref="E38">
    <cfRule type="expression" dxfId="1514" priority="2">
      <formula>H38=1</formula>
    </cfRule>
  </conditionalFormatting>
  <conditionalFormatting sqref="E38">
    <cfRule type="expression" dxfId="1513" priority="1">
      <formula>H38=1</formula>
    </cfRule>
  </conditionalFormatting>
  <pageMargins left="0.7" right="0.7" top="0.75" bottom="0.75" header="0.3" footer="0.3"/>
  <pageSetup scale="68" orientation="portrait" r:id="rId1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sheetPr codeName="Sheet82"/>
  <dimension ref="A2:O47"/>
  <sheetViews>
    <sheetView zoomScaleNormal="100" workbookViewId="0">
      <selection activeCell="I25" sqref="I25"/>
    </sheetView>
  </sheetViews>
  <sheetFormatPr defaultRowHeight="15" x14ac:dyDescent="0.25"/>
  <cols>
    <col min="1" max="2" width="4.42578125" customWidth="1"/>
    <col min="3" max="3" width="3" customWidth="1"/>
    <col min="4" max="4" width="24.85546875" customWidth="1"/>
    <col min="5" max="5" width="3" customWidth="1"/>
    <col min="6" max="6" width="15.7109375" customWidth="1"/>
    <col min="7" max="7" width="8.5703125" customWidth="1"/>
    <col min="8" max="8" width="5.85546875" customWidth="1"/>
    <col min="9" max="15" width="15.7109375" customWidth="1"/>
  </cols>
  <sheetData>
    <row r="2" spans="1:11" x14ac:dyDescent="0.25">
      <c r="C2" s="15" t="s">
        <v>32</v>
      </c>
      <c r="E2" s="15"/>
      <c r="F2" s="15"/>
      <c r="G2" s="15" t="s">
        <v>33</v>
      </c>
      <c r="H2" s="15"/>
      <c r="I2" s="15"/>
      <c r="J2" s="15"/>
      <c r="K2" s="15"/>
    </row>
    <row r="3" spans="1:11" ht="18.75" x14ac:dyDescent="0.3">
      <c r="C3" s="3" t="s">
        <v>26</v>
      </c>
      <c r="J3" s="8" t="s">
        <v>17</v>
      </c>
    </row>
    <row r="4" spans="1:11" x14ac:dyDescent="0.25">
      <c r="D4" s="2" t="s">
        <v>0</v>
      </c>
      <c r="E4" s="1"/>
      <c r="F4" t="s">
        <v>825</v>
      </c>
      <c r="I4" s="2" t="s">
        <v>4</v>
      </c>
      <c r="J4" t="s">
        <v>447</v>
      </c>
    </row>
    <row r="5" spans="1:11" x14ac:dyDescent="0.25">
      <c r="D5" s="2" t="s">
        <v>1</v>
      </c>
      <c r="F5" t="s">
        <v>826</v>
      </c>
    </row>
    <row r="6" spans="1:11" x14ac:dyDescent="0.25">
      <c r="D6" s="2" t="s">
        <v>2</v>
      </c>
      <c r="F6" s="6">
        <v>42731</v>
      </c>
      <c r="H6" s="11"/>
    </row>
    <row r="7" spans="1:11" x14ac:dyDescent="0.25">
      <c r="D7" s="2" t="s">
        <v>3</v>
      </c>
      <c r="F7" s="5">
        <v>18500000</v>
      </c>
      <c r="G7" s="2" t="s">
        <v>190</v>
      </c>
      <c r="H7" s="11"/>
    </row>
    <row r="8" spans="1:11" x14ac:dyDescent="0.25">
      <c r="D8" s="2" t="s">
        <v>18</v>
      </c>
      <c r="F8" s="5">
        <f>MIN(I23:I43)</f>
        <v>15978000</v>
      </c>
      <c r="H8" s="11"/>
    </row>
    <row r="9" spans="1:11" x14ac:dyDescent="0.25">
      <c r="D9" s="2" t="s">
        <v>67</v>
      </c>
      <c r="F9" s="4">
        <f>+F8-F7</f>
        <v>-2522000</v>
      </c>
      <c r="G9" s="16">
        <f>+F9/F7</f>
        <v>-0.13632432432432431</v>
      </c>
      <c r="H9" s="12" t="s">
        <v>20</v>
      </c>
      <c r="I9" s="11" t="str">
        <f>(IF(G9&lt;-0.1,"FAIL",IF(G9&gt;0.05,"FAIL","GOOD")))</f>
        <v>FAIL</v>
      </c>
      <c r="J9" s="14" t="s">
        <v>72</v>
      </c>
    </row>
    <row r="10" spans="1:11" x14ac:dyDescent="0.25">
      <c r="D10" s="2" t="s">
        <v>68</v>
      </c>
      <c r="F10" s="4">
        <f>+F7-F12</f>
        <v>773500</v>
      </c>
      <c r="H10" s="11"/>
    </row>
    <row r="11" spans="1:11" x14ac:dyDescent="0.25">
      <c r="A11" s="52"/>
      <c r="D11" s="2" t="s">
        <v>71</v>
      </c>
      <c r="F11" s="11" t="str">
        <f>(IF(F7&lt;J12,"FAIL",IF(F7&gt;J13,"FAIL","GOOD")))</f>
        <v>GOOD</v>
      </c>
      <c r="H11" s="11"/>
    </row>
    <row r="12" spans="1:11" x14ac:dyDescent="0.25">
      <c r="D12" s="2" t="s">
        <v>28</v>
      </c>
      <c r="F12" s="4">
        <f>SUM(I23:I43)/H12</f>
        <v>17726500</v>
      </c>
      <c r="G12" s="14"/>
      <c r="H12" s="11">
        <f>COUNT(I23:I43)</f>
        <v>2</v>
      </c>
      <c r="I12" s="1" t="s">
        <v>31</v>
      </c>
      <c r="J12" s="4">
        <f>+F8*0.9</f>
        <v>14380200</v>
      </c>
      <c r="K12" s="1" t="s">
        <v>69</v>
      </c>
    </row>
    <row r="13" spans="1:11" x14ac:dyDescent="0.25">
      <c r="D13" s="2" t="s">
        <v>29</v>
      </c>
      <c r="F13" s="4">
        <f>MAX(I23:I43)-MIN(I23:I43)</f>
        <v>3497000</v>
      </c>
      <c r="G13" s="399">
        <f>MEDIAN(I23:I43)</f>
        <v>17726500</v>
      </c>
      <c r="H13" s="400"/>
      <c r="I13" s="1" t="s">
        <v>30</v>
      </c>
      <c r="J13" s="4">
        <f>+F12*1.1</f>
        <v>19499150</v>
      </c>
      <c r="K13" s="1" t="s">
        <v>70</v>
      </c>
    </row>
    <row r="14" spans="1:11" x14ac:dyDescent="0.25">
      <c r="H14" s="11"/>
    </row>
    <row r="15" spans="1:11" x14ac:dyDescent="0.25">
      <c r="D15" s="2" t="s">
        <v>8</v>
      </c>
      <c r="F15" s="4"/>
      <c r="G15" s="1" t="s">
        <v>9</v>
      </c>
      <c r="H15" s="11"/>
      <c r="I15" t="s">
        <v>15</v>
      </c>
      <c r="J15" s="7" t="e">
        <f>+F16/F15</f>
        <v>#DIV/0!</v>
      </c>
    </row>
    <row r="16" spans="1:11" x14ac:dyDescent="0.25">
      <c r="F16" s="4"/>
      <c r="G16" s="1" t="s">
        <v>10</v>
      </c>
      <c r="H16" s="11"/>
      <c r="I16" t="s">
        <v>14</v>
      </c>
      <c r="J16" s="7" t="e">
        <f>+F17/F16</f>
        <v>#DIV/0!</v>
      </c>
    </row>
    <row r="17" spans="3:15" x14ac:dyDescent="0.25">
      <c r="F17" s="4"/>
      <c r="G17" s="1" t="s">
        <v>11</v>
      </c>
      <c r="H17" s="11"/>
      <c r="I17" t="s">
        <v>13</v>
      </c>
      <c r="J17" s="7" t="e">
        <f>+F18/F17</f>
        <v>#DIV/0!</v>
      </c>
      <c r="M17" s="21"/>
      <c r="N17" s="21"/>
      <c r="O17" s="21"/>
    </row>
    <row r="18" spans="3:15" x14ac:dyDescent="0.25">
      <c r="F18" s="4"/>
      <c r="G18" s="1" t="s">
        <v>12</v>
      </c>
      <c r="H18" s="11"/>
      <c r="I18" t="s">
        <v>16</v>
      </c>
      <c r="J18" s="7" t="e">
        <f>+F8/F18</f>
        <v>#DIV/0!</v>
      </c>
      <c r="M18" s="21"/>
      <c r="N18" s="21"/>
      <c r="O18" s="21"/>
    </row>
    <row r="19" spans="3:15" x14ac:dyDescent="0.25">
      <c r="F19" s="2" t="s">
        <v>51</v>
      </c>
      <c r="G19">
        <v>0</v>
      </c>
      <c r="H19" s="11" t="s">
        <v>52</v>
      </c>
      <c r="I19" t="s">
        <v>41</v>
      </c>
      <c r="J19" s="7" t="e">
        <f>+F8/F15</f>
        <v>#DIV/0!</v>
      </c>
      <c r="M19" s="21"/>
      <c r="N19" s="21"/>
      <c r="O19" s="21"/>
    </row>
    <row r="20" spans="3:15" x14ac:dyDescent="0.25">
      <c r="H20" s="11"/>
      <c r="M20" s="21"/>
      <c r="N20" s="21"/>
      <c r="O20" s="21"/>
    </row>
    <row r="21" spans="3:15" x14ac:dyDescent="0.25">
      <c r="C21" s="9"/>
      <c r="D21" s="13" t="s">
        <v>21</v>
      </c>
      <c r="E21" s="9"/>
      <c r="F21" s="9" t="s">
        <v>22</v>
      </c>
      <c r="G21" s="9" t="s">
        <v>23</v>
      </c>
      <c r="H21" s="13" t="s">
        <v>27</v>
      </c>
      <c r="I21" s="10" t="s">
        <v>24</v>
      </c>
      <c r="J21" s="9"/>
      <c r="K21" s="9"/>
      <c r="L21" s="9"/>
      <c r="M21" s="21"/>
      <c r="N21" s="21"/>
      <c r="O21" s="21"/>
    </row>
    <row r="22" spans="3:15" ht="6" customHeight="1" x14ac:dyDescent="0.25">
      <c r="M22" s="21"/>
      <c r="N22" s="21"/>
      <c r="O22" s="21"/>
    </row>
    <row r="23" spans="3:15" x14ac:dyDescent="0.25">
      <c r="C23" s="33" t="str">
        <f>IF(H23=1,"u","")</f>
        <v>u</v>
      </c>
      <c r="D23" s="11" t="s">
        <v>487</v>
      </c>
      <c r="E23" s="33"/>
      <c r="F23" t="s">
        <v>113</v>
      </c>
      <c r="G23" t="s">
        <v>25</v>
      </c>
      <c r="H23">
        <f>RANK(I23,I$23:I$43,1)</f>
        <v>1</v>
      </c>
      <c r="I23" s="4">
        <v>15978000</v>
      </c>
      <c r="J23" s="4"/>
      <c r="K23" s="4"/>
      <c r="L23" s="4"/>
      <c r="M23" s="22"/>
      <c r="N23" s="22"/>
      <c r="O23" s="22"/>
    </row>
    <row r="24" spans="3:15" x14ac:dyDescent="0.25">
      <c r="C24" s="33" t="str">
        <f>IF(H24=1,"u","")</f>
        <v/>
      </c>
      <c r="D24" s="11" t="s">
        <v>601</v>
      </c>
      <c r="E24" s="33"/>
      <c r="F24" t="s">
        <v>201</v>
      </c>
      <c r="G24" t="s">
        <v>25</v>
      </c>
      <c r="H24">
        <f>RANK(I24,I$23:I$43,1)</f>
        <v>2</v>
      </c>
      <c r="I24" s="4">
        <v>19475000</v>
      </c>
      <c r="J24" s="4"/>
      <c r="K24" s="4"/>
      <c r="L24" s="4"/>
      <c r="M24" s="22"/>
      <c r="N24" s="22"/>
      <c r="O24" s="22"/>
    </row>
    <row r="25" spans="3:15" x14ac:dyDescent="0.25">
      <c r="C25" s="33" t="str">
        <f>IF(H25=1,"u","")</f>
        <v/>
      </c>
      <c r="D25" s="11"/>
      <c r="E25" s="33"/>
      <c r="I25" s="4"/>
      <c r="J25" s="4"/>
      <c r="K25" s="4"/>
      <c r="L25" s="4"/>
      <c r="M25" s="22"/>
      <c r="N25" s="22"/>
      <c r="O25" s="22"/>
    </row>
    <row r="26" spans="3:15" x14ac:dyDescent="0.25">
      <c r="C26" s="33" t="str">
        <f t="shared" ref="C26:C43" si="0">IF(H26=1,"u","")</f>
        <v/>
      </c>
      <c r="D26" s="11"/>
      <c r="E26" s="33"/>
      <c r="I26" s="4"/>
      <c r="J26" s="4"/>
      <c r="K26" s="4"/>
      <c r="L26" s="4"/>
      <c r="M26" s="22"/>
      <c r="N26" s="22"/>
      <c r="O26" s="22"/>
    </row>
    <row r="27" spans="3:15" x14ac:dyDescent="0.25">
      <c r="C27" s="33" t="str">
        <f t="shared" si="0"/>
        <v/>
      </c>
      <c r="D27" s="11"/>
      <c r="E27" s="33"/>
      <c r="I27" s="4"/>
      <c r="J27" s="4"/>
      <c r="K27" s="4"/>
      <c r="L27" s="4"/>
      <c r="M27" s="22"/>
      <c r="N27" s="22"/>
      <c r="O27" s="22"/>
    </row>
    <row r="28" spans="3:15" x14ac:dyDescent="0.25">
      <c r="C28" s="33" t="str">
        <f t="shared" si="0"/>
        <v/>
      </c>
      <c r="D28" s="11"/>
      <c r="E28" s="33"/>
      <c r="I28" s="4"/>
      <c r="J28" s="4"/>
      <c r="K28" s="4"/>
      <c r="L28" s="4"/>
      <c r="M28" s="22"/>
      <c r="N28" s="22"/>
      <c r="O28" s="22"/>
    </row>
    <row r="29" spans="3:15" x14ac:dyDescent="0.25">
      <c r="C29" s="33" t="str">
        <f t="shared" si="0"/>
        <v/>
      </c>
      <c r="D29" s="11"/>
      <c r="E29" s="33"/>
      <c r="I29" s="4"/>
      <c r="J29" s="4"/>
      <c r="K29" s="4"/>
      <c r="L29" s="4"/>
      <c r="M29" s="22"/>
      <c r="N29" s="22"/>
      <c r="O29" s="22"/>
    </row>
    <row r="30" spans="3:15" x14ac:dyDescent="0.25">
      <c r="C30" s="33" t="str">
        <f t="shared" si="0"/>
        <v/>
      </c>
      <c r="D30" s="11"/>
      <c r="E30" s="33"/>
      <c r="I30" s="4"/>
      <c r="J30" s="4"/>
      <c r="K30" s="4"/>
      <c r="L30" s="4"/>
      <c r="M30" s="22"/>
      <c r="N30" s="22"/>
      <c r="O30" s="22"/>
    </row>
    <row r="31" spans="3:15" x14ac:dyDescent="0.25">
      <c r="C31" s="33" t="str">
        <f t="shared" si="0"/>
        <v/>
      </c>
      <c r="D31" s="11"/>
      <c r="E31" s="33"/>
      <c r="I31" s="4"/>
      <c r="J31" s="4"/>
      <c r="K31" s="4"/>
      <c r="L31" s="4"/>
      <c r="M31" s="22"/>
      <c r="N31" s="22"/>
      <c r="O31" s="22"/>
    </row>
    <row r="32" spans="3:15" x14ac:dyDescent="0.25">
      <c r="C32" s="33" t="str">
        <f t="shared" si="0"/>
        <v/>
      </c>
      <c r="D32" s="11"/>
      <c r="E32" s="33"/>
      <c r="I32" s="4"/>
      <c r="J32" s="4"/>
      <c r="K32" s="4"/>
      <c r="L32" s="4"/>
      <c r="M32" s="22"/>
      <c r="N32" s="22"/>
      <c r="O32" s="22"/>
    </row>
    <row r="33" spans="3:15" x14ac:dyDescent="0.25">
      <c r="C33" s="33" t="str">
        <f t="shared" si="0"/>
        <v/>
      </c>
      <c r="D33" s="11"/>
      <c r="E33" s="33"/>
      <c r="I33" s="4"/>
      <c r="M33" s="21"/>
      <c r="N33" s="21"/>
      <c r="O33" s="21"/>
    </row>
    <row r="34" spans="3:15" x14ac:dyDescent="0.25">
      <c r="C34" s="33" t="str">
        <f t="shared" si="0"/>
        <v/>
      </c>
      <c r="D34" s="11"/>
      <c r="E34" s="33" t="str">
        <f t="shared" ref="E34:E43" si="1">IF(H34=1,"t","")</f>
        <v/>
      </c>
      <c r="M34" s="21"/>
      <c r="N34" s="21"/>
      <c r="O34" s="21"/>
    </row>
    <row r="35" spans="3:15" x14ac:dyDescent="0.25">
      <c r="C35" s="33" t="str">
        <f t="shared" si="0"/>
        <v/>
      </c>
      <c r="D35" s="11"/>
      <c r="E35" s="33" t="str">
        <f t="shared" si="1"/>
        <v/>
      </c>
      <c r="M35" s="21"/>
      <c r="N35" s="21"/>
      <c r="O35" s="21"/>
    </row>
    <row r="36" spans="3:15" x14ac:dyDescent="0.25">
      <c r="C36" s="33" t="str">
        <f t="shared" si="0"/>
        <v/>
      </c>
      <c r="D36" s="11"/>
      <c r="E36" s="33" t="str">
        <f t="shared" si="1"/>
        <v/>
      </c>
      <c r="M36" s="21"/>
      <c r="N36" s="21"/>
      <c r="O36" s="21"/>
    </row>
    <row r="37" spans="3:15" x14ac:dyDescent="0.25">
      <c r="C37" s="33" t="str">
        <f t="shared" si="0"/>
        <v/>
      </c>
      <c r="D37" s="11"/>
      <c r="E37" s="33" t="str">
        <f t="shared" si="1"/>
        <v/>
      </c>
      <c r="M37" s="21"/>
      <c r="N37" s="21"/>
      <c r="O37" s="21"/>
    </row>
    <row r="38" spans="3:15" x14ac:dyDescent="0.25">
      <c r="C38" s="33" t="str">
        <f t="shared" si="0"/>
        <v/>
      </c>
      <c r="D38" s="11"/>
      <c r="E38" s="33" t="str">
        <f t="shared" si="1"/>
        <v/>
      </c>
      <c r="M38" s="21"/>
      <c r="N38" s="21"/>
      <c r="O38" s="21"/>
    </row>
    <row r="39" spans="3:15" x14ac:dyDescent="0.25">
      <c r="C39" s="33" t="str">
        <f t="shared" si="0"/>
        <v/>
      </c>
      <c r="D39" s="11"/>
      <c r="E39" s="33" t="str">
        <f t="shared" si="1"/>
        <v/>
      </c>
      <c r="M39" s="21"/>
      <c r="N39" s="21"/>
      <c r="O39" s="21"/>
    </row>
    <row r="40" spans="3:15" x14ac:dyDescent="0.25">
      <c r="C40" s="33" t="str">
        <f t="shared" si="0"/>
        <v/>
      </c>
      <c r="D40" s="11"/>
      <c r="E40" s="33" t="str">
        <f t="shared" si="1"/>
        <v/>
      </c>
      <c r="M40" s="21"/>
      <c r="N40" s="21"/>
      <c r="O40" s="21"/>
    </row>
    <row r="41" spans="3:15" x14ac:dyDescent="0.25">
      <c r="C41" s="33" t="str">
        <f t="shared" si="0"/>
        <v/>
      </c>
      <c r="D41" s="11"/>
      <c r="E41" s="33" t="str">
        <f t="shared" si="1"/>
        <v/>
      </c>
      <c r="M41" s="21"/>
      <c r="N41" s="21"/>
      <c r="O41" s="21"/>
    </row>
    <row r="42" spans="3:15" x14ac:dyDescent="0.25">
      <c r="C42" s="33" t="str">
        <f t="shared" si="0"/>
        <v/>
      </c>
      <c r="D42" s="11"/>
      <c r="E42" s="33" t="str">
        <f t="shared" si="1"/>
        <v/>
      </c>
      <c r="M42" s="21"/>
      <c r="N42" s="21"/>
      <c r="O42" s="21"/>
    </row>
    <row r="43" spans="3:15" x14ac:dyDescent="0.25">
      <c r="C43" s="33" t="str">
        <f t="shared" si="0"/>
        <v/>
      </c>
      <c r="D43" s="11"/>
      <c r="E43" s="33" t="str">
        <f t="shared" si="1"/>
        <v/>
      </c>
      <c r="M43" s="21"/>
      <c r="N43" s="21"/>
      <c r="O43" s="21"/>
    </row>
    <row r="44" spans="3:15" ht="6" customHeight="1" x14ac:dyDescent="0.25">
      <c r="C44" s="9"/>
      <c r="D44" s="9"/>
      <c r="E44" s="9"/>
      <c r="F44" s="9"/>
      <c r="G44" s="9"/>
      <c r="H44" s="9"/>
      <c r="I44" s="9"/>
      <c r="J44" s="9"/>
      <c r="K44" s="9"/>
      <c r="L44" s="9"/>
      <c r="M44" s="21"/>
      <c r="N44" s="21"/>
      <c r="O44" s="21"/>
    </row>
    <row r="45" spans="3:15" ht="6" customHeight="1" x14ac:dyDescent="0.25">
      <c r="M45" s="21"/>
      <c r="N45" s="21"/>
      <c r="O45" s="21"/>
    </row>
    <row r="46" spans="3:15" x14ac:dyDescent="0.25">
      <c r="C46" s="15" t="s">
        <v>79</v>
      </c>
      <c r="M46" s="21"/>
      <c r="N46" s="21"/>
      <c r="O46" s="21"/>
    </row>
    <row r="47" spans="3:15" x14ac:dyDescent="0.25">
      <c r="C47" s="15" t="s">
        <v>78</v>
      </c>
    </row>
  </sheetData>
  <mergeCells count="1">
    <mergeCell ref="G13:H13"/>
  </mergeCells>
  <conditionalFormatting sqref="I9">
    <cfRule type="containsText" dxfId="1197" priority="13" operator="containsText" text="FAIL">
      <formula>NOT(ISERROR(SEARCH("FAIL",I9)))</formula>
    </cfRule>
  </conditionalFormatting>
  <conditionalFormatting sqref="I9">
    <cfRule type="containsText" dxfId="1196" priority="12" operator="containsText" text="GOOD">
      <formula>NOT(ISERROR(SEARCH("GOOD",I9)))</formula>
    </cfRule>
  </conditionalFormatting>
  <conditionalFormatting sqref="F11">
    <cfRule type="containsText" dxfId="1195" priority="11" operator="containsText" text="FAIL">
      <formula>NOT(ISERROR(SEARCH("FAIL",F11)))</formula>
    </cfRule>
  </conditionalFormatting>
  <conditionalFormatting sqref="F11">
    <cfRule type="containsText" dxfId="1194" priority="10" operator="containsText" text="GOOD">
      <formula>NOT(ISERROR(SEARCH("GOOD",F11)))</formula>
    </cfRule>
  </conditionalFormatting>
  <conditionalFormatting sqref="D25">
    <cfRule type="expression" dxfId="1193" priority="9" stopIfTrue="1">
      <formula>IF($H$25=1,0)</formula>
    </cfRule>
  </conditionalFormatting>
  <conditionalFormatting sqref="D23:D26 D29:D43">
    <cfRule type="expression" dxfId="1192" priority="8">
      <formula>H23=1</formula>
    </cfRule>
  </conditionalFormatting>
  <conditionalFormatting sqref="C23:C26 C29:C43">
    <cfRule type="expression" dxfId="1191" priority="7">
      <formula>H23=1</formula>
    </cfRule>
  </conditionalFormatting>
  <conditionalFormatting sqref="E23:E26 E29:E43">
    <cfRule type="expression" dxfId="1190" priority="6">
      <formula>H23=1</formula>
    </cfRule>
  </conditionalFormatting>
  <conditionalFormatting sqref="F11">
    <cfRule type="containsText" dxfId="1189" priority="5" operator="containsText" text="FAIL">
      <formula>NOT(ISERROR(SEARCH("FAIL",F11)))</formula>
    </cfRule>
  </conditionalFormatting>
  <conditionalFormatting sqref="F11">
    <cfRule type="containsText" dxfId="1188" priority="4" operator="containsText" text="GOOD">
      <formula>NOT(ISERROR(SEARCH("GOOD",F11)))</formula>
    </cfRule>
  </conditionalFormatting>
  <conditionalFormatting sqref="D27:D28">
    <cfRule type="expression" dxfId="1187" priority="3">
      <formula>H27=1</formula>
    </cfRule>
  </conditionalFormatting>
  <conditionalFormatting sqref="C27:C28">
    <cfRule type="expression" dxfId="1186" priority="2">
      <formula>H27=1</formula>
    </cfRule>
  </conditionalFormatting>
  <conditionalFormatting sqref="E27:E28">
    <cfRule type="expression" dxfId="1185" priority="1">
      <formula>H27=1</formula>
    </cfRule>
  </conditionalFormatting>
  <pageMargins left="0.7" right="0.7" top="0.75" bottom="0.75" header="0.3" footer="0.3"/>
  <pageSetup scale="68" orientation="portrait" r:id="rId1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400-000000000000}">
  <sheetPr codeName="Sheet166"/>
  <dimension ref="A2:O47"/>
  <sheetViews>
    <sheetView topLeftCell="A4" workbookViewId="0">
      <selection activeCell="J26" sqref="J26"/>
    </sheetView>
  </sheetViews>
  <sheetFormatPr defaultRowHeight="15" x14ac:dyDescent="0.25"/>
  <cols>
    <col min="1" max="2" width="4.42578125" customWidth="1"/>
    <col min="3" max="3" width="3" customWidth="1"/>
    <col min="4" max="4" width="24.85546875" customWidth="1"/>
    <col min="5" max="5" width="3" customWidth="1"/>
    <col min="6" max="6" width="15.7109375" customWidth="1"/>
    <col min="7" max="7" width="8.5703125" customWidth="1"/>
    <col min="8" max="8" width="5.85546875" customWidth="1"/>
    <col min="9" max="15" width="15.7109375" customWidth="1"/>
  </cols>
  <sheetData>
    <row r="2" spans="1:11" x14ac:dyDescent="0.25">
      <c r="C2" s="15" t="s">
        <v>32</v>
      </c>
      <c r="E2" s="15"/>
      <c r="F2" s="15"/>
      <c r="G2" s="15" t="s">
        <v>33</v>
      </c>
      <c r="H2" s="15"/>
      <c r="I2" s="15"/>
      <c r="J2" s="15"/>
      <c r="K2" s="15"/>
    </row>
    <row r="3" spans="1:11" ht="18.75" x14ac:dyDescent="0.3">
      <c r="C3" s="3" t="s">
        <v>26</v>
      </c>
      <c r="J3" s="8" t="s">
        <v>17</v>
      </c>
    </row>
    <row r="4" spans="1:11" x14ac:dyDescent="0.25">
      <c r="D4" s="2" t="s">
        <v>0</v>
      </c>
      <c r="E4" s="1"/>
      <c r="F4" t="s">
        <v>383</v>
      </c>
      <c r="I4" s="2" t="s">
        <v>4</v>
      </c>
      <c r="J4" t="s">
        <v>5</v>
      </c>
    </row>
    <row r="5" spans="1:11" x14ac:dyDescent="0.25">
      <c r="D5" s="2" t="s">
        <v>1</v>
      </c>
      <c r="F5" t="s">
        <v>384</v>
      </c>
    </row>
    <row r="6" spans="1:11" x14ac:dyDescent="0.25">
      <c r="D6" s="2" t="s">
        <v>2</v>
      </c>
      <c r="F6" s="6">
        <v>42080</v>
      </c>
      <c r="H6" s="11"/>
    </row>
    <row r="7" spans="1:11" x14ac:dyDescent="0.25">
      <c r="D7" s="2" t="s">
        <v>3</v>
      </c>
      <c r="F7" s="5">
        <v>4450000</v>
      </c>
      <c r="G7" s="2" t="s">
        <v>190</v>
      </c>
      <c r="H7" s="11"/>
    </row>
    <row r="8" spans="1:11" x14ac:dyDescent="0.25">
      <c r="D8" s="2" t="s">
        <v>18</v>
      </c>
      <c r="F8" s="5">
        <f>MIN(I23:I43)</f>
        <v>3620000</v>
      </c>
      <c r="H8" s="11"/>
    </row>
    <row r="9" spans="1:11" x14ac:dyDescent="0.25">
      <c r="D9" s="2" t="s">
        <v>67</v>
      </c>
      <c r="F9" s="4">
        <f>+F8-F7</f>
        <v>-830000</v>
      </c>
      <c r="G9" s="16">
        <f>+F9/F7</f>
        <v>-0.18651685393258427</v>
      </c>
      <c r="H9" s="12" t="s">
        <v>20</v>
      </c>
      <c r="I9" s="11" t="str">
        <f>(IF(G9&lt;-0.1,"FAIL",IF(G9&gt;0.05,"FAIL","GOOD")))</f>
        <v>FAIL</v>
      </c>
      <c r="J9" s="14" t="s">
        <v>72</v>
      </c>
    </row>
    <row r="10" spans="1:11" x14ac:dyDescent="0.25">
      <c r="D10" s="2" t="s">
        <v>68</v>
      </c>
      <c r="F10" s="4">
        <f>+F7-F12</f>
        <v>285227.66666666651</v>
      </c>
      <c r="H10" s="11"/>
    </row>
    <row r="11" spans="1:11" x14ac:dyDescent="0.25">
      <c r="A11" s="30"/>
      <c r="D11" s="2" t="s">
        <v>71</v>
      </c>
      <c r="F11" s="11" t="str">
        <f>(IF(F7&lt;J12,"FAIL",IF(F7&gt;J13,"FAIL","GOOD")))</f>
        <v>GOOD</v>
      </c>
      <c r="H11" s="11"/>
    </row>
    <row r="12" spans="1:11" x14ac:dyDescent="0.25">
      <c r="D12" s="2" t="s">
        <v>28</v>
      </c>
      <c r="F12" s="4">
        <f>SUM(I23:I43)/H12</f>
        <v>4164772.3333333335</v>
      </c>
      <c r="G12" s="14"/>
      <c r="H12" s="11">
        <f>COUNT(I23:I43)</f>
        <v>3</v>
      </c>
      <c r="I12" s="1" t="s">
        <v>31</v>
      </c>
      <c r="J12" s="4">
        <f>+F8*0.9</f>
        <v>3258000</v>
      </c>
      <c r="K12" s="1" t="s">
        <v>69</v>
      </c>
    </row>
    <row r="13" spans="1:11" x14ac:dyDescent="0.25">
      <c r="D13" s="2" t="s">
        <v>29</v>
      </c>
      <c r="F13" s="4">
        <f>MAX(I23:I43)-MIN(I23:I43)</f>
        <v>956000</v>
      </c>
      <c r="G13" s="399">
        <f>MEDIAN(I23:I43)</f>
        <v>4298317</v>
      </c>
      <c r="H13" s="400"/>
      <c r="I13" s="1" t="s">
        <v>30</v>
      </c>
      <c r="J13" s="4">
        <f>+F12*1.1</f>
        <v>4581249.5666666673</v>
      </c>
      <c r="K13" s="1" t="s">
        <v>70</v>
      </c>
    </row>
    <row r="14" spans="1:11" x14ac:dyDescent="0.25">
      <c r="H14" s="11"/>
    </row>
    <row r="15" spans="1:11" x14ac:dyDescent="0.25">
      <c r="D15" s="2" t="s">
        <v>8</v>
      </c>
      <c r="F15" s="4"/>
      <c r="G15" s="1" t="s">
        <v>9</v>
      </c>
      <c r="H15" s="11"/>
      <c r="I15" t="s">
        <v>15</v>
      </c>
      <c r="J15" s="7" t="e">
        <f>+F16/F15</f>
        <v>#DIV/0!</v>
      </c>
    </row>
    <row r="16" spans="1:11" x14ac:dyDescent="0.25">
      <c r="F16" s="4"/>
      <c r="G16" s="1" t="s">
        <v>10</v>
      </c>
      <c r="H16" s="11"/>
      <c r="I16" t="s">
        <v>14</v>
      </c>
      <c r="J16" s="7" t="e">
        <f>+F17/F16</f>
        <v>#DIV/0!</v>
      </c>
    </row>
    <row r="17" spans="3:15" x14ac:dyDescent="0.25">
      <c r="F17" s="4"/>
      <c r="G17" s="1" t="s">
        <v>11</v>
      </c>
      <c r="H17" s="11"/>
      <c r="I17" t="s">
        <v>13</v>
      </c>
      <c r="J17" s="7" t="e">
        <f>+F18/F17</f>
        <v>#DIV/0!</v>
      </c>
      <c r="M17" s="21"/>
      <c r="N17" s="21"/>
      <c r="O17" s="21"/>
    </row>
    <row r="18" spans="3:15" x14ac:dyDescent="0.25">
      <c r="F18" s="4"/>
      <c r="G18" s="1" t="s">
        <v>12</v>
      </c>
      <c r="H18" s="11"/>
      <c r="I18" t="s">
        <v>16</v>
      </c>
      <c r="J18" s="7" t="e">
        <f>+F8/F18</f>
        <v>#DIV/0!</v>
      </c>
      <c r="M18" s="21"/>
      <c r="N18" s="21"/>
      <c r="O18" s="21"/>
    </row>
    <row r="19" spans="3:15" x14ac:dyDescent="0.25">
      <c r="F19" s="2" t="s">
        <v>51</v>
      </c>
      <c r="G19">
        <v>0</v>
      </c>
      <c r="H19" s="11" t="s">
        <v>52</v>
      </c>
      <c r="I19" t="s">
        <v>41</v>
      </c>
      <c r="J19" s="7" t="e">
        <f>+F8/F15</f>
        <v>#DIV/0!</v>
      </c>
      <c r="M19" s="21"/>
      <c r="N19" s="21"/>
      <c r="O19" s="21"/>
    </row>
    <row r="20" spans="3:15" x14ac:dyDescent="0.25">
      <c r="H20" s="11"/>
      <c r="M20" s="21"/>
      <c r="N20" s="21"/>
      <c r="O20" s="21"/>
    </row>
    <row r="21" spans="3:15" x14ac:dyDescent="0.25">
      <c r="C21" s="9"/>
      <c r="D21" s="13" t="s">
        <v>21</v>
      </c>
      <c r="E21" s="9"/>
      <c r="F21" s="9" t="s">
        <v>22</v>
      </c>
      <c r="G21" s="9" t="s">
        <v>23</v>
      </c>
      <c r="H21" s="13" t="s">
        <v>27</v>
      </c>
      <c r="I21" s="10" t="s">
        <v>24</v>
      </c>
      <c r="J21" s="9"/>
      <c r="K21" s="9"/>
      <c r="L21" s="9"/>
      <c r="M21" s="21"/>
      <c r="N21" s="21"/>
      <c r="O21" s="21"/>
    </row>
    <row r="22" spans="3:15" ht="6" customHeight="1" x14ac:dyDescent="0.25">
      <c r="M22" s="21"/>
      <c r="N22" s="21"/>
      <c r="O22" s="21"/>
    </row>
    <row r="23" spans="3:15" x14ac:dyDescent="0.25">
      <c r="C23" s="33" t="str">
        <f>IF(H23=1,"u","")</f>
        <v>u</v>
      </c>
      <c r="D23" s="23" t="s">
        <v>385</v>
      </c>
      <c r="E23" s="33"/>
      <c r="F23" t="s">
        <v>386</v>
      </c>
      <c r="G23" t="s">
        <v>25</v>
      </c>
      <c r="H23">
        <f>RANK(I23,I$23:I$43,1)</f>
        <v>1</v>
      </c>
      <c r="I23" s="4">
        <v>3620000</v>
      </c>
      <c r="J23" s="4"/>
      <c r="K23" s="4"/>
      <c r="L23" s="4"/>
      <c r="M23" s="22"/>
      <c r="N23" s="22"/>
      <c r="O23" s="22"/>
    </row>
    <row r="24" spans="3:15" x14ac:dyDescent="0.25">
      <c r="C24" s="33" t="str">
        <f>IF(H24=1,"u","")</f>
        <v/>
      </c>
      <c r="D24" s="23" t="s">
        <v>387</v>
      </c>
      <c r="E24" s="33"/>
      <c r="F24" t="s">
        <v>100</v>
      </c>
      <c r="G24" t="s">
        <v>93</v>
      </c>
      <c r="H24">
        <f>RANK(I24,I$23:I$43,1)</f>
        <v>2</v>
      </c>
      <c r="I24" s="4">
        <v>4298317</v>
      </c>
      <c r="J24" s="4"/>
      <c r="K24" s="4"/>
      <c r="L24" s="4"/>
      <c r="M24" s="22"/>
      <c r="N24" s="22"/>
      <c r="O24" s="22"/>
    </row>
    <row r="25" spans="3:15" x14ac:dyDescent="0.25">
      <c r="C25" s="33" t="str">
        <f>IF(H25=1,"u","")</f>
        <v/>
      </c>
      <c r="D25" s="23" t="s">
        <v>116</v>
      </c>
      <c r="E25" s="33"/>
      <c r="F25" t="s">
        <v>113</v>
      </c>
      <c r="G25" t="s">
        <v>25</v>
      </c>
      <c r="H25">
        <f>RANK(I25,I$23:I$43,1)</f>
        <v>3</v>
      </c>
      <c r="I25" s="4">
        <v>4576000</v>
      </c>
      <c r="J25" s="4"/>
      <c r="K25" s="4"/>
      <c r="L25" s="4"/>
      <c r="M25" s="22"/>
      <c r="N25" s="22"/>
      <c r="O25" s="22"/>
    </row>
    <row r="26" spans="3:15" x14ac:dyDescent="0.25">
      <c r="C26" s="33"/>
      <c r="D26" s="23"/>
      <c r="E26" s="33"/>
      <c r="I26" s="4"/>
      <c r="J26" s="4"/>
      <c r="K26" s="4"/>
      <c r="L26" s="4"/>
      <c r="M26" s="22"/>
      <c r="N26" s="22"/>
      <c r="O26" s="22"/>
    </row>
    <row r="27" spans="3:15" x14ac:dyDescent="0.25">
      <c r="C27" s="33" t="str">
        <f t="shared" ref="C27:C43" si="0">IF(H27=1,"u","")</f>
        <v/>
      </c>
      <c r="D27" s="23"/>
      <c r="E27" s="33" t="str">
        <f t="shared" ref="E27:E43" si="1">IF(H27=1,"t","")</f>
        <v/>
      </c>
      <c r="I27" s="4"/>
      <c r="J27" s="4"/>
      <c r="K27" s="4"/>
      <c r="L27" s="4"/>
      <c r="M27" s="22"/>
      <c r="N27" s="22"/>
      <c r="O27" s="22"/>
    </row>
    <row r="28" spans="3:15" x14ac:dyDescent="0.25">
      <c r="C28" s="33" t="str">
        <f t="shared" si="0"/>
        <v/>
      </c>
      <c r="D28" s="11"/>
      <c r="E28" s="33" t="str">
        <f t="shared" si="1"/>
        <v/>
      </c>
      <c r="I28" s="4"/>
      <c r="J28" s="4"/>
      <c r="K28" s="4"/>
      <c r="L28" s="4"/>
      <c r="M28" s="22"/>
      <c r="N28" s="22"/>
      <c r="O28" s="22"/>
    </row>
    <row r="29" spans="3:15" x14ac:dyDescent="0.25">
      <c r="C29" s="33" t="str">
        <f t="shared" si="0"/>
        <v/>
      </c>
      <c r="D29" s="11"/>
      <c r="E29" s="33" t="str">
        <f t="shared" si="1"/>
        <v/>
      </c>
      <c r="I29" s="4"/>
      <c r="J29" s="4"/>
      <c r="K29" s="4"/>
      <c r="L29" s="4"/>
      <c r="M29" s="22"/>
      <c r="N29" s="22"/>
      <c r="O29" s="22"/>
    </row>
    <row r="30" spans="3:15" x14ac:dyDescent="0.25">
      <c r="C30" s="33" t="str">
        <f t="shared" si="0"/>
        <v/>
      </c>
      <c r="D30" s="11"/>
      <c r="E30" s="33" t="str">
        <f t="shared" si="1"/>
        <v/>
      </c>
      <c r="I30" s="4"/>
      <c r="J30" s="4"/>
      <c r="K30" s="4"/>
      <c r="L30" s="4"/>
      <c r="M30" s="22"/>
      <c r="N30" s="22"/>
      <c r="O30" s="22"/>
    </row>
    <row r="31" spans="3:15" x14ac:dyDescent="0.25">
      <c r="C31" s="33" t="str">
        <f t="shared" si="0"/>
        <v/>
      </c>
      <c r="D31" s="11"/>
      <c r="E31" s="33" t="str">
        <f t="shared" si="1"/>
        <v/>
      </c>
      <c r="I31" s="4"/>
      <c r="J31" s="4"/>
      <c r="K31" s="4"/>
      <c r="L31" s="4"/>
      <c r="M31" s="22"/>
      <c r="N31" s="22"/>
      <c r="O31" s="22"/>
    </row>
    <row r="32" spans="3:15" x14ac:dyDescent="0.25">
      <c r="C32" s="33" t="str">
        <f t="shared" si="0"/>
        <v/>
      </c>
      <c r="D32" s="11"/>
      <c r="E32" s="33" t="str">
        <f t="shared" si="1"/>
        <v/>
      </c>
      <c r="I32" s="4"/>
      <c r="J32" s="4"/>
      <c r="K32" s="4"/>
      <c r="L32" s="4"/>
      <c r="M32" s="22"/>
      <c r="N32" s="22"/>
      <c r="O32" s="22"/>
    </row>
    <row r="33" spans="3:15" x14ac:dyDescent="0.25">
      <c r="C33" s="33" t="str">
        <f t="shared" si="0"/>
        <v/>
      </c>
      <c r="D33" s="11"/>
      <c r="E33" s="33" t="str">
        <f t="shared" si="1"/>
        <v/>
      </c>
      <c r="M33" s="21"/>
      <c r="N33" s="21"/>
      <c r="O33" s="21"/>
    </row>
    <row r="34" spans="3:15" x14ac:dyDescent="0.25">
      <c r="C34" s="33" t="str">
        <f t="shared" si="0"/>
        <v/>
      </c>
      <c r="D34" s="11"/>
      <c r="E34" s="33" t="str">
        <f t="shared" si="1"/>
        <v/>
      </c>
      <c r="M34" s="21"/>
      <c r="N34" s="21"/>
      <c r="O34" s="21"/>
    </row>
    <row r="35" spans="3:15" x14ac:dyDescent="0.25">
      <c r="C35" s="33" t="str">
        <f t="shared" si="0"/>
        <v/>
      </c>
      <c r="D35" s="11"/>
      <c r="E35" s="33" t="str">
        <f t="shared" si="1"/>
        <v/>
      </c>
      <c r="M35" s="21"/>
      <c r="N35" s="21"/>
      <c r="O35" s="21"/>
    </row>
    <row r="36" spans="3:15" x14ac:dyDescent="0.25">
      <c r="C36" s="33" t="str">
        <f t="shared" si="0"/>
        <v/>
      </c>
      <c r="D36" s="11"/>
      <c r="E36" s="33" t="str">
        <f t="shared" si="1"/>
        <v/>
      </c>
      <c r="M36" s="21"/>
      <c r="N36" s="21"/>
      <c r="O36" s="21"/>
    </row>
    <row r="37" spans="3:15" x14ac:dyDescent="0.25">
      <c r="C37" s="33" t="str">
        <f t="shared" si="0"/>
        <v/>
      </c>
      <c r="D37" s="11"/>
      <c r="E37" s="33" t="str">
        <f t="shared" si="1"/>
        <v/>
      </c>
      <c r="M37" s="21"/>
      <c r="N37" s="21"/>
      <c r="O37" s="21"/>
    </row>
    <row r="38" spans="3:15" x14ac:dyDescent="0.25">
      <c r="C38" s="33" t="str">
        <f t="shared" si="0"/>
        <v/>
      </c>
      <c r="D38" s="11"/>
      <c r="E38" s="33" t="str">
        <f t="shared" si="1"/>
        <v/>
      </c>
      <c r="M38" s="21"/>
      <c r="N38" s="21"/>
      <c r="O38" s="21"/>
    </row>
    <row r="39" spans="3:15" x14ac:dyDescent="0.25">
      <c r="C39" s="33" t="str">
        <f t="shared" si="0"/>
        <v/>
      </c>
      <c r="D39" s="11"/>
      <c r="E39" s="33" t="str">
        <f t="shared" si="1"/>
        <v/>
      </c>
      <c r="M39" s="21"/>
      <c r="N39" s="21"/>
      <c r="O39" s="21"/>
    </row>
    <row r="40" spans="3:15" x14ac:dyDescent="0.25">
      <c r="C40" s="33" t="str">
        <f t="shared" si="0"/>
        <v/>
      </c>
      <c r="D40" s="11"/>
      <c r="E40" s="33" t="str">
        <f t="shared" si="1"/>
        <v/>
      </c>
      <c r="M40" s="21"/>
      <c r="N40" s="21"/>
      <c r="O40" s="21"/>
    </row>
    <row r="41" spans="3:15" x14ac:dyDescent="0.25">
      <c r="C41" s="33" t="str">
        <f t="shared" si="0"/>
        <v/>
      </c>
      <c r="D41" s="11"/>
      <c r="E41" s="33" t="str">
        <f t="shared" si="1"/>
        <v/>
      </c>
      <c r="M41" s="21"/>
      <c r="N41" s="21"/>
      <c r="O41" s="21"/>
    </row>
    <row r="42" spans="3:15" x14ac:dyDescent="0.25">
      <c r="C42" s="33" t="str">
        <f t="shared" si="0"/>
        <v/>
      </c>
      <c r="D42" s="11"/>
      <c r="E42" s="33" t="str">
        <f t="shared" si="1"/>
        <v/>
      </c>
      <c r="M42" s="21"/>
      <c r="N42" s="21"/>
      <c r="O42" s="21"/>
    </row>
    <row r="43" spans="3:15" x14ac:dyDescent="0.25">
      <c r="C43" s="33" t="str">
        <f t="shared" si="0"/>
        <v/>
      </c>
      <c r="D43" s="11"/>
      <c r="E43" s="33" t="str">
        <f t="shared" si="1"/>
        <v/>
      </c>
      <c r="M43" s="21"/>
      <c r="N43" s="21"/>
      <c r="O43" s="21"/>
    </row>
    <row r="44" spans="3:15" ht="6" customHeight="1" x14ac:dyDescent="0.25">
      <c r="C44" s="9"/>
      <c r="D44" s="9"/>
      <c r="E44" s="9"/>
      <c r="F44" s="9"/>
      <c r="G44" s="9"/>
      <c r="H44" s="9"/>
      <c r="I44" s="9"/>
      <c r="J44" s="9"/>
      <c r="K44" s="9"/>
      <c r="L44" s="9"/>
      <c r="M44" s="21"/>
      <c r="N44" s="21"/>
      <c r="O44" s="21"/>
    </row>
    <row r="45" spans="3:15" ht="6" customHeight="1" x14ac:dyDescent="0.25">
      <c r="M45" s="21"/>
      <c r="N45" s="21"/>
      <c r="O45" s="21"/>
    </row>
    <row r="46" spans="3:15" x14ac:dyDescent="0.25">
      <c r="C46" s="15" t="s">
        <v>79</v>
      </c>
      <c r="M46" s="21"/>
      <c r="N46" s="21"/>
      <c r="O46" s="21"/>
    </row>
    <row r="47" spans="3:15" x14ac:dyDescent="0.25">
      <c r="C47" s="15" t="s">
        <v>78</v>
      </c>
    </row>
  </sheetData>
  <mergeCells count="1">
    <mergeCell ref="G13:H13"/>
  </mergeCells>
  <conditionalFormatting sqref="I9">
    <cfRule type="containsText" dxfId="117" priority="10" operator="containsText" text="FAIL">
      <formula>NOT(ISERROR(SEARCH("FAIL",I9)))</formula>
    </cfRule>
  </conditionalFormatting>
  <conditionalFormatting sqref="I9">
    <cfRule type="containsText" dxfId="116" priority="9" operator="containsText" text="GOOD">
      <formula>NOT(ISERROR(SEARCH("GOOD",I9)))</formula>
    </cfRule>
  </conditionalFormatting>
  <conditionalFormatting sqref="F11">
    <cfRule type="containsText" dxfId="115" priority="8" operator="containsText" text="FAIL">
      <formula>NOT(ISERROR(SEARCH("FAIL",F11)))</formula>
    </cfRule>
  </conditionalFormatting>
  <conditionalFormatting sqref="F11">
    <cfRule type="containsText" dxfId="114" priority="7" operator="containsText" text="GOOD">
      <formula>NOT(ISERROR(SEARCH("GOOD",F11)))</formula>
    </cfRule>
  </conditionalFormatting>
  <conditionalFormatting sqref="D25">
    <cfRule type="expression" dxfId="113" priority="6" stopIfTrue="1">
      <formula>IF($H$25=1,0)</formula>
    </cfRule>
  </conditionalFormatting>
  <conditionalFormatting sqref="D23:D43">
    <cfRule type="expression" dxfId="112" priority="5">
      <formula>H23=1</formula>
    </cfRule>
  </conditionalFormatting>
  <conditionalFormatting sqref="C23:C43">
    <cfRule type="expression" dxfId="111" priority="4">
      <formula>H23=1</formula>
    </cfRule>
  </conditionalFormatting>
  <conditionalFormatting sqref="E23:E43">
    <cfRule type="expression" dxfId="110" priority="3">
      <formula>H23=1</formula>
    </cfRule>
  </conditionalFormatting>
  <conditionalFormatting sqref="F11">
    <cfRule type="containsText" dxfId="109" priority="2" operator="containsText" text="FAIL">
      <formula>NOT(ISERROR(SEARCH("FAIL",F11)))</formula>
    </cfRule>
  </conditionalFormatting>
  <conditionalFormatting sqref="F11">
    <cfRule type="containsText" dxfId="108" priority="1" operator="containsText" text="GOOD">
      <formula>NOT(ISERROR(SEARCH("GOOD",F11)))</formula>
    </cfRule>
  </conditionalFormatting>
  <pageMargins left="0.7" right="0.7" top="0.75" bottom="0.75" header="0.3" footer="0.3"/>
  <pageSetup orientation="portrait" r:id="rId1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900-000000000000}">
  <sheetPr codeName="Sheet155"/>
  <dimension ref="A2:O47"/>
  <sheetViews>
    <sheetView workbookViewId="0">
      <selection activeCell="J4" sqref="J4"/>
    </sheetView>
  </sheetViews>
  <sheetFormatPr defaultRowHeight="15" x14ac:dyDescent="0.25"/>
  <cols>
    <col min="1" max="2" width="4.42578125" customWidth="1"/>
    <col min="3" max="3" width="3" customWidth="1"/>
    <col min="4" max="4" width="24.7109375" customWidth="1"/>
    <col min="5" max="5" width="3" customWidth="1"/>
    <col min="6" max="6" width="15.7109375" customWidth="1"/>
    <col min="7" max="7" width="8.5703125" customWidth="1"/>
    <col min="8" max="8" width="5.85546875" customWidth="1"/>
    <col min="9" max="15" width="15.7109375" customWidth="1"/>
  </cols>
  <sheetData>
    <row r="2" spans="1:11" x14ac:dyDescent="0.25">
      <c r="C2" s="15" t="s">
        <v>32</v>
      </c>
      <c r="E2" s="15"/>
      <c r="F2" s="15"/>
      <c r="G2" s="15" t="s">
        <v>33</v>
      </c>
      <c r="H2" s="15"/>
      <c r="I2" s="15"/>
      <c r="J2" s="15"/>
      <c r="K2" s="15"/>
    </row>
    <row r="3" spans="1:11" ht="18.75" x14ac:dyDescent="0.3">
      <c r="C3" s="3" t="s">
        <v>26</v>
      </c>
      <c r="J3" s="8" t="s">
        <v>47</v>
      </c>
    </row>
    <row r="4" spans="1:11" x14ac:dyDescent="0.25">
      <c r="D4" s="2" t="s">
        <v>0</v>
      </c>
      <c r="E4" s="1"/>
      <c r="F4" t="s">
        <v>309</v>
      </c>
      <c r="I4" s="2" t="s">
        <v>4</v>
      </c>
    </row>
    <row r="5" spans="1:11" x14ac:dyDescent="0.25">
      <c r="D5" s="2" t="s">
        <v>1</v>
      </c>
      <c r="F5" t="s">
        <v>310</v>
      </c>
    </row>
    <row r="6" spans="1:11" x14ac:dyDescent="0.25">
      <c r="D6" s="2" t="s">
        <v>2</v>
      </c>
      <c r="F6" s="6">
        <v>42144</v>
      </c>
      <c r="H6" s="11"/>
    </row>
    <row r="7" spans="1:11" x14ac:dyDescent="0.25">
      <c r="D7" s="2" t="s">
        <v>3</v>
      </c>
      <c r="F7" s="5">
        <f>+I7+J7</f>
        <v>3340000</v>
      </c>
      <c r="G7" s="2" t="s">
        <v>34</v>
      </c>
      <c r="H7" s="11"/>
      <c r="I7" s="19">
        <v>176000</v>
      </c>
      <c r="J7" s="19">
        <v>3164000</v>
      </c>
    </row>
    <row r="8" spans="1:11" x14ac:dyDescent="0.25">
      <c r="D8" s="2" t="s">
        <v>18</v>
      </c>
      <c r="F8" s="5">
        <f>MIN(K23:K43)</f>
        <v>4538160</v>
      </c>
      <c r="H8" s="11"/>
      <c r="I8" s="18" t="s">
        <v>43</v>
      </c>
      <c r="J8" s="18" t="s">
        <v>44</v>
      </c>
    </row>
    <row r="9" spans="1:11" x14ac:dyDescent="0.25">
      <c r="D9" s="2" t="s">
        <v>19</v>
      </c>
      <c r="F9" s="4">
        <f>+F8-F7</f>
        <v>1198160</v>
      </c>
      <c r="G9" s="16">
        <f>+F9/F7</f>
        <v>0.35873053892215567</v>
      </c>
      <c r="H9" s="12" t="s">
        <v>20</v>
      </c>
      <c r="I9" s="11" t="str">
        <f>(IF(G9&lt;-0.1,"FAIL",IF(G9&gt;0.05,"FAIL","GOOD")))</f>
        <v>FAIL</v>
      </c>
    </row>
    <row r="10" spans="1:11" x14ac:dyDescent="0.25">
      <c r="D10" s="2" t="s">
        <v>68</v>
      </c>
      <c r="F10" s="4">
        <f>+F7-F12</f>
        <v>-2689053.333333333</v>
      </c>
      <c r="H10" s="11"/>
    </row>
    <row r="11" spans="1:11" x14ac:dyDescent="0.25">
      <c r="A11" s="30"/>
      <c r="D11" s="2" t="s">
        <v>71</v>
      </c>
      <c r="F11" s="11" t="str">
        <f>(IF(F7&lt;J12,"FAIL",IF(F7&gt;J13,"FAIL","GOOD")))</f>
        <v>FAIL</v>
      </c>
      <c r="H11" s="11"/>
    </row>
    <row r="12" spans="1:11" x14ac:dyDescent="0.25">
      <c r="D12" s="2" t="s">
        <v>28</v>
      </c>
      <c r="F12" s="4">
        <f>SUM(K23:K43)/H12</f>
        <v>6029053.333333333</v>
      </c>
      <c r="G12" s="14"/>
      <c r="H12" s="11">
        <f>COUNT(K23:K43)</f>
        <v>3</v>
      </c>
      <c r="I12" s="1" t="s">
        <v>31</v>
      </c>
      <c r="J12" s="4">
        <f>+F8*0.9</f>
        <v>4084344</v>
      </c>
      <c r="K12" s="1" t="s">
        <v>69</v>
      </c>
    </row>
    <row r="13" spans="1:11" x14ac:dyDescent="0.25">
      <c r="D13" s="2" t="s">
        <v>29</v>
      </c>
      <c r="F13" s="4">
        <f>MAX(K23:K43)-MIN(K23:K43)</f>
        <v>3123540</v>
      </c>
      <c r="G13" s="399">
        <f>MEDIAN(K23:K43)</f>
        <v>5887300</v>
      </c>
      <c r="H13" s="400"/>
      <c r="I13" s="1" t="s">
        <v>30</v>
      </c>
      <c r="J13" s="4">
        <f>+F12*1.1</f>
        <v>6631958.666666667</v>
      </c>
      <c r="K13" s="1" t="s">
        <v>70</v>
      </c>
    </row>
    <row r="14" spans="1:11" x14ac:dyDescent="0.25">
      <c r="H14" s="11"/>
    </row>
    <row r="15" spans="1:11" x14ac:dyDescent="0.25">
      <c r="D15" s="2" t="s">
        <v>8</v>
      </c>
      <c r="F15" s="4"/>
      <c r="G15" s="1" t="s">
        <v>9</v>
      </c>
      <c r="H15" s="11"/>
      <c r="I15" t="s">
        <v>15</v>
      </c>
      <c r="J15" s="7" t="e">
        <f>+F16/F15</f>
        <v>#DIV/0!</v>
      </c>
    </row>
    <row r="16" spans="1:11" x14ac:dyDescent="0.25">
      <c r="F16" s="4"/>
      <c r="G16" s="1" t="s">
        <v>10</v>
      </c>
      <c r="H16" s="11"/>
      <c r="I16" t="s">
        <v>14</v>
      </c>
      <c r="J16" s="7" t="e">
        <f>+F17/F16</f>
        <v>#DIV/0!</v>
      </c>
    </row>
    <row r="17" spans="3:15" x14ac:dyDescent="0.25">
      <c r="F17" s="4"/>
      <c r="G17" s="1" t="s">
        <v>11</v>
      </c>
      <c r="H17" s="11"/>
      <c r="I17" t="s">
        <v>13</v>
      </c>
      <c r="J17" s="7" t="e">
        <f>+F18/F17</f>
        <v>#DIV/0!</v>
      </c>
    </row>
    <row r="18" spans="3:15" x14ac:dyDescent="0.25">
      <c r="F18" s="4"/>
      <c r="G18" s="1" t="s">
        <v>12</v>
      </c>
      <c r="H18" s="11"/>
      <c r="I18" t="s">
        <v>16</v>
      </c>
      <c r="J18" s="7" t="e">
        <f>+F8/F18</f>
        <v>#DIV/0!</v>
      </c>
    </row>
    <row r="19" spans="3:15" x14ac:dyDescent="0.25">
      <c r="F19" s="2" t="s">
        <v>51</v>
      </c>
      <c r="G19">
        <v>0</v>
      </c>
      <c r="H19" s="11" t="s">
        <v>52</v>
      </c>
      <c r="I19" t="s">
        <v>41</v>
      </c>
      <c r="J19" s="7" t="e">
        <f>+F8/F15</f>
        <v>#DIV/0!</v>
      </c>
    </row>
    <row r="20" spans="3:15" x14ac:dyDescent="0.25">
      <c r="H20" s="11"/>
      <c r="M20" s="21"/>
      <c r="N20" s="21"/>
      <c r="O20" s="21"/>
    </row>
    <row r="21" spans="3:15" x14ac:dyDescent="0.25">
      <c r="C21" s="9"/>
      <c r="D21" s="13" t="s">
        <v>21</v>
      </c>
      <c r="E21" s="9"/>
      <c r="F21" s="9" t="s">
        <v>22</v>
      </c>
      <c r="G21" s="9" t="s">
        <v>23</v>
      </c>
      <c r="H21" s="13" t="s">
        <v>27</v>
      </c>
      <c r="I21" s="10" t="s">
        <v>38</v>
      </c>
      <c r="J21" s="10" t="s">
        <v>37</v>
      </c>
      <c r="K21" s="10" t="s">
        <v>39</v>
      </c>
      <c r="L21" s="9"/>
      <c r="M21" s="21"/>
      <c r="N21" s="21"/>
      <c r="O21" s="21"/>
    </row>
    <row r="22" spans="3:15" ht="6" customHeight="1" x14ac:dyDescent="0.25">
      <c r="M22" s="21"/>
      <c r="N22" s="21"/>
      <c r="O22" s="21"/>
    </row>
    <row r="23" spans="3:15" x14ac:dyDescent="0.25">
      <c r="C23" s="33" t="str">
        <f>IF(H23=1,"u","")</f>
        <v>u</v>
      </c>
      <c r="D23" s="23" t="s">
        <v>87</v>
      </c>
      <c r="E23" s="33"/>
      <c r="F23" t="s">
        <v>88</v>
      </c>
      <c r="G23" t="s">
        <v>25</v>
      </c>
      <c r="H23">
        <f>RANK(K23,K$23:K$43,1)</f>
        <v>1</v>
      </c>
      <c r="I23" s="4">
        <v>38160</v>
      </c>
      <c r="J23" s="4">
        <v>4500000</v>
      </c>
      <c r="K23" s="4">
        <f>+J23+I23</f>
        <v>4538160</v>
      </c>
      <c r="L23" s="4"/>
      <c r="M23" s="22"/>
      <c r="N23" s="22"/>
      <c r="O23" s="22"/>
    </row>
    <row r="24" spans="3:15" x14ac:dyDescent="0.25">
      <c r="C24" s="33" t="str">
        <f>IF(H24=1,"u","")</f>
        <v/>
      </c>
      <c r="D24" s="23" t="s">
        <v>311</v>
      </c>
      <c r="E24" s="33"/>
      <c r="F24" t="s">
        <v>312</v>
      </c>
      <c r="G24" t="s">
        <v>25</v>
      </c>
      <c r="H24">
        <f>RANK(K24,K$23:K$43,1)</f>
        <v>2</v>
      </c>
      <c r="I24" s="4">
        <v>36000</v>
      </c>
      <c r="J24" s="4">
        <v>5851300</v>
      </c>
      <c r="K24" s="4">
        <f>+J24+I24</f>
        <v>5887300</v>
      </c>
      <c r="L24" s="4"/>
      <c r="M24" s="22"/>
      <c r="N24" s="22"/>
      <c r="O24" s="22"/>
    </row>
    <row r="25" spans="3:15" x14ac:dyDescent="0.25">
      <c r="C25" s="33" t="str">
        <f>IF(H25=1,"u","")</f>
        <v/>
      </c>
      <c r="D25" s="23" t="s">
        <v>99</v>
      </c>
      <c r="E25" s="33"/>
      <c r="F25" t="s">
        <v>100</v>
      </c>
      <c r="G25" t="s">
        <v>93</v>
      </c>
      <c r="H25">
        <f>RANK(K25,K$23:K$43,1)</f>
        <v>3</v>
      </c>
      <c r="I25" s="4">
        <v>252000</v>
      </c>
      <c r="J25" s="4">
        <v>7409700</v>
      </c>
      <c r="K25" s="4">
        <f>+J25+I25</f>
        <v>7661700</v>
      </c>
      <c r="L25" s="4"/>
      <c r="M25" s="22"/>
      <c r="N25" s="22"/>
      <c r="O25" s="22"/>
    </row>
    <row r="26" spans="3:15" x14ac:dyDescent="0.25">
      <c r="C26" s="33"/>
      <c r="D26" s="23"/>
      <c r="E26" s="33"/>
      <c r="I26" s="4"/>
      <c r="J26" s="4"/>
      <c r="K26" s="4"/>
      <c r="L26" s="4"/>
      <c r="M26" s="22"/>
      <c r="N26" s="22"/>
      <c r="O26" s="22"/>
    </row>
    <row r="27" spans="3:15" x14ac:dyDescent="0.25">
      <c r="C27" s="33"/>
      <c r="D27" s="23"/>
      <c r="E27" s="33"/>
      <c r="I27" s="4"/>
      <c r="J27" s="4"/>
      <c r="K27" s="4"/>
      <c r="L27" s="4"/>
      <c r="M27" s="22"/>
      <c r="N27" s="22"/>
      <c r="O27" s="22"/>
    </row>
    <row r="28" spans="3:15" x14ac:dyDescent="0.25">
      <c r="C28" s="33"/>
      <c r="D28" s="23"/>
      <c r="E28" s="33"/>
      <c r="I28" s="4"/>
      <c r="J28" s="4"/>
      <c r="K28" s="4"/>
      <c r="L28" s="4"/>
      <c r="M28" s="22"/>
      <c r="N28" s="22"/>
      <c r="O28" s="22"/>
    </row>
    <row r="29" spans="3:15" x14ac:dyDescent="0.25">
      <c r="C29" s="33"/>
      <c r="D29" s="23"/>
      <c r="E29" s="33"/>
      <c r="I29" s="4"/>
      <c r="J29" s="4"/>
      <c r="K29" s="4"/>
      <c r="L29" s="4"/>
      <c r="M29" s="22"/>
      <c r="N29" s="22"/>
      <c r="O29" s="22"/>
    </row>
    <row r="30" spans="3:15" x14ac:dyDescent="0.25">
      <c r="C30" s="33"/>
      <c r="D30" s="23"/>
      <c r="E30" s="33"/>
      <c r="I30" s="4"/>
      <c r="J30" s="4"/>
      <c r="K30" s="4"/>
      <c r="L30" s="4"/>
      <c r="M30" s="22"/>
      <c r="N30" s="22"/>
      <c r="O30" s="22"/>
    </row>
    <row r="31" spans="3:15" x14ac:dyDescent="0.25">
      <c r="C31" s="33"/>
      <c r="D31" s="11"/>
      <c r="E31" s="33"/>
      <c r="I31" s="4"/>
      <c r="J31" s="4"/>
      <c r="K31" s="4"/>
      <c r="L31" s="4"/>
      <c r="M31" s="22"/>
      <c r="N31" s="22"/>
      <c r="O31" s="22"/>
    </row>
    <row r="32" spans="3:15" x14ac:dyDescent="0.25">
      <c r="C32" s="33"/>
      <c r="D32" s="11"/>
      <c r="E32" s="33"/>
      <c r="I32" s="4"/>
      <c r="J32" s="4"/>
      <c r="K32" s="4"/>
      <c r="L32" s="4"/>
      <c r="M32" s="22"/>
      <c r="N32" s="22"/>
      <c r="O32" s="22"/>
    </row>
    <row r="33" spans="3:15" x14ac:dyDescent="0.25">
      <c r="C33" s="33"/>
      <c r="D33" s="11"/>
      <c r="E33" s="33"/>
      <c r="I33" s="4"/>
      <c r="J33" s="4"/>
      <c r="K33" s="4"/>
      <c r="M33" s="21"/>
      <c r="N33" s="21"/>
      <c r="O33" s="21"/>
    </row>
    <row r="34" spans="3:15" x14ac:dyDescent="0.25">
      <c r="C34" s="33" t="str">
        <f t="shared" ref="C34:C43" si="0">IF(H34=1,"u","")</f>
        <v/>
      </c>
      <c r="D34" s="11"/>
      <c r="E34" s="33" t="str">
        <f t="shared" ref="E34:E43" si="1">IF(H34=1,"t","")</f>
        <v/>
      </c>
      <c r="K34" s="4"/>
      <c r="M34" s="21"/>
      <c r="N34" s="21"/>
      <c r="O34" s="21"/>
    </row>
    <row r="35" spans="3:15" x14ac:dyDescent="0.25">
      <c r="C35" s="33" t="str">
        <f t="shared" si="0"/>
        <v/>
      </c>
      <c r="D35" s="11"/>
      <c r="E35" s="33" t="str">
        <f t="shared" si="1"/>
        <v/>
      </c>
      <c r="K35" s="4"/>
      <c r="M35" s="21"/>
      <c r="N35" s="21"/>
      <c r="O35" s="21"/>
    </row>
    <row r="36" spans="3:15" x14ac:dyDescent="0.25">
      <c r="C36" s="33" t="str">
        <f t="shared" si="0"/>
        <v/>
      </c>
      <c r="D36" s="11"/>
      <c r="E36" s="33" t="str">
        <f t="shared" si="1"/>
        <v/>
      </c>
      <c r="K36" s="4"/>
      <c r="M36" s="21"/>
      <c r="N36" s="21"/>
      <c r="O36" s="21"/>
    </row>
    <row r="37" spans="3:15" x14ac:dyDescent="0.25">
      <c r="C37" s="33" t="str">
        <f t="shared" si="0"/>
        <v/>
      </c>
      <c r="D37" s="11"/>
      <c r="E37" s="33" t="str">
        <f t="shared" si="1"/>
        <v/>
      </c>
      <c r="K37" s="4"/>
      <c r="M37" s="21"/>
      <c r="N37" s="21"/>
      <c r="O37" s="21"/>
    </row>
    <row r="38" spans="3:15" x14ac:dyDescent="0.25">
      <c r="C38" s="33" t="str">
        <f t="shared" si="0"/>
        <v/>
      </c>
      <c r="D38" s="11"/>
      <c r="E38" s="33" t="str">
        <f t="shared" si="1"/>
        <v/>
      </c>
      <c r="K38" s="4"/>
      <c r="M38" s="21"/>
      <c r="N38" s="21"/>
      <c r="O38" s="21"/>
    </row>
    <row r="39" spans="3:15" x14ac:dyDescent="0.25">
      <c r="C39" s="33" t="str">
        <f t="shared" si="0"/>
        <v/>
      </c>
      <c r="D39" s="11"/>
      <c r="E39" s="33" t="str">
        <f t="shared" si="1"/>
        <v/>
      </c>
      <c r="K39" s="4"/>
      <c r="M39" s="21"/>
      <c r="N39" s="21"/>
      <c r="O39" s="21"/>
    </row>
    <row r="40" spans="3:15" x14ac:dyDescent="0.25">
      <c r="C40" s="33" t="str">
        <f t="shared" si="0"/>
        <v/>
      </c>
      <c r="D40" s="11"/>
      <c r="E40" s="33" t="str">
        <f t="shared" si="1"/>
        <v/>
      </c>
      <c r="K40" s="4"/>
      <c r="M40" s="21"/>
      <c r="N40" s="21"/>
      <c r="O40" s="21"/>
    </row>
    <row r="41" spans="3:15" x14ac:dyDescent="0.25">
      <c r="C41" s="33" t="str">
        <f t="shared" si="0"/>
        <v/>
      </c>
      <c r="D41" s="11"/>
      <c r="E41" s="33" t="str">
        <f t="shared" si="1"/>
        <v/>
      </c>
      <c r="K41" s="4"/>
      <c r="M41" s="21"/>
      <c r="N41" s="21"/>
      <c r="O41" s="21"/>
    </row>
    <row r="42" spans="3:15" x14ac:dyDescent="0.25">
      <c r="C42" s="33" t="str">
        <f t="shared" si="0"/>
        <v/>
      </c>
      <c r="D42" s="11"/>
      <c r="E42" s="33" t="str">
        <f t="shared" si="1"/>
        <v/>
      </c>
      <c r="K42" s="4"/>
      <c r="M42" s="21"/>
      <c r="N42" s="21"/>
      <c r="O42" s="21"/>
    </row>
    <row r="43" spans="3:15" x14ac:dyDescent="0.25">
      <c r="C43" s="33" t="str">
        <f t="shared" si="0"/>
        <v/>
      </c>
      <c r="D43" s="11"/>
      <c r="E43" s="33" t="str">
        <f t="shared" si="1"/>
        <v/>
      </c>
      <c r="K43" s="4"/>
      <c r="M43" s="21"/>
      <c r="N43" s="21"/>
      <c r="O43" s="21"/>
    </row>
    <row r="44" spans="3:15" ht="6" customHeight="1" x14ac:dyDescent="0.25">
      <c r="C44" s="9"/>
      <c r="D44" s="9"/>
      <c r="E44" s="9"/>
      <c r="F44" s="9"/>
      <c r="G44" s="9"/>
      <c r="H44" s="9"/>
      <c r="I44" s="9"/>
      <c r="J44" s="9"/>
      <c r="K44" s="9"/>
      <c r="L44" s="9"/>
      <c r="M44" s="21"/>
      <c r="N44" s="21"/>
      <c r="O44" s="21"/>
    </row>
    <row r="45" spans="3:15" ht="6" customHeight="1" x14ac:dyDescent="0.25">
      <c r="M45" s="21"/>
      <c r="N45" s="21"/>
      <c r="O45" s="21"/>
    </row>
    <row r="46" spans="3:15" x14ac:dyDescent="0.25">
      <c r="C46" s="15" t="s">
        <v>79</v>
      </c>
      <c r="M46" s="21"/>
      <c r="N46" s="21"/>
      <c r="O46" s="21"/>
    </row>
    <row r="47" spans="3:15" x14ac:dyDescent="0.25">
      <c r="C47" s="15" t="s">
        <v>78</v>
      </c>
    </row>
  </sheetData>
  <mergeCells count="1">
    <mergeCell ref="G13:H13"/>
  </mergeCells>
  <conditionalFormatting sqref="I9">
    <cfRule type="containsText" dxfId="253" priority="19" operator="containsText" text="FAIL">
      <formula>NOT(ISERROR(SEARCH("FAIL",I9)))</formula>
    </cfRule>
  </conditionalFormatting>
  <conditionalFormatting sqref="I9">
    <cfRule type="containsText" dxfId="252" priority="18" operator="containsText" text="GOOD">
      <formula>NOT(ISERROR(SEARCH("GOOD",I9)))</formula>
    </cfRule>
  </conditionalFormatting>
  <conditionalFormatting sqref="I9">
    <cfRule type="containsText" dxfId="251" priority="17" operator="containsText" text="FAIL">
      <formula>NOT(ISERROR(SEARCH("FAIL",I9)))</formula>
    </cfRule>
  </conditionalFormatting>
  <conditionalFormatting sqref="I9">
    <cfRule type="containsText" dxfId="250" priority="16" operator="containsText" text="GOOD">
      <formula>NOT(ISERROR(SEARCH("GOOD",I9)))</formula>
    </cfRule>
  </conditionalFormatting>
  <conditionalFormatting sqref="I9">
    <cfRule type="containsText" dxfId="249" priority="15" operator="containsText" text="FAIL">
      <formula>NOT(ISERROR(SEARCH("FAIL",I9)))</formula>
    </cfRule>
  </conditionalFormatting>
  <conditionalFormatting sqref="I9">
    <cfRule type="containsText" dxfId="248" priority="14" operator="containsText" text="GOOD">
      <formula>NOT(ISERROR(SEARCH("GOOD",I9)))</formula>
    </cfRule>
  </conditionalFormatting>
  <conditionalFormatting sqref="F11">
    <cfRule type="containsText" dxfId="247" priority="13" operator="containsText" text="FAIL">
      <formula>NOT(ISERROR(SEARCH("FAIL",F11)))</formula>
    </cfRule>
  </conditionalFormatting>
  <conditionalFormatting sqref="F11">
    <cfRule type="containsText" dxfId="246" priority="12" operator="containsText" text="GOOD">
      <formula>NOT(ISERROR(SEARCH("GOOD",F11)))</formula>
    </cfRule>
  </conditionalFormatting>
  <conditionalFormatting sqref="I9">
    <cfRule type="containsText" dxfId="245" priority="11" operator="containsText" text="FAIL">
      <formula>NOT(ISERROR(SEARCH("FAIL",I9)))</formula>
    </cfRule>
  </conditionalFormatting>
  <conditionalFormatting sqref="I9">
    <cfRule type="containsText" dxfId="244" priority="10" operator="containsText" text="GOOD">
      <formula>NOT(ISERROR(SEARCH("GOOD",I9)))</formula>
    </cfRule>
  </conditionalFormatting>
  <conditionalFormatting sqref="F11">
    <cfRule type="containsText" dxfId="243" priority="9" operator="containsText" text="FAIL">
      <formula>NOT(ISERROR(SEARCH("FAIL",F11)))</formula>
    </cfRule>
  </conditionalFormatting>
  <conditionalFormatting sqref="F11">
    <cfRule type="containsText" dxfId="242" priority="8" operator="containsText" text="GOOD">
      <formula>NOT(ISERROR(SEARCH("GOOD",F11)))</formula>
    </cfRule>
  </conditionalFormatting>
  <conditionalFormatting sqref="D25">
    <cfRule type="expression" dxfId="241" priority="7" stopIfTrue="1">
      <formula>IF($H$25=1,0)</formula>
    </cfRule>
  </conditionalFormatting>
  <conditionalFormatting sqref="D23:D43">
    <cfRule type="expression" dxfId="240" priority="6">
      <formula>H23=1</formula>
    </cfRule>
  </conditionalFormatting>
  <conditionalFormatting sqref="C23:C43">
    <cfRule type="expression" dxfId="239" priority="5">
      <formula>H23=1</formula>
    </cfRule>
  </conditionalFormatting>
  <conditionalFormatting sqref="E23:E43">
    <cfRule type="expression" dxfId="238" priority="4">
      <formula>H23=1</formula>
    </cfRule>
  </conditionalFormatting>
  <conditionalFormatting sqref="E23:E43">
    <cfRule type="expression" dxfId="237" priority="3">
      <formula>H23=1</formula>
    </cfRule>
  </conditionalFormatting>
  <conditionalFormatting sqref="F11">
    <cfRule type="containsText" dxfId="236" priority="2" operator="containsText" text="FAIL">
      <formula>NOT(ISERROR(SEARCH("FAIL",F11)))</formula>
    </cfRule>
  </conditionalFormatting>
  <conditionalFormatting sqref="F11">
    <cfRule type="containsText" dxfId="235" priority="1" operator="containsText" text="GOOD">
      <formula>NOT(ISERROR(SEARCH("GOOD",F11)))</formula>
    </cfRule>
  </conditionalFormatting>
  <pageMargins left="0.7" right="0.7" top="0.75" bottom="0.75" header="0.3" footer="0.3"/>
  <pageSetup orientation="portrait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sheetPr codeName="Sheet84">
    <tabColor rgb="FFFF0000"/>
  </sheetPr>
  <dimension ref="A2:O47"/>
  <sheetViews>
    <sheetView zoomScaleNormal="100" workbookViewId="0">
      <selection activeCell="M28" sqref="M28"/>
    </sheetView>
  </sheetViews>
  <sheetFormatPr defaultRowHeight="15" x14ac:dyDescent="0.25"/>
  <cols>
    <col min="1" max="2" width="4.42578125" customWidth="1"/>
    <col min="3" max="3" width="3" customWidth="1"/>
    <col min="4" max="4" width="24.85546875" customWidth="1"/>
    <col min="5" max="5" width="3" customWidth="1"/>
    <col min="6" max="6" width="15.7109375" customWidth="1"/>
    <col min="7" max="7" width="8.5703125" customWidth="1"/>
    <col min="8" max="8" width="5.85546875" customWidth="1"/>
    <col min="9" max="15" width="15.7109375" customWidth="1"/>
  </cols>
  <sheetData>
    <row r="2" spans="1:11" x14ac:dyDescent="0.25">
      <c r="C2" s="15" t="s">
        <v>32</v>
      </c>
      <c r="E2" s="15"/>
      <c r="F2" s="15"/>
      <c r="G2" s="15" t="s">
        <v>33</v>
      </c>
      <c r="H2" s="15"/>
      <c r="I2" s="15"/>
      <c r="J2" s="15"/>
      <c r="K2" s="15"/>
    </row>
    <row r="3" spans="1:11" ht="18.75" x14ac:dyDescent="0.3">
      <c r="C3" s="3" t="s">
        <v>26</v>
      </c>
      <c r="J3" s="8" t="s">
        <v>17</v>
      </c>
    </row>
    <row r="4" spans="1:11" x14ac:dyDescent="0.25">
      <c r="D4" s="2" t="s">
        <v>0</v>
      </c>
      <c r="E4" s="1"/>
      <c r="F4" t="s">
        <v>817</v>
      </c>
      <c r="I4" s="2" t="s">
        <v>4</v>
      </c>
      <c r="J4" t="s">
        <v>447</v>
      </c>
    </row>
    <row r="5" spans="1:11" x14ac:dyDescent="0.25">
      <c r="D5" s="2" t="s">
        <v>1</v>
      </c>
      <c r="F5" t="s">
        <v>818</v>
      </c>
    </row>
    <row r="6" spans="1:11" x14ac:dyDescent="0.25">
      <c r="D6" s="2" t="s">
        <v>2</v>
      </c>
      <c r="F6" s="6">
        <v>42719</v>
      </c>
      <c r="H6" s="11"/>
    </row>
    <row r="7" spans="1:11" x14ac:dyDescent="0.25">
      <c r="D7" s="2" t="s">
        <v>3</v>
      </c>
      <c r="F7" s="5">
        <v>2212000</v>
      </c>
      <c r="G7" s="2" t="s">
        <v>756</v>
      </c>
      <c r="H7" s="11"/>
    </row>
    <row r="8" spans="1:11" x14ac:dyDescent="0.25">
      <c r="D8" s="2" t="s">
        <v>18</v>
      </c>
      <c r="F8" s="5">
        <f>MIN(I23:I43)</f>
        <v>3028000</v>
      </c>
      <c r="H8" s="11"/>
    </row>
    <row r="9" spans="1:11" x14ac:dyDescent="0.25">
      <c r="D9" s="2" t="s">
        <v>67</v>
      </c>
      <c r="F9" s="4">
        <f>+F8-F7</f>
        <v>816000</v>
      </c>
      <c r="G9" s="16">
        <f>+F9/F7</f>
        <v>0.36889692585895117</v>
      </c>
      <c r="H9" s="12" t="s">
        <v>20</v>
      </c>
      <c r="I9" s="11" t="str">
        <f>(IF(G9&lt;-0.1,"FAIL",IF(G9&gt;0.05,"FAIL","GOOD")))</f>
        <v>FAIL</v>
      </c>
      <c r="J9" s="14" t="s">
        <v>72</v>
      </c>
    </row>
    <row r="10" spans="1:11" x14ac:dyDescent="0.25">
      <c r="D10" s="2" t="s">
        <v>68</v>
      </c>
      <c r="F10" s="4">
        <f>+F7-F12</f>
        <v>-816000</v>
      </c>
      <c r="H10" s="11"/>
    </row>
    <row r="11" spans="1:11" x14ac:dyDescent="0.25">
      <c r="A11" s="52"/>
      <c r="D11" s="2" t="s">
        <v>71</v>
      </c>
      <c r="F11" s="11" t="str">
        <f>(IF(F7&lt;J12,"FAIL",IF(F7&gt;J13,"FAIL","GOOD")))</f>
        <v>FAIL</v>
      </c>
      <c r="H11" s="11"/>
    </row>
    <row r="12" spans="1:11" x14ac:dyDescent="0.25">
      <c r="D12" s="2" t="s">
        <v>28</v>
      </c>
      <c r="F12" s="4">
        <f>SUM(I23:I43)/H12</f>
        <v>3028000</v>
      </c>
      <c r="G12" s="14"/>
      <c r="H12" s="11">
        <f>COUNT(I23:I43)</f>
        <v>1</v>
      </c>
      <c r="I12" s="1" t="s">
        <v>31</v>
      </c>
      <c r="J12" s="4">
        <f>+F8*0.9</f>
        <v>2725200</v>
      </c>
      <c r="K12" s="1" t="s">
        <v>69</v>
      </c>
    </row>
    <row r="13" spans="1:11" x14ac:dyDescent="0.25">
      <c r="D13" s="2" t="s">
        <v>29</v>
      </c>
      <c r="F13" s="4">
        <f>MAX(I23:I43)-MIN(I23:I43)</f>
        <v>0</v>
      </c>
      <c r="G13" s="399">
        <f>MEDIAN(I23:I43)</f>
        <v>3028000</v>
      </c>
      <c r="H13" s="400"/>
      <c r="I13" s="1" t="s">
        <v>30</v>
      </c>
      <c r="J13" s="4">
        <f>+F12*1.1</f>
        <v>3330800.0000000005</v>
      </c>
      <c r="K13" s="1" t="s">
        <v>70</v>
      </c>
    </row>
    <row r="14" spans="1:11" x14ac:dyDescent="0.25">
      <c r="H14" s="11"/>
    </row>
    <row r="15" spans="1:11" x14ac:dyDescent="0.25">
      <c r="D15" s="2" t="s">
        <v>8</v>
      </c>
      <c r="F15" s="4"/>
      <c r="G15" s="1" t="s">
        <v>9</v>
      </c>
      <c r="H15" s="11"/>
      <c r="I15" t="s">
        <v>15</v>
      </c>
      <c r="J15" s="7" t="e">
        <f>+F16/F15</f>
        <v>#DIV/0!</v>
      </c>
    </row>
    <row r="16" spans="1:11" x14ac:dyDescent="0.25">
      <c r="F16" s="4"/>
      <c r="G16" s="1" t="s">
        <v>10</v>
      </c>
      <c r="H16" s="11"/>
      <c r="I16" t="s">
        <v>14</v>
      </c>
      <c r="J16" s="7" t="e">
        <f>+F17/F16</f>
        <v>#DIV/0!</v>
      </c>
    </row>
    <row r="17" spans="3:15" x14ac:dyDescent="0.25">
      <c r="F17" s="4"/>
      <c r="G17" s="1" t="s">
        <v>11</v>
      </c>
      <c r="H17" s="11"/>
      <c r="I17" t="s">
        <v>13</v>
      </c>
      <c r="J17" s="7" t="e">
        <f>+F18/F17</f>
        <v>#DIV/0!</v>
      </c>
      <c r="M17" s="21"/>
      <c r="N17" s="21"/>
      <c r="O17" s="21"/>
    </row>
    <row r="18" spans="3:15" x14ac:dyDescent="0.25">
      <c r="F18" s="4"/>
      <c r="G18" s="1" t="s">
        <v>12</v>
      </c>
      <c r="H18" s="11"/>
      <c r="I18" t="s">
        <v>16</v>
      </c>
      <c r="J18" s="7" t="e">
        <f>+F8/F18</f>
        <v>#DIV/0!</v>
      </c>
      <c r="M18" s="21"/>
      <c r="N18" s="21"/>
      <c r="O18" s="21"/>
    </row>
    <row r="19" spans="3:15" x14ac:dyDescent="0.25">
      <c r="F19" s="2" t="s">
        <v>51</v>
      </c>
      <c r="G19">
        <v>0</v>
      </c>
      <c r="H19" s="11" t="s">
        <v>52</v>
      </c>
      <c r="I19" t="s">
        <v>41</v>
      </c>
      <c r="J19" s="7" t="e">
        <f>+F8/F15</f>
        <v>#DIV/0!</v>
      </c>
      <c r="M19" s="21"/>
      <c r="N19" s="21"/>
      <c r="O19" s="21"/>
    </row>
    <row r="20" spans="3:15" x14ac:dyDescent="0.25">
      <c r="H20" s="11"/>
      <c r="M20" s="21"/>
      <c r="N20" s="21"/>
      <c r="O20" s="21"/>
    </row>
    <row r="21" spans="3:15" x14ac:dyDescent="0.25">
      <c r="C21" s="9"/>
      <c r="D21" s="13" t="s">
        <v>21</v>
      </c>
      <c r="E21" s="9"/>
      <c r="F21" s="9" t="s">
        <v>22</v>
      </c>
      <c r="G21" s="9" t="s">
        <v>23</v>
      </c>
      <c r="H21" s="13" t="s">
        <v>27</v>
      </c>
      <c r="I21" s="10" t="s">
        <v>24</v>
      </c>
      <c r="J21" s="9"/>
      <c r="K21" s="9"/>
      <c r="L21" s="9"/>
      <c r="M21" s="21"/>
      <c r="N21" s="21"/>
      <c r="O21" s="21"/>
    </row>
    <row r="22" spans="3:15" ht="6" customHeight="1" x14ac:dyDescent="0.25">
      <c r="M22" s="21"/>
      <c r="N22" s="21"/>
      <c r="O22" s="21"/>
    </row>
    <row r="23" spans="3:15" x14ac:dyDescent="0.25">
      <c r="C23" s="33" t="str">
        <f>IF(H23=1,"u","")</f>
        <v>u</v>
      </c>
      <c r="D23" s="11" t="s">
        <v>601</v>
      </c>
      <c r="E23" s="33"/>
      <c r="F23" t="s">
        <v>201</v>
      </c>
      <c r="G23" t="s">
        <v>25</v>
      </c>
      <c r="H23">
        <f>RANK(I23,I$23:I$43,1)</f>
        <v>1</v>
      </c>
      <c r="I23" s="4">
        <v>3028000</v>
      </c>
      <c r="J23" s="4"/>
      <c r="K23" s="4"/>
      <c r="L23" s="4"/>
      <c r="M23" s="22"/>
      <c r="N23" s="22"/>
      <c r="O23" s="22"/>
    </row>
    <row r="24" spans="3:15" x14ac:dyDescent="0.25">
      <c r="C24" s="33" t="str">
        <f>IF(H24=1,"u","")</f>
        <v/>
      </c>
      <c r="D24" s="11"/>
      <c r="E24" s="33"/>
      <c r="I24" s="4"/>
      <c r="J24" s="4"/>
      <c r="K24" s="4"/>
      <c r="L24" s="4"/>
      <c r="M24" s="22"/>
      <c r="N24" s="22"/>
      <c r="O24" s="22"/>
    </row>
    <row r="25" spans="3:15" x14ac:dyDescent="0.25">
      <c r="C25" s="33" t="str">
        <f>IF(H25=1,"u","")</f>
        <v/>
      </c>
      <c r="D25" s="11"/>
      <c r="E25" s="33"/>
      <c r="I25" s="4"/>
      <c r="J25" s="4"/>
      <c r="K25" s="4"/>
      <c r="L25" s="4"/>
      <c r="M25" s="22"/>
      <c r="N25" s="22"/>
      <c r="O25" s="22"/>
    </row>
    <row r="26" spans="3:15" x14ac:dyDescent="0.25">
      <c r="C26" s="33" t="str">
        <f t="shared" ref="C26:C43" si="0">IF(H26=1,"u","")</f>
        <v/>
      </c>
      <c r="D26" s="11"/>
      <c r="E26" s="33"/>
      <c r="I26" s="4"/>
      <c r="J26" s="4"/>
      <c r="K26" s="4"/>
      <c r="L26" s="4"/>
      <c r="M26" s="22"/>
      <c r="N26" s="22"/>
      <c r="O26" s="22"/>
    </row>
    <row r="27" spans="3:15" x14ac:dyDescent="0.25">
      <c r="C27" s="33" t="str">
        <f t="shared" si="0"/>
        <v/>
      </c>
      <c r="D27" s="11"/>
      <c r="E27" s="33"/>
      <c r="I27" s="4"/>
      <c r="J27" s="4"/>
      <c r="K27" s="4"/>
      <c r="L27" s="4"/>
      <c r="M27" s="22"/>
      <c r="N27" s="22"/>
      <c r="O27" s="22"/>
    </row>
    <row r="28" spans="3:15" x14ac:dyDescent="0.25">
      <c r="C28" s="33" t="str">
        <f t="shared" si="0"/>
        <v/>
      </c>
      <c r="D28" s="11"/>
      <c r="E28" s="33"/>
      <c r="I28" s="4"/>
      <c r="J28" s="4"/>
      <c r="K28" s="4"/>
      <c r="L28" s="4"/>
      <c r="M28" s="22"/>
      <c r="N28" s="22"/>
      <c r="O28" s="22"/>
    </row>
    <row r="29" spans="3:15" x14ac:dyDescent="0.25">
      <c r="C29" s="33" t="str">
        <f t="shared" si="0"/>
        <v/>
      </c>
      <c r="D29" s="11"/>
      <c r="E29" s="33"/>
      <c r="I29" s="4"/>
      <c r="J29" s="4"/>
      <c r="K29" s="4"/>
      <c r="L29" s="4"/>
      <c r="M29" s="22"/>
      <c r="N29" s="22"/>
      <c r="O29" s="22"/>
    </row>
    <row r="30" spans="3:15" x14ac:dyDescent="0.25">
      <c r="C30" s="33" t="str">
        <f t="shared" si="0"/>
        <v/>
      </c>
      <c r="D30" s="11"/>
      <c r="E30" s="33"/>
      <c r="I30" s="4"/>
      <c r="J30" s="4"/>
      <c r="K30" s="4"/>
      <c r="L30" s="4"/>
      <c r="M30" s="22"/>
      <c r="N30" s="22"/>
      <c r="O30" s="22"/>
    </row>
    <row r="31" spans="3:15" x14ac:dyDescent="0.25">
      <c r="C31" s="33" t="str">
        <f t="shared" si="0"/>
        <v/>
      </c>
      <c r="D31" s="11"/>
      <c r="E31" s="33"/>
      <c r="I31" s="4"/>
      <c r="J31" s="4"/>
      <c r="K31" s="4"/>
      <c r="L31" s="4"/>
      <c r="M31" s="22"/>
      <c r="N31" s="22"/>
      <c r="O31" s="22"/>
    </row>
    <row r="32" spans="3:15" x14ac:dyDescent="0.25">
      <c r="C32" s="33" t="str">
        <f t="shared" si="0"/>
        <v/>
      </c>
      <c r="D32" s="11"/>
      <c r="E32" s="33"/>
      <c r="I32" s="4"/>
      <c r="J32" s="4"/>
      <c r="K32" s="4"/>
      <c r="L32" s="4"/>
      <c r="M32" s="22"/>
      <c r="N32" s="22"/>
      <c r="O32" s="22"/>
    </row>
    <row r="33" spans="3:15" x14ac:dyDescent="0.25">
      <c r="C33" s="33" t="str">
        <f t="shared" si="0"/>
        <v/>
      </c>
      <c r="D33" s="11"/>
      <c r="E33" s="33"/>
      <c r="I33" s="4"/>
      <c r="M33" s="21"/>
      <c r="N33" s="21"/>
      <c r="O33" s="21"/>
    </row>
    <row r="34" spans="3:15" x14ac:dyDescent="0.25">
      <c r="C34" s="33" t="str">
        <f t="shared" si="0"/>
        <v/>
      </c>
      <c r="D34" s="11"/>
      <c r="E34" s="33" t="str">
        <f t="shared" ref="E34:E43" si="1">IF(H34=1,"t","")</f>
        <v/>
      </c>
      <c r="M34" s="21"/>
      <c r="N34" s="21"/>
      <c r="O34" s="21"/>
    </row>
    <row r="35" spans="3:15" x14ac:dyDescent="0.25">
      <c r="C35" s="33" t="str">
        <f t="shared" si="0"/>
        <v/>
      </c>
      <c r="D35" s="11"/>
      <c r="E35" s="33" t="str">
        <f t="shared" si="1"/>
        <v/>
      </c>
      <c r="M35" s="21"/>
      <c r="N35" s="21"/>
      <c r="O35" s="21"/>
    </row>
    <row r="36" spans="3:15" x14ac:dyDescent="0.25">
      <c r="C36" s="33" t="str">
        <f t="shared" si="0"/>
        <v/>
      </c>
      <c r="D36" s="11"/>
      <c r="E36" s="33" t="str">
        <f t="shared" si="1"/>
        <v/>
      </c>
      <c r="M36" s="21"/>
      <c r="N36" s="21"/>
      <c r="O36" s="21"/>
    </row>
    <row r="37" spans="3:15" x14ac:dyDescent="0.25">
      <c r="C37" s="33" t="str">
        <f t="shared" si="0"/>
        <v/>
      </c>
      <c r="D37" s="11"/>
      <c r="E37" s="33" t="str">
        <f t="shared" si="1"/>
        <v/>
      </c>
      <c r="M37" s="21"/>
      <c r="N37" s="21"/>
      <c r="O37" s="21"/>
    </row>
    <row r="38" spans="3:15" x14ac:dyDescent="0.25">
      <c r="C38" s="33" t="str">
        <f t="shared" si="0"/>
        <v/>
      </c>
      <c r="D38" s="11"/>
      <c r="E38" s="33" t="str">
        <f t="shared" si="1"/>
        <v/>
      </c>
      <c r="M38" s="21"/>
      <c r="N38" s="21"/>
      <c r="O38" s="21"/>
    </row>
    <row r="39" spans="3:15" x14ac:dyDescent="0.25">
      <c r="C39" s="33" t="str">
        <f t="shared" si="0"/>
        <v/>
      </c>
      <c r="D39" s="11"/>
      <c r="E39" s="33" t="str">
        <f t="shared" si="1"/>
        <v/>
      </c>
      <c r="M39" s="21"/>
      <c r="N39" s="21"/>
      <c r="O39" s="21"/>
    </row>
    <row r="40" spans="3:15" x14ac:dyDescent="0.25">
      <c r="C40" s="33" t="str">
        <f t="shared" si="0"/>
        <v/>
      </c>
      <c r="D40" s="11"/>
      <c r="E40" s="33" t="str">
        <f t="shared" si="1"/>
        <v/>
      </c>
      <c r="M40" s="21"/>
      <c r="N40" s="21"/>
      <c r="O40" s="21"/>
    </row>
    <row r="41" spans="3:15" x14ac:dyDescent="0.25">
      <c r="C41" s="33" t="str">
        <f t="shared" si="0"/>
        <v/>
      </c>
      <c r="D41" s="11"/>
      <c r="E41" s="33" t="str">
        <f t="shared" si="1"/>
        <v/>
      </c>
      <c r="M41" s="21"/>
      <c r="N41" s="21"/>
      <c r="O41" s="21"/>
    </row>
    <row r="42" spans="3:15" x14ac:dyDescent="0.25">
      <c r="C42" s="33" t="str">
        <f t="shared" si="0"/>
        <v/>
      </c>
      <c r="D42" s="11"/>
      <c r="E42" s="33" t="str">
        <f t="shared" si="1"/>
        <v/>
      </c>
      <c r="M42" s="21"/>
      <c r="N42" s="21"/>
      <c r="O42" s="21"/>
    </row>
    <row r="43" spans="3:15" x14ac:dyDescent="0.25">
      <c r="C43" s="33" t="str">
        <f t="shared" si="0"/>
        <v/>
      </c>
      <c r="D43" s="11"/>
      <c r="E43" s="33" t="str">
        <f t="shared" si="1"/>
        <v/>
      </c>
      <c r="M43" s="21"/>
      <c r="N43" s="21"/>
      <c r="O43" s="21"/>
    </row>
    <row r="44" spans="3:15" ht="6" customHeight="1" x14ac:dyDescent="0.25">
      <c r="C44" s="9"/>
      <c r="D44" s="9"/>
      <c r="E44" s="9"/>
      <c r="F44" s="9"/>
      <c r="G44" s="9"/>
      <c r="H44" s="9"/>
      <c r="I44" s="9"/>
      <c r="J44" s="9"/>
      <c r="K44" s="9"/>
      <c r="L44" s="9"/>
      <c r="M44" s="21"/>
      <c r="N44" s="21"/>
      <c r="O44" s="21"/>
    </row>
    <row r="45" spans="3:15" ht="6" customHeight="1" x14ac:dyDescent="0.25">
      <c r="M45" s="21"/>
      <c r="N45" s="21"/>
      <c r="O45" s="21"/>
    </row>
    <row r="46" spans="3:15" x14ac:dyDescent="0.25">
      <c r="C46" s="15" t="s">
        <v>79</v>
      </c>
      <c r="M46" s="21"/>
      <c r="N46" s="21"/>
      <c r="O46" s="21"/>
    </row>
    <row r="47" spans="3:15" x14ac:dyDescent="0.25">
      <c r="C47" s="15" t="s">
        <v>78</v>
      </c>
    </row>
  </sheetData>
  <mergeCells count="1">
    <mergeCell ref="G13:H13"/>
  </mergeCells>
  <conditionalFormatting sqref="I9">
    <cfRule type="containsText" dxfId="1159" priority="13" operator="containsText" text="FAIL">
      <formula>NOT(ISERROR(SEARCH("FAIL",I9)))</formula>
    </cfRule>
  </conditionalFormatting>
  <conditionalFormatting sqref="I9">
    <cfRule type="containsText" dxfId="1158" priority="12" operator="containsText" text="GOOD">
      <formula>NOT(ISERROR(SEARCH("GOOD",I9)))</formula>
    </cfRule>
  </conditionalFormatting>
  <conditionalFormatting sqref="F11">
    <cfRule type="containsText" dxfId="1157" priority="11" operator="containsText" text="FAIL">
      <formula>NOT(ISERROR(SEARCH("FAIL",F11)))</formula>
    </cfRule>
  </conditionalFormatting>
  <conditionalFormatting sqref="F11">
    <cfRule type="containsText" dxfId="1156" priority="10" operator="containsText" text="GOOD">
      <formula>NOT(ISERROR(SEARCH("GOOD",F11)))</formula>
    </cfRule>
  </conditionalFormatting>
  <conditionalFormatting sqref="D25">
    <cfRule type="expression" dxfId="1155" priority="9" stopIfTrue="1">
      <formula>IF($H$25=1,0)</formula>
    </cfRule>
  </conditionalFormatting>
  <conditionalFormatting sqref="D23:D26 D29:D43">
    <cfRule type="expression" dxfId="1154" priority="8">
      <formula>H23=1</formula>
    </cfRule>
  </conditionalFormatting>
  <conditionalFormatting sqref="C23:C26 C29:C43">
    <cfRule type="expression" dxfId="1153" priority="7">
      <formula>H23=1</formula>
    </cfRule>
  </conditionalFormatting>
  <conditionalFormatting sqref="E23:E26 E29:E43">
    <cfRule type="expression" dxfId="1152" priority="6">
      <formula>H23=1</formula>
    </cfRule>
  </conditionalFormatting>
  <conditionalFormatting sqref="F11">
    <cfRule type="containsText" dxfId="1151" priority="5" operator="containsText" text="FAIL">
      <formula>NOT(ISERROR(SEARCH("FAIL",F11)))</formula>
    </cfRule>
  </conditionalFormatting>
  <conditionalFormatting sqref="F11">
    <cfRule type="containsText" dxfId="1150" priority="4" operator="containsText" text="GOOD">
      <formula>NOT(ISERROR(SEARCH("GOOD",F11)))</formula>
    </cfRule>
  </conditionalFormatting>
  <conditionalFormatting sqref="D27:D28">
    <cfRule type="expression" dxfId="1149" priority="3">
      <formula>H27=1</formula>
    </cfRule>
  </conditionalFormatting>
  <conditionalFormatting sqref="C27:C28">
    <cfRule type="expression" dxfId="1148" priority="2">
      <formula>H27=1</formula>
    </cfRule>
  </conditionalFormatting>
  <conditionalFormatting sqref="E27:E28">
    <cfRule type="expression" dxfId="1147" priority="1">
      <formula>H27=1</formula>
    </cfRule>
  </conditionalFormatting>
  <pageMargins left="0.7" right="0.7" top="0.75" bottom="0.75" header="0.3" footer="0.3"/>
  <pageSetup scale="68" orientation="portrait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8"/>
  <dimension ref="A2:P47"/>
  <sheetViews>
    <sheetView zoomScaleNormal="100" workbookViewId="0">
      <selection activeCell="G8" sqref="G8"/>
    </sheetView>
  </sheetViews>
  <sheetFormatPr defaultRowHeight="15" x14ac:dyDescent="0.25"/>
  <cols>
    <col min="1" max="2" width="4.42578125" customWidth="1"/>
    <col min="3" max="3" width="3" customWidth="1"/>
    <col min="4" max="4" width="24.85546875" customWidth="1"/>
    <col min="5" max="5" width="3" customWidth="1"/>
    <col min="6" max="6" width="15.7109375" customWidth="1"/>
    <col min="7" max="7" width="8.5703125" customWidth="1"/>
    <col min="8" max="8" width="5.85546875" customWidth="1"/>
    <col min="9" max="15" width="15.7109375" customWidth="1"/>
  </cols>
  <sheetData>
    <row r="2" spans="1:16" x14ac:dyDescent="0.25">
      <c r="C2" s="15" t="s">
        <v>32</v>
      </c>
      <c r="E2" s="15"/>
      <c r="F2" s="15"/>
      <c r="G2" s="15" t="s">
        <v>33</v>
      </c>
      <c r="H2" s="15"/>
      <c r="I2" s="15"/>
      <c r="J2" s="15"/>
      <c r="K2" s="15"/>
    </row>
    <row r="3" spans="1:16" ht="18.75" x14ac:dyDescent="0.3">
      <c r="C3" s="3" t="s">
        <v>26</v>
      </c>
      <c r="J3" s="8" t="s">
        <v>17</v>
      </c>
      <c r="P3" s="100"/>
    </row>
    <row r="4" spans="1:16" x14ac:dyDescent="0.25">
      <c r="D4" s="2" t="s">
        <v>0</v>
      </c>
      <c r="E4" s="1"/>
      <c r="F4" t="s">
        <v>1107</v>
      </c>
      <c r="I4" s="2" t="s">
        <v>4</v>
      </c>
      <c r="J4" t="s">
        <v>447</v>
      </c>
    </row>
    <row r="5" spans="1:16" x14ac:dyDescent="0.25">
      <c r="D5" s="2" t="s">
        <v>1</v>
      </c>
      <c r="F5" t="s">
        <v>1109</v>
      </c>
    </row>
    <row r="6" spans="1:16" x14ac:dyDescent="0.25">
      <c r="D6" s="2" t="s">
        <v>2</v>
      </c>
      <c r="F6" s="6">
        <v>43034</v>
      </c>
      <c r="H6" s="11"/>
    </row>
    <row r="7" spans="1:16" x14ac:dyDescent="0.25">
      <c r="D7" s="2" t="s">
        <v>3</v>
      </c>
      <c r="F7" s="5">
        <v>2194000</v>
      </c>
      <c r="G7" s="2" t="s">
        <v>756</v>
      </c>
      <c r="H7" s="11"/>
    </row>
    <row r="8" spans="1:16" x14ac:dyDescent="0.25">
      <c r="D8" s="2" t="s">
        <v>18</v>
      </c>
      <c r="F8" s="5">
        <f>MIN(I23:I43)</f>
        <v>1361078</v>
      </c>
      <c r="H8" s="11"/>
    </row>
    <row r="9" spans="1:16" x14ac:dyDescent="0.25">
      <c r="D9" s="2" t="s">
        <v>67</v>
      </c>
      <c r="F9" s="4">
        <f>+F8-F7</f>
        <v>-832922</v>
      </c>
      <c r="G9" s="16">
        <f>+F9/F7</f>
        <v>-0.3796362807657247</v>
      </c>
      <c r="H9" s="12" t="s">
        <v>20</v>
      </c>
      <c r="I9" s="11" t="str">
        <f>(IF(G9&lt;-0.1,"FAIL",IF(G9&gt;0.05,"FAIL","GOOD")))</f>
        <v>FAIL</v>
      </c>
      <c r="J9" s="14" t="s">
        <v>72</v>
      </c>
    </row>
    <row r="10" spans="1:16" x14ac:dyDescent="0.25">
      <c r="D10" s="2" t="s">
        <v>68</v>
      </c>
      <c r="F10" s="4">
        <f>+F7-F12</f>
        <v>367165.66666666674</v>
      </c>
      <c r="H10" s="11"/>
    </row>
    <row r="11" spans="1:16" x14ac:dyDescent="0.25">
      <c r="A11" s="52"/>
      <c r="D11" s="2" t="s">
        <v>71</v>
      </c>
      <c r="F11" s="11" t="str">
        <f>(IF(F7&lt;J12,"FAIL",IF(F7&gt;J13,"FAIL","GOOD")))</f>
        <v>FAIL</v>
      </c>
      <c r="H11" s="11"/>
    </row>
    <row r="12" spans="1:16" x14ac:dyDescent="0.25">
      <c r="D12" s="2" t="s">
        <v>28</v>
      </c>
      <c r="F12" s="4">
        <f>SUM(I23:I43)/H12</f>
        <v>1826834.3333333333</v>
      </c>
      <c r="G12" s="14"/>
      <c r="H12" s="11">
        <f>COUNT(I23:I43)</f>
        <v>6</v>
      </c>
      <c r="I12" s="1" t="s">
        <v>31</v>
      </c>
      <c r="J12" s="4">
        <f>+F8*0.9</f>
        <v>1224970.2</v>
      </c>
      <c r="K12" s="1" t="s">
        <v>69</v>
      </c>
    </row>
    <row r="13" spans="1:16" x14ac:dyDescent="0.25">
      <c r="D13" s="2" t="s">
        <v>29</v>
      </c>
      <c r="F13" s="4">
        <f>MAX(I23:I43)-MIN(I23:I43)</f>
        <v>1327922</v>
      </c>
      <c r="G13" s="399">
        <f>MEDIAN(I23:I43)</f>
        <v>1745400</v>
      </c>
      <c r="H13" s="400"/>
      <c r="I13" s="1" t="s">
        <v>30</v>
      </c>
      <c r="J13" s="4">
        <f>+F12*1.1</f>
        <v>2009517.7666666668</v>
      </c>
      <c r="K13" s="1" t="s">
        <v>70</v>
      </c>
    </row>
    <row r="14" spans="1:16" x14ac:dyDescent="0.25">
      <c r="H14" s="11"/>
    </row>
    <row r="15" spans="1:16" x14ac:dyDescent="0.25">
      <c r="D15" s="2" t="s">
        <v>8</v>
      </c>
      <c r="F15" s="4"/>
      <c r="G15" s="1" t="s">
        <v>9</v>
      </c>
      <c r="H15" s="11"/>
      <c r="I15" t="s">
        <v>15</v>
      </c>
      <c r="J15" s="7" t="e">
        <f>+F16/F15</f>
        <v>#DIV/0!</v>
      </c>
    </row>
    <row r="16" spans="1:16" x14ac:dyDescent="0.25">
      <c r="F16" s="4"/>
      <c r="G16" s="1" t="s">
        <v>10</v>
      </c>
      <c r="H16" s="11"/>
      <c r="I16" t="s">
        <v>14</v>
      </c>
      <c r="J16" s="7" t="e">
        <f>+F17/F16</f>
        <v>#DIV/0!</v>
      </c>
    </row>
    <row r="17" spans="3:15" x14ac:dyDescent="0.25">
      <c r="F17" s="4"/>
      <c r="G17" s="1" t="s">
        <v>11</v>
      </c>
      <c r="H17" s="11"/>
      <c r="I17" t="s">
        <v>13</v>
      </c>
      <c r="J17" s="7" t="e">
        <f>+F18/F17</f>
        <v>#DIV/0!</v>
      </c>
      <c r="M17" s="21"/>
      <c r="N17" s="21"/>
      <c r="O17" s="21"/>
    </row>
    <row r="18" spans="3:15" x14ac:dyDescent="0.25">
      <c r="F18" s="4"/>
      <c r="G18" s="1" t="s">
        <v>12</v>
      </c>
      <c r="H18" s="11"/>
      <c r="I18" t="s">
        <v>16</v>
      </c>
      <c r="J18" s="7" t="e">
        <f>+F8/F18</f>
        <v>#DIV/0!</v>
      </c>
      <c r="M18" s="21"/>
      <c r="N18" s="21"/>
      <c r="O18" s="21"/>
    </row>
    <row r="19" spans="3:15" x14ac:dyDescent="0.25">
      <c r="F19" s="2" t="s">
        <v>51</v>
      </c>
      <c r="G19">
        <v>0</v>
      </c>
      <c r="H19" s="11" t="s">
        <v>52</v>
      </c>
      <c r="I19" t="s">
        <v>41</v>
      </c>
      <c r="J19" s="7" t="e">
        <f>+F8/F15</f>
        <v>#DIV/0!</v>
      </c>
      <c r="M19" s="21"/>
      <c r="N19" s="21"/>
      <c r="O19" s="21"/>
    </row>
    <row r="20" spans="3:15" x14ac:dyDescent="0.25">
      <c r="H20" s="11"/>
      <c r="M20" s="21"/>
      <c r="N20" s="21"/>
      <c r="O20" s="21"/>
    </row>
    <row r="21" spans="3:15" x14ac:dyDescent="0.25">
      <c r="C21" s="9"/>
      <c r="D21" s="13" t="s">
        <v>21</v>
      </c>
      <c r="E21" s="9"/>
      <c r="F21" s="9" t="s">
        <v>22</v>
      </c>
      <c r="G21" s="9" t="s">
        <v>23</v>
      </c>
      <c r="H21" s="13" t="s">
        <v>27</v>
      </c>
      <c r="I21" s="10" t="s">
        <v>24</v>
      </c>
      <c r="J21" s="9"/>
      <c r="K21" s="9"/>
      <c r="L21" s="9"/>
      <c r="M21" s="21"/>
      <c r="N21" s="21"/>
      <c r="O21" s="21"/>
    </row>
    <row r="22" spans="3:15" ht="6" customHeight="1" x14ac:dyDescent="0.25">
      <c r="M22" s="21"/>
      <c r="N22" s="21"/>
      <c r="O22" s="21"/>
    </row>
    <row r="23" spans="3:15" x14ac:dyDescent="0.25">
      <c r="C23" s="33" t="str">
        <f>IF(H23=1,"u","")</f>
        <v/>
      </c>
      <c r="D23" s="11" t="s">
        <v>929</v>
      </c>
      <c r="E23" s="33"/>
      <c r="F23" t="s">
        <v>930</v>
      </c>
      <c r="G23" t="s">
        <v>25</v>
      </c>
      <c r="H23">
        <f t="shared" ref="H23:H28" si="0">RANK(I23,I$23:I$43,1)</f>
        <v>2</v>
      </c>
      <c r="I23" s="4">
        <v>1488028</v>
      </c>
      <c r="J23" s="4"/>
      <c r="K23" s="4"/>
      <c r="L23" s="4"/>
      <c r="M23" s="22"/>
      <c r="N23" s="22"/>
      <c r="O23" s="22"/>
    </row>
    <row r="24" spans="3:15" x14ac:dyDescent="0.25">
      <c r="C24" s="33" t="str">
        <f>IF(H24=1,"u","")</f>
        <v/>
      </c>
      <c r="D24" s="11" t="s">
        <v>1017</v>
      </c>
      <c r="E24" s="33"/>
      <c r="F24" t="s">
        <v>201</v>
      </c>
      <c r="G24" t="s">
        <v>25</v>
      </c>
      <c r="H24">
        <f t="shared" si="0"/>
        <v>6</v>
      </c>
      <c r="I24" s="4">
        <v>2689000</v>
      </c>
      <c r="J24" s="4"/>
      <c r="K24" s="4"/>
      <c r="L24" s="4"/>
      <c r="M24" s="22"/>
      <c r="N24" s="22"/>
      <c r="O24" s="22"/>
    </row>
    <row r="25" spans="3:15" x14ac:dyDescent="0.25">
      <c r="C25" s="33" t="str">
        <f>IF(H25=1,"u","")</f>
        <v>u</v>
      </c>
      <c r="D25" s="11" t="s">
        <v>676</v>
      </c>
      <c r="E25" s="33"/>
      <c r="F25" t="s">
        <v>85</v>
      </c>
      <c r="G25" t="s">
        <v>25</v>
      </c>
      <c r="H25">
        <f t="shared" si="0"/>
        <v>1</v>
      </c>
      <c r="I25" s="4">
        <v>1361078</v>
      </c>
      <c r="J25" s="4"/>
      <c r="K25" s="4"/>
      <c r="L25" s="4"/>
      <c r="M25" s="22"/>
      <c r="N25" s="22"/>
      <c r="O25" s="22"/>
    </row>
    <row r="26" spans="3:15" x14ac:dyDescent="0.25">
      <c r="C26" s="33"/>
      <c r="D26" s="11" t="s">
        <v>1108</v>
      </c>
      <c r="E26" s="33"/>
      <c r="F26" t="s">
        <v>215</v>
      </c>
      <c r="G26" t="s">
        <v>25</v>
      </c>
      <c r="H26">
        <f t="shared" si="0"/>
        <v>5</v>
      </c>
      <c r="I26" s="4">
        <v>1932100</v>
      </c>
      <c r="J26" s="4"/>
      <c r="K26" s="4"/>
      <c r="L26" s="4"/>
      <c r="M26" s="22"/>
      <c r="N26" s="22"/>
      <c r="O26" s="22"/>
    </row>
    <row r="27" spans="3:15" x14ac:dyDescent="0.25">
      <c r="C27" s="33"/>
      <c r="D27" s="11" t="s">
        <v>487</v>
      </c>
      <c r="E27" s="33"/>
      <c r="F27" t="s">
        <v>113</v>
      </c>
      <c r="G27" t="s">
        <v>25</v>
      </c>
      <c r="H27">
        <f t="shared" si="0"/>
        <v>4</v>
      </c>
      <c r="I27" s="4">
        <v>1808000</v>
      </c>
      <c r="J27" s="4"/>
      <c r="K27" s="4"/>
      <c r="L27" s="4"/>
      <c r="M27" s="22"/>
      <c r="N27" s="22"/>
      <c r="O27" s="22"/>
    </row>
    <row r="28" spans="3:15" x14ac:dyDescent="0.25">
      <c r="C28" s="33"/>
      <c r="D28" s="11" t="s">
        <v>485</v>
      </c>
      <c r="E28" s="33"/>
      <c r="F28" t="s">
        <v>486</v>
      </c>
      <c r="G28" t="s">
        <v>25</v>
      </c>
      <c r="H28">
        <f t="shared" si="0"/>
        <v>3</v>
      </c>
      <c r="I28" s="4">
        <v>1682800</v>
      </c>
      <c r="J28" s="4"/>
      <c r="K28" s="4"/>
      <c r="L28" s="4"/>
      <c r="M28" s="22"/>
      <c r="N28" s="22"/>
      <c r="O28" s="22"/>
    </row>
    <row r="29" spans="3:15" x14ac:dyDescent="0.25">
      <c r="C29" s="33" t="str">
        <f t="shared" ref="C29:C43" si="1">IF(H29=1,"u","")</f>
        <v/>
      </c>
      <c r="D29" s="11"/>
      <c r="E29" s="33"/>
      <c r="I29" s="4"/>
      <c r="J29" s="4"/>
      <c r="K29" s="4"/>
      <c r="L29" s="4"/>
      <c r="M29" s="22"/>
      <c r="N29" s="22"/>
      <c r="O29" s="22"/>
    </row>
    <row r="30" spans="3:15" x14ac:dyDescent="0.25">
      <c r="C30" s="33" t="str">
        <f t="shared" si="1"/>
        <v/>
      </c>
      <c r="D30" s="11"/>
      <c r="E30" s="33"/>
      <c r="I30" s="4"/>
      <c r="J30" s="4"/>
      <c r="K30" s="4"/>
      <c r="L30" s="4"/>
      <c r="M30" s="22"/>
      <c r="N30" s="22"/>
      <c r="O30" s="22"/>
    </row>
    <row r="31" spans="3:15" x14ac:dyDescent="0.25">
      <c r="C31" s="33" t="str">
        <f t="shared" si="1"/>
        <v/>
      </c>
      <c r="D31" s="11"/>
      <c r="E31" s="33"/>
      <c r="I31" s="4"/>
      <c r="J31" s="4"/>
      <c r="K31" s="4"/>
      <c r="L31" s="4"/>
      <c r="M31" s="22"/>
      <c r="N31" s="22"/>
      <c r="O31" s="22"/>
    </row>
    <row r="32" spans="3:15" x14ac:dyDescent="0.25">
      <c r="C32" s="33" t="str">
        <f t="shared" si="1"/>
        <v/>
      </c>
      <c r="D32" s="11"/>
      <c r="E32" s="33"/>
      <c r="I32" s="4"/>
      <c r="J32" s="4"/>
      <c r="K32" s="4"/>
      <c r="L32" s="4"/>
      <c r="M32" s="22"/>
      <c r="N32" s="22"/>
      <c r="O32" s="22"/>
    </row>
    <row r="33" spans="3:15" x14ac:dyDescent="0.25">
      <c r="C33" s="33" t="str">
        <f t="shared" si="1"/>
        <v/>
      </c>
      <c r="D33" s="11"/>
      <c r="E33" s="33"/>
      <c r="I33" s="4"/>
      <c r="M33" s="21"/>
      <c r="N33" s="21"/>
      <c r="O33" s="21"/>
    </row>
    <row r="34" spans="3:15" x14ac:dyDescent="0.25">
      <c r="C34" s="33" t="str">
        <f t="shared" si="1"/>
        <v/>
      </c>
      <c r="D34" s="11"/>
      <c r="E34" s="33"/>
      <c r="I34" s="4"/>
      <c r="M34" s="21"/>
      <c r="N34" s="21"/>
      <c r="O34" s="21"/>
    </row>
    <row r="35" spans="3:15" x14ac:dyDescent="0.25">
      <c r="C35" s="33" t="str">
        <f t="shared" si="1"/>
        <v/>
      </c>
      <c r="D35" s="11"/>
      <c r="E35" s="33"/>
      <c r="I35" s="4"/>
      <c r="M35" s="21"/>
      <c r="N35" s="21"/>
      <c r="O35" s="21"/>
    </row>
    <row r="36" spans="3:15" x14ac:dyDescent="0.25">
      <c r="C36" s="33" t="str">
        <f t="shared" si="1"/>
        <v/>
      </c>
      <c r="D36" s="11"/>
      <c r="E36" s="33" t="str">
        <f t="shared" ref="E36:E43" si="2">IF(H36=1,"t","")</f>
        <v/>
      </c>
      <c r="M36" s="21"/>
      <c r="N36" s="21"/>
      <c r="O36" s="21"/>
    </row>
    <row r="37" spans="3:15" x14ac:dyDescent="0.25">
      <c r="C37" s="33" t="str">
        <f t="shared" si="1"/>
        <v/>
      </c>
      <c r="D37" s="11"/>
      <c r="E37" s="33" t="str">
        <f t="shared" si="2"/>
        <v/>
      </c>
      <c r="M37" s="21"/>
      <c r="N37" s="21"/>
      <c r="O37" s="21"/>
    </row>
    <row r="38" spans="3:15" x14ac:dyDescent="0.25">
      <c r="C38" s="33" t="str">
        <f t="shared" si="1"/>
        <v/>
      </c>
      <c r="D38" s="11"/>
      <c r="E38" s="33" t="str">
        <f t="shared" si="2"/>
        <v/>
      </c>
      <c r="M38" s="21"/>
      <c r="N38" s="21"/>
      <c r="O38" s="21"/>
    </row>
    <row r="39" spans="3:15" x14ac:dyDescent="0.25">
      <c r="C39" s="33" t="str">
        <f t="shared" si="1"/>
        <v/>
      </c>
      <c r="D39" s="11"/>
      <c r="E39" s="33" t="str">
        <f t="shared" si="2"/>
        <v/>
      </c>
      <c r="M39" s="21"/>
      <c r="N39" s="21"/>
      <c r="O39" s="21"/>
    </row>
    <row r="40" spans="3:15" x14ac:dyDescent="0.25">
      <c r="C40" s="33" t="str">
        <f t="shared" si="1"/>
        <v/>
      </c>
      <c r="D40" s="11"/>
      <c r="E40" s="33" t="str">
        <f t="shared" si="2"/>
        <v/>
      </c>
      <c r="M40" s="21"/>
      <c r="N40" s="21"/>
      <c r="O40" s="21"/>
    </row>
    <row r="41" spans="3:15" x14ac:dyDescent="0.25">
      <c r="C41" s="33" t="str">
        <f t="shared" si="1"/>
        <v/>
      </c>
      <c r="D41" s="11"/>
      <c r="E41" s="33" t="str">
        <f t="shared" si="2"/>
        <v/>
      </c>
      <c r="M41" s="21"/>
      <c r="N41" s="21"/>
      <c r="O41" s="21"/>
    </row>
    <row r="42" spans="3:15" x14ac:dyDescent="0.25">
      <c r="C42" s="33" t="str">
        <f t="shared" si="1"/>
        <v/>
      </c>
      <c r="D42" s="11"/>
      <c r="E42" s="33" t="str">
        <f t="shared" si="2"/>
        <v/>
      </c>
      <c r="M42" s="21"/>
      <c r="N42" s="21"/>
      <c r="O42" s="21"/>
    </row>
    <row r="43" spans="3:15" x14ac:dyDescent="0.25">
      <c r="C43" s="33" t="str">
        <f t="shared" si="1"/>
        <v/>
      </c>
      <c r="D43" s="11"/>
      <c r="E43" s="33" t="str">
        <f t="shared" si="2"/>
        <v/>
      </c>
      <c r="M43" s="21"/>
      <c r="N43" s="21"/>
      <c r="O43" s="21"/>
    </row>
    <row r="44" spans="3:15" ht="6" customHeight="1" x14ac:dyDescent="0.25">
      <c r="C44" s="9"/>
      <c r="D44" s="9"/>
      <c r="E44" s="9"/>
      <c r="F44" s="9"/>
      <c r="G44" s="9"/>
      <c r="H44" s="9"/>
      <c r="I44" s="9"/>
      <c r="J44" s="9"/>
      <c r="K44" s="9"/>
      <c r="L44" s="9"/>
      <c r="M44" s="21"/>
      <c r="N44" s="21"/>
      <c r="O44" s="21"/>
    </row>
    <row r="45" spans="3:15" ht="6" customHeight="1" x14ac:dyDescent="0.25">
      <c r="M45" s="21"/>
      <c r="N45" s="21"/>
      <c r="O45" s="21"/>
    </row>
    <row r="46" spans="3:15" x14ac:dyDescent="0.25">
      <c r="C46" s="15" t="s">
        <v>79</v>
      </c>
      <c r="M46" s="21"/>
      <c r="N46" s="21"/>
      <c r="O46" s="21"/>
    </row>
    <row r="47" spans="3:15" x14ac:dyDescent="0.25">
      <c r="C47" s="15" t="s">
        <v>78</v>
      </c>
    </row>
  </sheetData>
  <mergeCells count="1">
    <mergeCell ref="G13:H13"/>
  </mergeCells>
  <conditionalFormatting sqref="I9">
    <cfRule type="containsText" dxfId="2161" priority="18" operator="containsText" text="FAIL">
      <formula>NOT(ISERROR(SEARCH("FAIL",I9)))</formula>
    </cfRule>
  </conditionalFormatting>
  <conditionalFormatting sqref="I9">
    <cfRule type="containsText" dxfId="2160" priority="17" operator="containsText" text="GOOD">
      <formula>NOT(ISERROR(SEARCH("GOOD",I9)))</formula>
    </cfRule>
  </conditionalFormatting>
  <conditionalFormatting sqref="F11">
    <cfRule type="containsText" dxfId="2159" priority="16" operator="containsText" text="FAIL">
      <formula>NOT(ISERROR(SEARCH("FAIL",F11)))</formula>
    </cfRule>
  </conditionalFormatting>
  <conditionalFormatting sqref="F11">
    <cfRule type="containsText" dxfId="2158" priority="15" operator="containsText" text="GOOD">
      <formula>NOT(ISERROR(SEARCH("GOOD",F11)))</formula>
    </cfRule>
  </conditionalFormatting>
  <conditionalFormatting sqref="D25">
    <cfRule type="expression" dxfId="2157" priority="14" stopIfTrue="1">
      <formula>IF($H$25=1,0)</formula>
    </cfRule>
  </conditionalFormatting>
  <conditionalFormatting sqref="D23 D29:D43 D25">
    <cfRule type="expression" dxfId="2156" priority="13">
      <formula>H23=1</formula>
    </cfRule>
  </conditionalFormatting>
  <conditionalFormatting sqref="C23:C26 C29:C43">
    <cfRule type="expression" dxfId="2155" priority="12">
      <formula>H23=1</formula>
    </cfRule>
  </conditionalFormatting>
  <conditionalFormatting sqref="E23 E29:E43 E25">
    <cfRule type="expression" dxfId="2154" priority="11">
      <formula>H23=1</formula>
    </cfRule>
  </conditionalFormatting>
  <conditionalFormatting sqref="F11">
    <cfRule type="containsText" dxfId="2153" priority="10" operator="containsText" text="FAIL">
      <formula>NOT(ISERROR(SEARCH("FAIL",F11)))</formula>
    </cfRule>
  </conditionalFormatting>
  <conditionalFormatting sqref="F11">
    <cfRule type="containsText" dxfId="2152" priority="9" operator="containsText" text="GOOD">
      <formula>NOT(ISERROR(SEARCH("GOOD",F11)))</formula>
    </cfRule>
  </conditionalFormatting>
  <conditionalFormatting sqref="D27:D28">
    <cfRule type="expression" dxfId="2151" priority="8">
      <formula>H27=1</formula>
    </cfRule>
  </conditionalFormatting>
  <conditionalFormatting sqref="C27:C28">
    <cfRule type="expression" dxfId="2150" priority="7">
      <formula>H27=1</formula>
    </cfRule>
  </conditionalFormatting>
  <conditionalFormatting sqref="E27:E28">
    <cfRule type="expression" dxfId="2149" priority="6">
      <formula>H27=1</formula>
    </cfRule>
  </conditionalFormatting>
  <conditionalFormatting sqref="D24">
    <cfRule type="expression" dxfId="2148" priority="5" stopIfTrue="1">
      <formula>IF($H$25=1,0)</formula>
    </cfRule>
  </conditionalFormatting>
  <conditionalFormatting sqref="D24">
    <cfRule type="expression" dxfId="2147" priority="4">
      <formula>H24=1</formula>
    </cfRule>
  </conditionalFormatting>
  <conditionalFormatting sqref="E24">
    <cfRule type="expression" dxfId="2146" priority="3">
      <formula>H24=1</formula>
    </cfRule>
  </conditionalFormatting>
  <conditionalFormatting sqref="D26">
    <cfRule type="expression" dxfId="2145" priority="2">
      <formula>H26=1</formula>
    </cfRule>
  </conditionalFormatting>
  <conditionalFormatting sqref="E26">
    <cfRule type="expression" dxfId="2144" priority="1">
      <formula>H26=1</formula>
    </cfRule>
  </conditionalFormatting>
  <pageMargins left="0.7" right="0.7" top="0.75" bottom="0.75" header="0.3" footer="0.3"/>
  <pageSetup scale="68" orientation="portrait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E00-000000000000}">
  <sheetPr codeName="Sheet160"/>
  <dimension ref="A2:O47"/>
  <sheetViews>
    <sheetView workbookViewId="0">
      <selection activeCell="F5" sqref="F5"/>
    </sheetView>
  </sheetViews>
  <sheetFormatPr defaultRowHeight="15" x14ac:dyDescent="0.25"/>
  <cols>
    <col min="1" max="2" width="4.42578125" customWidth="1"/>
    <col min="3" max="3" width="3" customWidth="1"/>
    <col min="4" max="4" width="24.85546875" customWidth="1"/>
    <col min="5" max="5" width="3" customWidth="1"/>
    <col min="6" max="6" width="15.7109375" customWidth="1"/>
    <col min="7" max="7" width="8.5703125" customWidth="1"/>
    <col min="8" max="8" width="5.85546875" customWidth="1"/>
    <col min="9" max="15" width="15.7109375" customWidth="1"/>
  </cols>
  <sheetData>
    <row r="2" spans="1:11" x14ac:dyDescent="0.25">
      <c r="C2" s="15" t="s">
        <v>32</v>
      </c>
      <c r="E2" s="15"/>
      <c r="F2" s="15"/>
      <c r="G2" s="15" t="s">
        <v>33</v>
      </c>
      <c r="H2" s="15"/>
      <c r="I2" s="15"/>
      <c r="J2" s="15"/>
      <c r="K2" s="15"/>
    </row>
    <row r="3" spans="1:11" ht="18.75" x14ac:dyDescent="0.3">
      <c r="C3" s="3" t="s">
        <v>26</v>
      </c>
      <c r="J3" s="8" t="s">
        <v>17</v>
      </c>
    </row>
    <row r="4" spans="1:11" x14ac:dyDescent="0.25">
      <c r="D4" s="2" t="s">
        <v>0</v>
      </c>
      <c r="E4" s="1"/>
      <c r="F4" t="s">
        <v>420</v>
      </c>
      <c r="I4" s="2" t="s">
        <v>4</v>
      </c>
    </row>
    <row r="5" spans="1:11" x14ac:dyDescent="0.25">
      <c r="D5" s="2" t="s">
        <v>1</v>
      </c>
      <c r="F5" t="s">
        <v>342</v>
      </c>
    </row>
    <row r="6" spans="1:11" x14ac:dyDescent="0.25">
      <c r="D6" s="2" t="s">
        <v>2</v>
      </c>
      <c r="F6" s="6">
        <v>42108</v>
      </c>
      <c r="H6" s="11"/>
    </row>
    <row r="7" spans="1:11" x14ac:dyDescent="0.25">
      <c r="D7" s="2" t="s">
        <v>3</v>
      </c>
      <c r="F7" s="5">
        <v>521000</v>
      </c>
      <c r="G7" s="2" t="s">
        <v>190</v>
      </c>
      <c r="H7" s="11"/>
    </row>
    <row r="8" spans="1:11" x14ac:dyDescent="0.25">
      <c r="D8" s="2" t="s">
        <v>18</v>
      </c>
      <c r="F8" s="5">
        <f>MIN(I23:I43)</f>
        <v>1840000</v>
      </c>
      <c r="H8" s="11"/>
    </row>
    <row r="9" spans="1:11" x14ac:dyDescent="0.25">
      <c r="D9" s="2" t="s">
        <v>67</v>
      </c>
      <c r="F9" s="4">
        <f>+F8-F7</f>
        <v>1319000</v>
      </c>
      <c r="G9" s="16">
        <f>+F9/F7</f>
        <v>2.5316698656429941</v>
      </c>
      <c r="H9" s="12" t="s">
        <v>20</v>
      </c>
      <c r="I9" s="11" t="str">
        <f>(IF(G9&lt;-0.1,"FAIL",IF(G9&gt;0.05,"FAIL","GOOD")))</f>
        <v>FAIL</v>
      </c>
      <c r="J9" s="14" t="s">
        <v>72</v>
      </c>
    </row>
    <row r="10" spans="1:11" x14ac:dyDescent="0.25">
      <c r="D10" s="2" t="s">
        <v>68</v>
      </c>
      <c r="F10" s="4">
        <f>+F7-F12</f>
        <v>-1889333.3333333335</v>
      </c>
      <c r="H10" s="11"/>
    </row>
    <row r="11" spans="1:11" x14ac:dyDescent="0.25">
      <c r="A11" s="30"/>
      <c r="D11" s="2" t="s">
        <v>71</v>
      </c>
      <c r="F11" s="11" t="str">
        <f>(IF(F7&lt;J12,"FAIL",IF(F7&gt;J13,"FAIL","GOOD")))</f>
        <v>FAIL</v>
      </c>
      <c r="H11" s="11"/>
    </row>
    <row r="12" spans="1:11" x14ac:dyDescent="0.25">
      <c r="D12" s="2" t="s">
        <v>28</v>
      </c>
      <c r="F12" s="4">
        <f>SUM(I23:I43)/H12</f>
        <v>2410333.3333333335</v>
      </c>
      <c r="G12" s="14"/>
      <c r="H12" s="11">
        <f>COUNT(I23:I43)</f>
        <v>3</v>
      </c>
      <c r="I12" s="1" t="s">
        <v>31</v>
      </c>
      <c r="J12" s="4">
        <f>+F8*0.9</f>
        <v>1656000</v>
      </c>
      <c r="K12" s="1" t="s">
        <v>69</v>
      </c>
    </row>
    <row r="13" spans="1:11" x14ac:dyDescent="0.25">
      <c r="D13" s="2" t="s">
        <v>29</v>
      </c>
      <c r="F13" s="4">
        <f>MAX(I23:I43)-MIN(I23:I43)</f>
        <v>1710000</v>
      </c>
      <c r="G13" s="399">
        <f>MEDIAN(I23:I43)</f>
        <v>1841000</v>
      </c>
      <c r="H13" s="400"/>
      <c r="I13" s="1" t="s">
        <v>30</v>
      </c>
      <c r="J13" s="4">
        <f>+F12*1.1</f>
        <v>2651366.666666667</v>
      </c>
      <c r="K13" s="1" t="s">
        <v>70</v>
      </c>
    </row>
    <row r="14" spans="1:11" x14ac:dyDescent="0.25">
      <c r="H14" s="11"/>
    </row>
    <row r="15" spans="1:11" x14ac:dyDescent="0.25">
      <c r="D15" s="2" t="s">
        <v>8</v>
      </c>
      <c r="F15" s="4"/>
      <c r="G15" s="1" t="s">
        <v>9</v>
      </c>
      <c r="H15" s="11"/>
      <c r="I15" t="s">
        <v>15</v>
      </c>
      <c r="J15" s="7" t="e">
        <f>+F16/F15</f>
        <v>#DIV/0!</v>
      </c>
    </row>
    <row r="16" spans="1:11" x14ac:dyDescent="0.25">
      <c r="F16" s="4"/>
      <c r="G16" s="1" t="s">
        <v>10</v>
      </c>
      <c r="H16" s="11"/>
      <c r="I16" t="s">
        <v>14</v>
      </c>
      <c r="J16" s="7" t="e">
        <f>+F17/F16</f>
        <v>#DIV/0!</v>
      </c>
    </row>
    <row r="17" spans="3:15" x14ac:dyDescent="0.25">
      <c r="F17" s="4"/>
      <c r="G17" s="1" t="s">
        <v>11</v>
      </c>
      <c r="H17" s="11"/>
      <c r="I17" t="s">
        <v>13</v>
      </c>
      <c r="J17" s="7" t="e">
        <f>+F18/F17</f>
        <v>#DIV/0!</v>
      </c>
      <c r="M17" s="21"/>
      <c r="N17" s="21"/>
      <c r="O17" s="21"/>
    </row>
    <row r="18" spans="3:15" x14ac:dyDescent="0.25">
      <c r="F18" s="4"/>
      <c r="G18" s="1" t="s">
        <v>12</v>
      </c>
      <c r="H18" s="11"/>
      <c r="I18" t="s">
        <v>16</v>
      </c>
      <c r="J18" s="7" t="e">
        <f>+F8/F18</f>
        <v>#DIV/0!</v>
      </c>
      <c r="M18" s="21"/>
      <c r="N18" s="21"/>
      <c r="O18" s="21"/>
    </row>
    <row r="19" spans="3:15" x14ac:dyDescent="0.25">
      <c r="F19" s="2" t="s">
        <v>51</v>
      </c>
      <c r="G19">
        <v>0</v>
      </c>
      <c r="H19" s="11" t="s">
        <v>52</v>
      </c>
      <c r="I19" t="s">
        <v>41</v>
      </c>
      <c r="J19" s="7" t="e">
        <f>+F8/F15</f>
        <v>#DIV/0!</v>
      </c>
      <c r="M19" s="21"/>
      <c r="N19" s="21"/>
      <c r="O19" s="21"/>
    </row>
    <row r="20" spans="3:15" x14ac:dyDescent="0.25">
      <c r="H20" s="11"/>
      <c r="M20" s="21"/>
      <c r="N20" s="21"/>
      <c r="O20" s="21"/>
    </row>
    <row r="21" spans="3:15" x14ac:dyDescent="0.25">
      <c r="C21" s="9"/>
      <c r="D21" s="13" t="s">
        <v>21</v>
      </c>
      <c r="E21" s="9"/>
      <c r="F21" s="9" t="s">
        <v>22</v>
      </c>
      <c r="G21" s="9" t="s">
        <v>23</v>
      </c>
      <c r="H21" s="13" t="s">
        <v>27</v>
      </c>
      <c r="I21" s="10" t="s">
        <v>24</v>
      </c>
      <c r="J21" s="9"/>
      <c r="K21" s="9"/>
      <c r="L21" s="9"/>
      <c r="M21" s="21"/>
      <c r="N21" s="21"/>
      <c r="O21" s="21"/>
    </row>
    <row r="22" spans="3:15" ht="6" customHeight="1" x14ac:dyDescent="0.25">
      <c r="M22" s="21"/>
      <c r="N22" s="21"/>
      <c r="O22" s="21"/>
    </row>
    <row r="23" spans="3:15" x14ac:dyDescent="0.25">
      <c r="C23" s="33" t="str">
        <f>IF(H23=1,"u","")</f>
        <v>u</v>
      </c>
      <c r="D23" s="23" t="s">
        <v>116</v>
      </c>
      <c r="E23" s="33"/>
      <c r="F23" t="s">
        <v>113</v>
      </c>
      <c r="G23" t="s">
        <v>25</v>
      </c>
      <c r="H23">
        <f>RANK(I23,I$23:I$43,1)</f>
        <v>1</v>
      </c>
      <c r="I23" s="4">
        <v>1840000</v>
      </c>
      <c r="J23" s="4"/>
      <c r="K23" s="4"/>
      <c r="L23" s="4"/>
      <c r="M23" s="22"/>
      <c r="N23" s="22"/>
      <c r="O23" s="22"/>
    </row>
    <row r="24" spans="3:15" x14ac:dyDescent="0.25">
      <c r="C24" s="33" t="str">
        <f>IF(H24=1,"u","")</f>
        <v/>
      </c>
      <c r="D24" s="23" t="s">
        <v>343</v>
      </c>
      <c r="E24" s="33"/>
      <c r="F24" t="s">
        <v>295</v>
      </c>
      <c r="G24" t="s">
        <v>25</v>
      </c>
      <c r="H24">
        <f>RANK(I24,I$23:I$43,1)</f>
        <v>2</v>
      </c>
      <c r="I24" s="4">
        <v>1841000</v>
      </c>
      <c r="J24" s="4"/>
      <c r="K24" s="4"/>
      <c r="L24" s="4"/>
      <c r="M24" s="22"/>
      <c r="N24" s="22"/>
      <c r="O24" s="22"/>
    </row>
    <row r="25" spans="3:15" x14ac:dyDescent="0.25">
      <c r="C25" s="33" t="str">
        <f>IF(H25=1,"u","")</f>
        <v/>
      </c>
      <c r="D25" s="23" t="s">
        <v>200</v>
      </c>
      <c r="E25" s="33"/>
      <c r="F25" t="s">
        <v>201</v>
      </c>
      <c r="G25" t="s">
        <v>25</v>
      </c>
      <c r="H25">
        <f>RANK(I25,I$23:I$43,1)</f>
        <v>3</v>
      </c>
      <c r="I25" s="4">
        <v>3550000</v>
      </c>
      <c r="J25" s="4"/>
      <c r="K25" s="4"/>
      <c r="L25" s="4"/>
      <c r="M25" s="22"/>
      <c r="N25" s="22"/>
      <c r="O25" s="22"/>
    </row>
    <row r="26" spans="3:15" x14ac:dyDescent="0.25">
      <c r="C26" s="33"/>
      <c r="D26" s="23"/>
      <c r="E26" s="33"/>
      <c r="I26" s="4"/>
      <c r="J26" s="4"/>
      <c r="K26" s="4"/>
      <c r="L26" s="4"/>
      <c r="M26" s="22"/>
      <c r="N26" s="22"/>
      <c r="O26" s="22"/>
    </row>
    <row r="27" spans="3:15" x14ac:dyDescent="0.25">
      <c r="C27" s="33" t="str">
        <f t="shared" ref="C27:C43" si="0">IF(H27=1,"u","")</f>
        <v/>
      </c>
      <c r="D27" s="23"/>
      <c r="E27" s="33" t="str">
        <f t="shared" ref="E27:E43" si="1">IF(H27=1,"t","")</f>
        <v/>
      </c>
      <c r="I27" s="4"/>
      <c r="J27" s="4"/>
      <c r="K27" s="4"/>
      <c r="L27" s="4"/>
      <c r="M27" s="22"/>
      <c r="N27" s="22"/>
      <c r="O27" s="22"/>
    </row>
    <row r="28" spans="3:15" x14ac:dyDescent="0.25">
      <c r="C28" s="33" t="str">
        <f t="shared" si="0"/>
        <v/>
      </c>
      <c r="D28" s="23"/>
      <c r="E28" s="33" t="str">
        <f t="shared" si="1"/>
        <v/>
      </c>
      <c r="I28" s="4"/>
      <c r="J28" s="4"/>
      <c r="K28" s="4"/>
      <c r="L28" s="4"/>
      <c r="M28" s="22"/>
      <c r="N28" s="22"/>
      <c r="O28" s="22"/>
    </row>
    <row r="29" spans="3:15" x14ac:dyDescent="0.25">
      <c r="C29" s="33" t="str">
        <f t="shared" si="0"/>
        <v/>
      </c>
      <c r="D29" s="23"/>
      <c r="E29" s="33" t="str">
        <f t="shared" si="1"/>
        <v/>
      </c>
      <c r="I29" s="4"/>
      <c r="J29" s="4"/>
      <c r="K29" s="4"/>
      <c r="L29" s="4"/>
      <c r="M29" s="22"/>
      <c r="N29" s="22"/>
      <c r="O29" s="22"/>
    </row>
    <row r="30" spans="3:15" x14ac:dyDescent="0.25">
      <c r="C30" s="33" t="str">
        <f t="shared" si="0"/>
        <v/>
      </c>
      <c r="D30" s="23"/>
      <c r="E30" s="33" t="str">
        <f t="shared" si="1"/>
        <v/>
      </c>
      <c r="I30" s="4"/>
      <c r="J30" s="4"/>
      <c r="K30" s="4"/>
      <c r="L30" s="4"/>
      <c r="M30" s="22"/>
      <c r="N30" s="22"/>
      <c r="O30" s="22"/>
    </row>
    <row r="31" spans="3:15" x14ac:dyDescent="0.25">
      <c r="C31" s="33" t="str">
        <f t="shared" si="0"/>
        <v/>
      </c>
      <c r="D31" s="11"/>
      <c r="E31" s="33" t="str">
        <f t="shared" si="1"/>
        <v/>
      </c>
      <c r="I31" s="4"/>
      <c r="J31" s="4"/>
      <c r="K31" s="4"/>
      <c r="L31" s="4"/>
      <c r="M31" s="22"/>
      <c r="N31" s="22"/>
      <c r="O31" s="22"/>
    </row>
    <row r="32" spans="3:15" x14ac:dyDescent="0.25">
      <c r="C32" s="33" t="str">
        <f t="shared" si="0"/>
        <v/>
      </c>
      <c r="D32" s="11"/>
      <c r="E32" s="33" t="str">
        <f t="shared" si="1"/>
        <v/>
      </c>
      <c r="I32" s="4"/>
      <c r="J32" s="4"/>
      <c r="K32" s="4"/>
      <c r="L32" s="4"/>
      <c r="M32" s="22"/>
      <c r="N32" s="22"/>
      <c r="O32" s="22"/>
    </row>
    <row r="33" spans="3:15" x14ac:dyDescent="0.25">
      <c r="C33" s="33" t="str">
        <f t="shared" si="0"/>
        <v/>
      </c>
      <c r="D33" s="11"/>
      <c r="E33" s="33" t="str">
        <f t="shared" si="1"/>
        <v/>
      </c>
      <c r="M33" s="21"/>
      <c r="N33" s="21"/>
      <c r="O33" s="21"/>
    </row>
    <row r="34" spans="3:15" x14ac:dyDescent="0.25">
      <c r="C34" s="33" t="str">
        <f t="shared" si="0"/>
        <v/>
      </c>
      <c r="D34" s="11"/>
      <c r="E34" s="33" t="str">
        <f t="shared" si="1"/>
        <v/>
      </c>
      <c r="M34" s="21"/>
      <c r="N34" s="21"/>
      <c r="O34" s="21"/>
    </row>
    <row r="35" spans="3:15" x14ac:dyDescent="0.25">
      <c r="C35" s="33" t="str">
        <f t="shared" si="0"/>
        <v/>
      </c>
      <c r="D35" s="11"/>
      <c r="E35" s="33" t="str">
        <f t="shared" si="1"/>
        <v/>
      </c>
      <c r="M35" s="21"/>
      <c r="N35" s="21"/>
      <c r="O35" s="21"/>
    </row>
    <row r="36" spans="3:15" x14ac:dyDescent="0.25">
      <c r="C36" s="33" t="str">
        <f t="shared" si="0"/>
        <v/>
      </c>
      <c r="D36" s="11"/>
      <c r="E36" s="33" t="str">
        <f t="shared" si="1"/>
        <v/>
      </c>
      <c r="M36" s="21"/>
      <c r="N36" s="21"/>
      <c r="O36" s="21"/>
    </row>
    <row r="37" spans="3:15" x14ac:dyDescent="0.25">
      <c r="C37" s="33" t="str">
        <f t="shared" si="0"/>
        <v/>
      </c>
      <c r="D37" s="11"/>
      <c r="E37" s="33" t="str">
        <f t="shared" si="1"/>
        <v/>
      </c>
      <c r="M37" s="21"/>
      <c r="N37" s="21"/>
      <c r="O37" s="21"/>
    </row>
    <row r="38" spans="3:15" x14ac:dyDescent="0.25">
      <c r="C38" s="33" t="str">
        <f t="shared" si="0"/>
        <v/>
      </c>
      <c r="D38" s="11"/>
      <c r="E38" s="33" t="str">
        <f t="shared" si="1"/>
        <v/>
      </c>
      <c r="M38" s="21"/>
      <c r="N38" s="21"/>
      <c r="O38" s="21"/>
    </row>
    <row r="39" spans="3:15" x14ac:dyDescent="0.25">
      <c r="C39" s="33" t="str">
        <f t="shared" si="0"/>
        <v/>
      </c>
      <c r="D39" s="11"/>
      <c r="E39" s="33" t="str">
        <f t="shared" si="1"/>
        <v/>
      </c>
      <c r="M39" s="21"/>
      <c r="N39" s="21"/>
      <c r="O39" s="21"/>
    </row>
    <row r="40" spans="3:15" x14ac:dyDescent="0.25">
      <c r="C40" s="33" t="str">
        <f t="shared" si="0"/>
        <v/>
      </c>
      <c r="D40" s="11"/>
      <c r="E40" s="33" t="str">
        <f t="shared" si="1"/>
        <v/>
      </c>
      <c r="M40" s="21"/>
      <c r="N40" s="21"/>
      <c r="O40" s="21"/>
    </row>
    <row r="41" spans="3:15" x14ac:dyDescent="0.25">
      <c r="C41" s="33" t="str">
        <f t="shared" si="0"/>
        <v/>
      </c>
      <c r="D41" s="11"/>
      <c r="E41" s="33" t="str">
        <f t="shared" si="1"/>
        <v/>
      </c>
      <c r="M41" s="21"/>
      <c r="N41" s="21"/>
      <c r="O41" s="21"/>
    </row>
    <row r="42" spans="3:15" x14ac:dyDescent="0.25">
      <c r="C42" s="33" t="str">
        <f t="shared" si="0"/>
        <v/>
      </c>
      <c r="D42" s="11"/>
      <c r="E42" s="33" t="str">
        <f t="shared" si="1"/>
        <v/>
      </c>
      <c r="M42" s="21"/>
      <c r="N42" s="21"/>
      <c r="O42" s="21"/>
    </row>
    <row r="43" spans="3:15" x14ac:dyDescent="0.25">
      <c r="C43" s="33" t="str">
        <f t="shared" si="0"/>
        <v/>
      </c>
      <c r="D43" s="11"/>
      <c r="E43" s="33" t="str">
        <f t="shared" si="1"/>
        <v/>
      </c>
      <c r="M43" s="21"/>
      <c r="N43" s="21"/>
      <c r="O43" s="21"/>
    </row>
    <row r="44" spans="3:15" ht="6" customHeight="1" x14ac:dyDescent="0.25">
      <c r="C44" s="9"/>
      <c r="D44" s="9"/>
      <c r="E44" s="9"/>
      <c r="F44" s="9"/>
      <c r="G44" s="9"/>
      <c r="H44" s="9"/>
      <c r="I44" s="9"/>
      <c r="J44" s="9"/>
      <c r="K44" s="9"/>
      <c r="L44" s="9"/>
      <c r="M44" s="21"/>
      <c r="N44" s="21"/>
      <c r="O44" s="21"/>
    </row>
    <row r="45" spans="3:15" ht="6" customHeight="1" x14ac:dyDescent="0.25">
      <c r="M45" s="21"/>
      <c r="N45" s="21"/>
      <c r="O45" s="21"/>
    </row>
    <row r="46" spans="3:15" x14ac:dyDescent="0.25">
      <c r="C46" s="15" t="s">
        <v>79</v>
      </c>
      <c r="M46" s="21"/>
      <c r="N46" s="21"/>
      <c r="O46" s="21"/>
    </row>
    <row r="47" spans="3:15" x14ac:dyDescent="0.25">
      <c r="C47" s="15" t="s">
        <v>78</v>
      </c>
    </row>
  </sheetData>
  <mergeCells count="1">
    <mergeCell ref="G13:H13"/>
  </mergeCells>
  <conditionalFormatting sqref="I9">
    <cfRule type="containsText" dxfId="194" priority="10" operator="containsText" text="FAIL">
      <formula>NOT(ISERROR(SEARCH("FAIL",I9)))</formula>
    </cfRule>
  </conditionalFormatting>
  <conditionalFormatting sqref="I9">
    <cfRule type="containsText" dxfId="193" priority="9" operator="containsText" text="GOOD">
      <formula>NOT(ISERROR(SEARCH("GOOD",I9)))</formula>
    </cfRule>
  </conditionalFormatting>
  <conditionalFormatting sqref="F11">
    <cfRule type="containsText" dxfId="192" priority="8" operator="containsText" text="FAIL">
      <formula>NOT(ISERROR(SEARCH("FAIL",F11)))</formula>
    </cfRule>
  </conditionalFormatting>
  <conditionalFormatting sqref="F11">
    <cfRule type="containsText" dxfId="191" priority="7" operator="containsText" text="GOOD">
      <formula>NOT(ISERROR(SEARCH("GOOD",F11)))</formula>
    </cfRule>
  </conditionalFormatting>
  <conditionalFormatting sqref="D25">
    <cfRule type="expression" dxfId="190" priority="6" stopIfTrue="1">
      <formula>IF($H$25=1,0)</formula>
    </cfRule>
  </conditionalFormatting>
  <conditionalFormatting sqref="D23:D43">
    <cfRule type="expression" dxfId="189" priority="5">
      <formula>H23=1</formula>
    </cfRule>
  </conditionalFormatting>
  <conditionalFormatting sqref="C23:C43">
    <cfRule type="expression" dxfId="188" priority="4">
      <formula>H23=1</formula>
    </cfRule>
  </conditionalFormatting>
  <conditionalFormatting sqref="E23:E43">
    <cfRule type="expression" dxfId="187" priority="3">
      <formula>H23=1</formula>
    </cfRule>
  </conditionalFormatting>
  <conditionalFormatting sqref="F11">
    <cfRule type="containsText" dxfId="186" priority="2" operator="containsText" text="FAIL">
      <formula>NOT(ISERROR(SEARCH("FAIL",F11)))</formula>
    </cfRule>
  </conditionalFormatting>
  <conditionalFormatting sqref="F11">
    <cfRule type="containsText" dxfId="185" priority="1" operator="containsText" text="GOOD">
      <formula>NOT(ISERROR(SEARCH("GOOD",F11)))</formula>
    </cfRule>
  </conditionalFormatting>
  <pageMargins left="0.7" right="0.7" top="0.75" bottom="0.75" header="0.3" footer="0.3"/>
  <pageSetup orientation="portrait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B00-000000000000}">
  <sheetPr codeName="Sheet125"/>
  <dimension ref="A2:O47"/>
  <sheetViews>
    <sheetView zoomScaleNormal="100" workbookViewId="0">
      <selection activeCell="L28" sqref="L28"/>
    </sheetView>
  </sheetViews>
  <sheetFormatPr defaultRowHeight="15" x14ac:dyDescent="0.25"/>
  <cols>
    <col min="1" max="2" width="4.42578125" customWidth="1"/>
    <col min="3" max="3" width="3" customWidth="1"/>
    <col min="4" max="4" width="24.85546875" customWidth="1"/>
    <col min="5" max="5" width="3" customWidth="1"/>
    <col min="6" max="6" width="15.7109375" customWidth="1"/>
    <col min="7" max="7" width="8.5703125" customWidth="1"/>
    <col min="8" max="8" width="5.85546875" customWidth="1"/>
    <col min="9" max="15" width="15.7109375" customWidth="1"/>
  </cols>
  <sheetData>
    <row r="2" spans="1:11" x14ac:dyDescent="0.25">
      <c r="C2" s="15" t="s">
        <v>32</v>
      </c>
      <c r="E2" s="15"/>
      <c r="F2" s="15"/>
      <c r="G2" s="15" t="s">
        <v>33</v>
      </c>
      <c r="H2" s="15"/>
      <c r="I2" s="15"/>
      <c r="J2" s="15"/>
      <c r="K2" s="15"/>
    </row>
    <row r="3" spans="1:11" ht="18.75" x14ac:dyDescent="0.3">
      <c r="C3" s="3" t="s">
        <v>26</v>
      </c>
      <c r="J3" s="8" t="s">
        <v>17</v>
      </c>
    </row>
    <row r="4" spans="1:11" x14ac:dyDescent="0.25">
      <c r="D4" s="2" t="s">
        <v>0</v>
      </c>
      <c r="E4" s="1"/>
      <c r="F4" t="s">
        <v>543</v>
      </c>
      <c r="I4" s="2" t="s">
        <v>4</v>
      </c>
      <c r="J4" t="s">
        <v>447</v>
      </c>
    </row>
    <row r="5" spans="1:11" x14ac:dyDescent="0.25">
      <c r="D5" s="2" t="s">
        <v>1</v>
      </c>
      <c r="F5" t="s">
        <v>544</v>
      </c>
    </row>
    <row r="6" spans="1:11" x14ac:dyDescent="0.25">
      <c r="D6" s="2" t="s">
        <v>2</v>
      </c>
      <c r="F6" s="6">
        <v>42391</v>
      </c>
      <c r="H6" s="11"/>
    </row>
    <row r="7" spans="1:11" x14ac:dyDescent="0.25">
      <c r="D7" s="2" t="s">
        <v>3</v>
      </c>
      <c r="F7" s="5">
        <v>4574000</v>
      </c>
      <c r="G7" s="2" t="s">
        <v>34</v>
      </c>
      <c r="H7" s="11"/>
    </row>
    <row r="8" spans="1:11" x14ac:dyDescent="0.25">
      <c r="D8" s="2" t="s">
        <v>18</v>
      </c>
      <c r="F8" s="5">
        <f>MIN(I23:I43)</f>
        <v>3774000</v>
      </c>
      <c r="H8" s="11"/>
    </row>
    <row r="9" spans="1:11" x14ac:dyDescent="0.25">
      <c r="D9" s="2" t="s">
        <v>67</v>
      </c>
      <c r="F9" s="4">
        <f>+F8-F7</f>
        <v>-800000</v>
      </c>
      <c r="G9" s="16">
        <f>+F9/F7</f>
        <v>-0.17490161783996502</v>
      </c>
      <c r="H9" s="12" t="s">
        <v>20</v>
      </c>
      <c r="I9" s="11" t="str">
        <f>(IF(G9&lt;-0.1,"FAIL",IF(G9&gt;0.05,"FAIL","GOOD")))</f>
        <v>FAIL</v>
      </c>
      <c r="J9" s="14" t="s">
        <v>72</v>
      </c>
    </row>
    <row r="10" spans="1:11" x14ac:dyDescent="0.25">
      <c r="D10" s="2" t="s">
        <v>68</v>
      </c>
      <c r="F10" s="4">
        <f>+F7-F12</f>
        <v>191925.25</v>
      </c>
      <c r="H10" s="11"/>
    </row>
    <row r="11" spans="1:11" x14ac:dyDescent="0.25">
      <c r="A11" s="30"/>
      <c r="D11" s="2" t="s">
        <v>71</v>
      </c>
      <c r="F11" s="11" t="str">
        <f>(IF(F7&lt;J12,"FAIL",IF(F7&gt;J13,"FAIL","GOOD")))</f>
        <v>GOOD</v>
      </c>
      <c r="H11" s="11"/>
    </row>
    <row r="12" spans="1:11" x14ac:dyDescent="0.25">
      <c r="D12" s="2" t="s">
        <v>28</v>
      </c>
      <c r="F12" s="4">
        <f>SUM(I23:I43)/H12</f>
        <v>4382074.75</v>
      </c>
      <c r="G12" s="14"/>
      <c r="H12" s="11">
        <f>COUNT(I23:I43)</f>
        <v>4</v>
      </c>
      <c r="I12" s="1" t="s">
        <v>31</v>
      </c>
      <c r="J12" s="4">
        <f>+F8*0.9</f>
        <v>3396600</v>
      </c>
      <c r="K12" s="1" t="s">
        <v>69</v>
      </c>
    </row>
    <row r="13" spans="1:11" x14ac:dyDescent="0.25">
      <c r="D13" s="2" t="s">
        <v>29</v>
      </c>
      <c r="F13" s="4">
        <f>MAX(I23:I43)-MIN(I23:I43)</f>
        <v>1621000</v>
      </c>
      <c r="G13" s="399">
        <f>MEDIAN(I23:I43)</f>
        <v>4179649.5</v>
      </c>
      <c r="H13" s="400"/>
      <c r="I13" s="1" t="s">
        <v>30</v>
      </c>
      <c r="J13" s="4">
        <f>+F12*1.1</f>
        <v>4820282.2250000006</v>
      </c>
      <c r="K13" s="1" t="s">
        <v>70</v>
      </c>
    </row>
    <row r="14" spans="1:11" x14ac:dyDescent="0.25">
      <c r="H14" s="11"/>
    </row>
    <row r="15" spans="1:11" x14ac:dyDescent="0.25">
      <c r="D15" s="2" t="s">
        <v>8</v>
      </c>
      <c r="F15" s="4"/>
      <c r="G15" s="1" t="s">
        <v>9</v>
      </c>
      <c r="H15" s="11"/>
      <c r="I15" t="s">
        <v>15</v>
      </c>
      <c r="J15" s="7" t="e">
        <f>+F16/F15</f>
        <v>#DIV/0!</v>
      </c>
    </row>
    <row r="16" spans="1:11" x14ac:dyDescent="0.25">
      <c r="F16" s="4"/>
      <c r="G16" s="1" t="s">
        <v>10</v>
      </c>
      <c r="H16" s="11"/>
      <c r="I16" t="s">
        <v>14</v>
      </c>
      <c r="J16" s="7" t="e">
        <f>+F17/F16</f>
        <v>#DIV/0!</v>
      </c>
    </row>
    <row r="17" spans="3:15" x14ac:dyDescent="0.25">
      <c r="F17" s="4"/>
      <c r="G17" s="1" t="s">
        <v>11</v>
      </c>
      <c r="H17" s="11"/>
      <c r="I17" t="s">
        <v>13</v>
      </c>
      <c r="J17" s="7" t="e">
        <f>+F18/F17</f>
        <v>#DIV/0!</v>
      </c>
      <c r="M17" s="21"/>
      <c r="N17" s="21"/>
      <c r="O17" s="21"/>
    </row>
    <row r="18" spans="3:15" x14ac:dyDescent="0.25">
      <c r="F18" s="4"/>
      <c r="G18" s="1" t="s">
        <v>12</v>
      </c>
      <c r="H18" s="11"/>
      <c r="I18" t="s">
        <v>16</v>
      </c>
      <c r="J18" s="7" t="e">
        <f>+F8/F18</f>
        <v>#DIV/0!</v>
      </c>
      <c r="M18" s="21"/>
      <c r="N18" s="21"/>
      <c r="O18" s="21"/>
    </row>
    <row r="19" spans="3:15" x14ac:dyDescent="0.25">
      <c r="F19" s="2" t="s">
        <v>51</v>
      </c>
      <c r="G19">
        <v>0</v>
      </c>
      <c r="H19" s="11" t="s">
        <v>52</v>
      </c>
      <c r="I19" t="s">
        <v>41</v>
      </c>
      <c r="J19" s="7" t="e">
        <f>+F8/F15</f>
        <v>#DIV/0!</v>
      </c>
      <c r="M19" s="21"/>
      <c r="N19" s="21"/>
      <c r="O19" s="21"/>
    </row>
    <row r="20" spans="3:15" x14ac:dyDescent="0.25">
      <c r="H20" s="11"/>
      <c r="M20" s="21"/>
      <c r="N20" s="21"/>
      <c r="O20" s="21"/>
    </row>
    <row r="21" spans="3:15" x14ac:dyDescent="0.25">
      <c r="C21" s="9"/>
      <c r="D21" s="13" t="s">
        <v>21</v>
      </c>
      <c r="E21" s="9"/>
      <c r="F21" s="9" t="s">
        <v>22</v>
      </c>
      <c r="G21" s="9" t="s">
        <v>23</v>
      </c>
      <c r="H21" s="13" t="s">
        <v>27</v>
      </c>
      <c r="I21" s="10" t="s">
        <v>24</v>
      </c>
      <c r="J21" s="9"/>
      <c r="K21" s="9"/>
      <c r="L21" s="9"/>
      <c r="M21" s="21"/>
      <c r="N21" s="21"/>
      <c r="O21" s="21"/>
    </row>
    <row r="22" spans="3:15" ht="6" customHeight="1" x14ac:dyDescent="0.25">
      <c r="M22" s="21"/>
      <c r="N22" s="21"/>
      <c r="O22" s="21"/>
    </row>
    <row r="23" spans="3:15" x14ac:dyDescent="0.25">
      <c r="C23" s="33" t="str">
        <f>IF(H23=1,"u","")</f>
        <v/>
      </c>
      <c r="D23" s="11" t="s">
        <v>547</v>
      </c>
      <c r="E23" s="33"/>
      <c r="F23" t="s">
        <v>88</v>
      </c>
      <c r="G23" t="s">
        <v>25</v>
      </c>
      <c r="H23">
        <f>RANK(I23,I$23:I$43,1)</f>
        <v>4</v>
      </c>
      <c r="I23" s="4">
        <v>5395000</v>
      </c>
      <c r="J23" s="4"/>
      <c r="K23" s="4"/>
      <c r="L23" s="4"/>
      <c r="M23" s="22"/>
      <c r="N23" s="22"/>
      <c r="O23" s="22"/>
    </row>
    <row r="24" spans="3:15" x14ac:dyDescent="0.25">
      <c r="C24" s="33" t="str">
        <f>IF(H24=1,"u","")</f>
        <v/>
      </c>
      <c r="D24" s="11" t="s">
        <v>545</v>
      </c>
      <c r="E24" s="33"/>
      <c r="F24" t="s">
        <v>546</v>
      </c>
      <c r="G24" t="s">
        <v>25</v>
      </c>
      <c r="H24">
        <f>RANK(I24,I$23:I$43,1)</f>
        <v>2</v>
      </c>
      <c r="I24" s="4">
        <v>4055000</v>
      </c>
      <c r="J24" s="4"/>
      <c r="K24" s="4"/>
      <c r="L24" s="4"/>
      <c r="M24" s="22"/>
      <c r="N24" s="22"/>
      <c r="O24" s="22"/>
    </row>
    <row r="25" spans="3:15" x14ac:dyDescent="0.25">
      <c r="C25" s="33" t="str">
        <f>IF(H25=1,"u","")</f>
        <v>u</v>
      </c>
      <c r="D25" s="11" t="s">
        <v>487</v>
      </c>
      <c r="E25" s="33"/>
      <c r="F25" t="s">
        <v>113</v>
      </c>
      <c r="G25" t="s">
        <v>25</v>
      </c>
      <c r="H25">
        <f>RANK(I25,I$23:I$43,1)</f>
        <v>1</v>
      </c>
      <c r="I25" s="4">
        <v>3774000</v>
      </c>
      <c r="J25" s="4"/>
      <c r="K25" s="4"/>
      <c r="L25" s="4"/>
      <c r="M25" s="22"/>
      <c r="N25" s="22"/>
      <c r="O25" s="22"/>
    </row>
    <row r="26" spans="3:15" x14ac:dyDescent="0.25">
      <c r="C26" s="33" t="str">
        <f t="shared" ref="C26:C43" si="0">IF(H26=1,"u","")</f>
        <v/>
      </c>
      <c r="D26" s="11" t="s">
        <v>548</v>
      </c>
      <c r="E26" s="33"/>
      <c r="F26" t="s">
        <v>549</v>
      </c>
      <c r="G26" t="s">
        <v>25</v>
      </c>
      <c r="H26">
        <f>RANK(I26,I$23:I$43,1)</f>
        <v>3</v>
      </c>
      <c r="I26" s="4">
        <v>4304299</v>
      </c>
      <c r="J26" s="4"/>
      <c r="K26" s="4"/>
      <c r="L26" s="4"/>
      <c r="M26" s="22"/>
      <c r="N26" s="22"/>
      <c r="O26" s="22"/>
    </row>
    <row r="27" spans="3:15" x14ac:dyDescent="0.25">
      <c r="C27" s="33"/>
      <c r="D27" s="11"/>
      <c r="E27" s="33"/>
      <c r="I27" s="4"/>
      <c r="J27" s="4"/>
      <c r="K27" s="4"/>
      <c r="L27" s="4"/>
      <c r="M27" s="22"/>
      <c r="N27" s="22"/>
      <c r="O27" s="22"/>
    </row>
    <row r="28" spans="3:15" x14ac:dyDescent="0.25">
      <c r="C28" s="33"/>
      <c r="D28" s="11"/>
      <c r="E28" s="33"/>
      <c r="I28" s="4"/>
      <c r="J28" s="4"/>
      <c r="K28" s="4"/>
      <c r="L28" s="4"/>
      <c r="M28" s="22"/>
      <c r="N28" s="22"/>
      <c r="O28" s="22"/>
    </row>
    <row r="29" spans="3:15" x14ac:dyDescent="0.25">
      <c r="C29" s="33" t="str">
        <f t="shared" si="0"/>
        <v/>
      </c>
      <c r="D29" s="11"/>
      <c r="E29" s="33" t="str">
        <f t="shared" ref="E29:E43" si="1">IF(H29=1,"t","")</f>
        <v/>
      </c>
      <c r="I29" s="4"/>
      <c r="J29" s="4"/>
      <c r="K29" s="4"/>
      <c r="L29" s="4"/>
      <c r="M29" s="22"/>
      <c r="N29" s="22"/>
      <c r="O29" s="22"/>
    </row>
    <row r="30" spans="3:15" x14ac:dyDescent="0.25">
      <c r="C30" s="33" t="str">
        <f t="shared" si="0"/>
        <v/>
      </c>
      <c r="D30" s="11"/>
      <c r="E30" s="33" t="str">
        <f t="shared" si="1"/>
        <v/>
      </c>
      <c r="I30" s="4"/>
      <c r="J30" s="4"/>
      <c r="K30" s="4"/>
      <c r="L30" s="4"/>
      <c r="M30" s="22"/>
      <c r="N30" s="22"/>
      <c r="O30" s="22"/>
    </row>
    <row r="31" spans="3:15" x14ac:dyDescent="0.25">
      <c r="C31" s="33" t="str">
        <f t="shared" si="0"/>
        <v/>
      </c>
      <c r="D31" s="11"/>
      <c r="E31" s="33" t="str">
        <f t="shared" si="1"/>
        <v/>
      </c>
      <c r="I31" s="4"/>
      <c r="J31" s="4"/>
      <c r="K31" s="4"/>
      <c r="L31" s="4"/>
      <c r="M31" s="22"/>
      <c r="N31" s="22"/>
      <c r="O31" s="22"/>
    </row>
    <row r="32" spans="3:15" x14ac:dyDescent="0.25">
      <c r="C32" s="33" t="str">
        <f t="shared" si="0"/>
        <v/>
      </c>
      <c r="D32" s="11"/>
      <c r="E32" s="33" t="str">
        <f t="shared" si="1"/>
        <v/>
      </c>
      <c r="I32" s="4"/>
      <c r="J32" s="4"/>
      <c r="K32" s="4"/>
      <c r="L32" s="4"/>
      <c r="M32" s="22"/>
      <c r="N32" s="22"/>
      <c r="O32" s="22"/>
    </row>
    <row r="33" spans="3:15" x14ac:dyDescent="0.25">
      <c r="C33" s="33" t="str">
        <f t="shared" si="0"/>
        <v/>
      </c>
      <c r="D33" s="11"/>
      <c r="E33" s="33" t="str">
        <f t="shared" si="1"/>
        <v/>
      </c>
      <c r="M33" s="21"/>
      <c r="N33" s="21"/>
      <c r="O33" s="21"/>
    </row>
    <row r="34" spans="3:15" x14ac:dyDescent="0.25">
      <c r="C34" s="33" t="str">
        <f t="shared" si="0"/>
        <v/>
      </c>
      <c r="D34" s="11"/>
      <c r="E34" s="33" t="str">
        <f t="shared" si="1"/>
        <v/>
      </c>
      <c r="M34" s="21"/>
      <c r="N34" s="21"/>
      <c r="O34" s="21"/>
    </row>
    <row r="35" spans="3:15" x14ac:dyDescent="0.25">
      <c r="C35" s="33" t="str">
        <f t="shared" si="0"/>
        <v/>
      </c>
      <c r="D35" s="11"/>
      <c r="E35" s="33" t="str">
        <f t="shared" si="1"/>
        <v/>
      </c>
      <c r="M35" s="21"/>
      <c r="N35" s="21"/>
      <c r="O35" s="21"/>
    </row>
    <row r="36" spans="3:15" x14ac:dyDescent="0.25">
      <c r="C36" s="33" t="str">
        <f t="shared" si="0"/>
        <v/>
      </c>
      <c r="D36" s="11"/>
      <c r="E36" s="33" t="str">
        <f t="shared" si="1"/>
        <v/>
      </c>
      <c r="M36" s="21"/>
      <c r="N36" s="21"/>
      <c r="O36" s="21"/>
    </row>
    <row r="37" spans="3:15" x14ac:dyDescent="0.25">
      <c r="C37" s="33" t="str">
        <f t="shared" si="0"/>
        <v/>
      </c>
      <c r="D37" s="11"/>
      <c r="E37" s="33" t="str">
        <f t="shared" si="1"/>
        <v/>
      </c>
      <c r="M37" s="21"/>
      <c r="N37" s="21"/>
      <c r="O37" s="21"/>
    </row>
    <row r="38" spans="3:15" x14ac:dyDescent="0.25">
      <c r="C38" s="33" t="str">
        <f t="shared" si="0"/>
        <v/>
      </c>
      <c r="D38" s="11"/>
      <c r="E38" s="33" t="str">
        <f t="shared" si="1"/>
        <v/>
      </c>
      <c r="M38" s="21"/>
      <c r="N38" s="21"/>
      <c r="O38" s="21"/>
    </row>
    <row r="39" spans="3:15" x14ac:dyDescent="0.25">
      <c r="C39" s="33" t="str">
        <f t="shared" si="0"/>
        <v/>
      </c>
      <c r="D39" s="11"/>
      <c r="E39" s="33" t="str">
        <f t="shared" si="1"/>
        <v/>
      </c>
      <c r="M39" s="21"/>
      <c r="N39" s="21"/>
      <c r="O39" s="21"/>
    </row>
    <row r="40" spans="3:15" x14ac:dyDescent="0.25">
      <c r="C40" s="33" t="str">
        <f t="shared" si="0"/>
        <v/>
      </c>
      <c r="D40" s="11"/>
      <c r="E40" s="33" t="str">
        <f t="shared" si="1"/>
        <v/>
      </c>
      <c r="M40" s="21"/>
      <c r="N40" s="21"/>
      <c r="O40" s="21"/>
    </row>
    <row r="41" spans="3:15" x14ac:dyDescent="0.25">
      <c r="C41" s="33" t="str">
        <f t="shared" si="0"/>
        <v/>
      </c>
      <c r="D41" s="11"/>
      <c r="E41" s="33" t="str">
        <f t="shared" si="1"/>
        <v/>
      </c>
      <c r="M41" s="21"/>
      <c r="N41" s="21"/>
      <c r="O41" s="21"/>
    </row>
    <row r="42" spans="3:15" x14ac:dyDescent="0.25">
      <c r="C42" s="33" t="str">
        <f t="shared" si="0"/>
        <v/>
      </c>
      <c r="D42" s="11"/>
      <c r="E42" s="33" t="str">
        <f t="shared" si="1"/>
        <v/>
      </c>
      <c r="M42" s="21"/>
      <c r="N42" s="21"/>
      <c r="O42" s="21"/>
    </row>
    <row r="43" spans="3:15" x14ac:dyDescent="0.25">
      <c r="C43" s="33" t="str">
        <f t="shared" si="0"/>
        <v/>
      </c>
      <c r="D43" s="11"/>
      <c r="E43" s="33" t="str">
        <f t="shared" si="1"/>
        <v/>
      </c>
      <c r="M43" s="21"/>
      <c r="N43" s="21"/>
      <c r="O43" s="21"/>
    </row>
    <row r="44" spans="3:15" ht="6" customHeight="1" x14ac:dyDescent="0.25">
      <c r="C44" s="9"/>
      <c r="D44" s="9"/>
      <c r="E44" s="9"/>
      <c r="F44" s="9"/>
      <c r="G44" s="9"/>
      <c r="H44" s="9"/>
      <c r="I44" s="9"/>
      <c r="J44" s="9"/>
      <c r="K44" s="9"/>
      <c r="L44" s="9"/>
      <c r="M44" s="21"/>
      <c r="N44" s="21"/>
      <c r="O44" s="21"/>
    </row>
    <row r="45" spans="3:15" ht="6" customHeight="1" x14ac:dyDescent="0.25">
      <c r="M45" s="21"/>
      <c r="N45" s="21"/>
      <c r="O45" s="21"/>
    </row>
    <row r="46" spans="3:15" x14ac:dyDescent="0.25">
      <c r="C46" s="15" t="s">
        <v>79</v>
      </c>
      <c r="M46" s="21"/>
      <c r="N46" s="21"/>
      <c r="O46" s="21"/>
    </row>
    <row r="47" spans="3:15" x14ac:dyDescent="0.25">
      <c r="C47" s="15" t="s">
        <v>78</v>
      </c>
    </row>
  </sheetData>
  <mergeCells count="1">
    <mergeCell ref="G13:H13"/>
  </mergeCells>
  <conditionalFormatting sqref="I9">
    <cfRule type="containsText" dxfId="577" priority="10" operator="containsText" text="FAIL">
      <formula>NOT(ISERROR(SEARCH("FAIL",I9)))</formula>
    </cfRule>
  </conditionalFormatting>
  <conditionalFormatting sqref="I9">
    <cfRule type="containsText" dxfId="576" priority="9" operator="containsText" text="GOOD">
      <formula>NOT(ISERROR(SEARCH("GOOD",I9)))</formula>
    </cfRule>
  </conditionalFormatting>
  <conditionalFormatting sqref="F11">
    <cfRule type="containsText" dxfId="575" priority="8" operator="containsText" text="FAIL">
      <formula>NOT(ISERROR(SEARCH("FAIL",F11)))</formula>
    </cfRule>
  </conditionalFormatting>
  <conditionalFormatting sqref="F11">
    <cfRule type="containsText" dxfId="574" priority="7" operator="containsText" text="GOOD">
      <formula>NOT(ISERROR(SEARCH("GOOD",F11)))</formula>
    </cfRule>
  </conditionalFormatting>
  <conditionalFormatting sqref="D25">
    <cfRule type="expression" dxfId="573" priority="6" stopIfTrue="1">
      <formula>IF($H$25=1,0)</formula>
    </cfRule>
  </conditionalFormatting>
  <conditionalFormatting sqref="D23:D43">
    <cfRule type="expression" dxfId="572" priority="5">
      <formula>H23=1</formula>
    </cfRule>
  </conditionalFormatting>
  <conditionalFormatting sqref="C23:C43">
    <cfRule type="expression" dxfId="571" priority="4">
      <formula>H23=1</formula>
    </cfRule>
  </conditionalFormatting>
  <conditionalFormatting sqref="E23:E43">
    <cfRule type="expression" dxfId="570" priority="3">
      <formula>H23=1</formula>
    </cfRule>
  </conditionalFormatting>
  <conditionalFormatting sqref="F11">
    <cfRule type="containsText" dxfId="569" priority="2" operator="containsText" text="FAIL">
      <formula>NOT(ISERROR(SEARCH("FAIL",F11)))</formula>
    </cfRule>
  </conditionalFormatting>
  <conditionalFormatting sqref="F11">
    <cfRule type="containsText" dxfId="568" priority="1" operator="containsText" text="GOOD">
      <formula>NOT(ISERROR(SEARCH("GOOD",F11)))</formula>
    </cfRule>
  </conditionalFormatting>
  <pageMargins left="0.7" right="0.7" top="0.75" bottom="0.75" header="0.3" footer="0.3"/>
  <pageSetup scale="68" orientation="portrait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300-000000000000}">
  <sheetPr codeName="Sheet117"/>
  <dimension ref="A2:O47"/>
  <sheetViews>
    <sheetView topLeftCell="A7" zoomScaleNormal="100" workbookViewId="0">
      <selection activeCell="K26" sqref="K26"/>
    </sheetView>
  </sheetViews>
  <sheetFormatPr defaultRowHeight="15" x14ac:dyDescent="0.25"/>
  <cols>
    <col min="1" max="2" width="4.42578125" customWidth="1"/>
    <col min="3" max="3" width="3" customWidth="1"/>
    <col min="4" max="4" width="24.85546875" customWidth="1"/>
    <col min="5" max="5" width="3" customWidth="1"/>
    <col min="6" max="6" width="15.7109375" customWidth="1"/>
    <col min="7" max="7" width="8.5703125" customWidth="1"/>
    <col min="8" max="8" width="5.85546875" customWidth="1"/>
    <col min="9" max="15" width="15.7109375" customWidth="1"/>
  </cols>
  <sheetData>
    <row r="2" spans="1:11" x14ac:dyDescent="0.25">
      <c r="C2" s="15" t="s">
        <v>32</v>
      </c>
      <c r="E2" s="15"/>
      <c r="F2" s="15"/>
      <c r="G2" s="15" t="s">
        <v>33</v>
      </c>
      <c r="H2" s="15"/>
      <c r="I2" s="15"/>
      <c r="J2" s="15"/>
      <c r="K2" s="15"/>
    </row>
    <row r="3" spans="1:11" ht="18.75" x14ac:dyDescent="0.3">
      <c r="C3" s="3" t="s">
        <v>26</v>
      </c>
      <c r="J3" s="8" t="s">
        <v>17</v>
      </c>
    </row>
    <row r="4" spans="1:11" x14ac:dyDescent="0.25">
      <c r="D4" s="2" t="s">
        <v>0</v>
      </c>
      <c r="E4" s="1"/>
      <c r="F4" t="s">
        <v>599</v>
      </c>
      <c r="I4" s="2" t="s">
        <v>4</v>
      </c>
      <c r="J4" t="s">
        <v>447</v>
      </c>
    </row>
    <row r="5" spans="1:11" x14ac:dyDescent="0.25">
      <c r="D5" s="2" t="s">
        <v>1</v>
      </c>
      <c r="F5" t="s">
        <v>600</v>
      </c>
    </row>
    <row r="6" spans="1:11" x14ac:dyDescent="0.25">
      <c r="D6" s="2" t="s">
        <v>2</v>
      </c>
      <c r="F6" s="6">
        <v>42473</v>
      </c>
      <c r="H6" s="11"/>
    </row>
    <row r="7" spans="1:11" x14ac:dyDescent="0.25">
      <c r="D7" s="2" t="s">
        <v>3</v>
      </c>
      <c r="F7" s="5">
        <v>1900000</v>
      </c>
      <c r="G7" s="2" t="s">
        <v>34</v>
      </c>
      <c r="H7" s="11"/>
    </row>
    <row r="8" spans="1:11" x14ac:dyDescent="0.25">
      <c r="D8" s="2" t="s">
        <v>18</v>
      </c>
      <c r="F8" s="5">
        <f>MIN(I23:I43)</f>
        <v>1348800</v>
      </c>
      <c r="H8" s="11"/>
    </row>
    <row r="9" spans="1:11" x14ac:dyDescent="0.25">
      <c r="D9" s="2" t="s">
        <v>67</v>
      </c>
      <c r="F9" s="4">
        <f>+F8-F7</f>
        <v>-551200</v>
      </c>
      <c r="G9" s="16">
        <f>+F9/F7</f>
        <v>-0.29010526315789475</v>
      </c>
      <c r="H9" s="12" t="s">
        <v>20</v>
      </c>
      <c r="I9" s="11" t="str">
        <f>(IF(G9&lt;-0.1,"FAIL",IF(G9&gt;0.05,"FAIL","GOOD")))</f>
        <v>FAIL</v>
      </c>
      <c r="J9" s="14" t="s">
        <v>72</v>
      </c>
    </row>
    <row r="10" spans="1:11" x14ac:dyDescent="0.25">
      <c r="D10" s="2" t="s">
        <v>68</v>
      </c>
      <c r="F10" s="4">
        <f>+F7-F12</f>
        <v>-590256.45454545459</v>
      </c>
      <c r="H10" s="11"/>
    </row>
    <row r="11" spans="1:11" x14ac:dyDescent="0.25">
      <c r="A11" s="52"/>
      <c r="D11" s="2" t="s">
        <v>71</v>
      </c>
      <c r="F11" s="11" t="str">
        <f>(IF(F7&lt;J12,"FAIL",IF(F7&gt;J13,"FAIL","GOOD")))</f>
        <v>GOOD</v>
      </c>
      <c r="H11" s="11"/>
    </row>
    <row r="12" spans="1:11" x14ac:dyDescent="0.25">
      <c r="D12" s="2" t="s">
        <v>28</v>
      </c>
      <c r="F12" s="4">
        <f>SUM(I23:I43)/H12</f>
        <v>2490256.4545454546</v>
      </c>
      <c r="G12" s="14"/>
      <c r="H12" s="11">
        <f>COUNT(I23:I43)</f>
        <v>11</v>
      </c>
      <c r="I12" s="1" t="s">
        <v>31</v>
      </c>
      <c r="J12" s="4">
        <f>+F8*0.9</f>
        <v>1213920</v>
      </c>
      <c r="K12" s="1" t="s">
        <v>69</v>
      </c>
    </row>
    <row r="13" spans="1:11" x14ac:dyDescent="0.25">
      <c r="D13" s="2" t="s">
        <v>29</v>
      </c>
      <c r="F13" s="4">
        <f>MAX(I23:I43)-MIN(I23:I43)</f>
        <v>2186200</v>
      </c>
      <c r="G13" s="399">
        <f>MEDIAN(I23:I43)</f>
        <v>2498000</v>
      </c>
      <c r="H13" s="400"/>
      <c r="I13" s="1" t="s">
        <v>30</v>
      </c>
      <c r="J13" s="4">
        <f>+F12*1.1</f>
        <v>2739282.1</v>
      </c>
      <c r="K13" s="1" t="s">
        <v>70</v>
      </c>
    </row>
    <row r="14" spans="1:11" x14ac:dyDescent="0.25">
      <c r="H14" s="11"/>
    </row>
    <row r="15" spans="1:11" x14ac:dyDescent="0.25">
      <c r="D15" s="2" t="s">
        <v>8</v>
      </c>
      <c r="F15" s="4"/>
      <c r="G15" s="1" t="s">
        <v>9</v>
      </c>
      <c r="H15" s="11"/>
      <c r="I15" t="s">
        <v>15</v>
      </c>
      <c r="J15" s="7" t="e">
        <f>+F16/F15</f>
        <v>#DIV/0!</v>
      </c>
    </row>
    <row r="16" spans="1:11" x14ac:dyDescent="0.25">
      <c r="F16" s="4"/>
      <c r="G16" s="1" t="s">
        <v>10</v>
      </c>
      <c r="H16" s="11"/>
      <c r="I16" t="s">
        <v>14</v>
      </c>
      <c r="J16" s="7" t="e">
        <f>+F17/F16</f>
        <v>#DIV/0!</v>
      </c>
    </row>
    <row r="17" spans="3:15" x14ac:dyDescent="0.25">
      <c r="F17" s="4"/>
      <c r="G17" s="1" t="s">
        <v>11</v>
      </c>
      <c r="H17" s="11"/>
      <c r="I17" t="s">
        <v>13</v>
      </c>
      <c r="J17" s="7" t="e">
        <f>+F18/F17</f>
        <v>#DIV/0!</v>
      </c>
      <c r="M17" s="21"/>
      <c r="N17" s="21"/>
      <c r="O17" s="21"/>
    </row>
    <row r="18" spans="3:15" x14ac:dyDescent="0.25">
      <c r="F18" s="4"/>
      <c r="G18" s="1" t="s">
        <v>12</v>
      </c>
      <c r="H18" s="11"/>
      <c r="I18" t="s">
        <v>16</v>
      </c>
      <c r="J18" s="7" t="e">
        <f>+F8/F18</f>
        <v>#DIV/0!</v>
      </c>
      <c r="M18" s="21"/>
      <c r="N18" s="21"/>
      <c r="O18" s="21"/>
    </row>
    <row r="19" spans="3:15" x14ac:dyDescent="0.25">
      <c r="F19" s="2" t="s">
        <v>51</v>
      </c>
      <c r="G19">
        <v>0</v>
      </c>
      <c r="H19" s="11" t="s">
        <v>52</v>
      </c>
      <c r="I19" t="s">
        <v>41</v>
      </c>
      <c r="J19" s="7" t="e">
        <f>+F8/F15</f>
        <v>#DIV/0!</v>
      </c>
      <c r="M19" s="21"/>
      <c r="N19" s="21"/>
      <c r="O19" s="21"/>
    </row>
    <row r="20" spans="3:15" x14ac:dyDescent="0.25">
      <c r="H20" s="11"/>
      <c r="M20" s="21"/>
      <c r="N20" s="21"/>
      <c r="O20" s="21"/>
    </row>
    <row r="21" spans="3:15" x14ac:dyDescent="0.25">
      <c r="C21" s="9"/>
      <c r="D21" s="13" t="s">
        <v>21</v>
      </c>
      <c r="E21" s="9"/>
      <c r="F21" s="9" t="s">
        <v>22</v>
      </c>
      <c r="G21" s="9" t="s">
        <v>23</v>
      </c>
      <c r="H21" s="13" t="s">
        <v>27</v>
      </c>
      <c r="I21" s="10" t="s">
        <v>24</v>
      </c>
      <c r="J21" s="9"/>
      <c r="K21" s="9"/>
      <c r="L21" s="9"/>
      <c r="M21" s="21"/>
      <c r="N21" s="21"/>
      <c r="O21" s="21"/>
    </row>
    <row r="22" spans="3:15" ht="6" customHeight="1" x14ac:dyDescent="0.25">
      <c r="M22" s="21"/>
      <c r="N22" s="21"/>
      <c r="O22" s="21"/>
    </row>
    <row r="23" spans="3:15" x14ac:dyDescent="0.25">
      <c r="C23" s="33" t="str">
        <f>IF(H23=1,"u","")</f>
        <v/>
      </c>
      <c r="D23" s="11" t="s">
        <v>496</v>
      </c>
      <c r="E23" s="33"/>
      <c r="F23" t="s">
        <v>295</v>
      </c>
      <c r="G23" t="s">
        <v>25</v>
      </c>
      <c r="H23">
        <f>RANK(I23,I$23:I$43,1)</f>
        <v>11</v>
      </c>
      <c r="I23" s="4">
        <v>3535000</v>
      </c>
      <c r="J23" s="4"/>
      <c r="K23" s="4"/>
      <c r="L23" s="4"/>
      <c r="M23" s="22"/>
      <c r="N23" s="22"/>
      <c r="O23" s="22"/>
    </row>
    <row r="24" spans="3:15" x14ac:dyDescent="0.25">
      <c r="C24" s="33" t="str">
        <f>IF(H24=1,"u","")</f>
        <v/>
      </c>
      <c r="D24" s="11" t="s">
        <v>593</v>
      </c>
      <c r="E24" s="33"/>
      <c r="F24" t="s">
        <v>594</v>
      </c>
      <c r="G24" t="s">
        <v>25</v>
      </c>
      <c r="H24">
        <f t="shared" ref="H24:H33" si="0">RANK(I24,I$23:I$43,1)</f>
        <v>7</v>
      </c>
      <c r="I24" s="4">
        <v>2549999</v>
      </c>
      <c r="J24" s="4"/>
      <c r="K24" s="4"/>
      <c r="L24" s="4"/>
      <c r="M24" s="22"/>
      <c r="N24" s="22"/>
      <c r="O24" s="22"/>
    </row>
    <row r="25" spans="3:15" x14ac:dyDescent="0.25">
      <c r="C25" s="33" t="str">
        <f>IF(H25=1,"u","")</f>
        <v/>
      </c>
      <c r="D25" s="11" t="s">
        <v>601</v>
      </c>
      <c r="E25" s="33"/>
      <c r="F25" t="s">
        <v>201</v>
      </c>
      <c r="G25" t="s">
        <v>25</v>
      </c>
      <c r="H25">
        <f t="shared" si="0"/>
        <v>2</v>
      </c>
      <c r="I25" s="4">
        <v>1840100</v>
      </c>
      <c r="J25" s="4"/>
      <c r="K25" s="4"/>
      <c r="L25" s="4"/>
      <c r="M25" s="22"/>
      <c r="N25" s="22"/>
      <c r="O25" s="22"/>
    </row>
    <row r="26" spans="3:15" x14ac:dyDescent="0.25">
      <c r="C26" s="33" t="str">
        <f t="shared" ref="C26:C43" si="1">IF(H26=1,"u","")</f>
        <v/>
      </c>
      <c r="D26" s="11" t="s">
        <v>602</v>
      </c>
      <c r="E26" s="33"/>
      <c r="F26" t="s">
        <v>549</v>
      </c>
      <c r="G26" t="s">
        <v>25</v>
      </c>
      <c r="H26">
        <f t="shared" si="0"/>
        <v>10</v>
      </c>
      <c r="I26" s="4">
        <v>3435000</v>
      </c>
      <c r="J26" s="4"/>
      <c r="K26" s="4"/>
      <c r="L26" s="4"/>
      <c r="M26" s="22"/>
      <c r="N26" s="22"/>
      <c r="O26" s="22"/>
    </row>
    <row r="27" spans="3:15" x14ac:dyDescent="0.25">
      <c r="C27" s="33" t="str">
        <f t="shared" si="1"/>
        <v>u</v>
      </c>
      <c r="D27" s="11" t="s">
        <v>603</v>
      </c>
      <c r="E27" s="33" t="str">
        <f t="shared" ref="E27:E43" si="2">IF(H27=1,"t","")</f>
        <v>t</v>
      </c>
      <c r="F27" t="s">
        <v>85</v>
      </c>
      <c r="G27" t="s">
        <v>25</v>
      </c>
      <c r="H27">
        <f t="shared" si="0"/>
        <v>1</v>
      </c>
      <c r="I27" s="4">
        <v>1348800</v>
      </c>
      <c r="J27" s="4"/>
      <c r="K27" s="4"/>
      <c r="L27" s="4"/>
      <c r="M27" s="22"/>
      <c r="N27" s="22"/>
      <c r="O27" s="22"/>
    </row>
    <row r="28" spans="3:15" x14ac:dyDescent="0.25">
      <c r="C28" s="33" t="str">
        <f t="shared" si="1"/>
        <v/>
      </c>
      <c r="D28" s="11" t="s">
        <v>604</v>
      </c>
      <c r="E28" s="33" t="str">
        <f t="shared" si="2"/>
        <v/>
      </c>
      <c r="F28" t="s">
        <v>113</v>
      </c>
      <c r="G28" t="s">
        <v>25</v>
      </c>
      <c r="H28">
        <f t="shared" si="0"/>
        <v>3</v>
      </c>
      <c r="I28" s="4">
        <v>1870000</v>
      </c>
      <c r="J28" s="4"/>
      <c r="K28" s="4"/>
      <c r="L28" s="4"/>
      <c r="M28" s="22"/>
      <c r="N28" s="22"/>
      <c r="O28" s="22"/>
    </row>
    <row r="29" spans="3:15" x14ac:dyDescent="0.25">
      <c r="C29" s="33" t="str">
        <f t="shared" si="1"/>
        <v/>
      </c>
      <c r="D29" s="11" t="s">
        <v>440</v>
      </c>
      <c r="E29" s="33" t="str">
        <f t="shared" si="2"/>
        <v/>
      </c>
      <c r="F29" t="s">
        <v>193</v>
      </c>
      <c r="G29" t="s">
        <v>25</v>
      </c>
      <c r="H29">
        <f t="shared" si="0"/>
        <v>5</v>
      </c>
      <c r="I29" s="4">
        <v>2482000</v>
      </c>
      <c r="J29" s="4"/>
      <c r="K29" s="4"/>
      <c r="L29" s="4"/>
      <c r="M29" s="22"/>
      <c r="N29" s="22"/>
      <c r="O29" s="22"/>
    </row>
    <row r="30" spans="3:15" x14ac:dyDescent="0.25">
      <c r="C30" s="33" t="str">
        <f t="shared" si="1"/>
        <v/>
      </c>
      <c r="D30" s="11" t="s">
        <v>605</v>
      </c>
      <c r="E30" s="33" t="str">
        <f t="shared" si="2"/>
        <v/>
      </c>
      <c r="F30" t="s">
        <v>120</v>
      </c>
      <c r="G30" t="s">
        <v>25</v>
      </c>
      <c r="H30">
        <f t="shared" si="0"/>
        <v>4</v>
      </c>
      <c r="I30" s="4">
        <v>1965400</v>
      </c>
      <c r="J30" s="4"/>
      <c r="K30" s="4"/>
      <c r="L30" s="4"/>
      <c r="M30" s="22"/>
      <c r="N30" s="22"/>
      <c r="O30" s="22"/>
    </row>
    <row r="31" spans="3:15" x14ac:dyDescent="0.25">
      <c r="C31" s="33" t="str">
        <f t="shared" si="1"/>
        <v/>
      </c>
      <c r="D31" s="11" t="s">
        <v>487</v>
      </c>
      <c r="E31" s="33" t="str">
        <f t="shared" si="2"/>
        <v/>
      </c>
      <c r="F31" t="s">
        <v>113</v>
      </c>
      <c r="G31" t="s">
        <v>25</v>
      </c>
      <c r="H31">
        <f t="shared" si="0"/>
        <v>6</v>
      </c>
      <c r="I31" s="4">
        <v>2498000</v>
      </c>
      <c r="J31" s="4"/>
      <c r="K31" s="4"/>
      <c r="L31" s="4"/>
      <c r="M31" s="22"/>
      <c r="N31" s="22"/>
      <c r="O31" s="22"/>
    </row>
    <row r="32" spans="3:15" x14ac:dyDescent="0.25">
      <c r="C32" s="33" t="str">
        <f t="shared" si="1"/>
        <v/>
      </c>
      <c r="D32" s="11" t="s">
        <v>606</v>
      </c>
      <c r="E32" s="33" t="str">
        <f t="shared" si="2"/>
        <v/>
      </c>
      <c r="F32" t="s">
        <v>100</v>
      </c>
      <c r="G32" t="s">
        <v>93</v>
      </c>
      <c r="H32">
        <f t="shared" si="0"/>
        <v>9</v>
      </c>
      <c r="I32" s="4">
        <v>2994200</v>
      </c>
      <c r="J32" s="4"/>
      <c r="K32" s="4"/>
      <c r="L32" s="4"/>
      <c r="M32" s="22"/>
      <c r="N32" s="22"/>
      <c r="O32" s="22"/>
    </row>
    <row r="33" spans="3:15" x14ac:dyDescent="0.25">
      <c r="C33" s="33" t="str">
        <f t="shared" si="1"/>
        <v/>
      </c>
      <c r="D33" s="11" t="s">
        <v>607</v>
      </c>
      <c r="E33" s="33" t="str">
        <f t="shared" si="2"/>
        <v/>
      </c>
      <c r="F33" t="s">
        <v>113</v>
      </c>
      <c r="G33" t="s">
        <v>25</v>
      </c>
      <c r="H33">
        <f t="shared" si="0"/>
        <v>8</v>
      </c>
      <c r="I33" s="4">
        <v>2874322</v>
      </c>
      <c r="M33" s="21"/>
      <c r="N33" s="21"/>
      <c r="O33" s="21"/>
    </row>
    <row r="34" spans="3:15" x14ac:dyDescent="0.25">
      <c r="C34" s="33" t="str">
        <f t="shared" si="1"/>
        <v/>
      </c>
      <c r="D34" s="11"/>
      <c r="E34" s="33" t="str">
        <f t="shared" si="2"/>
        <v/>
      </c>
      <c r="M34" s="21"/>
      <c r="N34" s="21"/>
      <c r="O34" s="21"/>
    </row>
    <row r="35" spans="3:15" x14ac:dyDescent="0.25">
      <c r="C35" s="33" t="str">
        <f t="shared" si="1"/>
        <v/>
      </c>
      <c r="D35" s="11"/>
      <c r="E35" s="33" t="str">
        <f t="shared" si="2"/>
        <v/>
      </c>
      <c r="M35" s="21"/>
      <c r="N35" s="21"/>
      <c r="O35" s="21"/>
    </row>
    <row r="36" spans="3:15" x14ac:dyDescent="0.25">
      <c r="C36" s="33" t="str">
        <f t="shared" si="1"/>
        <v/>
      </c>
      <c r="D36" s="11"/>
      <c r="E36" s="33" t="str">
        <f t="shared" si="2"/>
        <v/>
      </c>
      <c r="M36" s="21"/>
      <c r="N36" s="21"/>
      <c r="O36" s="21"/>
    </row>
    <row r="37" spans="3:15" x14ac:dyDescent="0.25">
      <c r="C37" s="33" t="str">
        <f t="shared" si="1"/>
        <v/>
      </c>
      <c r="D37" s="11"/>
      <c r="E37" s="33" t="str">
        <f t="shared" si="2"/>
        <v/>
      </c>
      <c r="M37" s="21"/>
      <c r="N37" s="21"/>
      <c r="O37" s="21"/>
    </row>
    <row r="38" spans="3:15" x14ac:dyDescent="0.25">
      <c r="C38" s="33" t="str">
        <f t="shared" si="1"/>
        <v/>
      </c>
      <c r="D38" s="11"/>
      <c r="E38" s="33" t="str">
        <f t="shared" si="2"/>
        <v/>
      </c>
      <c r="M38" s="21"/>
      <c r="N38" s="21"/>
      <c r="O38" s="21"/>
    </row>
    <row r="39" spans="3:15" x14ac:dyDescent="0.25">
      <c r="C39" s="33" t="str">
        <f t="shared" si="1"/>
        <v/>
      </c>
      <c r="D39" s="11"/>
      <c r="E39" s="33" t="str">
        <f t="shared" si="2"/>
        <v/>
      </c>
      <c r="M39" s="21"/>
      <c r="N39" s="21"/>
      <c r="O39" s="21"/>
    </row>
    <row r="40" spans="3:15" x14ac:dyDescent="0.25">
      <c r="C40" s="33" t="str">
        <f t="shared" si="1"/>
        <v/>
      </c>
      <c r="D40" s="11"/>
      <c r="E40" s="33" t="str">
        <f t="shared" si="2"/>
        <v/>
      </c>
      <c r="M40" s="21"/>
      <c r="N40" s="21"/>
      <c r="O40" s="21"/>
    </row>
    <row r="41" spans="3:15" x14ac:dyDescent="0.25">
      <c r="C41" s="33" t="str">
        <f t="shared" si="1"/>
        <v/>
      </c>
      <c r="D41" s="11"/>
      <c r="E41" s="33" t="str">
        <f t="shared" si="2"/>
        <v/>
      </c>
      <c r="M41" s="21"/>
      <c r="N41" s="21"/>
      <c r="O41" s="21"/>
    </row>
    <row r="42" spans="3:15" x14ac:dyDescent="0.25">
      <c r="C42" s="33" t="str">
        <f t="shared" si="1"/>
        <v/>
      </c>
      <c r="D42" s="11"/>
      <c r="E42" s="33" t="str">
        <f t="shared" si="2"/>
        <v/>
      </c>
      <c r="M42" s="21"/>
      <c r="N42" s="21"/>
      <c r="O42" s="21"/>
    </row>
    <row r="43" spans="3:15" x14ac:dyDescent="0.25">
      <c r="C43" s="33" t="str">
        <f t="shared" si="1"/>
        <v/>
      </c>
      <c r="D43" s="11"/>
      <c r="E43" s="33" t="str">
        <f t="shared" si="2"/>
        <v/>
      </c>
      <c r="M43" s="21"/>
      <c r="N43" s="21"/>
      <c r="O43" s="21"/>
    </row>
    <row r="44" spans="3:15" ht="6" customHeight="1" x14ac:dyDescent="0.25">
      <c r="C44" s="9"/>
      <c r="D44" s="9"/>
      <c r="E44" s="9"/>
      <c r="F44" s="9"/>
      <c r="G44" s="9"/>
      <c r="H44" s="9"/>
      <c r="I44" s="9"/>
      <c r="J44" s="9"/>
      <c r="K44" s="9"/>
      <c r="L44" s="9"/>
      <c r="M44" s="21"/>
      <c r="N44" s="21"/>
      <c r="O44" s="21"/>
    </row>
    <row r="45" spans="3:15" ht="6" customHeight="1" x14ac:dyDescent="0.25">
      <c r="M45" s="21"/>
      <c r="N45" s="21"/>
      <c r="O45" s="21"/>
    </row>
    <row r="46" spans="3:15" x14ac:dyDescent="0.25">
      <c r="C46" s="15" t="s">
        <v>79</v>
      </c>
      <c r="M46" s="21"/>
      <c r="N46" s="21"/>
      <c r="O46" s="21"/>
    </row>
    <row r="47" spans="3:15" x14ac:dyDescent="0.25">
      <c r="C47" s="15" t="s">
        <v>78</v>
      </c>
    </row>
  </sheetData>
  <mergeCells count="1">
    <mergeCell ref="G13:H13"/>
  </mergeCells>
  <conditionalFormatting sqref="I9">
    <cfRule type="containsText" dxfId="709" priority="10" operator="containsText" text="FAIL">
      <formula>NOT(ISERROR(SEARCH("FAIL",I9)))</formula>
    </cfRule>
  </conditionalFormatting>
  <conditionalFormatting sqref="I9">
    <cfRule type="containsText" dxfId="708" priority="9" operator="containsText" text="GOOD">
      <formula>NOT(ISERROR(SEARCH("GOOD",I9)))</formula>
    </cfRule>
  </conditionalFormatting>
  <conditionalFormatting sqref="F11">
    <cfRule type="containsText" dxfId="707" priority="8" operator="containsText" text="FAIL">
      <formula>NOT(ISERROR(SEARCH("FAIL",F11)))</formula>
    </cfRule>
  </conditionalFormatting>
  <conditionalFormatting sqref="F11">
    <cfRule type="containsText" dxfId="706" priority="7" operator="containsText" text="GOOD">
      <formula>NOT(ISERROR(SEARCH("GOOD",F11)))</formula>
    </cfRule>
  </conditionalFormatting>
  <conditionalFormatting sqref="D25">
    <cfRule type="expression" dxfId="705" priority="6" stopIfTrue="1">
      <formula>IF($H$25=1,0)</formula>
    </cfRule>
  </conditionalFormatting>
  <conditionalFormatting sqref="D23:D43">
    <cfRule type="expression" dxfId="704" priority="5">
      <formula>H23=1</formula>
    </cfRule>
  </conditionalFormatting>
  <conditionalFormatting sqref="C23:C43">
    <cfRule type="expression" dxfId="703" priority="4">
      <formula>H23=1</formula>
    </cfRule>
  </conditionalFormatting>
  <conditionalFormatting sqref="E23:E43">
    <cfRule type="expression" dxfId="702" priority="3">
      <formula>H23=1</formula>
    </cfRule>
  </conditionalFormatting>
  <conditionalFormatting sqref="F11">
    <cfRule type="containsText" dxfId="701" priority="2" operator="containsText" text="FAIL">
      <formula>NOT(ISERROR(SEARCH("FAIL",F11)))</formula>
    </cfRule>
  </conditionalFormatting>
  <conditionalFormatting sqref="F11">
    <cfRule type="containsText" dxfId="700" priority="1" operator="containsText" text="GOOD">
      <formula>NOT(ISERROR(SEARCH("GOOD",F11)))</formula>
    </cfRule>
  </conditionalFormatting>
  <pageMargins left="0.7" right="0.7" top="0.75" bottom="0.75" header="0.3" footer="0.3"/>
  <pageSetup scale="68" orientation="portrait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200-000000000000}">
  <sheetPr codeName="Sheet100"/>
  <dimension ref="A2:O47"/>
  <sheetViews>
    <sheetView zoomScaleNormal="100" workbookViewId="0">
      <selection activeCell="K25" sqref="K25"/>
    </sheetView>
  </sheetViews>
  <sheetFormatPr defaultRowHeight="15" x14ac:dyDescent="0.25"/>
  <cols>
    <col min="1" max="2" width="4.42578125" customWidth="1"/>
    <col min="3" max="3" width="3" customWidth="1"/>
    <col min="4" max="4" width="24.85546875" customWidth="1"/>
    <col min="5" max="5" width="3" customWidth="1"/>
    <col min="6" max="6" width="15.7109375" customWidth="1"/>
    <col min="7" max="7" width="8.5703125" customWidth="1"/>
    <col min="8" max="8" width="5.85546875" customWidth="1"/>
    <col min="9" max="15" width="15.7109375" customWidth="1"/>
  </cols>
  <sheetData>
    <row r="2" spans="1:11" x14ac:dyDescent="0.25">
      <c r="C2" s="15" t="s">
        <v>32</v>
      </c>
      <c r="E2" s="15"/>
      <c r="F2" s="15"/>
      <c r="G2" s="15" t="s">
        <v>33</v>
      </c>
      <c r="H2" s="15"/>
      <c r="I2" s="15"/>
      <c r="J2" s="15"/>
      <c r="K2" s="15"/>
    </row>
    <row r="3" spans="1:11" ht="18.75" x14ac:dyDescent="0.3">
      <c r="C3" s="3" t="s">
        <v>26</v>
      </c>
      <c r="J3" s="8" t="s">
        <v>17</v>
      </c>
    </row>
    <row r="4" spans="1:11" x14ac:dyDescent="0.25">
      <c r="D4" s="2" t="s">
        <v>0</v>
      </c>
      <c r="E4" s="1"/>
      <c r="F4" t="s">
        <v>719</v>
      </c>
      <c r="I4" s="2" t="s">
        <v>4</v>
      </c>
      <c r="J4" t="s">
        <v>447</v>
      </c>
    </row>
    <row r="5" spans="1:11" x14ac:dyDescent="0.25">
      <c r="D5" s="2" t="s">
        <v>1</v>
      </c>
      <c r="F5" t="s">
        <v>720</v>
      </c>
    </row>
    <row r="6" spans="1:11" x14ac:dyDescent="0.25">
      <c r="D6" s="2" t="s">
        <v>2</v>
      </c>
      <c r="F6" s="6">
        <v>42601</v>
      </c>
      <c r="H6" s="11"/>
    </row>
    <row r="7" spans="1:11" x14ac:dyDescent="0.25">
      <c r="D7" s="2" t="s">
        <v>3</v>
      </c>
      <c r="F7" s="5">
        <v>6120000</v>
      </c>
      <c r="G7" s="2" t="s">
        <v>34</v>
      </c>
      <c r="H7" s="11"/>
    </row>
    <row r="8" spans="1:11" x14ac:dyDescent="0.25">
      <c r="D8" s="2" t="s">
        <v>18</v>
      </c>
      <c r="F8" s="5">
        <f>MIN(I23:I43)</f>
        <v>4674300</v>
      </c>
      <c r="H8" s="11"/>
    </row>
    <row r="9" spans="1:11" x14ac:dyDescent="0.25">
      <c r="D9" s="2" t="s">
        <v>67</v>
      </c>
      <c r="F9" s="4">
        <f>+F8-F7</f>
        <v>-1445700</v>
      </c>
      <c r="G9" s="16">
        <f>+F9/F7</f>
        <v>-0.23622549019607844</v>
      </c>
      <c r="H9" s="12" t="s">
        <v>20</v>
      </c>
      <c r="I9" s="11" t="str">
        <f>(IF(G9&lt;-0.1,"FAIL",IF(G9&gt;0.05,"FAIL","GOOD")))</f>
        <v>FAIL</v>
      </c>
      <c r="J9" s="14" t="s">
        <v>72</v>
      </c>
    </row>
    <row r="10" spans="1:11" x14ac:dyDescent="0.25">
      <c r="D10" s="2" t="s">
        <v>68</v>
      </c>
      <c r="F10" s="4">
        <f>+F7-F12</f>
        <v>-300291.66666666698</v>
      </c>
      <c r="H10" s="11"/>
    </row>
    <row r="11" spans="1:11" x14ac:dyDescent="0.25">
      <c r="A11" s="52"/>
      <c r="D11" s="2" t="s">
        <v>71</v>
      </c>
      <c r="F11" s="11" t="str">
        <f>(IF(F7&lt;J12,"FAIL",IF(F7&gt;J13,"FAIL","GOOD")))</f>
        <v>GOOD</v>
      </c>
      <c r="H11" s="11"/>
    </row>
    <row r="12" spans="1:11" x14ac:dyDescent="0.25">
      <c r="D12" s="2" t="s">
        <v>28</v>
      </c>
      <c r="F12" s="4">
        <f>SUM(I23:I43)/H12</f>
        <v>6420291.666666667</v>
      </c>
      <c r="G12" s="14"/>
      <c r="H12" s="11">
        <f>COUNT(I23:I43)</f>
        <v>6</v>
      </c>
      <c r="I12" s="1" t="s">
        <v>31</v>
      </c>
      <c r="J12" s="4">
        <f>+F8*0.9</f>
        <v>4206870</v>
      </c>
      <c r="K12" s="1" t="s">
        <v>69</v>
      </c>
    </row>
    <row r="13" spans="1:11" x14ac:dyDescent="0.25">
      <c r="D13" s="2" t="s">
        <v>29</v>
      </c>
      <c r="F13" s="4">
        <f>MAX(I23:I43)-MIN(I23:I43)</f>
        <v>3219099</v>
      </c>
      <c r="G13" s="399">
        <f>MEDIAN(I23:I43)</f>
        <v>6662500</v>
      </c>
      <c r="H13" s="400"/>
      <c r="I13" s="1" t="s">
        <v>30</v>
      </c>
      <c r="J13" s="4">
        <f>+F12*1.1</f>
        <v>7062320.833333334</v>
      </c>
      <c r="K13" s="1" t="s">
        <v>70</v>
      </c>
    </row>
    <row r="14" spans="1:11" x14ac:dyDescent="0.25">
      <c r="H14" s="11"/>
    </row>
    <row r="15" spans="1:11" x14ac:dyDescent="0.25">
      <c r="D15" s="2" t="s">
        <v>8</v>
      </c>
      <c r="F15" s="4"/>
      <c r="G15" s="1" t="s">
        <v>9</v>
      </c>
      <c r="H15" s="11"/>
      <c r="I15" t="s">
        <v>15</v>
      </c>
      <c r="J15" s="7" t="e">
        <f>+F16/F15</f>
        <v>#DIV/0!</v>
      </c>
    </row>
    <row r="16" spans="1:11" x14ac:dyDescent="0.25">
      <c r="F16" s="4"/>
      <c r="G16" s="1" t="s">
        <v>10</v>
      </c>
      <c r="H16" s="11"/>
      <c r="I16" t="s">
        <v>14</v>
      </c>
      <c r="J16" s="7" t="e">
        <f>+F17/F16</f>
        <v>#DIV/0!</v>
      </c>
    </row>
    <row r="17" spans="3:15" x14ac:dyDescent="0.25">
      <c r="F17" s="4"/>
      <c r="G17" s="1" t="s">
        <v>11</v>
      </c>
      <c r="H17" s="11"/>
      <c r="I17" t="s">
        <v>13</v>
      </c>
      <c r="J17" s="7" t="e">
        <f>+F18/F17</f>
        <v>#DIV/0!</v>
      </c>
      <c r="M17" s="21"/>
      <c r="N17" s="21"/>
      <c r="O17" s="21"/>
    </row>
    <row r="18" spans="3:15" x14ac:dyDescent="0.25">
      <c r="F18" s="4"/>
      <c r="G18" s="1" t="s">
        <v>12</v>
      </c>
      <c r="H18" s="11"/>
      <c r="I18" t="s">
        <v>16</v>
      </c>
      <c r="J18" s="7" t="e">
        <f>+F8/F18</f>
        <v>#DIV/0!</v>
      </c>
      <c r="M18" s="21"/>
      <c r="N18" s="21"/>
      <c r="O18" s="21"/>
    </row>
    <row r="19" spans="3:15" x14ac:dyDescent="0.25">
      <c r="F19" s="2" t="s">
        <v>51</v>
      </c>
      <c r="G19">
        <v>0</v>
      </c>
      <c r="H19" s="11" t="s">
        <v>52</v>
      </c>
      <c r="I19" t="s">
        <v>41</v>
      </c>
      <c r="J19" s="7" t="e">
        <f>+F8/F15</f>
        <v>#DIV/0!</v>
      </c>
      <c r="M19" s="21"/>
      <c r="N19" s="21"/>
      <c r="O19" s="21"/>
    </row>
    <row r="20" spans="3:15" x14ac:dyDescent="0.25">
      <c r="H20" s="11"/>
      <c r="M20" s="21"/>
      <c r="N20" s="21"/>
      <c r="O20" s="21"/>
    </row>
    <row r="21" spans="3:15" x14ac:dyDescent="0.25">
      <c r="C21" s="9"/>
      <c r="D21" s="13" t="s">
        <v>21</v>
      </c>
      <c r="E21" s="9"/>
      <c r="F21" s="9" t="s">
        <v>22</v>
      </c>
      <c r="G21" s="9" t="s">
        <v>23</v>
      </c>
      <c r="H21" s="13" t="s">
        <v>27</v>
      </c>
      <c r="I21" s="10" t="s">
        <v>24</v>
      </c>
      <c r="J21" s="9"/>
      <c r="K21" s="9"/>
      <c r="L21" s="9"/>
      <c r="M21" s="21"/>
      <c r="N21" s="21"/>
      <c r="O21" s="21"/>
    </row>
    <row r="22" spans="3:15" ht="6" customHeight="1" x14ac:dyDescent="0.25">
      <c r="M22" s="21"/>
      <c r="N22" s="21"/>
      <c r="O22" s="21"/>
    </row>
    <row r="23" spans="3:15" x14ac:dyDescent="0.25">
      <c r="C23" s="33" t="str">
        <f>IF(H23=1,"u","")</f>
        <v/>
      </c>
      <c r="D23" s="11" t="s">
        <v>721</v>
      </c>
      <c r="E23" s="33"/>
      <c r="F23" t="s">
        <v>201</v>
      </c>
      <c r="G23" t="s">
        <v>25</v>
      </c>
      <c r="H23">
        <f t="shared" ref="H23:H28" si="0">RANK(I23,I$23:I$43,1)</f>
        <v>6</v>
      </c>
      <c r="I23" s="4">
        <v>7893399</v>
      </c>
      <c r="J23" s="4"/>
      <c r="K23" s="4"/>
      <c r="L23" s="4"/>
      <c r="M23" s="22"/>
      <c r="N23" s="22"/>
      <c r="O23" s="22"/>
    </row>
    <row r="24" spans="3:15" x14ac:dyDescent="0.25">
      <c r="C24" s="33" t="str">
        <f>IF(H24=1,"u","")</f>
        <v/>
      </c>
      <c r="D24" s="11" t="s">
        <v>722</v>
      </c>
      <c r="E24" s="33"/>
      <c r="F24" t="s">
        <v>179</v>
      </c>
      <c r="G24" t="s">
        <v>25</v>
      </c>
      <c r="H24">
        <f t="shared" si="0"/>
        <v>2</v>
      </c>
      <c r="I24" s="4">
        <v>4753054</v>
      </c>
      <c r="J24" s="4"/>
      <c r="K24" s="4" t="s">
        <v>775</v>
      </c>
      <c r="L24" s="4"/>
      <c r="M24" s="22"/>
      <c r="N24" s="22"/>
      <c r="O24" s="22"/>
    </row>
    <row r="25" spans="3:15" x14ac:dyDescent="0.25">
      <c r="C25" s="33" t="str">
        <f>IF(H25=1,"u","")</f>
        <v/>
      </c>
      <c r="D25" s="11" t="s">
        <v>723</v>
      </c>
      <c r="E25" s="33"/>
      <c r="F25" t="s">
        <v>161</v>
      </c>
      <c r="G25" t="s">
        <v>93</v>
      </c>
      <c r="H25">
        <f t="shared" si="0"/>
        <v>4</v>
      </c>
      <c r="I25" s="4">
        <v>7331000</v>
      </c>
      <c r="J25" s="4"/>
      <c r="K25" s="4"/>
      <c r="L25" s="4"/>
      <c r="M25" s="22"/>
      <c r="N25" s="22"/>
      <c r="O25" s="22"/>
    </row>
    <row r="26" spans="3:15" x14ac:dyDescent="0.25">
      <c r="C26" s="33" t="str">
        <f t="shared" ref="C26:C43" si="1">IF(H26=1,"u","")</f>
        <v/>
      </c>
      <c r="D26" s="11" t="s">
        <v>547</v>
      </c>
      <c r="E26" s="33"/>
      <c r="F26" t="s">
        <v>88</v>
      </c>
      <c r="G26" t="s">
        <v>25</v>
      </c>
      <c r="H26">
        <f t="shared" si="0"/>
        <v>3</v>
      </c>
      <c r="I26" s="4">
        <v>5994000</v>
      </c>
      <c r="J26" s="4"/>
      <c r="K26" s="4"/>
      <c r="L26" s="4"/>
      <c r="M26" s="22"/>
      <c r="N26" s="22"/>
      <c r="O26" s="22"/>
    </row>
    <row r="27" spans="3:15" x14ac:dyDescent="0.25">
      <c r="C27" s="33" t="str">
        <f t="shared" si="1"/>
        <v>u</v>
      </c>
      <c r="D27" s="11" t="s">
        <v>724</v>
      </c>
      <c r="E27" s="33"/>
      <c r="F27" t="s">
        <v>327</v>
      </c>
      <c r="G27" t="s">
        <v>25</v>
      </c>
      <c r="H27">
        <f t="shared" si="0"/>
        <v>1</v>
      </c>
      <c r="I27" s="4">
        <v>4674300</v>
      </c>
      <c r="J27" s="4"/>
      <c r="K27" s="4"/>
      <c r="L27" s="4"/>
      <c r="M27" s="22"/>
      <c r="N27" s="22"/>
      <c r="O27" s="22"/>
    </row>
    <row r="28" spans="3:15" x14ac:dyDescent="0.25">
      <c r="C28" s="33" t="str">
        <f t="shared" si="1"/>
        <v/>
      </c>
      <c r="D28" s="11" t="s">
        <v>725</v>
      </c>
      <c r="E28" s="33"/>
      <c r="F28" t="s">
        <v>594</v>
      </c>
      <c r="G28" t="s">
        <v>25</v>
      </c>
      <c r="H28">
        <f t="shared" si="0"/>
        <v>5</v>
      </c>
      <c r="I28" s="4">
        <v>7875997</v>
      </c>
      <c r="J28" s="4"/>
      <c r="K28" s="4"/>
      <c r="L28" s="4"/>
      <c r="M28" s="22"/>
      <c r="N28" s="22"/>
      <c r="O28" s="22"/>
    </row>
    <row r="29" spans="3:15" x14ac:dyDescent="0.25">
      <c r="C29" s="33" t="str">
        <f t="shared" si="1"/>
        <v/>
      </c>
      <c r="D29" s="11"/>
      <c r="E29" s="33"/>
      <c r="I29" s="4"/>
      <c r="J29" s="4"/>
      <c r="K29" s="4"/>
      <c r="L29" s="4"/>
      <c r="M29" s="22"/>
      <c r="N29" s="22"/>
      <c r="O29" s="22"/>
    </row>
    <row r="30" spans="3:15" x14ac:dyDescent="0.25">
      <c r="C30" s="33" t="str">
        <f t="shared" si="1"/>
        <v/>
      </c>
      <c r="D30" s="11"/>
      <c r="E30" s="33"/>
      <c r="I30" s="4"/>
      <c r="J30" s="4"/>
      <c r="K30" s="4"/>
      <c r="L30" s="4"/>
      <c r="M30" s="22"/>
      <c r="N30" s="22"/>
      <c r="O30" s="22"/>
    </row>
    <row r="31" spans="3:15" x14ac:dyDescent="0.25">
      <c r="C31" s="33" t="str">
        <f t="shared" si="1"/>
        <v/>
      </c>
      <c r="D31" s="11"/>
      <c r="E31" s="33"/>
      <c r="I31" s="4"/>
      <c r="J31" s="4"/>
      <c r="K31" s="4"/>
      <c r="L31" s="4"/>
      <c r="M31" s="22"/>
      <c r="N31" s="22"/>
      <c r="O31" s="22"/>
    </row>
    <row r="32" spans="3:15" x14ac:dyDescent="0.25">
      <c r="C32" s="33" t="str">
        <f t="shared" si="1"/>
        <v/>
      </c>
      <c r="D32" s="11"/>
      <c r="E32" s="33"/>
      <c r="I32" s="4"/>
      <c r="J32" s="4"/>
      <c r="K32" s="4"/>
      <c r="L32" s="4"/>
      <c r="M32" s="22"/>
      <c r="N32" s="22"/>
      <c r="O32" s="22"/>
    </row>
    <row r="33" spans="3:15" x14ac:dyDescent="0.25">
      <c r="C33" s="33" t="str">
        <f t="shared" si="1"/>
        <v/>
      </c>
      <c r="D33" s="11"/>
      <c r="E33" s="33"/>
      <c r="I33" s="4"/>
      <c r="M33" s="21"/>
      <c r="N33" s="21"/>
      <c r="O33" s="21"/>
    </row>
    <row r="34" spans="3:15" x14ac:dyDescent="0.25">
      <c r="C34" s="33" t="str">
        <f t="shared" si="1"/>
        <v/>
      </c>
      <c r="D34" s="11"/>
      <c r="E34" s="33" t="str">
        <f t="shared" ref="E34:E43" si="2">IF(H34=1,"t","")</f>
        <v/>
      </c>
      <c r="M34" s="21"/>
      <c r="N34" s="21"/>
      <c r="O34" s="21"/>
    </row>
    <row r="35" spans="3:15" x14ac:dyDescent="0.25">
      <c r="C35" s="33" t="str">
        <f t="shared" si="1"/>
        <v/>
      </c>
      <c r="D35" s="11"/>
      <c r="E35" s="33" t="str">
        <f t="shared" si="2"/>
        <v/>
      </c>
      <c r="M35" s="21"/>
      <c r="N35" s="21"/>
      <c r="O35" s="21"/>
    </row>
    <row r="36" spans="3:15" x14ac:dyDescent="0.25">
      <c r="C36" s="33" t="str">
        <f t="shared" si="1"/>
        <v/>
      </c>
      <c r="D36" s="11"/>
      <c r="E36" s="33" t="str">
        <f t="shared" si="2"/>
        <v/>
      </c>
      <c r="M36" s="21"/>
      <c r="N36" s="21"/>
      <c r="O36" s="21"/>
    </row>
    <row r="37" spans="3:15" x14ac:dyDescent="0.25">
      <c r="C37" s="33" t="str">
        <f t="shared" si="1"/>
        <v/>
      </c>
      <c r="D37" s="11"/>
      <c r="E37" s="33" t="str">
        <f t="shared" si="2"/>
        <v/>
      </c>
      <c r="M37" s="21"/>
      <c r="N37" s="21"/>
      <c r="O37" s="21"/>
    </row>
    <row r="38" spans="3:15" x14ac:dyDescent="0.25">
      <c r="C38" s="33" t="str">
        <f t="shared" si="1"/>
        <v/>
      </c>
      <c r="D38" s="11"/>
      <c r="E38" s="33" t="str">
        <f t="shared" si="2"/>
        <v/>
      </c>
      <c r="M38" s="21"/>
      <c r="N38" s="21"/>
      <c r="O38" s="21"/>
    </row>
    <row r="39" spans="3:15" x14ac:dyDescent="0.25">
      <c r="C39" s="33" t="str">
        <f t="shared" si="1"/>
        <v/>
      </c>
      <c r="D39" s="11"/>
      <c r="E39" s="33" t="str">
        <f t="shared" si="2"/>
        <v/>
      </c>
      <c r="M39" s="21"/>
      <c r="N39" s="21"/>
      <c r="O39" s="21"/>
    </row>
    <row r="40" spans="3:15" x14ac:dyDescent="0.25">
      <c r="C40" s="33" t="str">
        <f t="shared" si="1"/>
        <v/>
      </c>
      <c r="D40" s="11"/>
      <c r="E40" s="33" t="str">
        <f t="shared" si="2"/>
        <v/>
      </c>
      <c r="M40" s="21"/>
      <c r="N40" s="21"/>
      <c r="O40" s="21"/>
    </row>
    <row r="41" spans="3:15" x14ac:dyDescent="0.25">
      <c r="C41" s="33" t="str">
        <f t="shared" si="1"/>
        <v/>
      </c>
      <c r="D41" s="11"/>
      <c r="E41" s="33" t="str">
        <f t="shared" si="2"/>
        <v/>
      </c>
      <c r="M41" s="21"/>
      <c r="N41" s="21"/>
      <c r="O41" s="21"/>
    </row>
    <row r="42" spans="3:15" x14ac:dyDescent="0.25">
      <c r="C42" s="33" t="str">
        <f t="shared" si="1"/>
        <v/>
      </c>
      <c r="D42" s="11"/>
      <c r="E42" s="33" t="str">
        <f t="shared" si="2"/>
        <v/>
      </c>
      <c r="M42" s="21"/>
      <c r="N42" s="21"/>
      <c r="O42" s="21"/>
    </row>
    <row r="43" spans="3:15" x14ac:dyDescent="0.25">
      <c r="C43" s="33" t="str">
        <f t="shared" si="1"/>
        <v/>
      </c>
      <c r="D43" s="11"/>
      <c r="E43" s="33" t="str">
        <f t="shared" si="2"/>
        <v/>
      </c>
      <c r="M43" s="21"/>
      <c r="N43" s="21"/>
      <c r="O43" s="21"/>
    </row>
    <row r="44" spans="3:15" ht="6" customHeight="1" x14ac:dyDescent="0.25">
      <c r="C44" s="9"/>
      <c r="D44" s="9"/>
      <c r="E44" s="9"/>
      <c r="F44" s="9"/>
      <c r="G44" s="9"/>
      <c r="H44" s="9"/>
      <c r="I44" s="9"/>
      <c r="J44" s="9"/>
      <c r="K44" s="9"/>
      <c r="L44" s="9"/>
      <c r="M44" s="21"/>
      <c r="N44" s="21"/>
      <c r="O44" s="21"/>
    </row>
    <row r="45" spans="3:15" ht="6" customHeight="1" x14ac:dyDescent="0.25">
      <c r="M45" s="21"/>
      <c r="N45" s="21"/>
      <c r="O45" s="21"/>
    </row>
    <row r="46" spans="3:15" x14ac:dyDescent="0.25">
      <c r="C46" s="15" t="s">
        <v>79</v>
      </c>
      <c r="M46" s="21"/>
      <c r="N46" s="21"/>
      <c r="O46" s="21"/>
    </row>
    <row r="47" spans="3:15" x14ac:dyDescent="0.25">
      <c r="C47" s="15" t="s">
        <v>78</v>
      </c>
    </row>
  </sheetData>
  <mergeCells count="1">
    <mergeCell ref="G13:H13"/>
  </mergeCells>
  <conditionalFormatting sqref="I9">
    <cfRule type="containsText" dxfId="923" priority="10" operator="containsText" text="FAIL">
      <formula>NOT(ISERROR(SEARCH("FAIL",I9)))</formula>
    </cfRule>
  </conditionalFormatting>
  <conditionalFormatting sqref="I9">
    <cfRule type="containsText" dxfId="922" priority="9" operator="containsText" text="GOOD">
      <formula>NOT(ISERROR(SEARCH("GOOD",I9)))</formula>
    </cfRule>
  </conditionalFormatting>
  <conditionalFormatting sqref="F11">
    <cfRule type="containsText" dxfId="921" priority="8" operator="containsText" text="FAIL">
      <formula>NOT(ISERROR(SEARCH("FAIL",F11)))</formula>
    </cfRule>
  </conditionalFormatting>
  <conditionalFormatting sqref="F11">
    <cfRule type="containsText" dxfId="920" priority="7" operator="containsText" text="GOOD">
      <formula>NOT(ISERROR(SEARCH("GOOD",F11)))</formula>
    </cfRule>
  </conditionalFormatting>
  <conditionalFormatting sqref="D25">
    <cfRule type="expression" dxfId="919" priority="6" stopIfTrue="1">
      <formula>IF($H$25=1,0)</formula>
    </cfRule>
  </conditionalFormatting>
  <conditionalFormatting sqref="D23:D43">
    <cfRule type="expression" dxfId="918" priority="5">
      <formula>H23=1</formula>
    </cfRule>
  </conditionalFormatting>
  <conditionalFormatting sqref="C23:C43">
    <cfRule type="expression" dxfId="917" priority="4">
      <formula>H23=1</formula>
    </cfRule>
  </conditionalFormatting>
  <conditionalFormatting sqref="E23:E43">
    <cfRule type="expression" dxfId="916" priority="3">
      <formula>H23=1</formula>
    </cfRule>
  </conditionalFormatting>
  <conditionalFormatting sqref="F11">
    <cfRule type="containsText" dxfId="915" priority="2" operator="containsText" text="FAIL">
      <formula>NOT(ISERROR(SEARCH("FAIL",F11)))</formula>
    </cfRule>
  </conditionalFormatting>
  <conditionalFormatting sqref="F11">
    <cfRule type="containsText" dxfId="914" priority="1" operator="containsText" text="GOOD">
      <formula>NOT(ISERROR(SEARCH("GOOD",F11)))</formula>
    </cfRule>
  </conditionalFormatting>
  <pageMargins left="0.7" right="0.7" top="0.75" bottom="0.75" header="0.3" footer="0.3"/>
  <pageSetup scale="68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sheetPr codeName="Sheet93"/>
  <dimension ref="A2:O47"/>
  <sheetViews>
    <sheetView zoomScaleNormal="100" workbookViewId="0">
      <selection activeCell="J5" sqref="J5"/>
    </sheetView>
  </sheetViews>
  <sheetFormatPr defaultRowHeight="15" x14ac:dyDescent="0.25"/>
  <cols>
    <col min="1" max="2" width="4.42578125" customWidth="1"/>
    <col min="3" max="3" width="3" customWidth="1"/>
    <col min="4" max="4" width="24.85546875" customWidth="1"/>
    <col min="5" max="5" width="3" customWidth="1"/>
    <col min="6" max="6" width="15.7109375" customWidth="1"/>
    <col min="7" max="7" width="8.5703125" customWidth="1"/>
    <col min="8" max="8" width="5.85546875" customWidth="1"/>
    <col min="9" max="15" width="15.7109375" customWidth="1"/>
  </cols>
  <sheetData>
    <row r="2" spans="1:11" x14ac:dyDescent="0.25">
      <c r="C2" s="15" t="s">
        <v>32</v>
      </c>
      <c r="E2" s="15"/>
      <c r="F2" s="15"/>
      <c r="G2" s="15" t="s">
        <v>33</v>
      </c>
      <c r="H2" s="15"/>
      <c r="I2" s="15"/>
      <c r="J2" s="15"/>
      <c r="K2" s="15"/>
    </row>
    <row r="3" spans="1:11" ht="18.75" x14ac:dyDescent="0.3">
      <c r="C3" s="3" t="s">
        <v>26</v>
      </c>
      <c r="J3" s="8" t="s">
        <v>17</v>
      </c>
    </row>
    <row r="4" spans="1:11" x14ac:dyDescent="0.25">
      <c r="D4" s="2" t="s">
        <v>0</v>
      </c>
      <c r="E4" s="1"/>
      <c r="F4" t="s">
        <v>760</v>
      </c>
      <c r="I4" s="2" t="s">
        <v>4</v>
      </c>
      <c r="J4" t="s">
        <v>630</v>
      </c>
    </row>
    <row r="5" spans="1:11" x14ac:dyDescent="0.25">
      <c r="D5" s="2" t="s">
        <v>1</v>
      </c>
      <c r="F5" t="s">
        <v>761</v>
      </c>
    </row>
    <row r="6" spans="1:11" x14ac:dyDescent="0.25">
      <c r="D6" s="2" t="s">
        <v>2</v>
      </c>
      <c r="F6" s="6">
        <v>42670</v>
      </c>
      <c r="H6" s="11"/>
    </row>
    <row r="7" spans="1:11" x14ac:dyDescent="0.25">
      <c r="D7" s="2" t="s">
        <v>3</v>
      </c>
      <c r="F7" s="5">
        <v>2150000</v>
      </c>
      <c r="G7" s="2" t="s">
        <v>34</v>
      </c>
      <c r="H7" s="11"/>
    </row>
    <row r="8" spans="1:11" x14ac:dyDescent="0.25">
      <c r="D8" s="2" t="s">
        <v>18</v>
      </c>
      <c r="F8" s="5">
        <f>MIN(I23:I43)</f>
        <v>1654320</v>
      </c>
      <c r="H8" s="11"/>
    </row>
    <row r="9" spans="1:11" x14ac:dyDescent="0.25">
      <c r="D9" s="2" t="s">
        <v>67</v>
      </c>
      <c r="F9" s="4">
        <f>+F8-F7</f>
        <v>-495680</v>
      </c>
      <c r="G9" s="16">
        <f>+F9/F7</f>
        <v>-0.23054883720930233</v>
      </c>
      <c r="H9" s="12" t="s">
        <v>20</v>
      </c>
      <c r="I9" s="11" t="str">
        <f>(IF(G9&lt;-0.1,"FAIL",IF(G9&gt;0.05,"FAIL","GOOD")))</f>
        <v>FAIL</v>
      </c>
      <c r="J9" s="14" t="s">
        <v>72</v>
      </c>
    </row>
    <row r="10" spans="1:11" x14ac:dyDescent="0.25">
      <c r="D10" s="2" t="s">
        <v>68</v>
      </c>
      <c r="F10" s="4">
        <f>+F7-F12</f>
        <v>495680</v>
      </c>
      <c r="H10" s="11"/>
    </row>
    <row r="11" spans="1:11" x14ac:dyDescent="0.25">
      <c r="A11" s="52"/>
      <c r="D11" s="2" t="s">
        <v>71</v>
      </c>
      <c r="F11" s="11" t="str">
        <f>(IF(F7&lt;J12,"FAIL",IF(F7&gt;J13,"FAIL","GOOD")))</f>
        <v>FAIL</v>
      </c>
      <c r="H11" s="11"/>
    </row>
    <row r="12" spans="1:11" x14ac:dyDescent="0.25">
      <c r="D12" s="2" t="s">
        <v>28</v>
      </c>
      <c r="F12" s="4">
        <f>SUM(I23:I43)/H12</f>
        <v>1654320</v>
      </c>
      <c r="G12" s="14"/>
      <c r="H12" s="11">
        <f>COUNT(I23:I43)</f>
        <v>1</v>
      </c>
      <c r="I12" s="1" t="s">
        <v>31</v>
      </c>
      <c r="J12" s="4">
        <f>+F8*0.9</f>
        <v>1488888</v>
      </c>
      <c r="K12" s="1" t="s">
        <v>69</v>
      </c>
    </row>
    <row r="13" spans="1:11" x14ac:dyDescent="0.25">
      <c r="D13" s="2" t="s">
        <v>29</v>
      </c>
      <c r="F13" s="4">
        <f>MAX(I23:I43)-MIN(I23:I43)</f>
        <v>0</v>
      </c>
      <c r="G13" s="399">
        <f>MEDIAN(I23:I43)</f>
        <v>1654320</v>
      </c>
      <c r="H13" s="400"/>
      <c r="I13" s="1" t="s">
        <v>30</v>
      </c>
      <c r="J13" s="4">
        <f>+F12*1.1</f>
        <v>1819752.0000000002</v>
      </c>
      <c r="K13" s="1" t="s">
        <v>70</v>
      </c>
    </row>
    <row r="14" spans="1:11" x14ac:dyDescent="0.25">
      <c r="H14" s="11"/>
    </row>
    <row r="15" spans="1:11" x14ac:dyDescent="0.25">
      <c r="D15" s="2" t="s">
        <v>8</v>
      </c>
      <c r="F15" s="4"/>
      <c r="G15" s="1" t="s">
        <v>9</v>
      </c>
      <c r="H15" s="11"/>
      <c r="I15" t="s">
        <v>15</v>
      </c>
      <c r="J15" s="7" t="e">
        <f>+F16/F15</f>
        <v>#DIV/0!</v>
      </c>
    </row>
    <row r="16" spans="1:11" x14ac:dyDescent="0.25">
      <c r="F16" s="4"/>
      <c r="G16" s="1" t="s">
        <v>10</v>
      </c>
      <c r="H16" s="11"/>
      <c r="I16" t="s">
        <v>14</v>
      </c>
      <c r="J16" s="7" t="e">
        <f>+F17/F16</f>
        <v>#DIV/0!</v>
      </c>
    </row>
    <row r="17" spans="3:15" x14ac:dyDescent="0.25">
      <c r="F17" s="4"/>
      <c r="G17" s="1" t="s">
        <v>11</v>
      </c>
      <c r="H17" s="11"/>
      <c r="I17" t="s">
        <v>13</v>
      </c>
      <c r="J17" s="7" t="e">
        <f>+F18/F17</f>
        <v>#DIV/0!</v>
      </c>
      <c r="M17" s="21"/>
      <c r="N17" s="21"/>
      <c r="O17" s="21"/>
    </row>
    <row r="18" spans="3:15" x14ac:dyDescent="0.25">
      <c r="F18" s="4"/>
      <c r="G18" s="1" t="s">
        <v>12</v>
      </c>
      <c r="H18" s="11"/>
      <c r="I18" t="s">
        <v>16</v>
      </c>
      <c r="J18" s="7" t="e">
        <f>+F8/F18</f>
        <v>#DIV/0!</v>
      </c>
      <c r="M18" s="21"/>
      <c r="N18" s="21"/>
      <c r="O18" s="21"/>
    </row>
    <row r="19" spans="3:15" x14ac:dyDescent="0.25">
      <c r="F19" s="2" t="s">
        <v>51</v>
      </c>
      <c r="G19">
        <v>0</v>
      </c>
      <c r="H19" s="11" t="s">
        <v>52</v>
      </c>
      <c r="I19" t="s">
        <v>41</v>
      </c>
      <c r="J19" s="7" t="e">
        <f>+F8/F15</f>
        <v>#DIV/0!</v>
      </c>
      <c r="M19" s="21"/>
      <c r="N19" s="21"/>
      <c r="O19" s="21"/>
    </row>
    <row r="20" spans="3:15" x14ac:dyDescent="0.25">
      <c r="H20" s="11"/>
      <c r="M20" s="21"/>
      <c r="N20" s="21"/>
      <c r="O20" s="21"/>
    </row>
    <row r="21" spans="3:15" x14ac:dyDescent="0.25">
      <c r="C21" s="9"/>
      <c r="D21" s="13" t="s">
        <v>21</v>
      </c>
      <c r="E21" s="9"/>
      <c r="F21" s="9" t="s">
        <v>22</v>
      </c>
      <c r="G21" s="9" t="s">
        <v>23</v>
      </c>
      <c r="H21" s="13" t="s">
        <v>27</v>
      </c>
      <c r="I21" s="10" t="s">
        <v>24</v>
      </c>
      <c r="J21" s="9"/>
      <c r="K21" s="9"/>
      <c r="L21" s="9"/>
      <c r="M21" s="21"/>
      <c r="N21" s="21"/>
      <c r="O21" s="21"/>
    </row>
    <row r="22" spans="3:15" ht="6" customHeight="1" x14ac:dyDescent="0.25">
      <c r="M22" s="21"/>
      <c r="N22" s="21"/>
      <c r="O22" s="21"/>
    </row>
    <row r="23" spans="3:15" x14ac:dyDescent="0.25">
      <c r="C23" s="33" t="str">
        <f>IF(H23=1,"u","")</f>
        <v>u</v>
      </c>
      <c r="D23" s="11" t="s">
        <v>762</v>
      </c>
      <c r="E23" s="33"/>
      <c r="F23" t="s">
        <v>167</v>
      </c>
      <c r="G23" t="s">
        <v>93</v>
      </c>
      <c r="H23">
        <f>RANK(I23,I$23:I$43,1)</f>
        <v>1</v>
      </c>
      <c r="I23" s="4">
        <v>1654320</v>
      </c>
      <c r="J23" s="4"/>
      <c r="K23" s="4"/>
      <c r="L23" s="4"/>
      <c r="M23" s="22"/>
      <c r="N23" s="22"/>
      <c r="O23" s="22"/>
    </row>
    <row r="24" spans="3:15" x14ac:dyDescent="0.25">
      <c r="C24" s="33"/>
      <c r="D24" s="11"/>
      <c r="E24" s="33"/>
      <c r="I24" s="4"/>
      <c r="J24" s="4"/>
      <c r="K24" s="4"/>
      <c r="L24" s="4"/>
      <c r="M24" s="22"/>
      <c r="N24" s="22"/>
      <c r="O24" s="22"/>
    </row>
    <row r="25" spans="3:15" x14ac:dyDescent="0.25">
      <c r="C25" s="33"/>
      <c r="D25" s="11"/>
      <c r="E25" s="33"/>
      <c r="I25" s="4"/>
      <c r="J25" s="4"/>
      <c r="K25" s="4"/>
      <c r="L25" s="4"/>
      <c r="M25" s="22"/>
      <c r="N25" s="22"/>
      <c r="O25" s="22"/>
    </row>
    <row r="26" spans="3:15" x14ac:dyDescent="0.25">
      <c r="C26" s="33"/>
      <c r="D26" s="11"/>
      <c r="E26" s="33"/>
      <c r="I26" s="4"/>
      <c r="J26" s="4"/>
      <c r="K26" s="4"/>
      <c r="L26" s="4"/>
      <c r="M26" s="22"/>
      <c r="N26" s="22"/>
      <c r="O26" s="22"/>
    </row>
    <row r="27" spans="3:15" x14ac:dyDescent="0.25">
      <c r="C27" s="33" t="str">
        <f t="shared" ref="C27:C43" si="0">IF(H27=1,"u","")</f>
        <v/>
      </c>
      <c r="D27" s="11"/>
      <c r="E27" s="33"/>
      <c r="I27" s="4"/>
      <c r="J27" s="4"/>
      <c r="K27" s="4"/>
      <c r="L27" s="4"/>
      <c r="M27" s="22"/>
      <c r="N27" s="22"/>
      <c r="O27" s="22"/>
    </row>
    <row r="28" spans="3:15" x14ac:dyDescent="0.25">
      <c r="C28" s="33" t="str">
        <f t="shared" si="0"/>
        <v/>
      </c>
      <c r="D28" s="11"/>
      <c r="E28" s="33"/>
      <c r="I28" s="4"/>
      <c r="J28" s="4"/>
      <c r="K28" s="4"/>
      <c r="L28" s="4"/>
      <c r="M28" s="22"/>
      <c r="N28" s="22"/>
      <c r="O28" s="22"/>
    </row>
    <row r="29" spans="3:15" x14ac:dyDescent="0.25">
      <c r="C29" s="33" t="str">
        <f t="shared" si="0"/>
        <v/>
      </c>
      <c r="D29" s="11"/>
      <c r="E29" s="33"/>
      <c r="I29" s="4"/>
      <c r="J29" s="4"/>
      <c r="K29" s="4"/>
      <c r="L29" s="4"/>
      <c r="M29" s="22"/>
      <c r="N29" s="22"/>
      <c r="O29" s="22"/>
    </row>
    <row r="30" spans="3:15" x14ac:dyDescent="0.25">
      <c r="C30" s="33" t="str">
        <f t="shared" si="0"/>
        <v/>
      </c>
      <c r="D30" s="11"/>
      <c r="E30" s="33"/>
      <c r="I30" s="4"/>
      <c r="J30" s="4"/>
      <c r="K30" s="4"/>
      <c r="L30" s="4"/>
      <c r="M30" s="22"/>
      <c r="N30" s="22"/>
      <c r="O30" s="22"/>
    </row>
    <row r="31" spans="3:15" x14ac:dyDescent="0.25">
      <c r="C31" s="33" t="str">
        <f t="shared" si="0"/>
        <v/>
      </c>
      <c r="D31" s="11"/>
      <c r="E31" s="33"/>
      <c r="I31" s="4"/>
      <c r="J31" s="4"/>
      <c r="K31" s="4"/>
      <c r="L31" s="4"/>
      <c r="M31" s="22"/>
      <c r="N31" s="22"/>
      <c r="O31" s="22"/>
    </row>
    <row r="32" spans="3:15" x14ac:dyDescent="0.25">
      <c r="C32" s="33" t="str">
        <f t="shared" si="0"/>
        <v/>
      </c>
      <c r="D32" s="11"/>
      <c r="E32" s="33"/>
      <c r="I32" s="4"/>
      <c r="J32" s="4"/>
      <c r="K32" s="4"/>
      <c r="L32" s="4"/>
      <c r="M32" s="22"/>
      <c r="N32" s="22"/>
      <c r="O32" s="22"/>
    </row>
    <row r="33" spans="3:15" x14ac:dyDescent="0.25">
      <c r="C33" s="33" t="str">
        <f t="shared" si="0"/>
        <v/>
      </c>
      <c r="D33" s="11"/>
      <c r="E33" s="33"/>
      <c r="I33" s="4"/>
      <c r="M33" s="21"/>
      <c r="N33" s="21"/>
      <c r="O33" s="21"/>
    </row>
    <row r="34" spans="3:15" x14ac:dyDescent="0.25">
      <c r="C34" s="33" t="str">
        <f t="shared" si="0"/>
        <v/>
      </c>
      <c r="D34" s="11"/>
      <c r="E34" s="33" t="str">
        <f t="shared" ref="E34:E43" si="1">IF(H34=1,"t","")</f>
        <v/>
      </c>
      <c r="M34" s="21"/>
      <c r="N34" s="21"/>
      <c r="O34" s="21"/>
    </row>
    <row r="35" spans="3:15" x14ac:dyDescent="0.25">
      <c r="C35" s="33" t="str">
        <f t="shared" si="0"/>
        <v/>
      </c>
      <c r="D35" s="11"/>
      <c r="E35" s="33" t="str">
        <f t="shared" si="1"/>
        <v/>
      </c>
      <c r="M35" s="21"/>
      <c r="N35" s="21"/>
      <c r="O35" s="21"/>
    </row>
    <row r="36" spans="3:15" x14ac:dyDescent="0.25">
      <c r="C36" s="33" t="str">
        <f t="shared" si="0"/>
        <v/>
      </c>
      <c r="D36" s="11"/>
      <c r="E36" s="33" t="str">
        <f t="shared" si="1"/>
        <v/>
      </c>
      <c r="M36" s="21"/>
      <c r="N36" s="21"/>
      <c r="O36" s="21"/>
    </row>
    <row r="37" spans="3:15" x14ac:dyDescent="0.25">
      <c r="C37" s="33" t="str">
        <f t="shared" si="0"/>
        <v/>
      </c>
      <c r="D37" s="11"/>
      <c r="E37" s="33" t="str">
        <f t="shared" si="1"/>
        <v/>
      </c>
      <c r="M37" s="21"/>
      <c r="N37" s="21"/>
      <c r="O37" s="21"/>
    </row>
    <row r="38" spans="3:15" x14ac:dyDescent="0.25">
      <c r="C38" s="33" t="str">
        <f t="shared" si="0"/>
        <v/>
      </c>
      <c r="D38" s="11"/>
      <c r="E38" s="33" t="str">
        <f t="shared" si="1"/>
        <v/>
      </c>
      <c r="M38" s="21"/>
      <c r="N38" s="21"/>
      <c r="O38" s="21"/>
    </row>
    <row r="39" spans="3:15" x14ac:dyDescent="0.25">
      <c r="C39" s="33" t="str">
        <f t="shared" si="0"/>
        <v/>
      </c>
      <c r="D39" s="11"/>
      <c r="E39" s="33" t="str">
        <f t="shared" si="1"/>
        <v/>
      </c>
      <c r="M39" s="21"/>
      <c r="N39" s="21"/>
      <c r="O39" s="21"/>
    </row>
    <row r="40" spans="3:15" x14ac:dyDescent="0.25">
      <c r="C40" s="33" t="str">
        <f t="shared" si="0"/>
        <v/>
      </c>
      <c r="D40" s="11"/>
      <c r="E40" s="33" t="str">
        <f t="shared" si="1"/>
        <v/>
      </c>
      <c r="M40" s="21"/>
      <c r="N40" s="21"/>
      <c r="O40" s="21"/>
    </row>
    <row r="41" spans="3:15" x14ac:dyDescent="0.25">
      <c r="C41" s="33" t="str">
        <f t="shared" si="0"/>
        <v/>
      </c>
      <c r="D41" s="11"/>
      <c r="E41" s="33" t="str">
        <f t="shared" si="1"/>
        <v/>
      </c>
      <c r="M41" s="21"/>
      <c r="N41" s="21"/>
      <c r="O41" s="21"/>
    </row>
    <row r="42" spans="3:15" x14ac:dyDescent="0.25">
      <c r="C42" s="33" t="str">
        <f t="shared" si="0"/>
        <v/>
      </c>
      <c r="D42" s="11"/>
      <c r="E42" s="33" t="str">
        <f t="shared" si="1"/>
        <v/>
      </c>
      <c r="M42" s="21"/>
      <c r="N42" s="21"/>
      <c r="O42" s="21"/>
    </row>
    <row r="43" spans="3:15" x14ac:dyDescent="0.25">
      <c r="C43" s="33" t="str">
        <f t="shared" si="0"/>
        <v/>
      </c>
      <c r="D43" s="11"/>
      <c r="E43" s="33" t="str">
        <f t="shared" si="1"/>
        <v/>
      </c>
      <c r="M43" s="21"/>
      <c r="N43" s="21"/>
      <c r="O43" s="21"/>
    </row>
    <row r="44" spans="3:15" ht="6" customHeight="1" x14ac:dyDescent="0.25">
      <c r="C44" s="9"/>
      <c r="D44" s="9"/>
      <c r="E44" s="9"/>
      <c r="F44" s="9"/>
      <c r="G44" s="9"/>
      <c r="H44" s="9"/>
      <c r="I44" s="9"/>
      <c r="J44" s="9"/>
      <c r="K44" s="9"/>
      <c r="L44" s="9"/>
      <c r="M44" s="21"/>
      <c r="N44" s="21"/>
      <c r="O44" s="21"/>
    </row>
    <row r="45" spans="3:15" ht="6" customHeight="1" x14ac:dyDescent="0.25">
      <c r="M45" s="21"/>
      <c r="N45" s="21"/>
      <c r="O45" s="21"/>
    </row>
    <row r="46" spans="3:15" x14ac:dyDescent="0.25">
      <c r="C46" s="15" t="s">
        <v>79</v>
      </c>
      <c r="M46" s="21"/>
      <c r="N46" s="21"/>
      <c r="O46" s="21"/>
    </row>
    <row r="47" spans="3:15" x14ac:dyDescent="0.25">
      <c r="C47" s="15" t="s">
        <v>78</v>
      </c>
    </row>
  </sheetData>
  <mergeCells count="1">
    <mergeCell ref="G13:H13"/>
  </mergeCells>
  <conditionalFormatting sqref="I9">
    <cfRule type="containsText" dxfId="1015" priority="10" operator="containsText" text="FAIL">
      <formula>NOT(ISERROR(SEARCH("FAIL",I9)))</formula>
    </cfRule>
  </conditionalFormatting>
  <conditionalFormatting sqref="I9">
    <cfRule type="containsText" dxfId="1014" priority="9" operator="containsText" text="GOOD">
      <formula>NOT(ISERROR(SEARCH("GOOD",I9)))</formula>
    </cfRule>
  </conditionalFormatting>
  <conditionalFormatting sqref="F11">
    <cfRule type="containsText" dxfId="1013" priority="8" operator="containsText" text="FAIL">
      <formula>NOT(ISERROR(SEARCH("FAIL",F11)))</formula>
    </cfRule>
  </conditionalFormatting>
  <conditionalFormatting sqref="F11">
    <cfRule type="containsText" dxfId="1012" priority="7" operator="containsText" text="GOOD">
      <formula>NOT(ISERROR(SEARCH("GOOD",F11)))</formula>
    </cfRule>
  </conditionalFormatting>
  <conditionalFormatting sqref="D25">
    <cfRule type="expression" dxfId="1011" priority="6" stopIfTrue="1">
      <formula>IF($H$25=1,0)</formula>
    </cfRule>
  </conditionalFormatting>
  <conditionalFormatting sqref="D23:D43">
    <cfRule type="expression" dxfId="1010" priority="5">
      <formula>H23=1</formula>
    </cfRule>
  </conditionalFormatting>
  <conditionalFormatting sqref="C23:C43">
    <cfRule type="expression" dxfId="1009" priority="4">
      <formula>H23=1</formula>
    </cfRule>
  </conditionalFormatting>
  <conditionalFormatting sqref="E23:E43">
    <cfRule type="expression" dxfId="1008" priority="3">
      <formula>H23=1</formula>
    </cfRule>
  </conditionalFormatting>
  <conditionalFormatting sqref="F11">
    <cfRule type="containsText" dxfId="1007" priority="2" operator="containsText" text="FAIL">
      <formula>NOT(ISERROR(SEARCH("FAIL",F11)))</formula>
    </cfRule>
  </conditionalFormatting>
  <conditionalFormatting sqref="F11">
    <cfRule type="containsText" dxfId="1006" priority="1" operator="containsText" text="GOOD">
      <formula>NOT(ISERROR(SEARCH("GOOD",F11)))</formula>
    </cfRule>
  </conditionalFormatting>
  <pageMargins left="0.7" right="0.7" top="0.75" bottom="0.75" header="0.3" footer="0.3"/>
  <pageSetup scale="68" orientation="portrait" r:id="rId1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5"/>
  <dimension ref="A2:O56"/>
  <sheetViews>
    <sheetView zoomScaleNormal="100" workbookViewId="0">
      <selection activeCell="N25" sqref="N25"/>
    </sheetView>
  </sheetViews>
  <sheetFormatPr defaultRowHeight="15" x14ac:dyDescent="0.25"/>
  <cols>
    <col min="1" max="2" width="4.42578125" customWidth="1"/>
    <col min="3" max="3" width="3" customWidth="1"/>
    <col min="4" max="4" width="24.7109375" customWidth="1"/>
    <col min="5" max="5" width="3" customWidth="1"/>
    <col min="6" max="6" width="15.7109375" customWidth="1"/>
    <col min="7" max="7" width="8.5703125" customWidth="1"/>
    <col min="8" max="8" width="5.85546875" customWidth="1"/>
    <col min="9" max="15" width="15.7109375" customWidth="1"/>
  </cols>
  <sheetData>
    <row r="2" spans="1:11" x14ac:dyDescent="0.25">
      <c r="C2" s="15" t="s">
        <v>32</v>
      </c>
      <c r="E2" s="15"/>
      <c r="F2" s="15"/>
      <c r="G2" s="15" t="s">
        <v>33</v>
      </c>
      <c r="H2" s="15"/>
      <c r="I2" s="15"/>
      <c r="J2" s="15"/>
      <c r="K2" s="15"/>
    </row>
    <row r="3" spans="1:11" ht="18.75" x14ac:dyDescent="0.3">
      <c r="C3" s="3" t="s">
        <v>26</v>
      </c>
      <c r="J3" s="8" t="s">
        <v>47</v>
      </c>
    </row>
    <row r="4" spans="1:11" x14ac:dyDescent="0.25">
      <c r="D4" s="2" t="s">
        <v>0</v>
      </c>
      <c r="E4" s="1"/>
      <c r="F4" t="s">
        <v>1118</v>
      </c>
      <c r="I4" s="2" t="s">
        <v>4</v>
      </c>
      <c r="J4" t="s">
        <v>816</v>
      </c>
    </row>
    <row r="5" spans="1:11" x14ac:dyDescent="0.25">
      <c r="D5" s="2" t="s">
        <v>1</v>
      </c>
      <c r="F5" t="s">
        <v>1119</v>
      </c>
    </row>
    <row r="6" spans="1:11" x14ac:dyDescent="0.25">
      <c r="D6" s="2" t="s">
        <v>2</v>
      </c>
      <c r="F6" s="6">
        <v>43048</v>
      </c>
      <c r="H6" s="11"/>
    </row>
    <row r="7" spans="1:11" x14ac:dyDescent="0.25">
      <c r="D7" s="2" t="s">
        <v>3</v>
      </c>
      <c r="F7" s="5">
        <f>+I7+J7</f>
        <v>4860000</v>
      </c>
      <c r="G7" s="2" t="s">
        <v>34</v>
      </c>
      <c r="H7" s="11"/>
      <c r="I7" s="19">
        <v>580381</v>
      </c>
      <c r="J7" s="19">
        <v>4279619</v>
      </c>
    </row>
    <row r="8" spans="1:11" x14ac:dyDescent="0.25">
      <c r="D8" s="2" t="s">
        <v>18</v>
      </c>
      <c r="F8" s="5">
        <f>MIN(K23:K43)</f>
        <v>3418000</v>
      </c>
      <c r="H8" s="11"/>
      <c r="I8" s="18" t="s">
        <v>43</v>
      </c>
      <c r="J8" s="18" t="s">
        <v>44</v>
      </c>
    </row>
    <row r="9" spans="1:11" x14ac:dyDescent="0.25">
      <c r="D9" s="2" t="s">
        <v>19</v>
      </c>
      <c r="F9" s="4">
        <f>+F8-F7</f>
        <v>-1442000</v>
      </c>
      <c r="G9" s="16">
        <f>+F9/F7</f>
        <v>-0.29670781893004117</v>
      </c>
      <c r="H9" s="12" t="s">
        <v>20</v>
      </c>
      <c r="I9" s="11" t="str">
        <f>(IF(G9&lt;-0.1,"FAIL",IF(G9&gt;0.05,"FAIL","GOOD")))</f>
        <v>FAIL</v>
      </c>
      <c r="J9" s="14" t="s">
        <v>72</v>
      </c>
    </row>
    <row r="10" spans="1:11" x14ac:dyDescent="0.25">
      <c r="D10" s="2" t="s">
        <v>68</v>
      </c>
      <c r="F10" s="4">
        <f>+F7-F12</f>
        <v>236520.5</v>
      </c>
      <c r="H10" s="11"/>
    </row>
    <row r="11" spans="1:11" x14ac:dyDescent="0.25">
      <c r="A11" s="30"/>
      <c r="D11" s="2" t="s">
        <v>71</v>
      </c>
      <c r="F11" s="11" t="str">
        <f>(IF(F7&lt;J12,"FAIL",IF(F7&gt;J13,"FAIL","GOOD")))</f>
        <v>GOOD</v>
      </c>
      <c r="H11" s="11"/>
    </row>
    <row r="12" spans="1:11" x14ac:dyDescent="0.25">
      <c r="D12" s="2" t="s">
        <v>28</v>
      </c>
      <c r="F12" s="4">
        <f>SUM(K23:K43)/H12</f>
        <v>4623479.5</v>
      </c>
      <c r="G12" s="14"/>
      <c r="H12" s="11">
        <f>COUNT(K23:K43)</f>
        <v>8</v>
      </c>
      <c r="I12" s="1" t="s">
        <v>31</v>
      </c>
      <c r="J12" s="4">
        <f>+F8*0.9</f>
        <v>3076200</v>
      </c>
      <c r="K12" s="1" t="s">
        <v>69</v>
      </c>
    </row>
    <row r="13" spans="1:11" x14ac:dyDescent="0.25">
      <c r="D13" s="2" t="s">
        <v>29</v>
      </c>
      <c r="F13" s="4">
        <f>MAX(K23:K43)-MIN(K23:K43)</f>
        <v>2395566</v>
      </c>
      <c r="G13" s="399">
        <f>MEDIAN(K23:K43)</f>
        <v>4784653.5</v>
      </c>
      <c r="H13" s="400"/>
      <c r="I13" s="1" t="s">
        <v>30</v>
      </c>
      <c r="J13" s="4">
        <f>+F12*1.1</f>
        <v>5085827.45</v>
      </c>
      <c r="K13" s="1" t="s">
        <v>70</v>
      </c>
    </row>
    <row r="14" spans="1:11" x14ac:dyDescent="0.25">
      <c r="H14" s="11"/>
    </row>
    <row r="15" spans="1:11" hidden="1" x14ac:dyDescent="0.25">
      <c r="D15" s="2" t="s">
        <v>8</v>
      </c>
      <c r="F15" s="4">
        <v>30000000</v>
      </c>
      <c r="G15" s="1" t="s">
        <v>9</v>
      </c>
      <c r="H15" s="11"/>
      <c r="I15" t="s">
        <v>15</v>
      </c>
      <c r="J15" s="7">
        <f>+F16/F15</f>
        <v>0.93333333333333335</v>
      </c>
    </row>
    <row r="16" spans="1:11" hidden="1" x14ac:dyDescent="0.25">
      <c r="F16" s="4">
        <v>28000000</v>
      </c>
      <c r="G16" s="1" t="s">
        <v>10</v>
      </c>
      <c r="H16" s="11"/>
      <c r="I16" t="s">
        <v>14</v>
      </c>
      <c r="J16" s="7">
        <f>+F17/F16</f>
        <v>1.0535714285714286</v>
      </c>
    </row>
    <row r="17" spans="3:15" hidden="1" x14ac:dyDescent="0.25">
      <c r="F17" s="4">
        <v>29500000</v>
      </c>
      <c r="G17" s="1" t="s">
        <v>11</v>
      </c>
      <c r="H17" s="11"/>
      <c r="I17" t="s">
        <v>13</v>
      </c>
      <c r="J17" s="7">
        <f>+F18/F17</f>
        <v>0.16474576271186442</v>
      </c>
    </row>
    <row r="18" spans="3:15" hidden="1" x14ac:dyDescent="0.25">
      <c r="F18" s="4">
        <f>+F7</f>
        <v>4860000</v>
      </c>
      <c r="G18" s="1" t="s">
        <v>12</v>
      </c>
      <c r="H18" s="11"/>
      <c r="I18" t="s">
        <v>16</v>
      </c>
      <c r="J18" s="7">
        <f>+F8/F18</f>
        <v>0.70329218106995883</v>
      </c>
    </row>
    <row r="19" spans="3:15" hidden="1" x14ac:dyDescent="0.25">
      <c r="F19" s="2" t="s">
        <v>51</v>
      </c>
      <c r="G19">
        <v>0</v>
      </c>
      <c r="H19" s="11" t="s">
        <v>52</v>
      </c>
      <c r="I19" t="s">
        <v>41</v>
      </c>
      <c r="J19" s="7">
        <f>+F8/F15</f>
        <v>0.11393333333333333</v>
      </c>
    </row>
    <row r="20" spans="3:15" x14ac:dyDescent="0.25">
      <c r="H20" s="11"/>
      <c r="M20" s="21"/>
      <c r="N20" s="21"/>
      <c r="O20" s="21"/>
    </row>
    <row r="21" spans="3:15" x14ac:dyDescent="0.25">
      <c r="C21" s="9"/>
      <c r="D21" s="13" t="s">
        <v>21</v>
      </c>
      <c r="E21" s="9"/>
      <c r="F21" s="9" t="s">
        <v>22</v>
      </c>
      <c r="G21" s="9" t="s">
        <v>23</v>
      </c>
      <c r="H21" s="13" t="s">
        <v>27</v>
      </c>
      <c r="I21" s="10" t="s">
        <v>38</v>
      </c>
      <c r="J21" s="10" t="s">
        <v>37</v>
      </c>
      <c r="K21" s="10" t="s">
        <v>39</v>
      </c>
      <c r="L21" s="9"/>
      <c r="M21" s="21"/>
      <c r="N21" s="21"/>
      <c r="O21" s="21"/>
    </row>
    <row r="22" spans="3:15" ht="6" customHeight="1" x14ac:dyDescent="0.25">
      <c r="M22" s="21"/>
      <c r="N22" s="21"/>
      <c r="O22" s="21"/>
    </row>
    <row r="23" spans="3:15" x14ac:dyDescent="0.25">
      <c r="C23" s="33" t="str">
        <f>IF(H23=1,"u","")</f>
        <v/>
      </c>
      <c r="D23" s="11" t="s">
        <v>564</v>
      </c>
      <c r="E23" s="33"/>
      <c r="F23" t="s">
        <v>558</v>
      </c>
      <c r="G23" t="s">
        <v>25</v>
      </c>
      <c r="H23">
        <f>RANK(K23,K$23:K$43,1)</f>
        <v>3</v>
      </c>
      <c r="I23" s="4">
        <v>238890</v>
      </c>
      <c r="J23" s="4">
        <v>3989828</v>
      </c>
      <c r="K23" s="4">
        <f>+J23+I23</f>
        <v>4228718</v>
      </c>
      <c r="L23" s="4"/>
      <c r="M23" s="22"/>
      <c r="N23" s="22"/>
      <c r="O23" s="22"/>
    </row>
    <row r="24" spans="3:15" x14ac:dyDescent="0.25">
      <c r="C24" s="33" t="str">
        <f>IF(H24=1,"u","")</f>
        <v/>
      </c>
      <c r="D24" s="11" t="s">
        <v>979</v>
      </c>
      <c r="E24" s="33"/>
      <c r="F24" t="s">
        <v>201</v>
      </c>
      <c r="G24" t="s">
        <v>25</v>
      </c>
      <c r="H24">
        <f t="shared" ref="H24:H30" si="0">RANK(K24,K$23:K$43,1)</f>
        <v>5</v>
      </c>
      <c r="I24" s="4">
        <v>727099</v>
      </c>
      <c r="J24" s="4">
        <v>4204611</v>
      </c>
      <c r="K24" s="4">
        <f t="shared" ref="K24:K30" si="1">+J24+I24</f>
        <v>4931710</v>
      </c>
      <c r="L24" s="4"/>
      <c r="M24" s="22"/>
      <c r="N24" s="22"/>
      <c r="O24" s="22"/>
    </row>
    <row r="25" spans="3:15" x14ac:dyDescent="0.25">
      <c r="C25" s="33" t="str">
        <f>IF(H25=1,"u","")</f>
        <v/>
      </c>
      <c r="D25" s="11" t="s">
        <v>1120</v>
      </c>
      <c r="E25" s="33"/>
      <c r="F25" t="s">
        <v>1121</v>
      </c>
      <c r="G25" t="s">
        <v>25</v>
      </c>
      <c r="H25">
        <f t="shared" si="0"/>
        <v>2</v>
      </c>
      <c r="I25" s="4">
        <v>546407</v>
      </c>
      <c r="J25" s="4">
        <v>3129592</v>
      </c>
      <c r="K25" s="4">
        <f t="shared" si="1"/>
        <v>3675999</v>
      </c>
      <c r="L25" s="4"/>
      <c r="M25" s="22"/>
      <c r="N25" s="22"/>
      <c r="O25" s="22"/>
    </row>
    <row r="26" spans="3:15" x14ac:dyDescent="0.25">
      <c r="C26" s="33" t="str">
        <f t="shared" ref="C26:C43" si="2">IF(H26=1,"u","")</f>
        <v/>
      </c>
      <c r="D26" s="11" t="s">
        <v>1122</v>
      </c>
      <c r="E26" s="33"/>
      <c r="F26" t="s">
        <v>558</v>
      </c>
      <c r="G26" t="s">
        <v>25</v>
      </c>
      <c r="H26">
        <f t="shared" si="0"/>
        <v>8</v>
      </c>
      <c r="I26" s="4">
        <v>704945</v>
      </c>
      <c r="J26" s="4">
        <v>5108621</v>
      </c>
      <c r="K26" s="4">
        <f t="shared" si="1"/>
        <v>5813566</v>
      </c>
      <c r="L26" s="4"/>
      <c r="M26" s="22"/>
      <c r="N26" s="22"/>
      <c r="O26" s="22"/>
    </row>
    <row r="27" spans="3:15" x14ac:dyDescent="0.25">
      <c r="C27" s="33" t="str">
        <f t="shared" si="2"/>
        <v/>
      </c>
      <c r="D27" s="11" t="s">
        <v>907</v>
      </c>
      <c r="E27" s="33"/>
      <c r="F27" t="s">
        <v>312</v>
      </c>
      <c r="G27" t="s">
        <v>25</v>
      </c>
      <c r="H27">
        <f t="shared" si="0"/>
        <v>6</v>
      </c>
      <c r="I27" s="4">
        <v>620406</v>
      </c>
      <c r="J27" s="4">
        <v>4313898</v>
      </c>
      <c r="K27" s="4">
        <f t="shared" si="1"/>
        <v>4934304</v>
      </c>
      <c r="L27" s="4"/>
      <c r="M27" s="22"/>
      <c r="N27" s="22"/>
      <c r="O27" s="22"/>
    </row>
    <row r="28" spans="3:15" x14ac:dyDescent="0.25">
      <c r="C28" s="33" t="str">
        <f t="shared" si="2"/>
        <v/>
      </c>
      <c r="D28" s="11" t="s">
        <v>908</v>
      </c>
      <c r="E28" s="33"/>
      <c r="F28" t="s">
        <v>1123</v>
      </c>
      <c r="G28" t="s">
        <v>25</v>
      </c>
      <c r="H28">
        <f t="shared" si="0"/>
        <v>7</v>
      </c>
      <c r="I28" s="4">
        <v>661717</v>
      </c>
      <c r="J28" s="4">
        <v>4686225</v>
      </c>
      <c r="K28" s="4">
        <f t="shared" si="1"/>
        <v>5347942</v>
      </c>
      <c r="L28" s="4"/>
      <c r="M28" s="22"/>
      <c r="N28" s="22"/>
      <c r="O28" s="22"/>
    </row>
    <row r="29" spans="3:15" x14ac:dyDescent="0.25">
      <c r="C29" s="33" t="str">
        <f t="shared" si="2"/>
        <v>u</v>
      </c>
      <c r="D29" s="11" t="s">
        <v>485</v>
      </c>
      <c r="E29" s="33"/>
      <c r="F29" t="s">
        <v>486</v>
      </c>
      <c r="G29" t="s">
        <v>25</v>
      </c>
      <c r="H29">
        <f t="shared" si="0"/>
        <v>1</v>
      </c>
      <c r="I29" s="4">
        <v>440700</v>
      </c>
      <c r="J29" s="4">
        <v>2977300</v>
      </c>
      <c r="K29" s="4">
        <f t="shared" si="1"/>
        <v>3418000</v>
      </c>
      <c r="L29" s="4"/>
      <c r="M29" s="22"/>
      <c r="N29" s="22"/>
      <c r="O29" s="22"/>
    </row>
    <row r="30" spans="3:15" x14ac:dyDescent="0.25">
      <c r="C30" s="33" t="str">
        <f t="shared" si="2"/>
        <v/>
      </c>
      <c r="D30" s="11" t="s">
        <v>740</v>
      </c>
      <c r="E30" s="33"/>
      <c r="F30" t="s">
        <v>149</v>
      </c>
      <c r="G30" t="s">
        <v>25</v>
      </c>
      <c r="H30">
        <f t="shared" si="0"/>
        <v>4</v>
      </c>
      <c r="I30" s="4">
        <v>521800</v>
      </c>
      <c r="J30" s="4">
        <v>4115797</v>
      </c>
      <c r="K30" s="4">
        <f t="shared" si="1"/>
        <v>4637597</v>
      </c>
      <c r="L30" s="4"/>
      <c r="M30" s="22"/>
      <c r="N30" s="22"/>
      <c r="O30" s="22"/>
    </row>
    <row r="31" spans="3:15" x14ac:dyDescent="0.25">
      <c r="C31" s="33" t="str">
        <f t="shared" si="2"/>
        <v/>
      </c>
      <c r="D31" s="11"/>
      <c r="E31" s="33"/>
      <c r="I31" s="4"/>
      <c r="J31" s="4"/>
      <c r="K31" s="4"/>
      <c r="L31" s="4"/>
      <c r="M31" s="22"/>
      <c r="N31" s="22"/>
      <c r="O31" s="22"/>
    </row>
    <row r="32" spans="3:15" x14ac:dyDescent="0.25">
      <c r="C32" s="33" t="str">
        <f t="shared" si="2"/>
        <v/>
      </c>
      <c r="D32" s="11"/>
      <c r="E32" s="33"/>
      <c r="I32" s="4"/>
      <c r="J32" s="4"/>
      <c r="K32" s="4"/>
      <c r="L32" s="4"/>
      <c r="M32" s="22"/>
      <c r="N32" s="22"/>
      <c r="O32" s="22"/>
    </row>
    <row r="33" spans="3:15" x14ac:dyDescent="0.25">
      <c r="C33" s="33" t="str">
        <f t="shared" si="2"/>
        <v/>
      </c>
      <c r="D33" s="11"/>
      <c r="E33" s="33"/>
      <c r="I33" s="4"/>
      <c r="J33" s="4"/>
      <c r="K33" s="4"/>
      <c r="M33" s="21"/>
      <c r="N33" s="21"/>
      <c r="O33" s="21"/>
    </row>
    <row r="34" spans="3:15" x14ac:dyDescent="0.25">
      <c r="C34" s="33" t="str">
        <f t="shared" si="2"/>
        <v/>
      </c>
      <c r="D34" s="11"/>
      <c r="E34" s="33"/>
      <c r="I34" s="4"/>
      <c r="J34" s="4"/>
      <c r="K34" s="4"/>
      <c r="M34" s="21"/>
      <c r="N34" s="21"/>
      <c r="O34" s="21"/>
    </row>
    <row r="35" spans="3:15" x14ac:dyDescent="0.25">
      <c r="C35" s="33" t="str">
        <f t="shared" si="2"/>
        <v/>
      </c>
      <c r="D35" s="11"/>
      <c r="E35" s="33"/>
      <c r="I35" s="4"/>
      <c r="J35" s="4"/>
      <c r="K35" s="4"/>
      <c r="M35" s="21"/>
      <c r="N35" s="21"/>
      <c r="O35" s="21"/>
    </row>
    <row r="36" spans="3:15" x14ac:dyDescent="0.25">
      <c r="C36" s="33" t="str">
        <f t="shared" si="2"/>
        <v/>
      </c>
      <c r="D36" s="11"/>
      <c r="E36" s="33"/>
      <c r="I36" s="4"/>
      <c r="J36" s="4"/>
      <c r="K36" s="4"/>
      <c r="M36" s="21"/>
      <c r="N36" s="21"/>
      <c r="O36" s="21"/>
    </row>
    <row r="37" spans="3:15" x14ac:dyDescent="0.25">
      <c r="C37" s="33" t="str">
        <f t="shared" si="2"/>
        <v/>
      </c>
      <c r="D37" s="11"/>
      <c r="E37" s="33"/>
      <c r="I37" s="4"/>
      <c r="J37" s="4"/>
      <c r="K37" s="4"/>
      <c r="M37" s="21"/>
      <c r="N37" s="21"/>
      <c r="O37" s="21"/>
    </row>
    <row r="38" spans="3:15" x14ac:dyDescent="0.25">
      <c r="C38" s="33" t="str">
        <f t="shared" si="2"/>
        <v/>
      </c>
      <c r="D38" s="11"/>
      <c r="E38" s="33"/>
      <c r="I38" s="4"/>
      <c r="J38" s="4"/>
      <c r="K38" s="4"/>
      <c r="M38" s="21"/>
      <c r="N38" s="21"/>
      <c r="O38" s="21"/>
    </row>
    <row r="39" spans="3:15" x14ac:dyDescent="0.25">
      <c r="C39" s="33" t="str">
        <f t="shared" si="2"/>
        <v/>
      </c>
      <c r="D39" s="11"/>
      <c r="E39" s="33" t="str">
        <f>IF(H39=1,"t","")</f>
        <v/>
      </c>
      <c r="K39" s="4"/>
      <c r="M39" s="21"/>
      <c r="N39" s="21"/>
      <c r="O39" s="21"/>
    </row>
    <row r="40" spans="3:15" x14ac:dyDescent="0.25">
      <c r="C40" s="33" t="str">
        <f t="shared" si="2"/>
        <v/>
      </c>
      <c r="D40" s="11"/>
      <c r="E40" s="33" t="str">
        <f>IF(H40=1,"t","")</f>
        <v/>
      </c>
      <c r="K40" s="4"/>
      <c r="M40" s="21"/>
      <c r="N40" s="21"/>
      <c r="O40" s="21"/>
    </row>
    <row r="41" spans="3:15" x14ac:dyDescent="0.25">
      <c r="C41" s="33" t="str">
        <f t="shared" si="2"/>
        <v/>
      </c>
      <c r="D41" s="11"/>
      <c r="E41" s="33" t="str">
        <f>IF(H41=1,"t","")</f>
        <v/>
      </c>
      <c r="K41" s="4"/>
      <c r="M41" s="21"/>
      <c r="N41" s="21"/>
      <c r="O41" s="21"/>
    </row>
    <row r="42" spans="3:15" x14ac:dyDescent="0.25">
      <c r="C42" s="33" t="str">
        <f t="shared" si="2"/>
        <v/>
      </c>
      <c r="D42" s="11"/>
      <c r="E42" s="33" t="str">
        <f>IF(H42=1,"t","")</f>
        <v/>
      </c>
      <c r="K42" s="4"/>
      <c r="M42" s="21"/>
      <c r="N42" s="21"/>
      <c r="O42" s="21"/>
    </row>
    <row r="43" spans="3:15" x14ac:dyDescent="0.25">
      <c r="C43" s="33" t="str">
        <f t="shared" si="2"/>
        <v/>
      </c>
      <c r="D43" s="11"/>
      <c r="E43" s="33" t="str">
        <f>IF(H43=1,"t","")</f>
        <v/>
      </c>
      <c r="K43" s="4"/>
      <c r="M43" s="21"/>
      <c r="N43" s="21"/>
      <c r="O43" s="21"/>
    </row>
    <row r="44" spans="3:15" ht="6" customHeight="1" x14ac:dyDescent="0.25">
      <c r="C44" s="9"/>
      <c r="D44" s="9"/>
      <c r="E44" s="9"/>
      <c r="F44" s="9"/>
      <c r="G44" s="9"/>
      <c r="H44" s="9"/>
      <c r="I44" s="9"/>
      <c r="J44" s="9"/>
      <c r="K44" s="9"/>
      <c r="L44" s="9"/>
      <c r="M44" s="21"/>
      <c r="N44" s="21"/>
      <c r="O44" s="21"/>
    </row>
    <row r="45" spans="3:15" ht="6" customHeight="1" x14ac:dyDescent="0.25">
      <c r="M45" s="21"/>
      <c r="N45" s="21"/>
      <c r="O45" s="21"/>
    </row>
    <row r="46" spans="3:15" x14ac:dyDescent="0.25">
      <c r="C46" s="15" t="s">
        <v>79</v>
      </c>
      <c r="M46" s="21"/>
      <c r="N46" s="21"/>
      <c r="O46" s="21"/>
    </row>
    <row r="47" spans="3:15" x14ac:dyDescent="0.25">
      <c r="C47" s="15" t="s">
        <v>78</v>
      </c>
    </row>
    <row r="49" spans="3:10" x14ac:dyDescent="0.25">
      <c r="C49" s="31" t="s">
        <v>948</v>
      </c>
      <c r="D49" s="31"/>
      <c r="H49" t="s">
        <v>949</v>
      </c>
      <c r="I49" t="s">
        <v>784</v>
      </c>
      <c r="J49" s="6">
        <v>42802</v>
      </c>
    </row>
    <row r="50" spans="3:10" ht="6" customHeight="1" x14ac:dyDescent="0.25"/>
    <row r="51" spans="3:10" x14ac:dyDescent="0.25">
      <c r="D51" s="93" t="s">
        <v>950</v>
      </c>
    </row>
    <row r="52" spans="3:10" x14ac:dyDescent="0.25">
      <c r="D52" s="93" t="s">
        <v>951</v>
      </c>
    </row>
    <row r="53" spans="3:10" x14ac:dyDescent="0.25">
      <c r="D53" s="93" t="s">
        <v>952</v>
      </c>
    </row>
    <row r="54" spans="3:10" x14ac:dyDescent="0.25">
      <c r="D54" s="93" t="s">
        <v>953</v>
      </c>
    </row>
    <row r="55" spans="3:10" x14ac:dyDescent="0.25">
      <c r="D55" s="93" t="s">
        <v>954</v>
      </c>
    </row>
    <row r="56" spans="3:10" x14ac:dyDescent="0.25">
      <c r="D56" s="93" t="s">
        <v>955</v>
      </c>
    </row>
  </sheetData>
  <mergeCells count="1">
    <mergeCell ref="G13:H13"/>
  </mergeCells>
  <conditionalFormatting sqref="I9">
    <cfRule type="containsText" dxfId="2243" priority="32" operator="containsText" text="FAIL">
      <formula>NOT(ISERROR(SEARCH("FAIL",I9)))</formula>
    </cfRule>
  </conditionalFormatting>
  <conditionalFormatting sqref="I9">
    <cfRule type="containsText" dxfId="2242" priority="31" operator="containsText" text="GOOD">
      <formula>NOT(ISERROR(SEARCH("GOOD",I9)))</formula>
    </cfRule>
  </conditionalFormatting>
  <conditionalFormatting sqref="I9">
    <cfRule type="containsText" dxfId="2241" priority="30" operator="containsText" text="FAIL">
      <formula>NOT(ISERROR(SEARCH("FAIL",I9)))</formula>
    </cfRule>
  </conditionalFormatting>
  <conditionalFormatting sqref="I9">
    <cfRule type="containsText" dxfId="2240" priority="29" operator="containsText" text="GOOD">
      <formula>NOT(ISERROR(SEARCH("GOOD",I9)))</formula>
    </cfRule>
  </conditionalFormatting>
  <conditionalFormatting sqref="I9">
    <cfRule type="containsText" dxfId="2239" priority="28" operator="containsText" text="FAIL">
      <formula>NOT(ISERROR(SEARCH("FAIL",I9)))</formula>
    </cfRule>
  </conditionalFormatting>
  <conditionalFormatting sqref="I9">
    <cfRule type="containsText" dxfId="2238" priority="27" operator="containsText" text="GOOD">
      <formula>NOT(ISERROR(SEARCH("GOOD",I9)))</formula>
    </cfRule>
  </conditionalFormatting>
  <conditionalFormatting sqref="F11">
    <cfRule type="containsText" dxfId="2237" priority="26" operator="containsText" text="FAIL">
      <formula>NOT(ISERROR(SEARCH("FAIL",F11)))</formula>
    </cfRule>
  </conditionalFormatting>
  <conditionalFormatting sqref="F11">
    <cfRule type="containsText" dxfId="2236" priority="25" operator="containsText" text="GOOD">
      <formula>NOT(ISERROR(SEARCH("GOOD",F11)))</formula>
    </cfRule>
  </conditionalFormatting>
  <conditionalFormatting sqref="I9">
    <cfRule type="containsText" dxfId="2235" priority="24" operator="containsText" text="FAIL">
      <formula>NOT(ISERROR(SEARCH("FAIL",I9)))</formula>
    </cfRule>
  </conditionalFormatting>
  <conditionalFormatting sqref="I9">
    <cfRule type="containsText" dxfId="2234" priority="23" operator="containsText" text="GOOD">
      <formula>NOT(ISERROR(SEARCH("GOOD",I9)))</formula>
    </cfRule>
  </conditionalFormatting>
  <conditionalFormatting sqref="F11">
    <cfRule type="containsText" dxfId="2233" priority="22" operator="containsText" text="FAIL">
      <formula>NOT(ISERROR(SEARCH("FAIL",F11)))</formula>
    </cfRule>
  </conditionalFormatting>
  <conditionalFormatting sqref="F11">
    <cfRule type="containsText" dxfId="2232" priority="21" operator="containsText" text="GOOD">
      <formula>NOT(ISERROR(SEARCH("GOOD",F11)))</formula>
    </cfRule>
  </conditionalFormatting>
  <conditionalFormatting sqref="D25">
    <cfRule type="expression" dxfId="2231" priority="20" stopIfTrue="1">
      <formula>IF($H$25=1,0)</formula>
    </cfRule>
  </conditionalFormatting>
  <conditionalFormatting sqref="D23 D39:D43 D25:D33">
    <cfRule type="expression" dxfId="2230" priority="19">
      <formula>H23=1</formula>
    </cfRule>
  </conditionalFormatting>
  <conditionalFormatting sqref="C23 C39:C43 C25:C33">
    <cfRule type="expression" dxfId="2229" priority="18">
      <formula>H23=1</formula>
    </cfRule>
  </conditionalFormatting>
  <conditionalFormatting sqref="E23 E39:E43 E25:E33">
    <cfRule type="expression" dxfId="2228" priority="17">
      <formula>H23=1</formula>
    </cfRule>
  </conditionalFormatting>
  <conditionalFormatting sqref="E23 E39:E43 E25:E33">
    <cfRule type="expression" dxfId="2227" priority="16">
      <formula>H23=1</formula>
    </cfRule>
  </conditionalFormatting>
  <conditionalFormatting sqref="F11">
    <cfRule type="containsText" dxfId="2226" priority="15" operator="containsText" text="FAIL">
      <formula>NOT(ISERROR(SEARCH("FAIL",F11)))</formula>
    </cfRule>
  </conditionalFormatting>
  <conditionalFormatting sqref="F11">
    <cfRule type="containsText" dxfId="2225" priority="14" operator="containsText" text="GOOD">
      <formula>NOT(ISERROR(SEARCH("GOOD",F11)))</formula>
    </cfRule>
  </conditionalFormatting>
  <conditionalFormatting sqref="D34:D37">
    <cfRule type="expression" dxfId="2224" priority="13">
      <formula>H34=1</formula>
    </cfRule>
  </conditionalFormatting>
  <conditionalFormatting sqref="C34:C37">
    <cfRule type="expression" dxfId="2223" priority="12">
      <formula>H34=1</formula>
    </cfRule>
  </conditionalFormatting>
  <conditionalFormatting sqref="E34:E37">
    <cfRule type="expression" dxfId="2222" priority="11">
      <formula>H34=1</formula>
    </cfRule>
  </conditionalFormatting>
  <conditionalFormatting sqref="E34:E37">
    <cfRule type="expression" dxfId="2221" priority="10">
      <formula>H34=1</formula>
    </cfRule>
  </conditionalFormatting>
  <conditionalFormatting sqref="D38">
    <cfRule type="expression" dxfId="2220" priority="9">
      <formula>H38=1</formula>
    </cfRule>
  </conditionalFormatting>
  <conditionalFormatting sqref="C38">
    <cfRule type="expression" dxfId="2219" priority="8">
      <formula>H38=1</formula>
    </cfRule>
  </conditionalFormatting>
  <conditionalFormatting sqref="E38">
    <cfRule type="expression" dxfId="2218" priority="7">
      <formula>H38=1</formula>
    </cfRule>
  </conditionalFormatting>
  <conditionalFormatting sqref="E38">
    <cfRule type="expression" dxfId="2217" priority="6">
      <formula>H38=1</formula>
    </cfRule>
  </conditionalFormatting>
  <conditionalFormatting sqref="E24">
    <cfRule type="expression" dxfId="2216" priority="1">
      <formula>H24=1</formula>
    </cfRule>
  </conditionalFormatting>
  <conditionalFormatting sqref="D24">
    <cfRule type="expression" dxfId="2215" priority="5" stopIfTrue="1">
      <formula>IF($H$25=1,0)</formula>
    </cfRule>
  </conditionalFormatting>
  <conditionalFormatting sqref="D24">
    <cfRule type="expression" dxfId="2214" priority="4">
      <formula>H24=1</formula>
    </cfRule>
  </conditionalFormatting>
  <conditionalFormatting sqref="C24">
    <cfRule type="expression" dxfId="2213" priority="3">
      <formula>H24=1</formula>
    </cfRule>
  </conditionalFormatting>
  <conditionalFormatting sqref="E24">
    <cfRule type="expression" dxfId="2212" priority="2">
      <formula>H24=1</formula>
    </cfRule>
  </conditionalFormatting>
  <pageMargins left="0.7" right="0.7" top="0.75" bottom="0.75" header="0.3" footer="0.3"/>
  <pageSetup scale="68" orientation="portrait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sheetPr codeName="Sheet86"/>
  <dimension ref="A2:O47"/>
  <sheetViews>
    <sheetView workbookViewId="0">
      <selection activeCell="J8" sqref="J8"/>
    </sheetView>
  </sheetViews>
  <sheetFormatPr defaultRowHeight="15" x14ac:dyDescent="0.25"/>
  <cols>
    <col min="1" max="2" width="4.42578125" customWidth="1"/>
    <col min="3" max="3" width="3" customWidth="1"/>
    <col min="4" max="4" width="24.7109375" customWidth="1"/>
    <col min="5" max="5" width="3" customWidth="1"/>
    <col min="6" max="6" width="15.7109375" customWidth="1"/>
    <col min="7" max="7" width="8.5703125" customWidth="1"/>
    <col min="8" max="8" width="5.85546875" customWidth="1"/>
    <col min="9" max="15" width="15.7109375" customWidth="1"/>
  </cols>
  <sheetData>
    <row r="2" spans="1:11" x14ac:dyDescent="0.25">
      <c r="C2" s="15" t="s">
        <v>32</v>
      </c>
      <c r="E2" s="15"/>
      <c r="F2" s="15"/>
      <c r="G2" s="15" t="s">
        <v>33</v>
      </c>
      <c r="H2" s="15"/>
      <c r="I2" s="15"/>
      <c r="J2" s="15"/>
      <c r="K2" s="15"/>
    </row>
    <row r="3" spans="1:11" ht="18.75" x14ac:dyDescent="0.3">
      <c r="C3" s="3" t="s">
        <v>26</v>
      </c>
      <c r="J3" s="8" t="s">
        <v>47</v>
      </c>
    </row>
    <row r="4" spans="1:11" x14ac:dyDescent="0.25">
      <c r="D4" s="2" t="s">
        <v>0</v>
      </c>
      <c r="E4" s="1"/>
      <c r="F4" t="s">
        <v>809</v>
      </c>
      <c r="I4" s="2" t="s">
        <v>4</v>
      </c>
      <c r="J4" t="s">
        <v>442</v>
      </c>
    </row>
    <row r="5" spans="1:11" x14ac:dyDescent="0.25">
      <c r="D5" s="2" t="s">
        <v>1</v>
      </c>
      <c r="F5" t="s">
        <v>810</v>
      </c>
    </row>
    <row r="6" spans="1:11" x14ac:dyDescent="0.25">
      <c r="D6" s="2" t="s">
        <v>2</v>
      </c>
      <c r="F6" s="6">
        <v>42718</v>
      </c>
      <c r="H6" s="11"/>
    </row>
    <row r="7" spans="1:11" x14ac:dyDescent="0.25">
      <c r="D7" s="2" t="s">
        <v>3</v>
      </c>
      <c r="F7" s="5">
        <f>+I7+J7</f>
        <v>61900000</v>
      </c>
      <c r="G7" s="2" t="s">
        <v>34</v>
      </c>
      <c r="H7" s="11"/>
      <c r="I7" s="19">
        <v>8550000</v>
      </c>
      <c r="J7" s="19">
        <f>55850000-2500000</f>
        <v>53350000</v>
      </c>
    </row>
    <row r="8" spans="1:11" x14ac:dyDescent="0.25">
      <c r="D8" s="2" t="s">
        <v>18</v>
      </c>
      <c r="F8" s="5">
        <f>MIN(K23:K43)</f>
        <v>47681062</v>
      </c>
      <c r="H8" s="11"/>
      <c r="I8" s="18" t="s">
        <v>43</v>
      </c>
      <c r="J8" s="18" t="s">
        <v>44</v>
      </c>
    </row>
    <row r="9" spans="1:11" x14ac:dyDescent="0.25">
      <c r="D9" s="2" t="s">
        <v>19</v>
      </c>
      <c r="F9" s="4">
        <f>+F8-F7</f>
        <v>-14218938</v>
      </c>
      <c r="G9" s="16">
        <f>+F9/F7</f>
        <v>-0.22970820678513731</v>
      </c>
      <c r="H9" s="12" t="s">
        <v>20</v>
      </c>
      <c r="I9" s="11" t="str">
        <f>(IF(G9&lt;-0.1,"FAIL",IF(G9&gt;0.05,"FAIL","GOOD")))</f>
        <v>FAIL</v>
      </c>
      <c r="J9" s="14" t="s">
        <v>72</v>
      </c>
    </row>
    <row r="10" spans="1:11" x14ac:dyDescent="0.25">
      <c r="D10" s="2" t="s">
        <v>68</v>
      </c>
      <c r="F10" s="4">
        <f>+F7-F12</f>
        <v>3743013.7142857164</v>
      </c>
      <c r="H10" s="11"/>
    </row>
    <row r="11" spans="1:11" x14ac:dyDescent="0.25">
      <c r="A11" s="30"/>
      <c r="D11" s="2" t="s">
        <v>71</v>
      </c>
      <c r="F11" s="11" t="str">
        <f>(IF(F7&lt;J12,"FAIL",IF(F7&gt;J13,"FAIL","GOOD")))</f>
        <v>GOOD</v>
      </c>
      <c r="H11" s="11"/>
    </row>
    <row r="12" spans="1:11" x14ac:dyDescent="0.25">
      <c r="D12" s="2" t="s">
        <v>28</v>
      </c>
      <c r="F12" s="4">
        <f>SUM(K23:K43)/H12</f>
        <v>58156986.285714284</v>
      </c>
      <c r="G12" s="14"/>
      <c r="H12" s="11">
        <f>COUNT(K23:K43)</f>
        <v>7</v>
      </c>
      <c r="I12" s="1" t="s">
        <v>31</v>
      </c>
      <c r="J12" s="4">
        <f>+F8*0.9</f>
        <v>42912955.800000004</v>
      </c>
      <c r="K12" s="1" t="s">
        <v>69</v>
      </c>
    </row>
    <row r="13" spans="1:11" x14ac:dyDescent="0.25">
      <c r="D13" s="2" t="s">
        <v>29</v>
      </c>
      <c r="F13" s="4">
        <f>MAX(K23:K43)-MIN(K23:K43)</f>
        <v>20418938</v>
      </c>
      <c r="G13" s="399">
        <f>MEDIAN(K23:K43)</f>
        <v>58174003</v>
      </c>
      <c r="H13" s="400"/>
      <c r="I13" s="1" t="s">
        <v>30</v>
      </c>
      <c r="J13" s="4">
        <f>+F12*1.1</f>
        <v>63972684.914285719</v>
      </c>
      <c r="K13" s="1" t="s">
        <v>70</v>
      </c>
    </row>
    <row r="14" spans="1:11" x14ac:dyDescent="0.25">
      <c r="H14" s="11"/>
    </row>
    <row r="15" spans="1:11" x14ac:dyDescent="0.25">
      <c r="D15" s="2" t="s">
        <v>8</v>
      </c>
      <c r="F15" s="4">
        <v>30000000</v>
      </c>
      <c r="G15" s="1" t="s">
        <v>9</v>
      </c>
      <c r="H15" s="11"/>
      <c r="I15" t="s">
        <v>15</v>
      </c>
      <c r="J15" s="7">
        <f>+F16/F15</f>
        <v>0.93333333333333335</v>
      </c>
    </row>
    <row r="16" spans="1:11" x14ac:dyDescent="0.25">
      <c r="F16" s="4">
        <v>28000000</v>
      </c>
      <c r="G16" s="1" t="s">
        <v>10</v>
      </c>
      <c r="H16" s="11"/>
      <c r="I16" t="s">
        <v>14</v>
      </c>
      <c r="J16" s="7">
        <f>+F17/F16</f>
        <v>1.0535714285714286</v>
      </c>
    </row>
    <row r="17" spans="3:15" x14ac:dyDescent="0.25">
      <c r="F17" s="4">
        <v>29500000</v>
      </c>
      <c r="G17" s="1" t="s">
        <v>11</v>
      </c>
      <c r="H17" s="11"/>
      <c r="I17" t="s">
        <v>13</v>
      </c>
      <c r="J17" s="7">
        <f>+F18/F17</f>
        <v>2.0983050847457627</v>
      </c>
    </row>
    <row r="18" spans="3:15" x14ac:dyDescent="0.25">
      <c r="F18" s="4">
        <f>+F7</f>
        <v>61900000</v>
      </c>
      <c r="G18" s="1" t="s">
        <v>12</v>
      </c>
      <c r="H18" s="11"/>
      <c r="I18" t="s">
        <v>16</v>
      </c>
      <c r="J18" s="7">
        <f>+F8/F18</f>
        <v>0.77029179321486263</v>
      </c>
    </row>
    <row r="19" spans="3:15" x14ac:dyDescent="0.25">
      <c r="F19" s="2" t="s">
        <v>51</v>
      </c>
      <c r="G19">
        <v>0</v>
      </c>
      <c r="H19" s="11" t="s">
        <v>52</v>
      </c>
      <c r="I19" t="s">
        <v>41</v>
      </c>
      <c r="J19" s="7">
        <f>+F8/F15</f>
        <v>1.5893687333333333</v>
      </c>
    </row>
    <row r="20" spans="3:15" x14ac:dyDescent="0.25">
      <c r="H20" s="11"/>
      <c r="M20" s="21"/>
      <c r="N20" s="21"/>
      <c r="O20" s="21"/>
    </row>
    <row r="21" spans="3:15" x14ac:dyDescent="0.25">
      <c r="C21" s="9"/>
      <c r="D21" s="13" t="s">
        <v>21</v>
      </c>
      <c r="E21" s="9"/>
      <c r="F21" s="9" t="s">
        <v>22</v>
      </c>
      <c r="G21" s="9" t="s">
        <v>23</v>
      </c>
      <c r="H21" s="13" t="s">
        <v>27</v>
      </c>
      <c r="I21" s="10" t="s">
        <v>38</v>
      </c>
      <c r="J21" s="10" t="s">
        <v>37</v>
      </c>
      <c r="K21" s="10" t="s">
        <v>39</v>
      </c>
      <c r="L21" s="9"/>
      <c r="M21" s="21"/>
      <c r="N21" s="21"/>
      <c r="O21" s="21"/>
    </row>
    <row r="22" spans="3:15" ht="6" customHeight="1" x14ac:dyDescent="0.25">
      <c r="M22" s="21"/>
      <c r="N22" s="21"/>
      <c r="O22" s="21"/>
    </row>
    <row r="23" spans="3:15" x14ac:dyDescent="0.25">
      <c r="C23" s="33" t="str">
        <f t="shared" ref="C23:C36" si="0">IF(H23=1,"u","")</f>
        <v/>
      </c>
      <c r="D23" s="11" t="s">
        <v>533</v>
      </c>
      <c r="E23" s="33"/>
      <c r="F23" t="s">
        <v>92</v>
      </c>
      <c r="G23" t="s">
        <v>93</v>
      </c>
      <c r="H23">
        <f>RANK(K23,K$23:K$43,1)</f>
        <v>7</v>
      </c>
      <c r="I23" s="4">
        <v>7745467</v>
      </c>
      <c r="J23" s="4">
        <v>60354533</v>
      </c>
      <c r="K23" s="4">
        <f>+J23+I23</f>
        <v>68100000</v>
      </c>
      <c r="L23" s="4"/>
      <c r="M23" s="22"/>
      <c r="N23" s="22"/>
      <c r="O23" s="22"/>
    </row>
    <row r="24" spans="3:15" x14ac:dyDescent="0.25">
      <c r="C24" s="33" t="str">
        <f t="shared" si="0"/>
        <v/>
      </c>
      <c r="D24" s="11" t="s">
        <v>491</v>
      </c>
      <c r="E24" s="33"/>
      <c r="F24" t="s">
        <v>203</v>
      </c>
      <c r="G24" t="s">
        <v>204</v>
      </c>
      <c r="H24">
        <f t="shared" ref="H24:H29" si="1">RANK(K24,K$23:K$43,1)</f>
        <v>4</v>
      </c>
      <c r="I24" s="4">
        <v>4845240</v>
      </c>
      <c r="J24" s="4">
        <v>53328763</v>
      </c>
      <c r="K24" s="4">
        <f t="shared" ref="K24:K29" si="2">+J24+I24</f>
        <v>58174003</v>
      </c>
      <c r="L24" s="4"/>
      <c r="M24" s="22"/>
      <c r="N24" s="22"/>
      <c r="O24" s="22"/>
    </row>
    <row r="25" spans="3:15" x14ac:dyDescent="0.25">
      <c r="C25" s="33" t="str">
        <f t="shared" si="0"/>
        <v>u</v>
      </c>
      <c r="D25" s="11" t="s">
        <v>485</v>
      </c>
      <c r="E25" s="33"/>
      <c r="F25" t="s">
        <v>486</v>
      </c>
      <c r="G25" t="s">
        <v>25</v>
      </c>
      <c r="H25">
        <f t="shared" si="1"/>
        <v>1</v>
      </c>
      <c r="I25" s="4">
        <v>4797025</v>
      </c>
      <c r="J25" s="4">
        <v>42884037</v>
      </c>
      <c r="K25" s="4">
        <f t="shared" si="2"/>
        <v>47681062</v>
      </c>
      <c r="L25" s="4"/>
      <c r="M25" s="22"/>
      <c r="N25" s="22"/>
      <c r="O25" s="22"/>
    </row>
    <row r="26" spans="3:15" x14ac:dyDescent="0.25">
      <c r="C26" s="33" t="str">
        <f t="shared" si="0"/>
        <v/>
      </c>
      <c r="D26" s="11" t="s">
        <v>811</v>
      </c>
      <c r="E26" s="33"/>
      <c r="F26" t="s">
        <v>393</v>
      </c>
      <c r="G26" t="s">
        <v>25</v>
      </c>
      <c r="H26">
        <f t="shared" si="1"/>
        <v>6</v>
      </c>
      <c r="I26" s="4">
        <v>6741675</v>
      </c>
      <c r="J26" s="4">
        <v>60566305</v>
      </c>
      <c r="K26" s="4">
        <f t="shared" si="2"/>
        <v>67307980</v>
      </c>
      <c r="L26" s="4"/>
      <c r="M26" s="22"/>
      <c r="N26" s="22"/>
      <c r="O26" s="22"/>
    </row>
    <row r="27" spans="3:15" x14ac:dyDescent="0.25">
      <c r="C27" s="33" t="str">
        <f t="shared" si="0"/>
        <v/>
      </c>
      <c r="D27" s="11" t="s">
        <v>556</v>
      </c>
      <c r="E27" s="33"/>
      <c r="F27" t="s">
        <v>201</v>
      </c>
      <c r="G27" t="s">
        <v>25</v>
      </c>
      <c r="H27">
        <f t="shared" si="1"/>
        <v>2</v>
      </c>
      <c r="I27" s="4">
        <v>5297615</v>
      </c>
      <c r="J27" s="4">
        <v>47652385</v>
      </c>
      <c r="K27" s="4">
        <f t="shared" si="2"/>
        <v>52950000</v>
      </c>
      <c r="L27" s="4"/>
      <c r="M27" s="22"/>
      <c r="N27" s="22"/>
      <c r="O27" s="22"/>
    </row>
    <row r="28" spans="3:15" x14ac:dyDescent="0.25">
      <c r="C28" s="33" t="str">
        <f t="shared" si="0"/>
        <v/>
      </c>
      <c r="D28" s="11" t="s">
        <v>440</v>
      </c>
      <c r="E28" s="33"/>
      <c r="F28" t="s">
        <v>193</v>
      </c>
      <c r="G28" t="s">
        <v>25</v>
      </c>
      <c r="H28">
        <f t="shared" si="1"/>
        <v>5</v>
      </c>
      <c r="I28" s="4">
        <v>5437918</v>
      </c>
      <c r="J28" s="4">
        <v>54450941</v>
      </c>
      <c r="K28" s="4">
        <f t="shared" si="2"/>
        <v>59888859</v>
      </c>
      <c r="L28" s="4"/>
      <c r="M28" s="22"/>
      <c r="N28" s="22"/>
      <c r="O28" s="22"/>
    </row>
    <row r="29" spans="3:15" x14ac:dyDescent="0.25">
      <c r="C29" s="33" t="str">
        <f t="shared" si="0"/>
        <v/>
      </c>
      <c r="D29" s="11" t="s">
        <v>679</v>
      </c>
      <c r="E29" s="33"/>
      <c r="F29" t="s">
        <v>193</v>
      </c>
      <c r="G29" t="s">
        <v>25</v>
      </c>
      <c r="H29">
        <f t="shared" si="1"/>
        <v>3</v>
      </c>
      <c r="I29" s="4">
        <v>5606050</v>
      </c>
      <c r="J29" s="4">
        <v>47390950</v>
      </c>
      <c r="K29" s="4">
        <f t="shared" si="2"/>
        <v>52997000</v>
      </c>
      <c r="L29" s="4"/>
      <c r="M29" s="22"/>
      <c r="N29" s="22"/>
      <c r="O29" s="22"/>
    </row>
    <row r="30" spans="3:15" x14ac:dyDescent="0.25">
      <c r="C30" s="33" t="str">
        <f t="shared" si="0"/>
        <v/>
      </c>
      <c r="D30" s="11"/>
      <c r="E30" s="33"/>
      <c r="I30" s="4"/>
      <c r="J30" s="4"/>
      <c r="K30" s="4"/>
      <c r="L30" s="4"/>
      <c r="M30" s="22"/>
      <c r="N30" s="22"/>
      <c r="O30" s="22"/>
    </row>
    <row r="31" spans="3:15" x14ac:dyDescent="0.25">
      <c r="C31" s="33" t="str">
        <f t="shared" si="0"/>
        <v/>
      </c>
      <c r="D31" s="11"/>
      <c r="E31" s="33"/>
      <c r="I31" s="4"/>
      <c r="J31" s="4"/>
      <c r="K31" s="4"/>
      <c r="L31" s="4"/>
      <c r="M31" s="22"/>
      <c r="N31" s="22"/>
      <c r="O31" s="22"/>
    </row>
    <row r="32" spans="3:15" x14ac:dyDescent="0.25">
      <c r="C32" s="33" t="str">
        <f t="shared" si="0"/>
        <v/>
      </c>
      <c r="D32" s="11"/>
      <c r="E32" s="33"/>
      <c r="I32" s="4"/>
      <c r="J32" s="4"/>
      <c r="K32" s="4"/>
      <c r="L32" s="4"/>
      <c r="M32" s="22"/>
      <c r="N32" s="22"/>
      <c r="O32" s="22"/>
    </row>
    <row r="33" spans="3:15" x14ac:dyDescent="0.25">
      <c r="C33" s="33" t="str">
        <f t="shared" si="0"/>
        <v/>
      </c>
      <c r="D33" s="11"/>
      <c r="E33" s="33"/>
      <c r="I33" s="4"/>
      <c r="J33" s="4"/>
      <c r="K33" s="4"/>
      <c r="M33" s="21"/>
      <c r="N33" s="21"/>
      <c r="O33" s="21"/>
    </row>
    <row r="34" spans="3:15" x14ac:dyDescent="0.25">
      <c r="C34" s="33" t="str">
        <f t="shared" si="0"/>
        <v/>
      </c>
      <c r="D34" s="11"/>
      <c r="E34" s="33"/>
      <c r="I34" s="4"/>
      <c r="J34" s="4"/>
      <c r="K34" s="4"/>
      <c r="M34" s="21"/>
      <c r="N34" s="21"/>
      <c r="O34" s="21"/>
    </row>
    <row r="35" spans="3:15" x14ac:dyDescent="0.25">
      <c r="C35" s="33" t="str">
        <f t="shared" si="0"/>
        <v/>
      </c>
      <c r="D35" s="11"/>
      <c r="E35" s="33"/>
      <c r="I35" s="4"/>
      <c r="J35" s="4"/>
      <c r="K35" s="4"/>
      <c r="M35" s="21"/>
      <c r="N35" s="21"/>
      <c r="O35" s="21"/>
    </row>
    <row r="36" spans="3:15" x14ac:dyDescent="0.25">
      <c r="C36" s="33" t="str">
        <f t="shared" si="0"/>
        <v/>
      </c>
      <c r="D36" s="11"/>
      <c r="E36" s="33" t="str">
        <f t="shared" ref="E36:E43" si="3">IF(H36=1,"t","")</f>
        <v/>
      </c>
      <c r="K36" s="4"/>
      <c r="M36" s="21"/>
      <c r="N36" s="21"/>
      <c r="O36" s="21"/>
    </row>
    <row r="37" spans="3:15" x14ac:dyDescent="0.25">
      <c r="C37" s="33" t="str">
        <f t="shared" ref="C37:C43" si="4">IF(H37=1,"u","")</f>
        <v/>
      </c>
      <c r="D37" s="11"/>
      <c r="E37" s="33" t="str">
        <f t="shared" si="3"/>
        <v/>
      </c>
      <c r="K37" s="4"/>
      <c r="M37" s="21"/>
      <c r="N37" s="21"/>
      <c r="O37" s="21"/>
    </row>
    <row r="38" spans="3:15" x14ac:dyDescent="0.25">
      <c r="C38" s="33" t="str">
        <f t="shared" si="4"/>
        <v/>
      </c>
      <c r="D38" s="11"/>
      <c r="E38" s="33" t="str">
        <f t="shared" si="3"/>
        <v/>
      </c>
      <c r="K38" s="4"/>
      <c r="M38" s="21"/>
      <c r="N38" s="21"/>
      <c r="O38" s="21"/>
    </row>
    <row r="39" spans="3:15" x14ac:dyDescent="0.25">
      <c r="C39" s="33" t="str">
        <f t="shared" si="4"/>
        <v/>
      </c>
      <c r="D39" s="11"/>
      <c r="E39" s="33" t="str">
        <f t="shared" si="3"/>
        <v/>
      </c>
      <c r="K39" s="4"/>
      <c r="M39" s="21"/>
      <c r="N39" s="21"/>
      <c r="O39" s="21"/>
    </row>
    <row r="40" spans="3:15" x14ac:dyDescent="0.25">
      <c r="C40" s="33" t="str">
        <f t="shared" si="4"/>
        <v/>
      </c>
      <c r="D40" s="11"/>
      <c r="E40" s="33" t="str">
        <f t="shared" si="3"/>
        <v/>
      </c>
      <c r="K40" s="4"/>
      <c r="M40" s="21"/>
      <c r="N40" s="21"/>
      <c r="O40" s="21"/>
    </row>
    <row r="41" spans="3:15" x14ac:dyDescent="0.25">
      <c r="C41" s="33" t="str">
        <f t="shared" si="4"/>
        <v/>
      </c>
      <c r="D41" s="11"/>
      <c r="E41" s="33" t="str">
        <f t="shared" si="3"/>
        <v/>
      </c>
      <c r="K41" s="4"/>
      <c r="M41" s="21"/>
      <c r="N41" s="21"/>
      <c r="O41" s="21"/>
    </row>
    <row r="42" spans="3:15" x14ac:dyDescent="0.25">
      <c r="C42" s="33" t="str">
        <f t="shared" si="4"/>
        <v/>
      </c>
      <c r="D42" s="11"/>
      <c r="E42" s="33" t="str">
        <f t="shared" si="3"/>
        <v/>
      </c>
      <c r="K42" s="4"/>
      <c r="M42" s="21"/>
      <c r="N42" s="21"/>
      <c r="O42" s="21"/>
    </row>
    <row r="43" spans="3:15" x14ac:dyDescent="0.25">
      <c r="C43" s="33" t="str">
        <f t="shared" si="4"/>
        <v/>
      </c>
      <c r="D43" s="11"/>
      <c r="E43" s="33" t="str">
        <f t="shared" si="3"/>
        <v/>
      </c>
      <c r="K43" s="4"/>
      <c r="M43" s="21"/>
      <c r="N43" s="21"/>
      <c r="O43" s="21"/>
    </row>
    <row r="44" spans="3:15" ht="6" customHeight="1" x14ac:dyDescent="0.25">
      <c r="C44" s="9"/>
      <c r="D44" s="9"/>
      <c r="E44" s="9"/>
      <c r="F44" s="9"/>
      <c r="G44" s="9"/>
      <c r="H44" s="9"/>
      <c r="I44" s="9"/>
      <c r="J44" s="9"/>
      <c r="K44" s="9"/>
      <c r="L44" s="9"/>
      <c r="M44" s="21"/>
      <c r="N44" s="21"/>
      <c r="O44" s="21"/>
    </row>
    <row r="45" spans="3:15" ht="6" customHeight="1" x14ac:dyDescent="0.25">
      <c r="M45" s="21"/>
      <c r="N45" s="21"/>
      <c r="O45" s="21"/>
    </row>
    <row r="46" spans="3:15" x14ac:dyDescent="0.25">
      <c r="C46" s="15" t="s">
        <v>79</v>
      </c>
      <c r="M46" s="21"/>
      <c r="N46" s="21"/>
      <c r="O46" s="21"/>
    </row>
    <row r="47" spans="3:15" x14ac:dyDescent="0.25">
      <c r="C47" s="15" t="s">
        <v>78</v>
      </c>
    </row>
  </sheetData>
  <mergeCells count="1">
    <mergeCell ref="G13:H13"/>
  </mergeCells>
  <conditionalFormatting sqref="I9">
    <cfRule type="containsText" dxfId="1121" priority="27" operator="containsText" text="FAIL">
      <formula>NOT(ISERROR(SEARCH("FAIL",I9)))</formula>
    </cfRule>
  </conditionalFormatting>
  <conditionalFormatting sqref="I9">
    <cfRule type="containsText" dxfId="1120" priority="26" operator="containsText" text="GOOD">
      <formula>NOT(ISERROR(SEARCH("GOOD",I9)))</formula>
    </cfRule>
  </conditionalFormatting>
  <conditionalFormatting sqref="I9">
    <cfRule type="containsText" dxfId="1119" priority="25" operator="containsText" text="FAIL">
      <formula>NOT(ISERROR(SEARCH("FAIL",I9)))</formula>
    </cfRule>
  </conditionalFormatting>
  <conditionalFormatting sqref="I9">
    <cfRule type="containsText" dxfId="1118" priority="24" operator="containsText" text="GOOD">
      <formula>NOT(ISERROR(SEARCH("GOOD",I9)))</formula>
    </cfRule>
  </conditionalFormatting>
  <conditionalFormatting sqref="I9">
    <cfRule type="containsText" dxfId="1117" priority="23" operator="containsText" text="FAIL">
      <formula>NOT(ISERROR(SEARCH("FAIL",I9)))</formula>
    </cfRule>
  </conditionalFormatting>
  <conditionalFormatting sqref="I9">
    <cfRule type="containsText" dxfId="1116" priority="22" operator="containsText" text="GOOD">
      <formula>NOT(ISERROR(SEARCH("GOOD",I9)))</formula>
    </cfRule>
  </conditionalFormatting>
  <conditionalFormatting sqref="F11">
    <cfRule type="containsText" dxfId="1115" priority="21" operator="containsText" text="FAIL">
      <formula>NOT(ISERROR(SEARCH("FAIL",F11)))</formula>
    </cfRule>
  </conditionalFormatting>
  <conditionalFormatting sqref="F11">
    <cfRule type="containsText" dxfId="1114" priority="20" operator="containsText" text="GOOD">
      <formula>NOT(ISERROR(SEARCH("GOOD",F11)))</formula>
    </cfRule>
  </conditionalFormatting>
  <conditionalFormatting sqref="I9">
    <cfRule type="containsText" dxfId="1113" priority="19" operator="containsText" text="FAIL">
      <formula>NOT(ISERROR(SEARCH("FAIL",I9)))</formula>
    </cfRule>
  </conditionalFormatting>
  <conditionalFormatting sqref="I9">
    <cfRule type="containsText" dxfId="1112" priority="18" operator="containsText" text="GOOD">
      <formula>NOT(ISERROR(SEARCH("GOOD",I9)))</formula>
    </cfRule>
  </conditionalFormatting>
  <conditionalFormatting sqref="F11">
    <cfRule type="containsText" dxfId="1111" priority="17" operator="containsText" text="FAIL">
      <formula>NOT(ISERROR(SEARCH("FAIL",F11)))</formula>
    </cfRule>
  </conditionalFormatting>
  <conditionalFormatting sqref="F11">
    <cfRule type="containsText" dxfId="1110" priority="16" operator="containsText" text="GOOD">
      <formula>NOT(ISERROR(SEARCH("GOOD",F11)))</formula>
    </cfRule>
  </conditionalFormatting>
  <conditionalFormatting sqref="D25">
    <cfRule type="expression" dxfId="1109" priority="15" stopIfTrue="1">
      <formula>IF($H$25=1,0)</formula>
    </cfRule>
  </conditionalFormatting>
  <conditionalFormatting sqref="D23:D29 D36:D43 D32:D33">
    <cfRule type="expression" dxfId="1108" priority="14">
      <formula>H23=1</formula>
    </cfRule>
  </conditionalFormatting>
  <conditionalFormatting sqref="C23:C43">
    <cfRule type="expression" dxfId="1107" priority="13">
      <formula>H23=1</formula>
    </cfRule>
  </conditionalFormatting>
  <conditionalFormatting sqref="E23:E29 E36:E43 E32:E33">
    <cfRule type="expression" dxfId="1106" priority="12">
      <formula>H23=1</formula>
    </cfRule>
  </conditionalFormatting>
  <conditionalFormatting sqref="E23:E29 E36:E43 E32:E33">
    <cfRule type="expression" dxfId="1105" priority="11">
      <formula>H23=1</formula>
    </cfRule>
  </conditionalFormatting>
  <conditionalFormatting sqref="F11">
    <cfRule type="containsText" dxfId="1104" priority="10" operator="containsText" text="FAIL">
      <formula>NOT(ISERROR(SEARCH("FAIL",F11)))</formula>
    </cfRule>
  </conditionalFormatting>
  <conditionalFormatting sqref="F11">
    <cfRule type="containsText" dxfId="1103" priority="9" operator="containsText" text="GOOD">
      <formula>NOT(ISERROR(SEARCH("GOOD",F11)))</formula>
    </cfRule>
  </conditionalFormatting>
  <conditionalFormatting sqref="D34:D35">
    <cfRule type="expression" dxfId="1102" priority="8">
      <formula>H34=1</formula>
    </cfRule>
  </conditionalFormatting>
  <conditionalFormatting sqref="E34:E35">
    <cfRule type="expression" dxfId="1101" priority="6">
      <formula>H34=1</formula>
    </cfRule>
  </conditionalFormatting>
  <conditionalFormatting sqref="E34:E35">
    <cfRule type="expression" dxfId="1100" priority="5">
      <formula>H34=1</formula>
    </cfRule>
  </conditionalFormatting>
  <conditionalFormatting sqref="D30:D31">
    <cfRule type="expression" dxfId="1099" priority="4">
      <formula>H30=1</formula>
    </cfRule>
  </conditionalFormatting>
  <conditionalFormatting sqref="E30:E31">
    <cfRule type="expression" dxfId="1098" priority="2">
      <formula>H30=1</formula>
    </cfRule>
  </conditionalFormatting>
  <conditionalFormatting sqref="E30:E31">
    <cfRule type="expression" dxfId="1097" priority="1">
      <formula>H30=1</formula>
    </cfRule>
  </conditionalFormatting>
  <pageMargins left="0.7" right="0.7" top="0.75" bottom="0.75" header="0.3" footer="0.3"/>
  <pageSetup orientation="portrait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E00-000000000000}">
  <sheetPr codeName="Sheet96"/>
  <dimension ref="A2:O47"/>
  <sheetViews>
    <sheetView workbookViewId="0">
      <selection activeCell="R23" sqref="R23"/>
    </sheetView>
  </sheetViews>
  <sheetFormatPr defaultRowHeight="15" x14ac:dyDescent="0.25"/>
  <cols>
    <col min="1" max="2" width="4.42578125" customWidth="1"/>
    <col min="3" max="3" width="3" customWidth="1"/>
    <col min="4" max="4" width="24.7109375" customWidth="1"/>
    <col min="5" max="5" width="3" customWidth="1"/>
    <col min="6" max="6" width="15.7109375" customWidth="1"/>
    <col min="7" max="7" width="8.5703125" customWidth="1"/>
    <col min="8" max="8" width="5.85546875" customWidth="1"/>
    <col min="9" max="15" width="15.7109375" customWidth="1"/>
  </cols>
  <sheetData>
    <row r="2" spans="1:11" x14ac:dyDescent="0.25">
      <c r="C2" s="15" t="s">
        <v>32</v>
      </c>
      <c r="E2" s="15"/>
      <c r="F2" s="15"/>
      <c r="G2" s="15" t="s">
        <v>33</v>
      </c>
      <c r="H2" s="15"/>
      <c r="I2" s="15"/>
      <c r="J2" s="15"/>
      <c r="K2" s="15"/>
    </row>
    <row r="3" spans="1:11" ht="18.75" x14ac:dyDescent="0.3">
      <c r="C3" s="3" t="s">
        <v>26</v>
      </c>
      <c r="J3" s="8" t="s">
        <v>47</v>
      </c>
    </row>
    <row r="4" spans="1:11" x14ac:dyDescent="0.25">
      <c r="D4" s="2" t="s">
        <v>0</v>
      </c>
      <c r="E4" s="1"/>
      <c r="F4" t="s">
        <v>746</v>
      </c>
      <c r="I4" s="2" t="s">
        <v>4</v>
      </c>
      <c r="J4" t="s">
        <v>752</v>
      </c>
    </row>
    <row r="5" spans="1:11" x14ac:dyDescent="0.25">
      <c r="D5" s="2" t="s">
        <v>1</v>
      </c>
      <c r="F5" t="s">
        <v>747</v>
      </c>
    </row>
    <row r="6" spans="1:11" x14ac:dyDescent="0.25">
      <c r="D6" s="2" t="s">
        <v>2</v>
      </c>
      <c r="F6" s="6">
        <v>42648</v>
      </c>
      <c r="H6" s="11"/>
    </row>
    <row r="7" spans="1:11" x14ac:dyDescent="0.25">
      <c r="D7" s="2" t="s">
        <v>3</v>
      </c>
      <c r="F7" s="5">
        <f>+I7+J7</f>
        <v>3120000</v>
      </c>
      <c r="G7" s="2" t="s">
        <v>34</v>
      </c>
      <c r="H7" s="11"/>
      <c r="I7" s="19">
        <v>4200</v>
      </c>
      <c r="J7" s="19">
        <v>3115800</v>
      </c>
    </row>
    <row r="8" spans="1:11" x14ac:dyDescent="0.25">
      <c r="D8" s="2" t="s">
        <v>18</v>
      </c>
      <c r="F8" s="5">
        <f>MIN(K23:K43)</f>
        <v>2147100</v>
      </c>
      <c r="H8" s="11"/>
      <c r="I8" s="18" t="s">
        <v>43</v>
      </c>
      <c r="J8" s="18" t="s">
        <v>44</v>
      </c>
    </row>
    <row r="9" spans="1:11" x14ac:dyDescent="0.25">
      <c r="D9" s="2" t="s">
        <v>19</v>
      </c>
      <c r="F9" s="4">
        <f>+F8-F7</f>
        <v>-972900</v>
      </c>
      <c r="G9" s="16">
        <f>+F9/F7</f>
        <v>-0.31182692307692306</v>
      </c>
      <c r="H9" s="12" t="s">
        <v>20</v>
      </c>
      <c r="I9" s="11" t="str">
        <f>(IF(G9&lt;-0.1,"FAIL",IF(G9&gt;0.05,"FAIL","GOOD")))</f>
        <v>FAIL</v>
      </c>
      <c r="J9" s="14" t="s">
        <v>72</v>
      </c>
    </row>
    <row r="10" spans="1:11" x14ac:dyDescent="0.25">
      <c r="D10" s="2" t="s">
        <v>68</v>
      </c>
      <c r="F10" s="4">
        <f>+F7-F12</f>
        <v>-205700.14285714272</v>
      </c>
      <c r="H10" s="11"/>
    </row>
    <row r="11" spans="1:11" x14ac:dyDescent="0.25">
      <c r="A11" s="30"/>
      <c r="D11" s="2" t="s">
        <v>71</v>
      </c>
      <c r="F11" s="11" t="str">
        <f>(IF(F7&lt;J12,"FAIL",IF(F7&gt;J13,"FAIL","GOOD")))</f>
        <v>GOOD</v>
      </c>
      <c r="H11" s="11"/>
    </row>
    <row r="12" spans="1:11" x14ac:dyDescent="0.25">
      <c r="D12" s="2" t="s">
        <v>28</v>
      </c>
      <c r="F12" s="4">
        <f>SUM(K23:K43)/H12</f>
        <v>3325700.1428571427</v>
      </c>
      <c r="G12" s="14"/>
      <c r="H12" s="11">
        <f>COUNT(K23:K43)</f>
        <v>7</v>
      </c>
      <c r="I12" s="1" t="s">
        <v>31</v>
      </c>
      <c r="J12" s="4">
        <f>+F8*0.9</f>
        <v>1932390</v>
      </c>
      <c r="K12" s="1" t="s">
        <v>69</v>
      </c>
    </row>
    <row r="13" spans="1:11" x14ac:dyDescent="0.25">
      <c r="D13" s="2" t="s">
        <v>29</v>
      </c>
      <c r="F13" s="4">
        <f>MAX(K23:K43)-MIN(K23:K43)</f>
        <v>3507900</v>
      </c>
      <c r="G13" s="399">
        <f>MEDIAN(K23:K43)</f>
        <v>2954893</v>
      </c>
      <c r="H13" s="400"/>
      <c r="I13" s="1" t="s">
        <v>30</v>
      </c>
      <c r="J13" s="4">
        <f>+F12*1.1</f>
        <v>3658270.1571428571</v>
      </c>
      <c r="K13" s="1" t="s">
        <v>70</v>
      </c>
    </row>
    <row r="14" spans="1:11" x14ac:dyDescent="0.25">
      <c r="H14" s="11"/>
    </row>
    <row r="15" spans="1:11" x14ac:dyDescent="0.25">
      <c r="D15" s="2" t="s">
        <v>8</v>
      </c>
      <c r="F15" s="4">
        <v>30000000</v>
      </c>
      <c r="G15" s="1" t="s">
        <v>9</v>
      </c>
      <c r="H15" s="11"/>
      <c r="I15" t="s">
        <v>15</v>
      </c>
      <c r="J15" s="7">
        <f>+F16/F15</f>
        <v>0.93333333333333335</v>
      </c>
    </row>
    <row r="16" spans="1:11" x14ac:dyDescent="0.25">
      <c r="F16" s="4">
        <v>28000000</v>
      </c>
      <c r="G16" s="1" t="s">
        <v>10</v>
      </c>
      <c r="H16" s="11"/>
      <c r="I16" t="s">
        <v>14</v>
      </c>
      <c r="J16" s="7">
        <f>+F17/F16</f>
        <v>1.0535714285714286</v>
      </c>
    </row>
    <row r="17" spans="3:15" x14ac:dyDescent="0.25">
      <c r="F17" s="4">
        <v>29500000</v>
      </c>
      <c r="G17" s="1" t="s">
        <v>11</v>
      </c>
      <c r="H17" s="11"/>
      <c r="I17" t="s">
        <v>13</v>
      </c>
      <c r="J17" s="7">
        <f>+F18/F17</f>
        <v>0.10576271186440678</v>
      </c>
    </row>
    <row r="18" spans="3:15" x14ac:dyDescent="0.25">
      <c r="F18" s="4">
        <f>+F7</f>
        <v>3120000</v>
      </c>
      <c r="G18" s="1" t="s">
        <v>12</v>
      </c>
      <c r="H18" s="11"/>
      <c r="I18" t="s">
        <v>16</v>
      </c>
      <c r="J18" s="7">
        <f>+F8/F18</f>
        <v>0.68817307692307694</v>
      </c>
    </row>
    <row r="19" spans="3:15" x14ac:dyDescent="0.25">
      <c r="F19" s="2" t="s">
        <v>51</v>
      </c>
      <c r="G19">
        <v>0</v>
      </c>
      <c r="H19" s="11" t="s">
        <v>52</v>
      </c>
      <c r="I19" t="s">
        <v>41</v>
      </c>
      <c r="J19" s="7">
        <f>+F8/F15</f>
        <v>7.1569999999999995E-2</v>
      </c>
    </row>
    <row r="20" spans="3:15" x14ac:dyDescent="0.25">
      <c r="H20" s="11"/>
      <c r="M20" s="21"/>
      <c r="N20" s="21"/>
      <c r="O20" s="21"/>
    </row>
    <row r="21" spans="3:15" x14ac:dyDescent="0.25">
      <c r="C21" s="9"/>
      <c r="D21" s="13" t="s">
        <v>21</v>
      </c>
      <c r="E21" s="9"/>
      <c r="F21" s="9" t="s">
        <v>22</v>
      </c>
      <c r="G21" s="9" t="s">
        <v>23</v>
      </c>
      <c r="H21" s="13" t="s">
        <v>27</v>
      </c>
      <c r="I21" s="10" t="s">
        <v>38</v>
      </c>
      <c r="J21" s="10" t="s">
        <v>37</v>
      </c>
      <c r="K21" s="10" t="s">
        <v>39</v>
      </c>
      <c r="L21" s="9"/>
      <c r="M21" s="21"/>
      <c r="N21" s="21"/>
      <c r="O21" s="21"/>
    </row>
    <row r="22" spans="3:15" ht="6" customHeight="1" x14ac:dyDescent="0.25">
      <c r="M22" s="21"/>
      <c r="N22" s="21"/>
      <c r="O22" s="21"/>
    </row>
    <row r="23" spans="3:15" x14ac:dyDescent="0.25">
      <c r="C23" s="33" t="str">
        <f>IF(H23=1,"u","")</f>
        <v/>
      </c>
      <c r="D23" s="11" t="s">
        <v>710</v>
      </c>
      <c r="E23" s="33"/>
      <c r="F23" t="s">
        <v>386</v>
      </c>
      <c r="G23" t="s">
        <v>25</v>
      </c>
      <c r="H23">
        <f>RANK(K23,K$23:K$43,1)</f>
        <v>7</v>
      </c>
      <c r="I23" s="4">
        <v>3000</v>
      </c>
      <c r="J23" s="4">
        <v>5652000</v>
      </c>
      <c r="K23" s="4">
        <f>+J23+I23</f>
        <v>5655000</v>
      </c>
      <c r="L23" s="4"/>
      <c r="M23" s="22"/>
      <c r="N23" s="22"/>
      <c r="O23" s="22"/>
    </row>
    <row r="24" spans="3:15" x14ac:dyDescent="0.25">
      <c r="C24" s="33" t="str">
        <f>IF(H24=1,"u","")</f>
        <v/>
      </c>
      <c r="D24" s="11" t="s">
        <v>748</v>
      </c>
      <c r="E24" s="33"/>
      <c r="F24" t="s">
        <v>749</v>
      </c>
      <c r="G24" t="s">
        <v>25</v>
      </c>
      <c r="H24">
        <f t="shared" ref="H24:H29" si="0">RANK(K24,K$23:K$43,1)</f>
        <v>2</v>
      </c>
      <c r="I24" s="4">
        <v>2100</v>
      </c>
      <c r="J24" s="4">
        <v>2378970</v>
      </c>
      <c r="K24" s="4">
        <f t="shared" ref="K24:K29" si="1">+J24+I24</f>
        <v>2381070</v>
      </c>
      <c r="L24" s="4"/>
      <c r="M24" s="22"/>
      <c r="N24" s="22"/>
      <c r="O24" s="22"/>
    </row>
    <row r="25" spans="3:15" x14ac:dyDescent="0.25">
      <c r="C25" s="33" t="str">
        <f>IF(H25=1,"u","")</f>
        <v/>
      </c>
      <c r="D25" s="11" t="s">
        <v>750</v>
      </c>
      <c r="E25" s="33"/>
      <c r="F25" t="s">
        <v>751</v>
      </c>
      <c r="G25" t="s">
        <v>25</v>
      </c>
      <c r="H25">
        <f t="shared" si="0"/>
        <v>5</v>
      </c>
      <c r="I25" s="4">
        <v>1500</v>
      </c>
      <c r="J25" s="4">
        <v>3234863</v>
      </c>
      <c r="K25" s="4">
        <f t="shared" si="1"/>
        <v>3236363</v>
      </c>
      <c r="L25" s="4"/>
      <c r="M25" s="22"/>
      <c r="N25" s="22"/>
      <c r="O25" s="22"/>
    </row>
    <row r="26" spans="3:15" x14ac:dyDescent="0.25">
      <c r="C26" s="33"/>
      <c r="D26" s="11" t="s">
        <v>605</v>
      </c>
      <c r="E26" s="33"/>
      <c r="F26" t="s">
        <v>120</v>
      </c>
      <c r="G26" t="s">
        <v>25</v>
      </c>
      <c r="H26">
        <f t="shared" si="0"/>
        <v>1</v>
      </c>
      <c r="I26" s="4">
        <v>2000</v>
      </c>
      <c r="J26" s="4">
        <v>2145100</v>
      </c>
      <c r="K26" s="4">
        <f t="shared" si="1"/>
        <v>2147100</v>
      </c>
      <c r="L26" s="4"/>
      <c r="M26" s="22"/>
      <c r="N26" s="22"/>
      <c r="O26" s="22"/>
    </row>
    <row r="27" spans="3:15" x14ac:dyDescent="0.25">
      <c r="C27" s="33"/>
      <c r="D27" s="11" t="s">
        <v>606</v>
      </c>
      <c r="E27" s="33"/>
      <c r="F27" t="s">
        <v>100</v>
      </c>
      <c r="G27" t="s">
        <v>93</v>
      </c>
      <c r="H27">
        <f t="shared" si="0"/>
        <v>6</v>
      </c>
      <c r="I27" s="4">
        <v>2500</v>
      </c>
      <c r="J27" s="4">
        <v>4441944</v>
      </c>
      <c r="K27" s="4">
        <f t="shared" si="1"/>
        <v>4444444</v>
      </c>
      <c r="L27" s="4"/>
      <c r="M27" s="22"/>
      <c r="N27" s="22"/>
      <c r="O27" s="22"/>
    </row>
    <row r="28" spans="3:15" x14ac:dyDescent="0.25">
      <c r="C28" s="33"/>
      <c r="D28" s="11" t="s">
        <v>601</v>
      </c>
      <c r="E28" s="33"/>
      <c r="F28" t="s">
        <v>201</v>
      </c>
      <c r="G28" t="s">
        <v>25</v>
      </c>
      <c r="H28">
        <f t="shared" si="0"/>
        <v>3</v>
      </c>
      <c r="I28" s="4">
        <v>900</v>
      </c>
      <c r="J28" s="4">
        <v>2460131</v>
      </c>
      <c r="K28" s="4">
        <f t="shared" si="1"/>
        <v>2461031</v>
      </c>
      <c r="L28" s="4"/>
      <c r="M28" s="22"/>
      <c r="N28" s="22"/>
      <c r="O28" s="22"/>
    </row>
    <row r="29" spans="3:15" x14ac:dyDescent="0.25">
      <c r="C29" s="33"/>
      <c r="D29" s="11" t="s">
        <v>603</v>
      </c>
      <c r="E29" s="33"/>
      <c r="F29" t="s">
        <v>85</v>
      </c>
      <c r="G29" t="s">
        <v>25</v>
      </c>
      <c r="H29">
        <f t="shared" si="0"/>
        <v>4</v>
      </c>
      <c r="I29" s="4">
        <v>20000</v>
      </c>
      <c r="J29" s="4">
        <v>2934893</v>
      </c>
      <c r="K29" s="4">
        <f t="shared" si="1"/>
        <v>2954893</v>
      </c>
      <c r="L29" s="4"/>
      <c r="M29" s="22"/>
      <c r="N29" s="22"/>
      <c r="O29" s="22"/>
    </row>
    <row r="30" spans="3:15" x14ac:dyDescent="0.25">
      <c r="C30" s="33"/>
      <c r="D30" s="11"/>
      <c r="E30" s="33"/>
      <c r="I30" s="4"/>
      <c r="J30" s="4"/>
      <c r="K30" s="4"/>
      <c r="L30" s="4"/>
      <c r="M30" s="22"/>
      <c r="N30" s="22"/>
      <c r="O30" s="22"/>
    </row>
    <row r="31" spans="3:15" x14ac:dyDescent="0.25">
      <c r="C31" s="33"/>
      <c r="D31" s="11"/>
      <c r="E31" s="33"/>
      <c r="I31" s="4"/>
      <c r="J31" s="4"/>
      <c r="K31" s="4"/>
      <c r="L31" s="4"/>
      <c r="M31" s="22"/>
      <c r="N31" s="22"/>
      <c r="O31" s="22"/>
    </row>
    <row r="32" spans="3:15" x14ac:dyDescent="0.25">
      <c r="C32" s="33"/>
      <c r="D32" s="11"/>
      <c r="E32" s="33"/>
      <c r="I32" s="4"/>
      <c r="J32" s="4"/>
      <c r="K32" s="4"/>
      <c r="L32" s="4"/>
      <c r="M32" s="22"/>
      <c r="N32" s="22"/>
      <c r="O32" s="22"/>
    </row>
    <row r="33" spans="3:15" x14ac:dyDescent="0.25">
      <c r="C33" s="33"/>
      <c r="D33" s="11"/>
      <c r="E33" s="33"/>
      <c r="I33" s="4"/>
      <c r="J33" s="4"/>
      <c r="K33" s="4"/>
      <c r="M33" s="21"/>
      <c r="N33" s="21"/>
      <c r="O33" s="21"/>
    </row>
    <row r="34" spans="3:15" x14ac:dyDescent="0.25">
      <c r="C34" s="33"/>
      <c r="D34" s="11"/>
      <c r="E34" s="33"/>
      <c r="I34" s="4"/>
      <c r="J34" s="4"/>
      <c r="K34" s="4"/>
      <c r="M34" s="21"/>
      <c r="N34" s="21"/>
      <c r="O34" s="21"/>
    </row>
    <row r="35" spans="3:15" x14ac:dyDescent="0.25">
      <c r="C35" s="33"/>
      <c r="D35" s="11"/>
      <c r="E35" s="33"/>
      <c r="I35" s="4"/>
      <c r="J35" s="4"/>
      <c r="K35" s="4"/>
      <c r="M35" s="21"/>
      <c r="N35" s="21"/>
      <c r="O35" s="21"/>
    </row>
    <row r="36" spans="3:15" x14ac:dyDescent="0.25">
      <c r="C36" s="33" t="str">
        <f t="shared" ref="C36:C43" si="2">IF(H36=1,"u","")</f>
        <v/>
      </c>
      <c r="D36" s="11"/>
      <c r="E36" s="33" t="str">
        <f t="shared" ref="E36:E43" si="3">IF(H36=1,"t","")</f>
        <v/>
      </c>
      <c r="K36" s="4"/>
      <c r="M36" s="21"/>
      <c r="N36" s="21"/>
      <c r="O36" s="21"/>
    </row>
    <row r="37" spans="3:15" x14ac:dyDescent="0.25">
      <c r="C37" s="33" t="str">
        <f t="shared" si="2"/>
        <v/>
      </c>
      <c r="D37" s="11"/>
      <c r="E37" s="33" t="str">
        <f t="shared" si="3"/>
        <v/>
      </c>
      <c r="K37" s="4"/>
      <c r="M37" s="21"/>
      <c r="N37" s="21"/>
      <c r="O37" s="21"/>
    </row>
    <row r="38" spans="3:15" x14ac:dyDescent="0.25">
      <c r="C38" s="33" t="str">
        <f t="shared" si="2"/>
        <v/>
      </c>
      <c r="D38" s="11"/>
      <c r="E38" s="33" t="str">
        <f t="shared" si="3"/>
        <v/>
      </c>
      <c r="K38" s="4"/>
      <c r="M38" s="21"/>
      <c r="N38" s="21"/>
      <c r="O38" s="21"/>
    </row>
    <row r="39" spans="3:15" x14ac:dyDescent="0.25">
      <c r="C39" s="33" t="str">
        <f t="shared" si="2"/>
        <v/>
      </c>
      <c r="D39" s="11"/>
      <c r="E39" s="33" t="str">
        <f t="shared" si="3"/>
        <v/>
      </c>
      <c r="K39" s="4"/>
      <c r="M39" s="21"/>
      <c r="N39" s="21"/>
      <c r="O39" s="21"/>
    </row>
    <row r="40" spans="3:15" x14ac:dyDescent="0.25">
      <c r="C40" s="33" t="str">
        <f t="shared" si="2"/>
        <v/>
      </c>
      <c r="D40" s="11"/>
      <c r="E40" s="33" t="str">
        <f t="shared" si="3"/>
        <v/>
      </c>
      <c r="K40" s="4"/>
      <c r="M40" s="21"/>
      <c r="N40" s="21"/>
      <c r="O40" s="21"/>
    </row>
    <row r="41" spans="3:15" x14ac:dyDescent="0.25">
      <c r="C41" s="33" t="str">
        <f t="shared" si="2"/>
        <v/>
      </c>
      <c r="D41" s="11"/>
      <c r="E41" s="33" t="str">
        <f t="shared" si="3"/>
        <v/>
      </c>
      <c r="K41" s="4"/>
      <c r="M41" s="21"/>
      <c r="N41" s="21"/>
      <c r="O41" s="21"/>
    </row>
    <row r="42" spans="3:15" x14ac:dyDescent="0.25">
      <c r="C42" s="33" t="str">
        <f t="shared" si="2"/>
        <v/>
      </c>
      <c r="D42" s="11"/>
      <c r="E42" s="33" t="str">
        <f t="shared" si="3"/>
        <v/>
      </c>
      <c r="K42" s="4"/>
      <c r="M42" s="21"/>
      <c r="N42" s="21"/>
      <c r="O42" s="21"/>
    </row>
    <row r="43" spans="3:15" x14ac:dyDescent="0.25">
      <c r="C43" s="33" t="str">
        <f t="shared" si="2"/>
        <v/>
      </c>
      <c r="D43" s="11"/>
      <c r="E43" s="33" t="str">
        <f t="shared" si="3"/>
        <v/>
      </c>
      <c r="K43" s="4"/>
      <c r="M43" s="21"/>
      <c r="N43" s="21"/>
      <c r="O43" s="21"/>
    </row>
    <row r="44" spans="3:15" ht="6" customHeight="1" x14ac:dyDescent="0.25">
      <c r="C44" s="9"/>
      <c r="D44" s="9"/>
      <c r="E44" s="9"/>
      <c r="F44" s="9"/>
      <c r="G44" s="9"/>
      <c r="H44" s="9"/>
      <c r="I44" s="9"/>
      <c r="J44" s="9"/>
      <c r="K44" s="9"/>
      <c r="L44" s="9"/>
      <c r="M44" s="21"/>
      <c r="N44" s="21"/>
      <c r="O44" s="21"/>
    </row>
    <row r="45" spans="3:15" ht="6" customHeight="1" x14ac:dyDescent="0.25">
      <c r="M45" s="21"/>
      <c r="N45" s="21"/>
      <c r="O45" s="21"/>
    </row>
    <row r="46" spans="3:15" x14ac:dyDescent="0.25">
      <c r="C46" s="15" t="s">
        <v>79</v>
      </c>
      <c r="M46" s="21"/>
      <c r="N46" s="21"/>
      <c r="O46" s="21"/>
    </row>
    <row r="47" spans="3:15" x14ac:dyDescent="0.25">
      <c r="C47" s="15" t="s">
        <v>78</v>
      </c>
    </row>
  </sheetData>
  <mergeCells count="1">
    <mergeCell ref="G13:H13"/>
  </mergeCells>
  <conditionalFormatting sqref="I9">
    <cfRule type="containsText" dxfId="987" priority="23" operator="containsText" text="FAIL">
      <formula>NOT(ISERROR(SEARCH("FAIL",I9)))</formula>
    </cfRule>
  </conditionalFormatting>
  <conditionalFormatting sqref="I9">
    <cfRule type="containsText" dxfId="986" priority="22" operator="containsText" text="GOOD">
      <formula>NOT(ISERROR(SEARCH("GOOD",I9)))</formula>
    </cfRule>
  </conditionalFormatting>
  <conditionalFormatting sqref="I9">
    <cfRule type="containsText" dxfId="985" priority="21" operator="containsText" text="FAIL">
      <formula>NOT(ISERROR(SEARCH("FAIL",I9)))</formula>
    </cfRule>
  </conditionalFormatting>
  <conditionalFormatting sqref="I9">
    <cfRule type="containsText" dxfId="984" priority="20" operator="containsText" text="GOOD">
      <formula>NOT(ISERROR(SEARCH("GOOD",I9)))</formula>
    </cfRule>
  </conditionalFormatting>
  <conditionalFormatting sqref="I9">
    <cfRule type="containsText" dxfId="983" priority="19" operator="containsText" text="FAIL">
      <formula>NOT(ISERROR(SEARCH("FAIL",I9)))</formula>
    </cfRule>
  </conditionalFormatting>
  <conditionalFormatting sqref="I9">
    <cfRule type="containsText" dxfId="982" priority="18" operator="containsText" text="GOOD">
      <formula>NOT(ISERROR(SEARCH("GOOD",I9)))</formula>
    </cfRule>
  </conditionalFormatting>
  <conditionalFormatting sqref="F11">
    <cfRule type="containsText" dxfId="981" priority="17" operator="containsText" text="FAIL">
      <formula>NOT(ISERROR(SEARCH("FAIL",F11)))</formula>
    </cfRule>
  </conditionalFormatting>
  <conditionalFormatting sqref="F11">
    <cfRule type="containsText" dxfId="980" priority="16" operator="containsText" text="GOOD">
      <formula>NOT(ISERROR(SEARCH("GOOD",F11)))</formula>
    </cfRule>
  </conditionalFormatting>
  <conditionalFormatting sqref="I9">
    <cfRule type="containsText" dxfId="979" priority="15" operator="containsText" text="FAIL">
      <formula>NOT(ISERROR(SEARCH("FAIL",I9)))</formula>
    </cfRule>
  </conditionalFormatting>
  <conditionalFormatting sqref="I9">
    <cfRule type="containsText" dxfId="978" priority="14" operator="containsText" text="GOOD">
      <formula>NOT(ISERROR(SEARCH("GOOD",I9)))</formula>
    </cfRule>
  </conditionalFormatting>
  <conditionalFormatting sqref="F11">
    <cfRule type="containsText" dxfId="977" priority="13" operator="containsText" text="FAIL">
      <formula>NOT(ISERROR(SEARCH("FAIL",F11)))</formula>
    </cfRule>
  </conditionalFormatting>
  <conditionalFormatting sqref="F11">
    <cfRule type="containsText" dxfId="976" priority="12" operator="containsText" text="GOOD">
      <formula>NOT(ISERROR(SEARCH("GOOD",F11)))</formula>
    </cfRule>
  </conditionalFormatting>
  <conditionalFormatting sqref="D25">
    <cfRule type="expression" dxfId="975" priority="11" stopIfTrue="1">
      <formula>IF($H$25=1,0)</formula>
    </cfRule>
  </conditionalFormatting>
  <conditionalFormatting sqref="D23:D33 D36:D43">
    <cfRule type="expression" dxfId="974" priority="10">
      <formula>H23=1</formula>
    </cfRule>
  </conditionalFormatting>
  <conditionalFormatting sqref="C23:C33 C36:C43">
    <cfRule type="expression" dxfId="973" priority="9">
      <formula>H23=1</formula>
    </cfRule>
  </conditionalFormatting>
  <conditionalFormatting sqref="E23:E33 E36:E43">
    <cfRule type="expression" dxfId="972" priority="8">
      <formula>H23=1</formula>
    </cfRule>
  </conditionalFormatting>
  <conditionalFormatting sqref="E23:E33 E36:E43">
    <cfRule type="expression" dxfId="971" priority="7">
      <formula>H23=1</formula>
    </cfRule>
  </conditionalFormatting>
  <conditionalFormatting sqref="F11">
    <cfRule type="containsText" dxfId="970" priority="6" operator="containsText" text="FAIL">
      <formula>NOT(ISERROR(SEARCH("FAIL",F11)))</formula>
    </cfRule>
  </conditionalFormatting>
  <conditionalFormatting sqref="F11">
    <cfRule type="containsText" dxfId="969" priority="5" operator="containsText" text="GOOD">
      <formula>NOT(ISERROR(SEARCH("GOOD",F11)))</formula>
    </cfRule>
  </conditionalFormatting>
  <conditionalFormatting sqref="D34:D35">
    <cfRule type="expression" dxfId="968" priority="4">
      <formula>H34=1</formula>
    </cfRule>
  </conditionalFormatting>
  <conditionalFormatting sqref="C34:C35">
    <cfRule type="expression" dxfId="967" priority="3">
      <formula>H34=1</formula>
    </cfRule>
  </conditionalFormatting>
  <conditionalFormatting sqref="E34:E35">
    <cfRule type="expression" dxfId="966" priority="2">
      <formula>H34=1</formula>
    </cfRule>
  </conditionalFormatting>
  <conditionalFormatting sqref="E34:E35">
    <cfRule type="expression" dxfId="965" priority="1">
      <formula>H34=1</formula>
    </cfRule>
  </conditionalFormatting>
  <pageMargins left="0.7" right="0.7" top="0.75" bottom="0.75" header="0.3" footer="0.3"/>
  <pageSetup orientation="portrait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300-000000000000}">
  <sheetPr codeName="Sheet165"/>
  <dimension ref="A2:O47"/>
  <sheetViews>
    <sheetView topLeftCell="A4" workbookViewId="0">
      <selection activeCell="I29" sqref="I29"/>
    </sheetView>
  </sheetViews>
  <sheetFormatPr defaultRowHeight="15" x14ac:dyDescent="0.25"/>
  <cols>
    <col min="1" max="2" width="4.42578125" customWidth="1"/>
    <col min="3" max="3" width="3" customWidth="1"/>
    <col min="4" max="4" width="24.85546875" customWidth="1"/>
    <col min="5" max="5" width="3" customWidth="1"/>
    <col min="6" max="6" width="15.7109375" customWidth="1"/>
    <col min="7" max="7" width="8.5703125" customWidth="1"/>
    <col min="8" max="8" width="5.85546875" customWidth="1"/>
    <col min="9" max="15" width="15.7109375" customWidth="1"/>
  </cols>
  <sheetData>
    <row r="2" spans="1:11" x14ac:dyDescent="0.25">
      <c r="C2" s="15" t="s">
        <v>32</v>
      </c>
      <c r="E2" s="15"/>
      <c r="F2" s="15"/>
      <c r="G2" s="15" t="s">
        <v>33</v>
      </c>
      <c r="H2" s="15"/>
      <c r="I2" s="15"/>
      <c r="J2" s="15"/>
      <c r="K2" s="15"/>
    </row>
    <row r="3" spans="1:11" ht="18.75" x14ac:dyDescent="0.3">
      <c r="C3" s="3" t="s">
        <v>26</v>
      </c>
      <c r="J3" s="8" t="s">
        <v>17</v>
      </c>
    </row>
    <row r="4" spans="1:11" x14ac:dyDescent="0.25">
      <c r="D4" s="2" t="s">
        <v>0</v>
      </c>
      <c r="E4" s="1"/>
      <c r="F4" t="s">
        <v>372</v>
      </c>
      <c r="I4" s="2" t="s">
        <v>4</v>
      </c>
    </row>
    <row r="5" spans="1:11" x14ac:dyDescent="0.25">
      <c r="D5" s="2" t="s">
        <v>1</v>
      </c>
      <c r="F5" t="s">
        <v>373</v>
      </c>
    </row>
    <row r="6" spans="1:11" x14ac:dyDescent="0.25">
      <c r="D6" s="2" t="s">
        <v>2</v>
      </c>
      <c r="F6" s="6">
        <v>42102</v>
      </c>
      <c r="H6" s="11"/>
    </row>
    <row r="7" spans="1:11" x14ac:dyDescent="0.25">
      <c r="D7" s="2" t="s">
        <v>3</v>
      </c>
      <c r="F7" s="5">
        <v>1300000</v>
      </c>
      <c r="G7" s="23" t="s">
        <v>374</v>
      </c>
      <c r="H7" s="11"/>
    </row>
    <row r="8" spans="1:11" x14ac:dyDescent="0.25">
      <c r="D8" s="2" t="s">
        <v>18</v>
      </c>
      <c r="F8" s="5">
        <f>MIN(I23:I43)</f>
        <v>878175</v>
      </c>
      <c r="H8" s="11"/>
    </row>
    <row r="9" spans="1:11" x14ac:dyDescent="0.25">
      <c r="D9" s="2" t="s">
        <v>67</v>
      </c>
      <c r="F9" s="4">
        <f>+F8-F7</f>
        <v>-421825</v>
      </c>
      <c r="G9" s="16">
        <f>+F9/F7</f>
        <v>-0.32448076923076924</v>
      </c>
      <c r="H9" s="12" t="s">
        <v>20</v>
      </c>
      <c r="I9" s="11" t="str">
        <f>(IF(G9&lt;-0.1,"FAIL",IF(G9&gt;0.05,"FAIL","GOOD")))</f>
        <v>FAIL</v>
      </c>
      <c r="J9" s="14" t="s">
        <v>72</v>
      </c>
    </row>
    <row r="10" spans="1:11" x14ac:dyDescent="0.25">
      <c r="D10" s="2" t="s">
        <v>68</v>
      </c>
      <c r="F10" s="4">
        <f>+F7-F12</f>
        <v>-232892.55714285723</v>
      </c>
      <c r="H10" s="11"/>
    </row>
    <row r="11" spans="1:11" x14ac:dyDescent="0.25">
      <c r="A11" s="30"/>
      <c r="D11" s="2" t="s">
        <v>71</v>
      </c>
      <c r="F11" s="11" t="str">
        <f>(IF(F7&lt;J12,"FAIL",IF(F7&gt;J13,"FAIL","GOOD")))</f>
        <v>GOOD</v>
      </c>
      <c r="H11" s="11"/>
    </row>
    <row r="12" spans="1:11" x14ac:dyDescent="0.25">
      <c r="D12" s="2" t="s">
        <v>28</v>
      </c>
      <c r="F12" s="4">
        <f>SUM(I23:I43)/H12</f>
        <v>1532892.5571428572</v>
      </c>
      <c r="G12" s="14"/>
      <c r="H12" s="11">
        <f>COUNT(I23:I43)</f>
        <v>7</v>
      </c>
      <c r="I12" s="1" t="s">
        <v>31</v>
      </c>
      <c r="J12" s="4">
        <f>+F8*0.9</f>
        <v>790357.5</v>
      </c>
      <c r="K12" s="1" t="s">
        <v>69</v>
      </c>
    </row>
    <row r="13" spans="1:11" x14ac:dyDescent="0.25">
      <c r="D13" s="2" t="s">
        <v>29</v>
      </c>
      <c r="F13" s="4">
        <f>MAX(I23:I43)-MIN(I23:I43)</f>
        <v>1010625</v>
      </c>
      <c r="G13" s="399">
        <f>MEDIAN(I23:I43)</f>
        <v>1645367.9</v>
      </c>
      <c r="H13" s="400"/>
      <c r="I13" s="1" t="s">
        <v>30</v>
      </c>
      <c r="J13" s="4">
        <f>+F12*1.1</f>
        <v>1686181.8128571431</v>
      </c>
      <c r="K13" s="1" t="s">
        <v>70</v>
      </c>
    </row>
    <row r="14" spans="1:11" x14ac:dyDescent="0.25">
      <c r="H14" s="11"/>
    </row>
    <row r="15" spans="1:11" x14ac:dyDescent="0.25">
      <c r="D15" s="2" t="s">
        <v>8</v>
      </c>
      <c r="F15" s="4"/>
      <c r="G15" s="1" t="s">
        <v>9</v>
      </c>
      <c r="H15" s="11"/>
      <c r="I15" t="s">
        <v>15</v>
      </c>
      <c r="J15" s="7" t="e">
        <f>+F16/F15</f>
        <v>#DIV/0!</v>
      </c>
    </row>
    <row r="16" spans="1:11" x14ac:dyDescent="0.25">
      <c r="F16" s="4"/>
      <c r="G16" s="1" t="s">
        <v>10</v>
      </c>
      <c r="H16" s="11"/>
      <c r="I16" t="s">
        <v>14</v>
      </c>
      <c r="J16" s="7" t="e">
        <f>+F17/F16</f>
        <v>#DIV/0!</v>
      </c>
    </row>
    <row r="17" spans="3:15" x14ac:dyDescent="0.25">
      <c r="F17" s="4"/>
      <c r="G17" s="1" t="s">
        <v>11</v>
      </c>
      <c r="H17" s="11"/>
      <c r="I17" t="s">
        <v>13</v>
      </c>
      <c r="J17" s="7" t="e">
        <f>+F18/F17</f>
        <v>#DIV/0!</v>
      </c>
      <c r="M17" s="21"/>
      <c r="N17" s="21"/>
      <c r="O17" s="21"/>
    </row>
    <row r="18" spans="3:15" x14ac:dyDescent="0.25">
      <c r="F18" s="4"/>
      <c r="G18" s="1" t="s">
        <v>12</v>
      </c>
      <c r="H18" s="11"/>
      <c r="I18" t="s">
        <v>16</v>
      </c>
      <c r="J18" s="7" t="e">
        <f>+F8/F18</f>
        <v>#DIV/0!</v>
      </c>
      <c r="M18" s="21"/>
      <c r="N18" s="21"/>
      <c r="O18" s="21"/>
    </row>
    <row r="19" spans="3:15" x14ac:dyDescent="0.25">
      <c r="F19" s="2" t="s">
        <v>51</v>
      </c>
      <c r="G19">
        <v>0</v>
      </c>
      <c r="H19" s="11" t="s">
        <v>52</v>
      </c>
      <c r="I19" t="s">
        <v>41</v>
      </c>
      <c r="J19" s="7" t="e">
        <f>+F8/F15</f>
        <v>#DIV/0!</v>
      </c>
      <c r="M19" s="21"/>
      <c r="N19" s="21"/>
      <c r="O19" s="21"/>
    </row>
    <row r="20" spans="3:15" x14ac:dyDescent="0.25">
      <c r="H20" s="11"/>
      <c r="M20" s="21"/>
      <c r="N20" s="21"/>
      <c r="O20" s="21"/>
    </row>
    <row r="21" spans="3:15" x14ac:dyDescent="0.25">
      <c r="C21" s="9"/>
      <c r="D21" s="13" t="s">
        <v>21</v>
      </c>
      <c r="E21" s="9"/>
      <c r="F21" s="9" t="s">
        <v>22</v>
      </c>
      <c r="G21" s="9" t="s">
        <v>23</v>
      </c>
      <c r="H21" s="13" t="s">
        <v>27</v>
      </c>
      <c r="I21" s="10" t="s">
        <v>24</v>
      </c>
      <c r="J21" s="9"/>
      <c r="K21" s="9"/>
      <c r="L21" s="9"/>
      <c r="M21" s="21"/>
      <c r="N21" s="21"/>
      <c r="O21" s="21"/>
    </row>
    <row r="22" spans="3:15" ht="6" customHeight="1" x14ac:dyDescent="0.25">
      <c r="M22" s="21"/>
      <c r="N22" s="21"/>
      <c r="O22" s="21"/>
    </row>
    <row r="23" spans="3:15" x14ac:dyDescent="0.25">
      <c r="C23" s="33" t="str">
        <f>IF(H23=1,"u","")</f>
        <v>u</v>
      </c>
      <c r="D23" s="23" t="s">
        <v>375</v>
      </c>
      <c r="E23" s="33"/>
      <c r="F23" t="s">
        <v>376</v>
      </c>
      <c r="G23" t="s">
        <v>93</v>
      </c>
      <c r="H23">
        <f>RANK(I23,I$23:I$43,1)</f>
        <v>1</v>
      </c>
      <c r="I23" s="4">
        <v>878175</v>
      </c>
      <c r="J23" s="4"/>
      <c r="K23" s="4"/>
      <c r="L23" s="4"/>
      <c r="M23" s="22"/>
      <c r="N23" s="22"/>
      <c r="O23" s="22"/>
    </row>
    <row r="24" spans="3:15" x14ac:dyDescent="0.25">
      <c r="C24" s="33" t="str">
        <f>IF(H24=1,"u","")</f>
        <v/>
      </c>
      <c r="D24" s="23" t="s">
        <v>377</v>
      </c>
      <c r="E24" s="33"/>
      <c r="F24" t="s">
        <v>113</v>
      </c>
      <c r="G24" t="s">
        <v>25</v>
      </c>
      <c r="H24">
        <f t="shared" ref="H24:H29" si="0">RANK(I24,I$23:I$43,1)</f>
        <v>2</v>
      </c>
      <c r="I24" s="4">
        <v>1321680</v>
      </c>
      <c r="J24" s="4"/>
      <c r="K24" s="4"/>
      <c r="L24" s="4"/>
      <c r="M24" s="22"/>
      <c r="N24" s="22"/>
      <c r="O24" s="22"/>
    </row>
    <row r="25" spans="3:15" x14ac:dyDescent="0.25">
      <c r="C25" s="33" t="str">
        <f>IF(H25=1,"u","")</f>
        <v/>
      </c>
      <c r="D25" s="23" t="s">
        <v>146</v>
      </c>
      <c r="E25" s="33"/>
      <c r="F25" t="s">
        <v>354</v>
      </c>
      <c r="G25" t="s">
        <v>355</v>
      </c>
      <c r="H25">
        <f t="shared" si="0"/>
        <v>3</v>
      </c>
      <c r="I25" s="4">
        <v>1493925</v>
      </c>
      <c r="J25" s="4"/>
      <c r="K25" s="4"/>
      <c r="L25" s="4"/>
      <c r="M25" s="22"/>
      <c r="N25" s="22"/>
      <c r="O25" s="22"/>
    </row>
    <row r="26" spans="3:15" x14ac:dyDescent="0.25">
      <c r="C26" s="33" t="str">
        <f t="shared" ref="C26:C43" si="1">IF(H26=1,"u","")</f>
        <v/>
      </c>
      <c r="D26" s="23" t="s">
        <v>378</v>
      </c>
      <c r="E26" s="33"/>
      <c r="F26" t="s">
        <v>323</v>
      </c>
      <c r="G26" t="s">
        <v>25</v>
      </c>
      <c r="H26">
        <f t="shared" si="0"/>
        <v>4</v>
      </c>
      <c r="I26" s="4">
        <v>1645367.9</v>
      </c>
      <c r="J26" s="4"/>
      <c r="K26" s="4"/>
      <c r="L26" s="4"/>
      <c r="M26" s="22"/>
      <c r="N26" s="22"/>
      <c r="O26" s="22"/>
    </row>
    <row r="27" spans="3:15" x14ac:dyDescent="0.25">
      <c r="C27" s="33" t="str">
        <f t="shared" si="1"/>
        <v/>
      </c>
      <c r="D27" s="23" t="s">
        <v>379</v>
      </c>
      <c r="E27" s="33" t="str">
        <f t="shared" ref="E27:E43" si="2">IF(H27=1,"t","")</f>
        <v/>
      </c>
      <c r="F27" t="s">
        <v>380</v>
      </c>
      <c r="G27" t="s">
        <v>93</v>
      </c>
      <c r="H27">
        <f t="shared" si="0"/>
        <v>5</v>
      </c>
      <c r="I27" s="4">
        <v>1726800</v>
      </c>
      <c r="J27" s="4"/>
      <c r="K27" s="4"/>
      <c r="L27" s="4"/>
      <c r="M27" s="22"/>
      <c r="N27" s="22"/>
      <c r="O27" s="22"/>
    </row>
    <row r="28" spans="3:15" x14ac:dyDescent="0.25">
      <c r="C28" s="33" t="str">
        <f t="shared" si="1"/>
        <v/>
      </c>
      <c r="D28" s="23" t="s">
        <v>84</v>
      </c>
      <c r="E28" s="33" t="str">
        <f t="shared" si="2"/>
        <v/>
      </c>
      <c r="F28" t="s">
        <v>381</v>
      </c>
      <c r="G28" t="s">
        <v>93</v>
      </c>
      <c r="H28">
        <f t="shared" si="0"/>
        <v>6</v>
      </c>
      <c r="I28" s="4">
        <v>1775500</v>
      </c>
      <c r="J28" s="4"/>
      <c r="K28" s="4"/>
      <c r="L28" s="4"/>
      <c r="M28" s="22"/>
      <c r="N28" s="22"/>
      <c r="O28" s="22"/>
    </row>
    <row r="29" spans="3:15" x14ac:dyDescent="0.25">
      <c r="C29" s="33" t="str">
        <f t="shared" si="1"/>
        <v/>
      </c>
      <c r="D29" s="23" t="s">
        <v>382</v>
      </c>
      <c r="E29" s="33" t="str">
        <f t="shared" si="2"/>
        <v/>
      </c>
      <c r="F29" t="s">
        <v>131</v>
      </c>
      <c r="G29" t="s">
        <v>25</v>
      </c>
      <c r="H29">
        <f t="shared" si="0"/>
        <v>7</v>
      </c>
      <c r="I29" s="4">
        <v>1888800</v>
      </c>
      <c r="J29" s="4"/>
      <c r="K29" s="4"/>
      <c r="L29" s="4"/>
      <c r="M29" s="22"/>
      <c r="N29" s="22"/>
      <c r="O29" s="22"/>
    </row>
    <row r="30" spans="3:15" x14ac:dyDescent="0.25">
      <c r="C30" s="33" t="str">
        <f t="shared" si="1"/>
        <v/>
      </c>
      <c r="D30" s="23"/>
      <c r="E30" s="33" t="str">
        <f t="shared" si="2"/>
        <v/>
      </c>
      <c r="I30" s="4"/>
      <c r="J30" s="4"/>
      <c r="K30" s="4"/>
      <c r="L30" s="4"/>
      <c r="M30" s="22"/>
      <c r="N30" s="22"/>
      <c r="O30" s="22"/>
    </row>
    <row r="31" spans="3:15" x14ac:dyDescent="0.25">
      <c r="C31" s="33" t="str">
        <f t="shared" si="1"/>
        <v/>
      </c>
      <c r="D31" s="23"/>
      <c r="E31" s="33" t="str">
        <f t="shared" si="2"/>
        <v/>
      </c>
      <c r="I31" s="4"/>
      <c r="J31" s="4"/>
      <c r="K31" s="4"/>
      <c r="L31" s="4"/>
      <c r="M31" s="22"/>
      <c r="N31" s="22"/>
      <c r="O31" s="22"/>
    </row>
    <row r="32" spans="3:15" x14ac:dyDescent="0.25">
      <c r="C32" s="33" t="str">
        <f t="shared" si="1"/>
        <v/>
      </c>
      <c r="D32" s="23"/>
      <c r="E32" s="33" t="str">
        <f t="shared" si="2"/>
        <v/>
      </c>
      <c r="I32" s="4"/>
      <c r="J32" s="4"/>
      <c r="K32" s="4"/>
      <c r="L32" s="4"/>
      <c r="M32" s="22"/>
      <c r="N32" s="22"/>
      <c r="O32" s="22"/>
    </row>
    <row r="33" spans="3:15" x14ac:dyDescent="0.25">
      <c r="C33" s="33" t="str">
        <f t="shared" si="1"/>
        <v/>
      </c>
      <c r="D33" s="23"/>
      <c r="E33" s="33" t="str">
        <f t="shared" si="2"/>
        <v/>
      </c>
      <c r="M33" s="21"/>
      <c r="N33" s="21"/>
      <c r="O33" s="21"/>
    </row>
    <row r="34" spans="3:15" x14ac:dyDescent="0.25">
      <c r="C34" s="33" t="str">
        <f t="shared" si="1"/>
        <v/>
      </c>
      <c r="D34" s="23"/>
      <c r="E34" s="33" t="str">
        <f t="shared" si="2"/>
        <v/>
      </c>
      <c r="M34" s="21"/>
      <c r="N34" s="21"/>
      <c r="O34" s="21"/>
    </row>
    <row r="35" spans="3:15" x14ac:dyDescent="0.25">
      <c r="C35" s="33" t="str">
        <f t="shared" si="1"/>
        <v/>
      </c>
      <c r="D35" s="23"/>
      <c r="E35" s="33" t="str">
        <f t="shared" si="2"/>
        <v/>
      </c>
      <c r="M35" s="21"/>
      <c r="N35" s="21"/>
      <c r="O35" s="21"/>
    </row>
    <row r="36" spans="3:15" x14ac:dyDescent="0.25">
      <c r="C36" s="33" t="str">
        <f t="shared" si="1"/>
        <v/>
      </c>
      <c r="D36" s="11"/>
      <c r="E36" s="33" t="str">
        <f t="shared" si="2"/>
        <v/>
      </c>
      <c r="M36" s="21"/>
      <c r="N36" s="21"/>
      <c r="O36" s="21"/>
    </row>
    <row r="37" spans="3:15" x14ac:dyDescent="0.25">
      <c r="C37" s="33" t="str">
        <f t="shared" si="1"/>
        <v/>
      </c>
      <c r="D37" s="11"/>
      <c r="E37" s="33" t="str">
        <f t="shared" si="2"/>
        <v/>
      </c>
      <c r="M37" s="21"/>
      <c r="N37" s="21"/>
      <c r="O37" s="21"/>
    </row>
    <row r="38" spans="3:15" x14ac:dyDescent="0.25">
      <c r="C38" s="33" t="str">
        <f t="shared" si="1"/>
        <v/>
      </c>
      <c r="D38" s="11"/>
      <c r="E38" s="33" t="str">
        <f t="shared" si="2"/>
        <v/>
      </c>
      <c r="M38" s="21"/>
      <c r="N38" s="21"/>
      <c r="O38" s="21"/>
    </row>
    <row r="39" spans="3:15" x14ac:dyDescent="0.25">
      <c r="C39" s="33" t="str">
        <f t="shared" si="1"/>
        <v/>
      </c>
      <c r="D39" s="11"/>
      <c r="E39" s="33" t="str">
        <f t="shared" si="2"/>
        <v/>
      </c>
      <c r="M39" s="21"/>
      <c r="N39" s="21"/>
      <c r="O39" s="21"/>
    </row>
    <row r="40" spans="3:15" x14ac:dyDescent="0.25">
      <c r="C40" s="33" t="str">
        <f t="shared" si="1"/>
        <v/>
      </c>
      <c r="D40" s="11"/>
      <c r="E40" s="33" t="str">
        <f t="shared" si="2"/>
        <v/>
      </c>
      <c r="M40" s="21"/>
      <c r="N40" s="21"/>
      <c r="O40" s="21"/>
    </row>
    <row r="41" spans="3:15" x14ac:dyDescent="0.25">
      <c r="C41" s="33" t="str">
        <f t="shared" si="1"/>
        <v/>
      </c>
      <c r="D41" s="11"/>
      <c r="E41" s="33" t="str">
        <f t="shared" si="2"/>
        <v/>
      </c>
      <c r="M41" s="21"/>
      <c r="N41" s="21"/>
      <c r="O41" s="21"/>
    </row>
    <row r="42" spans="3:15" x14ac:dyDescent="0.25">
      <c r="C42" s="33" t="str">
        <f t="shared" si="1"/>
        <v/>
      </c>
      <c r="D42" s="11"/>
      <c r="E42" s="33" t="str">
        <f t="shared" si="2"/>
        <v/>
      </c>
      <c r="M42" s="21"/>
      <c r="N42" s="21"/>
      <c r="O42" s="21"/>
    </row>
    <row r="43" spans="3:15" x14ac:dyDescent="0.25">
      <c r="C43" s="33" t="str">
        <f t="shared" si="1"/>
        <v/>
      </c>
      <c r="D43" s="11"/>
      <c r="E43" s="33" t="str">
        <f t="shared" si="2"/>
        <v/>
      </c>
      <c r="M43" s="21"/>
      <c r="N43" s="21"/>
      <c r="O43" s="21"/>
    </row>
    <row r="44" spans="3:15" ht="6" customHeight="1" x14ac:dyDescent="0.25">
      <c r="C44" s="9"/>
      <c r="D44" s="9"/>
      <c r="E44" s="9"/>
      <c r="F44" s="9"/>
      <c r="G44" s="9"/>
      <c r="H44" s="9"/>
      <c r="I44" s="9"/>
      <c r="J44" s="9"/>
      <c r="K44" s="9"/>
      <c r="L44" s="9"/>
      <c r="M44" s="21"/>
      <c r="N44" s="21"/>
      <c r="O44" s="21"/>
    </row>
    <row r="45" spans="3:15" ht="6" customHeight="1" x14ac:dyDescent="0.25">
      <c r="M45" s="21"/>
      <c r="N45" s="21"/>
      <c r="O45" s="21"/>
    </row>
    <row r="46" spans="3:15" x14ac:dyDescent="0.25">
      <c r="C46" s="15" t="s">
        <v>79</v>
      </c>
      <c r="M46" s="21"/>
      <c r="N46" s="21"/>
      <c r="O46" s="21"/>
    </row>
    <row r="47" spans="3:15" x14ac:dyDescent="0.25">
      <c r="C47" s="15" t="s">
        <v>78</v>
      </c>
    </row>
  </sheetData>
  <mergeCells count="1">
    <mergeCell ref="G13:H13"/>
  </mergeCells>
  <conditionalFormatting sqref="I9">
    <cfRule type="containsText" dxfId="127" priority="10" operator="containsText" text="FAIL">
      <formula>NOT(ISERROR(SEARCH("FAIL",I9)))</formula>
    </cfRule>
  </conditionalFormatting>
  <conditionalFormatting sqref="I9">
    <cfRule type="containsText" dxfId="126" priority="9" operator="containsText" text="GOOD">
      <formula>NOT(ISERROR(SEARCH("GOOD",I9)))</formula>
    </cfRule>
  </conditionalFormatting>
  <conditionalFormatting sqref="F11">
    <cfRule type="containsText" dxfId="125" priority="8" operator="containsText" text="FAIL">
      <formula>NOT(ISERROR(SEARCH("FAIL",F11)))</formula>
    </cfRule>
  </conditionalFormatting>
  <conditionalFormatting sqref="F11">
    <cfRule type="containsText" dxfId="124" priority="7" operator="containsText" text="GOOD">
      <formula>NOT(ISERROR(SEARCH("GOOD",F11)))</formula>
    </cfRule>
  </conditionalFormatting>
  <conditionalFormatting sqref="D25">
    <cfRule type="expression" dxfId="123" priority="6" stopIfTrue="1">
      <formula>IF($H$25=1,0)</formula>
    </cfRule>
  </conditionalFormatting>
  <conditionalFormatting sqref="D23:D43">
    <cfRule type="expression" dxfId="122" priority="5">
      <formula>H23=1</formula>
    </cfRule>
  </conditionalFormatting>
  <conditionalFormatting sqref="C23:C43">
    <cfRule type="expression" dxfId="121" priority="4">
      <formula>H23=1</formula>
    </cfRule>
  </conditionalFormatting>
  <conditionalFormatting sqref="E23:E43">
    <cfRule type="expression" dxfId="120" priority="3">
      <formula>H23=1</formula>
    </cfRule>
  </conditionalFormatting>
  <conditionalFormatting sqref="F11">
    <cfRule type="containsText" dxfId="119" priority="2" operator="containsText" text="FAIL">
      <formula>NOT(ISERROR(SEARCH("FAIL",F11)))</formula>
    </cfRule>
  </conditionalFormatting>
  <conditionalFormatting sqref="F11">
    <cfRule type="containsText" dxfId="118" priority="1" operator="containsText" text="GOOD">
      <formula>NOT(ISERROR(SEARCH("GOOD",F11)))</formula>
    </cfRule>
  </conditionalFormatting>
  <pageMargins left="0.7" right="0.7" top="0.75" bottom="0.75" header="0.3" footer="0.3"/>
  <pageSetup orientation="portrait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C00-000000000000}">
  <sheetPr codeName="Sheet142"/>
  <dimension ref="A2:O47"/>
  <sheetViews>
    <sheetView topLeftCell="A10" workbookViewId="0">
      <selection activeCell="G8" sqref="G8"/>
    </sheetView>
  </sheetViews>
  <sheetFormatPr defaultRowHeight="15" x14ac:dyDescent="0.25"/>
  <cols>
    <col min="1" max="2" width="4.42578125" customWidth="1"/>
    <col min="3" max="3" width="3" customWidth="1"/>
    <col min="4" max="4" width="24.85546875" customWidth="1"/>
    <col min="5" max="5" width="3" customWidth="1"/>
    <col min="6" max="6" width="15.7109375" customWidth="1"/>
    <col min="7" max="7" width="8.5703125" customWidth="1"/>
    <col min="8" max="8" width="5.85546875" customWidth="1"/>
    <col min="9" max="15" width="15.7109375" customWidth="1"/>
  </cols>
  <sheetData>
    <row r="2" spans="1:11" x14ac:dyDescent="0.25">
      <c r="C2" s="15" t="s">
        <v>32</v>
      </c>
      <c r="E2" s="15"/>
      <c r="F2" s="15"/>
      <c r="G2" s="15" t="s">
        <v>33</v>
      </c>
      <c r="H2" s="15"/>
      <c r="I2" s="15"/>
      <c r="J2" s="15"/>
      <c r="K2" s="15"/>
    </row>
    <row r="3" spans="1:11" ht="18.75" x14ac:dyDescent="0.3">
      <c r="C3" s="3" t="s">
        <v>26</v>
      </c>
      <c r="J3" s="8" t="s">
        <v>17</v>
      </c>
    </row>
    <row r="4" spans="1:11" x14ac:dyDescent="0.25">
      <c r="D4" s="2" t="s">
        <v>0</v>
      </c>
      <c r="E4" s="1"/>
      <c r="F4" t="s">
        <v>117</v>
      </c>
      <c r="I4" s="2" t="s">
        <v>4</v>
      </c>
    </row>
    <row r="5" spans="1:11" x14ac:dyDescent="0.25">
      <c r="D5" s="2" t="s">
        <v>1</v>
      </c>
      <c r="F5" t="s">
        <v>118</v>
      </c>
    </row>
    <row r="6" spans="1:11" x14ac:dyDescent="0.25">
      <c r="D6" s="2" t="s">
        <v>2</v>
      </c>
      <c r="F6" s="6">
        <v>42277</v>
      </c>
      <c r="H6" s="11"/>
    </row>
    <row r="7" spans="1:11" x14ac:dyDescent="0.25">
      <c r="D7" s="2" t="s">
        <v>3</v>
      </c>
      <c r="F7" s="5">
        <v>7000000</v>
      </c>
      <c r="G7" s="2" t="s">
        <v>34</v>
      </c>
      <c r="H7" s="11"/>
    </row>
    <row r="8" spans="1:11" x14ac:dyDescent="0.25">
      <c r="D8" s="2" t="s">
        <v>18</v>
      </c>
      <c r="F8" s="5">
        <f>MIN(I23:I43)</f>
        <v>5851111</v>
      </c>
      <c r="H8" s="11"/>
    </row>
    <row r="9" spans="1:11" x14ac:dyDescent="0.25">
      <c r="D9" s="2" t="s">
        <v>67</v>
      </c>
      <c r="F9" s="4">
        <f>+F8-F7</f>
        <v>-1148889</v>
      </c>
      <c r="G9" s="16">
        <f>+F9/F7</f>
        <v>-0.164127</v>
      </c>
      <c r="H9" s="12" t="s">
        <v>20</v>
      </c>
      <c r="I9" s="11" t="str">
        <f>(IF(G9&lt;-0.1,"FAIL",IF(G9&gt;0.05,"FAIL","GOOD")))</f>
        <v>FAIL</v>
      </c>
      <c r="J9" s="14" t="s">
        <v>72</v>
      </c>
    </row>
    <row r="10" spans="1:11" x14ac:dyDescent="0.25">
      <c r="D10" s="2" t="s">
        <v>68</v>
      </c>
      <c r="F10" s="4">
        <f>+F7-F12</f>
        <v>-1743508.4000000004</v>
      </c>
      <c r="H10" s="11"/>
    </row>
    <row r="11" spans="1:11" x14ac:dyDescent="0.25">
      <c r="A11" s="30"/>
      <c r="D11" s="2" t="s">
        <v>71</v>
      </c>
      <c r="F11" s="11" t="str">
        <f>(IF(F7&lt;J12,"FAIL",IF(F7&gt;J13,"FAIL","GOOD")))</f>
        <v>GOOD</v>
      </c>
      <c r="H11" s="11"/>
    </row>
    <row r="12" spans="1:11" x14ac:dyDescent="0.25">
      <c r="D12" s="2" t="s">
        <v>28</v>
      </c>
      <c r="F12" s="4">
        <f>SUM(I23:I43)/H12</f>
        <v>8743508.4000000004</v>
      </c>
      <c r="G12" s="14"/>
      <c r="H12" s="11">
        <f>COUNT(I23:I43)</f>
        <v>15</v>
      </c>
      <c r="I12" s="1" t="s">
        <v>31</v>
      </c>
      <c r="J12" s="4">
        <f>+F8*0.9</f>
        <v>5265999.9000000004</v>
      </c>
      <c r="K12" s="1" t="s">
        <v>69</v>
      </c>
    </row>
    <row r="13" spans="1:11" x14ac:dyDescent="0.25">
      <c r="D13" s="2" t="s">
        <v>29</v>
      </c>
      <c r="F13" s="4">
        <f>MAX(I23:I43)-MIN(I23:I43)</f>
        <v>5695989</v>
      </c>
      <c r="G13" s="399">
        <f>MEDIAN(I23:I43)</f>
        <v>8951252</v>
      </c>
      <c r="H13" s="400"/>
      <c r="I13" s="1" t="s">
        <v>30</v>
      </c>
      <c r="J13" s="4">
        <f>+F12*1.1</f>
        <v>9617859.2400000021</v>
      </c>
      <c r="K13" s="1" t="s">
        <v>70</v>
      </c>
    </row>
    <row r="14" spans="1:11" x14ac:dyDescent="0.25">
      <c r="H14" s="11"/>
    </row>
    <row r="15" spans="1:11" x14ac:dyDescent="0.25">
      <c r="D15" s="2" t="s">
        <v>8</v>
      </c>
      <c r="F15" s="4"/>
      <c r="G15" s="1" t="s">
        <v>9</v>
      </c>
      <c r="H15" s="11"/>
      <c r="I15" t="s">
        <v>15</v>
      </c>
      <c r="J15" s="7" t="e">
        <f>+F16/F15</f>
        <v>#DIV/0!</v>
      </c>
    </row>
    <row r="16" spans="1:11" x14ac:dyDescent="0.25">
      <c r="F16" s="4"/>
      <c r="G16" s="1" t="s">
        <v>10</v>
      </c>
      <c r="H16" s="11"/>
      <c r="I16" t="s">
        <v>14</v>
      </c>
      <c r="J16" s="7" t="e">
        <f>+F17/F16</f>
        <v>#DIV/0!</v>
      </c>
    </row>
    <row r="17" spans="3:15" x14ac:dyDescent="0.25">
      <c r="F17" s="4"/>
      <c r="G17" s="1" t="s">
        <v>11</v>
      </c>
      <c r="H17" s="11"/>
      <c r="I17" t="s">
        <v>13</v>
      </c>
      <c r="J17" s="7" t="e">
        <f>+F18/F17</f>
        <v>#DIV/0!</v>
      </c>
      <c r="M17" s="21"/>
      <c r="N17" s="21"/>
      <c r="O17" s="21"/>
    </row>
    <row r="18" spans="3:15" x14ac:dyDescent="0.25">
      <c r="F18" s="4"/>
      <c r="G18" s="1" t="s">
        <v>12</v>
      </c>
      <c r="H18" s="11"/>
      <c r="I18" t="s">
        <v>16</v>
      </c>
      <c r="J18" s="7" t="e">
        <f>+F8/F18</f>
        <v>#DIV/0!</v>
      </c>
      <c r="M18" s="21"/>
      <c r="N18" s="21"/>
      <c r="O18" s="21"/>
    </row>
    <row r="19" spans="3:15" x14ac:dyDescent="0.25">
      <c r="F19" s="2" t="s">
        <v>51</v>
      </c>
      <c r="H19" s="11" t="s">
        <v>52</v>
      </c>
      <c r="I19" t="s">
        <v>41</v>
      </c>
      <c r="J19" s="7" t="e">
        <f>+F8/F15</f>
        <v>#DIV/0!</v>
      </c>
      <c r="M19" s="21"/>
      <c r="N19" s="21"/>
      <c r="O19" s="21"/>
    </row>
    <row r="20" spans="3:15" x14ac:dyDescent="0.25">
      <c r="H20" s="11"/>
      <c r="M20" s="21"/>
      <c r="N20" s="21"/>
      <c r="O20" s="21"/>
    </row>
    <row r="21" spans="3:15" x14ac:dyDescent="0.25">
      <c r="C21" s="9"/>
      <c r="D21" s="13" t="s">
        <v>21</v>
      </c>
      <c r="E21" s="9"/>
      <c r="F21" s="9" t="s">
        <v>22</v>
      </c>
      <c r="G21" s="9" t="s">
        <v>23</v>
      </c>
      <c r="H21" s="13" t="s">
        <v>27</v>
      </c>
      <c r="I21" s="10" t="s">
        <v>24</v>
      </c>
      <c r="J21" s="9"/>
      <c r="K21" s="9"/>
      <c r="L21" s="9"/>
      <c r="M21" s="21"/>
      <c r="N21" s="21"/>
      <c r="O21" s="21"/>
    </row>
    <row r="22" spans="3:15" ht="6" customHeight="1" x14ac:dyDescent="0.25">
      <c r="M22" s="21"/>
      <c r="N22" s="21"/>
      <c r="O22" s="21"/>
    </row>
    <row r="23" spans="3:15" x14ac:dyDescent="0.25">
      <c r="C23" s="33" t="str">
        <f>IF(H23=1,"u","")</f>
        <v>u</v>
      </c>
      <c r="D23" s="23" t="s">
        <v>119</v>
      </c>
      <c r="E23" s="33"/>
      <c r="F23" t="s">
        <v>120</v>
      </c>
      <c r="G23" t="s">
        <v>25</v>
      </c>
      <c r="H23">
        <f>RANK(I23,I$23:I$43,1)</f>
        <v>1</v>
      </c>
      <c r="I23" s="4">
        <v>5851111</v>
      </c>
      <c r="J23" s="4"/>
      <c r="K23" s="4"/>
      <c r="L23" s="4"/>
      <c r="M23" s="22"/>
      <c r="N23" s="22"/>
      <c r="O23" s="22"/>
    </row>
    <row r="24" spans="3:15" x14ac:dyDescent="0.25">
      <c r="C24" s="33" t="str">
        <f>IF(H24=1,"u","")</f>
        <v/>
      </c>
      <c r="D24" s="23" t="s">
        <v>121</v>
      </c>
      <c r="E24" s="33"/>
      <c r="F24" t="s">
        <v>122</v>
      </c>
      <c r="G24" t="s">
        <v>25</v>
      </c>
      <c r="H24">
        <f t="shared" ref="H24:H38" si="0">RANK(I24,I$23:I$43,1)</f>
        <v>2</v>
      </c>
      <c r="I24" s="4">
        <v>6789000</v>
      </c>
      <c r="J24" s="4"/>
      <c r="K24" s="4"/>
      <c r="L24" s="4"/>
      <c r="M24" s="22"/>
      <c r="N24" s="22"/>
      <c r="O24" s="22"/>
    </row>
    <row r="25" spans="3:15" x14ac:dyDescent="0.25">
      <c r="C25" s="33" t="str">
        <f>IF(H25=1,"u","")</f>
        <v/>
      </c>
      <c r="D25" s="23" t="s">
        <v>123</v>
      </c>
      <c r="E25" s="33"/>
      <c r="F25" t="s">
        <v>124</v>
      </c>
      <c r="G25" t="s">
        <v>25</v>
      </c>
      <c r="H25">
        <f t="shared" si="0"/>
        <v>3</v>
      </c>
      <c r="I25" s="4">
        <v>6888000</v>
      </c>
      <c r="J25" s="4"/>
      <c r="K25" s="4"/>
      <c r="L25" s="4"/>
      <c r="M25" s="22"/>
      <c r="N25" s="22"/>
      <c r="O25" s="22"/>
    </row>
    <row r="26" spans="3:15" x14ac:dyDescent="0.25">
      <c r="C26" s="33" t="str">
        <f t="shared" ref="C26:C43" si="1">IF(H26=1,"u","")</f>
        <v/>
      </c>
      <c r="D26" s="23" t="s">
        <v>125</v>
      </c>
      <c r="E26" s="33"/>
      <c r="F26" t="s">
        <v>113</v>
      </c>
      <c r="G26" t="s">
        <v>25</v>
      </c>
      <c r="H26">
        <f t="shared" si="0"/>
        <v>4</v>
      </c>
      <c r="I26" s="4">
        <v>6895345</v>
      </c>
      <c r="J26" s="4"/>
      <c r="K26" s="4"/>
      <c r="L26" s="4"/>
      <c r="M26" s="22"/>
      <c r="N26" s="22"/>
      <c r="O26" s="22"/>
    </row>
    <row r="27" spans="3:15" x14ac:dyDescent="0.25">
      <c r="C27" s="33" t="str">
        <f t="shared" si="1"/>
        <v/>
      </c>
      <c r="D27" s="23" t="s">
        <v>126</v>
      </c>
      <c r="E27" s="33" t="str">
        <f t="shared" ref="E27:E43" si="2">IF(H27=1,"t","")</f>
        <v/>
      </c>
      <c r="F27" t="s">
        <v>127</v>
      </c>
      <c r="G27" t="s">
        <v>25</v>
      </c>
      <c r="H27">
        <f t="shared" si="0"/>
        <v>5</v>
      </c>
      <c r="I27" s="4">
        <v>6933102</v>
      </c>
      <c r="J27" s="4"/>
      <c r="K27" s="4"/>
      <c r="L27" s="4"/>
      <c r="M27" s="22"/>
      <c r="N27" s="22"/>
      <c r="O27" s="22"/>
    </row>
    <row r="28" spans="3:15" x14ac:dyDescent="0.25">
      <c r="C28" s="33" t="str">
        <f t="shared" si="1"/>
        <v/>
      </c>
      <c r="D28" s="23" t="s">
        <v>128</v>
      </c>
      <c r="E28" s="33" t="str">
        <f t="shared" si="2"/>
        <v/>
      </c>
      <c r="F28" t="s">
        <v>129</v>
      </c>
      <c r="G28" t="s">
        <v>25</v>
      </c>
      <c r="H28">
        <f t="shared" si="0"/>
        <v>6</v>
      </c>
      <c r="I28" s="4">
        <v>8600000</v>
      </c>
      <c r="J28" s="4"/>
      <c r="K28" s="4"/>
      <c r="L28" s="4"/>
      <c r="M28" s="22"/>
      <c r="N28" s="22"/>
      <c r="O28" s="22"/>
    </row>
    <row r="29" spans="3:15" x14ac:dyDescent="0.25">
      <c r="C29" s="33" t="str">
        <f t="shared" si="1"/>
        <v/>
      </c>
      <c r="D29" s="23" t="s">
        <v>130</v>
      </c>
      <c r="E29" s="33" t="str">
        <f t="shared" si="2"/>
        <v/>
      </c>
      <c r="F29" t="s">
        <v>131</v>
      </c>
      <c r="G29" t="s">
        <v>25</v>
      </c>
      <c r="H29">
        <f t="shared" si="0"/>
        <v>7</v>
      </c>
      <c r="I29" s="4">
        <v>8645045</v>
      </c>
      <c r="J29" s="4"/>
      <c r="K29" s="4"/>
      <c r="L29" s="4"/>
      <c r="M29" s="22"/>
      <c r="N29" s="22"/>
      <c r="O29" s="22"/>
    </row>
    <row r="30" spans="3:15" x14ac:dyDescent="0.25">
      <c r="C30" s="33" t="str">
        <f t="shared" si="1"/>
        <v/>
      </c>
      <c r="D30" s="23" t="s">
        <v>132</v>
      </c>
      <c r="E30" s="33" t="str">
        <f t="shared" si="2"/>
        <v/>
      </c>
      <c r="F30" t="s">
        <v>133</v>
      </c>
      <c r="G30" t="s">
        <v>25</v>
      </c>
      <c r="H30">
        <f t="shared" si="0"/>
        <v>8</v>
      </c>
      <c r="I30" s="4">
        <v>8951252</v>
      </c>
      <c r="J30" s="4"/>
      <c r="K30" s="4"/>
      <c r="L30" s="4"/>
      <c r="M30" s="22"/>
      <c r="N30" s="22"/>
      <c r="O30" s="22"/>
    </row>
    <row r="31" spans="3:15" x14ac:dyDescent="0.25">
      <c r="C31" s="33" t="str">
        <f t="shared" si="1"/>
        <v/>
      </c>
      <c r="D31" s="23" t="s">
        <v>134</v>
      </c>
      <c r="E31" s="33" t="str">
        <f t="shared" si="2"/>
        <v/>
      </c>
      <c r="F31" t="s">
        <v>135</v>
      </c>
      <c r="G31" t="s">
        <v>25</v>
      </c>
      <c r="H31">
        <f t="shared" si="0"/>
        <v>9</v>
      </c>
      <c r="I31" s="4">
        <v>9101255</v>
      </c>
      <c r="J31" s="4"/>
      <c r="K31" s="4"/>
      <c r="L31" s="4"/>
      <c r="M31" s="22"/>
      <c r="N31" s="22"/>
      <c r="O31" s="22"/>
    </row>
    <row r="32" spans="3:15" x14ac:dyDescent="0.25">
      <c r="C32" s="33" t="str">
        <f t="shared" si="1"/>
        <v/>
      </c>
      <c r="D32" s="23" t="s">
        <v>136</v>
      </c>
      <c r="E32" s="33" t="str">
        <f t="shared" si="2"/>
        <v/>
      </c>
      <c r="F32" t="s">
        <v>137</v>
      </c>
      <c r="G32" t="s">
        <v>25</v>
      </c>
      <c r="H32">
        <f t="shared" si="0"/>
        <v>11</v>
      </c>
      <c r="I32" s="4">
        <v>9967000</v>
      </c>
      <c r="J32" s="4"/>
      <c r="K32" s="4"/>
      <c r="L32" s="4"/>
      <c r="M32" s="22"/>
      <c r="N32" s="22"/>
      <c r="O32" s="22"/>
    </row>
    <row r="33" spans="3:15" x14ac:dyDescent="0.25">
      <c r="C33" s="33" t="str">
        <f t="shared" si="1"/>
        <v/>
      </c>
      <c r="D33" s="23" t="s">
        <v>138</v>
      </c>
      <c r="E33" s="33" t="str">
        <f t="shared" si="2"/>
        <v/>
      </c>
      <c r="F33" t="s">
        <v>139</v>
      </c>
      <c r="G33" t="s">
        <v>25</v>
      </c>
      <c r="H33">
        <f t="shared" si="0"/>
        <v>10</v>
      </c>
      <c r="I33" s="4">
        <v>9776776</v>
      </c>
      <c r="M33" s="21"/>
      <c r="N33" s="21"/>
      <c r="O33" s="21"/>
    </row>
    <row r="34" spans="3:15" x14ac:dyDescent="0.25">
      <c r="C34" s="33" t="str">
        <f t="shared" si="1"/>
        <v/>
      </c>
      <c r="D34" s="23" t="s">
        <v>140</v>
      </c>
      <c r="E34" s="33" t="str">
        <f t="shared" si="2"/>
        <v/>
      </c>
      <c r="F34" t="s">
        <v>141</v>
      </c>
      <c r="G34" t="s">
        <v>25</v>
      </c>
      <c r="H34">
        <f t="shared" si="0"/>
        <v>12</v>
      </c>
      <c r="I34" s="4">
        <v>10106600</v>
      </c>
      <c r="M34" s="21"/>
      <c r="N34" s="21"/>
      <c r="O34" s="21"/>
    </row>
    <row r="35" spans="3:15" x14ac:dyDescent="0.25">
      <c r="C35" s="33" t="str">
        <f t="shared" si="1"/>
        <v/>
      </c>
      <c r="D35" s="23" t="s">
        <v>142</v>
      </c>
      <c r="E35" s="33" t="str">
        <f t="shared" si="2"/>
        <v/>
      </c>
      <c r="F35" t="s">
        <v>143</v>
      </c>
      <c r="G35" t="s">
        <v>25</v>
      </c>
      <c r="H35">
        <f t="shared" si="0"/>
        <v>13</v>
      </c>
      <c r="I35" s="4">
        <v>10269040</v>
      </c>
      <c r="M35" s="21"/>
      <c r="N35" s="21"/>
      <c r="O35" s="21"/>
    </row>
    <row r="36" spans="3:15" x14ac:dyDescent="0.25">
      <c r="C36" s="33" t="str">
        <f t="shared" si="1"/>
        <v/>
      </c>
      <c r="D36" s="23" t="s">
        <v>144</v>
      </c>
      <c r="E36" s="33" t="str">
        <f t="shared" si="2"/>
        <v/>
      </c>
      <c r="F36" t="s">
        <v>145</v>
      </c>
      <c r="G36" t="s">
        <v>25</v>
      </c>
      <c r="H36">
        <f t="shared" si="0"/>
        <v>14</v>
      </c>
      <c r="I36" s="4">
        <v>10832000</v>
      </c>
      <c r="M36" s="21"/>
      <c r="N36" s="21"/>
      <c r="O36" s="21"/>
    </row>
    <row r="37" spans="3:15" x14ac:dyDescent="0.25">
      <c r="C37" s="33" t="str">
        <f t="shared" si="1"/>
        <v/>
      </c>
      <c r="D37" s="23" t="s">
        <v>146</v>
      </c>
      <c r="E37" s="33" t="str">
        <f t="shared" si="2"/>
        <v/>
      </c>
      <c r="F37" t="s">
        <v>147</v>
      </c>
      <c r="G37" t="s">
        <v>93</v>
      </c>
      <c r="H37">
        <f t="shared" si="0"/>
        <v>15</v>
      </c>
      <c r="I37" s="4">
        <v>11547100</v>
      </c>
      <c r="M37" s="21"/>
      <c r="N37" s="21"/>
      <c r="O37" s="21"/>
    </row>
    <row r="38" spans="3:15" x14ac:dyDescent="0.25">
      <c r="C38" s="33"/>
      <c r="D38" s="23" t="s">
        <v>148</v>
      </c>
      <c r="E38" s="33"/>
      <c r="F38" t="s">
        <v>149</v>
      </c>
      <c r="G38" t="s">
        <v>25</v>
      </c>
      <c r="H38" t="e">
        <f t="shared" si="0"/>
        <v>#VALUE!</v>
      </c>
      <c r="I38" s="2" t="s">
        <v>150</v>
      </c>
      <c r="M38" s="21"/>
      <c r="N38" s="21"/>
      <c r="O38" s="21"/>
    </row>
    <row r="39" spans="3:15" x14ac:dyDescent="0.25">
      <c r="C39" s="33"/>
      <c r="D39" s="23"/>
      <c r="E39" s="33"/>
      <c r="M39" s="21"/>
      <c r="N39" s="21"/>
      <c r="O39" s="21"/>
    </row>
    <row r="40" spans="3:15" x14ac:dyDescent="0.25">
      <c r="C40" s="33"/>
      <c r="D40" s="23"/>
      <c r="E40" s="33"/>
      <c r="M40" s="21"/>
      <c r="N40" s="21"/>
      <c r="O40" s="21"/>
    </row>
    <row r="41" spans="3:15" x14ac:dyDescent="0.25">
      <c r="C41" s="33"/>
      <c r="D41" s="23"/>
      <c r="E41" s="33"/>
      <c r="M41" s="21"/>
      <c r="N41" s="21"/>
      <c r="O41" s="21"/>
    </row>
    <row r="42" spans="3:15" x14ac:dyDescent="0.25">
      <c r="C42" s="33" t="str">
        <f t="shared" si="1"/>
        <v/>
      </c>
      <c r="D42" s="11"/>
      <c r="E42" s="33" t="str">
        <f t="shared" si="2"/>
        <v/>
      </c>
      <c r="M42" s="21"/>
      <c r="N42" s="21"/>
      <c r="O42" s="21"/>
    </row>
    <row r="43" spans="3:15" x14ac:dyDescent="0.25">
      <c r="C43" s="33" t="str">
        <f t="shared" si="1"/>
        <v/>
      </c>
      <c r="D43" s="11"/>
      <c r="E43" s="33" t="str">
        <f t="shared" si="2"/>
        <v/>
      </c>
      <c r="M43" s="21"/>
      <c r="N43" s="21"/>
      <c r="O43" s="21"/>
    </row>
    <row r="44" spans="3:15" ht="6" customHeight="1" x14ac:dyDescent="0.25">
      <c r="C44" s="9"/>
      <c r="D44" s="9"/>
      <c r="E44" s="9"/>
      <c r="F44" s="9"/>
      <c r="G44" s="9"/>
      <c r="H44" s="9"/>
      <c r="I44" s="9"/>
      <c r="J44" s="9"/>
      <c r="K44" s="9"/>
      <c r="L44" s="9"/>
      <c r="M44" s="21"/>
      <c r="N44" s="21"/>
      <c r="O44" s="21"/>
    </row>
    <row r="45" spans="3:15" ht="6" customHeight="1" x14ac:dyDescent="0.25">
      <c r="M45" s="21"/>
      <c r="N45" s="21"/>
      <c r="O45" s="21"/>
    </row>
    <row r="46" spans="3:15" x14ac:dyDescent="0.25">
      <c r="C46" s="15" t="s">
        <v>79</v>
      </c>
      <c r="M46" s="21"/>
      <c r="N46" s="21"/>
      <c r="O46" s="21"/>
    </row>
    <row r="47" spans="3:15" x14ac:dyDescent="0.25">
      <c r="C47" s="15" t="s">
        <v>78</v>
      </c>
    </row>
  </sheetData>
  <mergeCells count="1">
    <mergeCell ref="G13:H13"/>
  </mergeCells>
  <conditionalFormatting sqref="I9">
    <cfRule type="containsText" dxfId="390" priority="10" operator="containsText" text="FAIL">
      <formula>NOT(ISERROR(SEARCH("FAIL",I9)))</formula>
    </cfRule>
  </conditionalFormatting>
  <conditionalFormatting sqref="I9">
    <cfRule type="containsText" dxfId="389" priority="9" operator="containsText" text="GOOD">
      <formula>NOT(ISERROR(SEARCH("GOOD",I9)))</formula>
    </cfRule>
  </conditionalFormatting>
  <conditionalFormatting sqref="F11">
    <cfRule type="containsText" dxfId="388" priority="8" operator="containsText" text="FAIL">
      <formula>NOT(ISERROR(SEARCH("FAIL",F11)))</formula>
    </cfRule>
  </conditionalFormatting>
  <conditionalFormatting sqref="F11">
    <cfRule type="containsText" dxfId="387" priority="7" operator="containsText" text="GOOD">
      <formula>NOT(ISERROR(SEARCH("GOOD",F11)))</formula>
    </cfRule>
  </conditionalFormatting>
  <conditionalFormatting sqref="D25">
    <cfRule type="expression" dxfId="386" priority="6" stopIfTrue="1">
      <formula>IF($H$25=1,0)</formula>
    </cfRule>
  </conditionalFormatting>
  <conditionalFormatting sqref="D23:D43">
    <cfRule type="expression" dxfId="385" priority="5">
      <formula>H23=1</formula>
    </cfRule>
  </conditionalFormatting>
  <conditionalFormatting sqref="C23:C43">
    <cfRule type="expression" dxfId="384" priority="4">
      <formula>H23=1</formula>
    </cfRule>
  </conditionalFormatting>
  <conditionalFormatting sqref="E23:E43">
    <cfRule type="expression" dxfId="383" priority="3">
      <formula>H23=1</formula>
    </cfRule>
  </conditionalFormatting>
  <conditionalFormatting sqref="F11">
    <cfRule type="containsText" dxfId="382" priority="2" operator="containsText" text="FAIL">
      <formula>NOT(ISERROR(SEARCH("FAIL",F11)))</formula>
    </cfRule>
  </conditionalFormatting>
  <conditionalFormatting sqref="F11">
    <cfRule type="containsText" dxfId="381" priority="1" operator="containsText" text="GOOD">
      <formula>NOT(ISERROR(SEARCH("GOOD",F11)))</formula>
    </cfRule>
  </conditionalFormatting>
  <pageMargins left="0.7" right="0.7" top="0.75" bottom="0.75" header="0.3" footer="0.3"/>
  <pageSetup orientation="portrait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900-000000000000}">
  <sheetPr codeName="Sheet107"/>
  <dimension ref="A2:O47"/>
  <sheetViews>
    <sheetView zoomScaleNormal="100" workbookViewId="0">
      <selection activeCell="G8" sqref="G8"/>
    </sheetView>
  </sheetViews>
  <sheetFormatPr defaultRowHeight="15" x14ac:dyDescent="0.25"/>
  <cols>
    <col min="1" max="2" width="4.42578125" customWidth="1"/>
    <col min="3" max="3" width="3" customWidth="1"/>
    <col min="4" max="4" width="24.85546875" customWidth="1"/>
    <col min="5" max="5" width="3" customWidth="1"/>
    <col min="6" max="6" width="15.7109375" customWidth="1"/>
    <col min="7" max="7" width="8.5703125" customWidth="1"/>
    <col min="8" max="8" width="5.85546875" customWidth="1"/>
    <col min="9" max="15" width="15.7109375" customWidth="1"/>
  </cols>
  <sheetData>
    <row r="2" spans="1:11" x14ac:dyDescent="0.25">
      <c r="C2" s="15" t="s">
        <v>32</v>
      </c>
      <c r="E2" s="15"/>
      <c r="F2" s="15"/>
      <c r="G2" s="15" t="s">
        <v>33</v>
      </c>
      <c r="H2" s="15"/>
      <c r="I2" s="15"/>
      <c r="J2" s="15"/>
      <c r="K2" s="15"/>
    </row>
    <row r="3" spans="1:11" ht="18.75" x14ac:dyDescent="0.3">
      <c r="C3" s="3" t="s">
        <v>26</v>
      </c>
      <c r="J3" s="8" t="s">
        <v>17</v>
      </c>
    </row>
    <row r="4" spans="1:11" x14ac:dyDescent="0.25">
      <c r="D4" s="2" t="s">
        <v>0</v>
      </c>
      <c r="E4" s="1"/>
      <c r="F4" t="s">
        <v>682</v>
      </c>
      <c r="I4" s="2" t="s">
        <v>4</v>
      </c>
      <c r="J4" t="s">
        <v>634</v>
      </c>
    </row>
    <row r="5" spans="1:11" x14ac:dyDescent="0.25">
      <c r="D5" s="2" t="s">
        <v>1</v>
      </c>
      <c r="F5" t="s">
        <v>688</v>
      </c>
    </row>
    <row r="6" spans="1:11" x14ac:dyDescent="0.25">
      <c r="D6" s="2" t="s">
        <v>2</v>
      </c>
      <c r="F6" s="6">
        <v>42523</v>
      </c>
      <c r="H6" s="11"/>
    </row>
    <row r="7" spans="1:11" x14ac:dyDescent="0.25">
      <c r="D7" s="2" t="s">
        <v>3</v>
      </c>
      <c r="F7" s="5">
        <v>2253000</v>
      </c>
      <c r="G7" s="2" t="s">
        <v>689</v>
      </c>
      <c r="H7" s="11"/>
    </row>
    <row r="8" spans="1:11" x14ac:dyDescent="0.25">
      <c r="D8" s="2" t="s">
        <v>18</v>
      </c>
      <c r="F8" s="5">
        <f>MIN(I23:I43)</f>
        <v>2665637</v>
      </c>
      <c r="H8" s="11"/>
    </row>
    <row r="9" spans="1:11" x14ac:dyDescent="0.25">
      <c r="D9" s="2" t="s">
        <v>67</v>
      </c>
      <c r="F9" s="4">
        <f>+F8-F7</f>
        <v>412637</v>
      </c>
      <c r="G9" s="16">
        <f>+F9/F7</f>
        <v>0.18315002219263204</v>
      </c>
      <c r="H9" s="12" t="s">
        <v>20</v>
      </c>
      <c r="I9" s="11" t="str">
        <f>(IF(G9&lt;-0.1,"FAIL",IF(G9&gt;0.05,"FAIL","GOOD")))</f>
        <v>FAIL</v>
      </c>
      <c r="J9" s="14" t="s">
        <v>72</v>
      </c>
    </row>
    <row r="10" spans="1:11" x14ac:dyDescent="0.25">
      <c r="D10" s="2" t="s">
        <v>68</v>
      </c>
      <c r="F10" s="4">
        <f>+F7-F12</f>
        <v>-884033.75</v>
      </c>
      <c r="H10" s="11"/>
    </row>
    <row r="11" spans="1:11" x14ac:dyDescent="0.25">
      <c r="A11" s="52"/>
      <c r="D11" s="2" t="s">
        <v>71</v>
      </c>
      <c r="F11" s="11" t="str">
        <f>(IF(F7&lt;J12,"FAIL",IF(F7&gt;J13,"FAIL","GOOD")))</f>
        <v>FAIL</v>
      </c>
      <c r="H11" s="11"/>
    </row>
    <row r="12" spans="1:11" x14ac:dyDescent="0.25">
      <c r="D12" s="2" t="s">
        <v>28</v>
      </c>
      <c r="F12" s="4">
        <f>SUM(I23:I43)/H12</f>
        <v>3137033.75</v>
      </c>
      <c r="G12" s="14"/>
      <c r="H12" s="11">
        <f>COUNT(I23:I43)</f>
        <v>4</v>
      </c>
      <c r="I12" s="1" t="s">
        <v>31</v>
      </c>
      <c r="J12" s="4">
        <f>+F8*0.9</f>
        <v>2399073.3000000003</v>
      </c>
      <c r="K12" s="1" t="s">
        <v>69</v>
      </c>
    </row>
    <row r="13" spans="1:11" x14ac:dyDescent="0.25">
      <c r="D13" s="2" t="s">
        <v>29</v>
      </c>
      <c r="F13" s="4">
        <f>MAX(I23:I43)-MIN(I23:I43)</f>
        <v>1196763</v>
      </c>
      <c r="G13" s="399">
        <f>MEDIAN(I23:I43)</f>
        <v>3010049</v>
      </c>
      <c r="H13" s="400"/>
      <c r="I13" s="1" t="s">
        <v>30</v>
      </c>
      <c r="J13" s="4">
        <f>+F12*1.1</f>
        <v>3450737.1250000005</v>
      </c>
      <c r="K13" s="1" t="s">
        <v>70</v>
      </c>
    </row>
    <row r="14" spans="1:11" x14ac:dyDescent="0.25">
      <c r="H14" s="11"/>
    </row>
    <row r="15" spans="1:11" x14ac:dyDescent="0.25">
      <c r="D15" s="2" t="s">
        <v>8</v>
      </c>
      <c r="F15" s="4"/>
      <c r="G15" s="1" t="s">
        <v>9</v>
      </c>
      <c r="H15" s="11"/>
      <c r="I15" t="s">
        <v>15</v>
      </c>
      <c r="J15" s="7" t="e">
        <f>+F16/F15</f>
        <v>#DIV/0!</v>
      </c>
    </row>
    <row r="16" spans="1:11" x14ac:dyDescent="0.25">
      <c r="F16" s="4"/>
      <c r="G16" s="1" t="s">
        <v>10</v>
      </c>
      <c r="H16" s="11"/>
      <c r="I16" t="s">
        <v>14</v>
      </c>
      <c r="J16" s="7" t="e">
        <f>+F17/F16</f>
        <v>#DIV/0!</v>
      </c>
    </row>
    <row r="17" spans="3:15" x14ac:dyDescent="0.25">
      <c r="F17" s="4"/>
      <c r="G17" s="1" t="s">
        <v>11</v>
      </c>
      <c r="H17" s="11"/>
      <c r="I17" t="s">
        <v>13</v>
      </c>
      <c r="J17" s="7" t="e">
        <f>+F18/F17</f>
        <v>#DIV/0!</v>
      </c>
      <c r="M17" s="21"/>
      <c r="N17" s="21"/>
      <c r="O17" s="21"/>
    </row>
    <row r="18" spans="3:15" x14ac:dyDescent="0.25">
      <c r="F18" s="4"/>
      <c r="G18" s="1" t="s">
        <v>12</v>
      </c>
      <c r="H18" s="11"/>
      <c r="I18" t="s">
        <v>16</v>
      </c>
      <c r="J18" s="7" t="e">
        <f>+F8/F18</f>
        <v>#DIV/0!</v>
      </c>
      <c r="M18" s="21"/>
      <c r="N18" s="21"/>
      <c r="O18" s="21"/>
    </row>
    <row r="19" spans="3:15" x14ac:dyDescent="0.25">
      <c r="F19" s="2" t="s">
        <v>51</v>
      </c>
      <c r="G19">
        <v>0</v>
      </c>
      <c r="H19" s="11" t="s">
        <v>52</v>
      </c>
      <c r="I19" t="s">
        <v>41</v>
      </c>
      <c r="J19" s="7" t="e">
        <f>+F8/F15</f>
        <v>#DIV/0!</v>
      </c>
      <c r="M19" s="21"/>
      <c r="N19" s="21"/>
      <c r="O19" s="21"/>
    </row>
    <row r="20" spans="3:15" x14ac:dyDescent="0.25">
      <c r="H20" s="11"/>
      <c r="M20" s="21"/>
      <c r="N20" s="21"/>
      <c r="O20" s="21"/>
    </row>
    <row r="21" spans="3:15" x14ac:dyDescent="0.25">
      <c r="C21" s="9"/>
      <c r="D21" s="13" t="s">
        <v>21</v>
      </c>
      <c r="E21" s="9"/>
      <c r="F21" s="9" t="s">
        <v>22</v>
      </c>
      <c r="G21" s="9" t="s">
        <v>23</v>
      </c>
      <c r="H21" s="13" t="s">
        <v>27</v>
      </c>
      <c r="I21" s="10" t="s">
        <v>24</v>
      </c>
      <c r="J21" s="9"/>
      <c r="K21" s="9"/>
      <c r="L21" s="9"/>
      <c r="M21" s="21"/>
      <c r="N21" s="21"/>
      <c r="O21" s="21"/>
    </row>
    <row r="22" spans="3:15" ht="6" customHeight="1" x14ac:dyDescent="0.25">
      <c r="M22" s="21"/>
      <c r="N22" s="21"/>
      <c r="O22" s="21"/>
    </row>
    <row r="23" spans="3:15" x14ac:dyDescent="0.25">
      <c r="C23" s="33" t="str">
        <f>IF(H23=1,"u","")</f>
        <v/>
      </c>
      <c r="D23" s="11" t="s">
        <v>683</v>
      </c>
      <c r="E23" s="33"/>
      <c r="F23" t="s">
        <v>201</v>
      </c>
      <c r="G23" t="s">
        <v>25</v>
      </c>
      <c r="H23">
        <f>RANK(I23,I$23:I$43,1)</f>
        <v>4</v>
      </c>
      <c r="I23" s="4">
        <v>3862400</v>
      </c>
      <c r="J23" s="4"/>
      <c r="K23" s="4"/>
      <c r="L23" s="4"/>
      <c r="M23" s="22"/>
      <c r="N23" s="22"/>
      <c r="O23" s="22"/>
    </row>
    <row r="24" spans="3:15" x14ac:dyDescent="0.25">
      <c r="C24" s="33" t="str">
        <f>IF(H24=1,"u","")</f>
        <v/>
      </c>
      <c r="D24" s="11" t="s">
        <v>684</v>
      </c>
      <c r="E24" s="33"/>
      <c r="F24" t="s">
        <v>685</v>
      </c>
      <c r="G24" t="s">
        <v>25</v>
      </c>
      <c r="H24">
        <f>RANK(I24,I$23:I$43,1)</f>
        <v>2</v>
      </c>
      <c r="I24" s="4">
        <v>2702598</v>
      </c>
      <c r="J24" s="4"/>
      <c r="K24" s="4"/>
      <c r="L24" s="4"/>
      <c r="M24" s="22"/>
      <c r="N24" s="22"/>
      <c r="O24" s="22"/>
    </row>
    <row r="25" spans="3:15" x14ac:dyDescent="0.25">
      <c r="C25" s="33" t="str">
        <f>IF(H25=1,"u","")</f>
        <v>u</v>
      </c>
      <c r="D25" s="11" t="s">
        <v>686</v>
      </c>
      <c r="E25" s="33"/>
      <c r="F25" t="s">
        <v>645</v>
      </c>
      <c r="G25" t="s">
        <v>25</v>
      </c>
      <c r="H25">
        <f>RANK(I25,I$23:I$43,1)</f>
        <v>1</v>
      </c>
      <c r="I25" s="4">
        <v>2665637</v>
      </c>
      <c r="J25" s="4"/>
      <c r="K25" s="4"/>
      <c r="L25" s="4"/>
      <c r="M25" s="22"/>
      <c r="N25" s="22"/>
      <c r="O25" s="22"/>
    </row>
    <row r="26" spans="3:15" x14ac:dyDescent="0.25">
      <c r="C26" s="33" t="str">
        <f t="shared" ref="C26:C43" si="0">IF(H26=1,"u","")</f>
        <v/>
      </c>
      <c r="D26" s="11" t="s">
        <v>687</v>
      </c>
      <c r="E26" s="33"/>
      <c r="F26" t="s">
        <v>201</v>
      </c>
      <c r="G26" t="s">
        <v>25</v>
      </c>
      <c r="H26">
        <f>RANK(I26,I$23:I$43,1)</f>
        <v>3</v>
      </c>
      <c r="I26" s="4">
        <v>3317500</v>
      </c>
      <c r="J26" s="4"/>
      <c r="K26" s="4"/>
      <c r="L26" s="4"/>
      <c r="M26" s="22"/>
      <c r="N26" s="22"/>
      <c r="O26" s="22"/>
    </row>
    <row r="27" spans="3:15" x14ac:dyDescent="0.25">
      <c r="C27" s="33" t="str">
        <f t="shared" si="0"/>
        <v/>
      </c>
      <c r="D27" s="11"/>
      <c r="E27" s="33"/>
      <c r="I27" s="4"/>
      <c r="J27" s="4"/>
      <c r="K27" s="4"/>
      <c r="L27" s="4"/>
      <c r="M27" s="22"/>
      <c r="N27" s="22"/>
      <c r="O27" s="22"/>
    </row>
    <row r="28" spans="3:15" x14ac:dyDescent="0.25">
      <c r="C28" s="33" t="str">
        <f t="shared" si="0"/>
        <v/>
      </c>
      <c r="D28" s="11"/>
      <c r="E28" s="33"/>
      <c r="I28" s="4"/>
      <c r="J28" s="4"/>
      <c r="K28" s="4"/>
      <c r="L28" s="4"/>
      <c r="M28" s="22"/>
      <c r="N28" s="22"/>
      <c r="O28" s="22"/>
    </row>
    <row r="29" spans="3:15" x14ac:dyDescent="0.25">
      <c r="C29" s="33" t="str">
        <f t="shared" si="0"/>
        <v/>
      </c>
      <c r="D29" s="11"/>
      <c r="E29" s="33"/>
      <c r="I29" s="4"/>
      <c r="J29" s="4"/>
      <c r="K29" s="4"/>
      <c r="L29" s="4"/>
      <c r="M29" s="22"/>
      <c r="N29" s="22"/>
      <c r="O29" s="22"/>
    </row>
    <row r="30" spans="3:15" x14ac:dyDescent="0.25">
      <c r="C30" s="33" t="str">
        <f t="shared" si="0"/>
        <v/>
      </c>
      <c r="D30" s="11"/>
      <c r="E30" s="33"/>
      <c r="I30" s="4"/>
      <c r="J30" s="4"/>
      <c r="K30" s="4"/>
      <c r="L30" s="4"/>
      <c r="M30" s="22"/>
      <c r="N30" s="22"/>
      <c r="O30" s="22"/>
    </row>
    <row r="31" spans="3:15" x14ac:dyDescent="0.25">
      <c r="C31" s="33" t="str">
        <f t="shared" si="0"/>
        <v/>
      </c>
      <c r="D31" s="11"/>
      <c r="E31" s="33"/>
      <c r="I31" s="4"/>
      <c r="J31" s="4"/>
      <c r="K31" s="4"/>
      <c r="L31" s="4"/>
      <c r="M31" s="22"/>
      <c r="N31" s="22"/>
      <c r="O31" s="22"/>
    </row>
    <row r="32" spans="3:15" x14ac:dyDescent="0.25">
      <c r="C32" s="33" t="str">
        <f t="shared" si="0"/>
        <v/>
      </c>
      <c r="D32" s="11"/>
      <c r="E32" s="33"/>
      <c r="I32" s="4"/>
      <c r="J32" s="4"/>
      <c r="K32" s="4"/>
      <c r="L32" s="4"/>
      <c r="M32" s="22"/>
      <c r="N32" s="22"/>
      <c r="O32" s="22"/>
    </row>
    <row r="33" spans="3:15" x14ac:dyDescent="0.25">
      <c r="C33" s="33" t="str">
        <f t="shared" si="0"/>
        <v/>
      </c>
      <c r="D33" s="11"/>
      <c r="E33" s="33"/>
      <c r="I33" s="4"/>
      <c r="M33" s="21"/>
      <c r="N33" s="21"/>
      <c r="O33" s="21"/>
    </row>
    <row r="34" spans="3:15" x14ac:dyDescent="0.25">
      <c r="C34" s="33" t="str">
        <f t="shared" si="0"/>
        <v/>
      </c>
      <c r="D34" s="11"/>
      <c r="E34" s="33" t="str">
        <f t="shared" ref="E34:E43" si="1">IF(H34=1,"t","")</f>
        <v/>
      </c>
      <c r="M34" s="21"/>
      <c r="N34" s="21"/>
      <c r="O34" s="21"/>
    </row>
    <row r="35" spans="3:15" x14ac:dyDescent="0.25">
      <c r="C35" s="33" t="str">
        <f t="shared" si="0"/>
        <v/>
      </c>
      <c r="D35" s="11"/>
      <c r="E35" s="33" t="str">
        <f t="shared" si="1"/>
        <v/>
      </c>
      <c r="M35" s="21"/>
      <c r="N35" s="21"/>
      <c r="O35" s="21"/>
    </row>
    <row r="36" spans="3:15" x14ac:dyDescent="0.25">
      <c r="C36" s="33" t="str">
        <f t="shared" si="0"/>
        <v/>
      </c>
      <c r="D36" s="11"/>
      <c r="E36" s="33" t="str">
        <f t="shared" si="1"/>
        <v/>
      </c>
      <c r="M36" s="21"/>
      <c r="N36" s="21"/>
      <c r="O36" s="21"/>
    </row>
    <row r="37" spans="3:15" x14ac:dyDescent="0.25">
      <c r="C37" s="33" t="str">
        <f t="shared" si="0"/>
        <v/>
      </c>
      <c r="D37" s="11"/>
      <c r="E37" s="33" t="str">
        <f t="shared" si="1"/>
        <v/>
      </c>
      <c r="M37" s="21"/>
      <c r="N37" s="21"/>
      <c r="O37" s="21"/>
    </row>
    <row r="38" spans="3:15" x14ac:dyDescent="0.25">
      <c r="C38" s="33" t="str">
        <f t="shared" si="0"/>
        <v/>
      </c>
      <c r="D38" s="11"/>
      <c r="E38" s="33" t="str">
        <f t="shared" si="1"/>
        <v/>
      </c>
      <c r="M38" s="21"/>
      <c r="N38" s="21"/>
      <c r="O38" s="21"/>
    </row>
    <row r="39" spans="3:15" x14ac:dyDescent="0.25">
      <c r="C39" s="33" t="str">
        <f t="shared" si="0"/>
        <v/>
      </c>
      <c r="D39" s="11"/>
      <c r="E39" s="33" t="str">
        <f t="shared" si="1"/>
        <v/>
      </c>
      <c r="M39" s="21"/>
      <c r="N39" s="21"/>
      <c r="O39" s="21"/>
    </row>
    <row r="40" spans="3:15" x14ac:dyDescent="0.25">
      <c r="C40" s="33" t="str">
        <f t="shared" si="0"/>
        <v/>
      </c>
      <c r="D40" s="11"/>
      <c r="E40" s="33" t="str">
        <f t="shared" si="1"/>
        <v/>
      </c>
      <c r="M40" s="21"/>
      <c r="N40" s="21"/>
      <c r="O40" s="21"/>
    </row>
    <row r="41" spans="3:15" x14ac:dyDescent="0.25">
      <c r="C41" s="33" t="str">
        <f t="shared" si="0"/>
        <v/>
      </c>
      <c r="D41" s="11"/>
      <c r="E41" s="33" t="str">
        <f t="shared" si="1"/>
        <v/>
      </c>
      <c r="M41" s="21"/>
      <c r="N41" s="21"/>
      <c r="O41" s="21"/>
    </row>
    <row r="42" spans="3:15" x14ac:dyDescent="0.25">
      <c r="C42" s="33" t="str">
        <f t="shared" si="0"/>
        <v/>
      </c>
      <c r="D42" s="11"/>
      <c r="E42" s="33" t="str">
        <f t="shared" si="1"/>
        <v/>
      </c>
      <c r="M42" s="21"/>
      <c r="N42" s="21"/>
      <c r="O42" s="21"/>
    </row>
    <row r="43" spans="3:15" x14ac:dyDescent="0.25">
      <c r="C43" s="33" t="str">
        <f t="shared" si="0"/>
        <v/>
      </c>
      <c r="D43" s="11"/>
      <c r="E43" s="33" t="str">
        <f t="shared" si="1"/>
        <v/>
      </c>
      <c r="M43" s="21"/>
      <c r="N43" s="21"/>
      <c r="O43" s="21"/>
    </row>
    <row r="44" spans="3:15" ht="6" customHeight="1" x14ac:dyDescent="0.25">
      <c r="C44" s="9"/>
      <c r="D44" s="9"/>
      <c r="E44" s="9"/>
      <c r="F44" s="9"/>
      <c r="G44" s="9"/>
      <c r="H44" s="9"/>
      <c r="I44" s="9"/>
      <c r="J44" s="9"/>
      <c r="K44" s="9"/>
      <c r="L44" s="9"/>
      <c r="M44" s="21"/>
      <c r="N44" s="21"/>
      <c r="O44" s="21"/>
    </row>
    <row r="45" spans="3:15" ht="6" customHeight="1" x14ac:dyDescent="0.25">
      <c r="M45" s="21"/>
      <c r="N45" s="21"/>
      <c r="O45" s="21"/>
    </row>
    <row r="46" spans="3:15" x14ac:dyDescent="0.25">
      <c r="C46" s="15" t="s">
        <v>79</v>
      </c>
      <c r="M46" s="21"/>
      <c r="N46" s="21"/>
      <c r="O46" s="21"/>
    </row>
    <row r="47" spans="3:15" x14ac:dyDescent="0.25">
      <c r="C47" s="15" t="s">
        <v>78</v>
      </c>
    </row>
  </sheetData>
  <mergeCells count="1">
    <mergeCell ref="G13:H13"/>
  </mergeCells>
  <conditionalFormatting sqref="I9">
    <cfRule type="containsText" dxfId="827" priority="10" operator="containsText" text="FAIL">
      <formula>NOT(ISERROR(SEARCH("FAIL",I9)))</formula>
    </cfRule>
  </conditionalFormatting>
  <conditionalFormatting sqref="I9">
    <cfRule type="containsText" dxfId="826" priority="9" operator="containsText" text="GOOD">
      <formula>NOT(ISERROR(SEARCH("GOOD",I9)))</formula>
    </cfRule>
  </conditionalFormatting>
  <conditionalFormatting sqref="F11">
    <cfRule type="containsText" dxfId="825" priority="8" operator="containsText" text="FAIL">
      <formula>NOT(ISERROR(SEARCH("FAIL",F11)))</formula>
    </cfRule>
  </conditionalFormatting>
  <conditionalFormatting sqref="F11">
    <cfRule type="containsText" dxfId="824" priority="7" operator="containsText" text="GOOD">
      <formula>NOT(ISERROR(SEARCH("GOOD",F11)))</formula>
    </cfRule>
  </conditionalFormatting>
  <conditionalFormatting sqref="D25">
    <cfRule type="expression" dxfId="823" priority="6" stopIfTrue="1">
      <formula>IF($H$25=1,0)</formula>
    </cfRule>
  </conditionalFormatting>
  <conditionalFormatting sqref="D23:D43">
    <cfRule type="expression" dxfId="822" priority="5">
      <formula>H23=1</formula>
    </cfRule>
  </conditionalFormatting>
  <conditionalFormatting sqref="C23:C43">
    <cfRule type="expression" dxfId="821" priority="4">
      <formula>H23=1</formula>
    </cfRule>
  </conditionalFormatting>
  <conditionalFormatting sqref="E23:E43">
    <cfRule type="expression" dxfId="820" priority="3">
      <formula>H23=1</formula>
    </cfRule>
  </conditionalFormatting>
  <conditionalFormatting sqref="F11">
    <cfRule type="containsText" dxfId="819" priority="2" operator="containsText" text="FAIL">
      <formula>NOT(ISERROR(SEARCH("FAIL",F11)))</formula>
    </cfRule>
  </conditionalFormatting>
  <conditionalFormatting sqref="F11">
    <cfRule type="containsText" dxfId="818" priority="1" operator="containsText" text="GOOD">
      <formula>NOT(ISERROR(SEARCH("GOOD",F11)))</formula>
    </cfRule>
  </conditionalFormatting>
  <pageMargins left="0.7" right="0.7" top="0.75" bottom="0.75" header="0.3" footer="0.3"/>
  <pageSetup scale="68" orientation="portrait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E00-000000000000}">
  <sheetPr codeName="Sheet128"/>
  <dimension ref="A2:O47"/>
  <sheetViews>
    <sheetView zoomScaleNormal="100" workbookViewId="0">
      <selection activeCell="M17" sqref="M17"/>
    </sheetView>
  </sheetViews>
  <sheetFormatPr defaultRowHeight="15" x14ac:dyDescent="0.25"/>
  <cols>
    <col min="1" max="2" width="4.42578125" customWidth="1"/>
    <col min="3" max="3" width="3" customWidth="1"/>
    <col min="4" max="4" width="24.85546875" customWidth="1"/>
    <col min="5" max="5" width="3" customWidth="1"/>
    <col min="6" max="6" width="15.7109375" customWidth="1"/>
    <col min="7" max="7" width="8.5703125" customWidth="1"/>
    <col min="8" max="8" width="5.85546875" customWidth="1"/>
    <col min="9" max="15" width="15.7109375" customWidth="1"/>
  </cols>
  <sheetData>
    <row r="2" spans="1:11" x14ac:dyDescent="0.25">
      <c r="C2" s="15" t="s">
        <v>32</v>
      </c>
      <c r="E2" s="15"/>
      <c r="F2" s="15"/>
      <c r="G2" s="15" t="s">
        <v>33</v>
      </c>
      <c r="H2" s="15"/>
      <c r="I2" s="15"/>
      <c r="J2" s="15"/>
      <c r="K2" s="15"/>
    </row>
    <row r="3" spans="1:11" ht="18.75" x14ac:dyDescent="0.3">
      <c r="C3" s="3" t="s">
        <v>26</v>
      </c>
      <c r="J3" s="8" t="s">
        <v>17</v>
      </c>
    </row>
    <row r="4" spans="1:11" x14ac:dyDescent="0.25">
      <c r="D4" s="2" t="s">
        <v>0</v>
      </c>
      <c r="E4" s="1"/>
      <c r="F4" t="s">
        <v>467</v>
      </c>
      <c r="I4" s="2" t="s">
        <v>4</v>
      </c>
      <c r="J4" t="s">
        <v>442</v>
      </c>
    </row>
    <row r="5" spans="1:11" x14ac:dyDescent="0.25">
      <c r="D5" s="2" t="s">
        <v>1</v>
      </c>
      <c r="F5" t="s">
        <v>468</v>
      </c>
    </row>
    <row r="6" spans="1:11" x14ac:dyDescent="0.25">
      <c r="D6" s="2" t="s">
        <v>2</v>
      </c>
      <c r="F6" s="6">
        <v>42383</v>
      </c>
      <c r="H6" s="11"/>
    </row>
    <row r="7" spans="1:11" x14ac:dyDescent="0.25">
      <c r="D7" s="2" t="s">
        <v>3</v>
      </c>
      <c r="F7" s="5">
        <v>1200000</v>
      </c>
      <c r="G7" s="2" t="s">
        <v>177</v>
      </c>
      <c r="H7" s="11"/>
    </row>
    <row r="8" spans="1:11" x14ac:dyDescent="0.25">
      <c r="D8" s="2" t="s">
        <v>18</v>
      </c>
      <c r="F8" s="5">
        <f>MIN(I23:I43)</f>
        <v>1050050</v>
      </c>
      <c r="H8" s="11"/>
    </row>
    <row r="9" spans="1:11" x14ac:dyDescent="0.25">
      <c r="D9" s="2" t="s">
        <v>67</v>
      </c>
      <c r="F9" s="4">
        <f>+F8-F7</f>
        <v>-149950</v>
      </c>
      <c r="G9" s="16">
        <f>+F9/F7</f>
        <v>-0.12495833333333334</v>
      </c>
      <c r="H9" s="12" t="s">
        <v>20</v>
      </c>
      <c r="I9" s="11" t="str">
        <f>(IF(G9&lt;-0.1,"FAIL",IF(G9&gt;0.05,"FAIL","GOOD")))</f>
        <v>FAIL</v>
      </c>
      <c r="J9" s="14" t="s">
        <v>72</v>
      </c>
    </row>
    <row r="10" spans="1:11" x14ac:dyDescent="0.25">
      <c r="D10" s="2" t="s">
        <v>68</v>
      </c>
      <c r="F10" s="4">
        <f>+F7-F12</f>
        <v>-77162.666666666744</v>
      </c>
      <c r="H10" s="11"/>
    </row>
    <row r="11" spans="1:11" x14ac:dyDescent="0.25">
      <c r="A11" s="30"/>
      <c r="D11" s="2" t="s">
        <v>71</v>
      </c>
      <c r="F11" s="11" t="str">
        <f>(IF(F7&lt;J12,"FAIL",IF(F7&gt;J13,"FAIL","GOOD")))</f>
        <v>GOOD</v>
      </c>
      <c r="H11" s="11"/>
    </row>
    <row r="12" spans="1:11" x14ac:dyDescent="0.25">
      <c r="D12" s="2" t="s">
        <v>28</v>
      </c>
      <c r="F12" s="4">
        <f>SUM(I23:I43)/H12</f>
        <v>1277162.6666666667</v>
      </c>
      <c r="G12" s="14"/>
      <c r="H12" s="11">
        <f>COUNT(I23:I43)</f>
        <v>6</v>
      </c>
      <c r="I12" s="1" t="s">
        <v>31</v>
      </c>
      <c r="J12" s="4">
        <f>+F8*0.9</f>
        <v>945045</v>
      </c>
      <c r="K12" s="1" t="s">
        <v>69</v>
      </c>
    </row>
    <row r="13" spans="1:11" x14ac:dyDescent="0.25">
      <c r="D13" s="2" t="s">
        <v>29</v>
      </c>
      <c r="F13" s="4">
        <f>MAX(I23:I43)-MIN(I23:I43)</f>
        <v>500950</v>
      </c>
      <c r="G13" s="399">
        <f>MEDIAN(I23:I43)</f>
        <v>1294823</v>
      </c>
      <c r="H13" s="400"/>
      <c r="I13" s="1" t="s">
        <v>30</v>
      </c>
      <c r="J13" s="4">
        <f>+F12*1.1</f>
        <v>1404878.9333333336</v>
      </c>
      <c r="K13" s="1" t="s">
        <v>70</v>
      </c>
    </row>
    <row r="14" spans="1:11" x14ac:dyDescent="0.25">
      <c r="H14" s="11"/>
    </row>
    <row r="15" spans="1:11" x14ac:dyDescent="0.25">
      <c r="D15" s="2" t="s">
        <v>8</v>
      </c>
      <c r="F15" s="4"/>
      <c r="G15" s="1" t="s">
        <v>9</v>
      </c>
      <c r="H15" s="11"/>
      <c r="I15" t="s">
        <v>15</v>
      </c>
      <c r="J15" s="7" t="e">
        <f>+F16/F15</f>
        <v>#DIV/0!</v>
      </c>
    </row>
    <row r="16" spans="1:11" x14ac:dyDescent="0.25">
      <c r="F16" s="4"/>
      <c r="G16" s="1" t="s">
        <v>10</v>
      </c>
      <c r="H16" s="11"/>
      <c r="I16" t="s">
        <v>14</v>
      </c>
      <c r="J16" s="7" t="e">
        <f>+F17/F16</f>
        <v>#DIV/0!</v>
      </c>
    </row>
    <row r="17" spans="3:15" x14ac:dyDescent="0.25">
      <c r="F17" s="4"/>
      <c r="G17" s="1" t="s">
        <v>11</v>
      </c>
      <c r="H17" s="11"/>
      <c r="I17" t="s">
        <v>13</v>
      </c>
      <c r="J17" s="7" t="e">
        <f>+F18/F17</f>
        <v>#DIV/0!</v>
      </c>
      <c r="M17" s="21"/>
      <c r="N17" s="21"/>
      <c r="O17" s="21"/>
    </row>
    <row r="18" spans="3:15" x14ac:dyDescent="0.25">
      <c r="F18" s="4"/>
      <c r="G18" s="1" t="s">
        <v>12</v>
      </c>
      <c r="H18" s="11"/>
      <c r="I18" t="s">
        <v>16</v>
      </c>
      <c r="J18" s="7" t="e">
        <f>+F8/F18</f>
        <v>#DIV/0!</v>
      </c>
      <c r="M18" s="21"/>
      <c r="N18" s="21"/>
      <c r="O18" s="21"/>
    </row>
    <row r="19" spans="3:15" x14ac:dyDescent="0.25">
      <c r="F19" s="2" t="s">
        <v>51</v>
      </c>
      <c r="G19">
        <v>0</v>
      </c>
      <c r="H19" s="11" t="s">
        <v>52</v>
      </c>
      <c r="I19" t="s">
        <v>41</v>
      </c>
      <c r="J19" s="7" t="e">
        <f>+F8/F15</f>
        <v>#DIV/0!</v>
      </c>
      <c r="M19" s="21"/>
      <c r="N19" s="21"/>
      <c r="O19" s="21"/>
    </row>
    <row r="20" spans="3:15" x14ac:dyDescent="0.25">
      <c r="H20" s="11"/>
      <c r="M20" s="21"/>
      <c r="N20" s="21"/>
      <c r="O20" s="21"/>
    </row>
    <row r="21" spans="3:15" x14ac:dyDescent="0.25">
      <c r="C21" s="9"/>
      <c r="D21" s="13" t="s">
        <v>21</v>
      </c>
      <c r="E21" s="9"/>
      <c r="F21" s="9" t="s">
        <v>22</v>
      </c>
      <c r="G21" s="9" t="s">
        <v>23</v>
      </c>
      <c r="H21" s="13" t="s">
        <v>27</v>
      </c>
      <c r="I21" s="10" t="s">
        <v>24</v>
      </c>
      <c r="J21" s="9"/>
      <c r="K21" s="9"/>
      <c r="L21" s="9"/>
      <c r="M21" s="21"/>
      <c r="N21" s="21"/>
      <c r="O21" s="21"/>
    </row>
    <row r="22" spans="3:15" ht="6" customHeight="1" x14ac:dyDescent="0.25">
      <c r="M22" s="21"/>
      <c r="N22" s="21"/>
      <c r="O22" s="21"/>
    </row>
    <row r="23" spans="3:15" x14ac:dyDescent="0.25">
      <c r="C23" s="33" t="str">
        <f>IF(H23=1,"u","")</f>
        <v/>
      </c>
      <c r="D23" s="11" t="s">
        <v>429</v>
      </c>
      <c r="E23" s="33"/>
      <c r="F23" t="s">
        <v>131</v>
      </c>
      <c r="G23" t="s">
        <v>25</v>
      </c>
      <c r="H23">
        <f t="shared" ref="H23:H28" si="0">RANK(I23,I$23:I$43,1)</f>
        <v>6</v>
      </c>
      <c r="I23" s="4">
        <v>1551000</v>
      </c>
      <c r="J23" s="4"/>
      <c r="K23" s="4"/>
      <c r="L23" s="4"/>
      <c r="M23" s="22"/>
      <c r="N23" s="22"/>
      <c r="O23" s="22"/>
    </row>
    <row r="24" spans="3:15" x14ac:dyDescent="0.25">
      <c r="C24" s="33" t="str">
        <f>IF(H24=1,"u","")</f>
        <v/>
      </c>
      <c r="D24" s="11" t="s">
        <v>469</v>
      </c>
      <c r="E24" s="33"/>
      <c r="F24" t="s">
        <v>127</v>
      </c>
      <c r="G24" t="s">
        <v>25</v>
      </c>
      <c r="H24">
        <f t="shared" si="0"/>
        <v>2</v>
      </c>
      <c r="I24" s="4">
        <v>1083107</v>
      </c>
      <c r="J24" s="4"/>
      <c r="K24" s="4"/>
      <c r="L24" s="4"/>
      <c r="M24" s="22"/>
      <c r="N24" s="22"/>
      <c r="O24" s="22"/>
    </row>
    <row r="25" spans="3:15" x14ac:dyDescent="0.25">
      <c r="C25" s="33" t="str">
        <f>IF(H25=1,"u","")</f>
        <v/>
      </c>
      <c r="D25" s="11" t="s">
        <v>470</v>
      </c>
      <c r="E25" s="33"/>
      <c r="F25" t="s">
        <v>113</v>
      </c>
      <c r="G25" t="s">
        <v>25</v>
      </c>
      <c r="H25">
        <f t="shared" si="0"/>
        <v>5</v>
      </c>
      <c r="I25" s="4">
        <v>1389173</v>
      </c>
      <c r="J25" s="4"/>
      <c r="K25" s="4"/>
      <c r="L25" s="4"/>
      <c r="M25" s="22"/>
      <c r="N25" s="22"/>
      <c r="O25" s="22"/>
    </row>
    <row r="26" spans="3:15" x14ac:dyDescent="0.25">
      <c r="C26" s="33" t="str">
        <f t="shared" ref="C26:C43" si="1">IF(H26=1,"u","")</f>
        <v/>
      </c>
      <c r="D26" s="11" t="s">
        <v>430</v>
      </c>
      <c r="E26" s="33"/>
      <c r="F26" t="s">
        <v>186</v>
      </c>
      <c r="G26" t="s">
        <v>25</v>
      </c>
      <c r="H26">
        <f t="shared" si="0"/>
        <v>4</v>
      </c>
      <c r="I26" s="4">
        <v>1356313</v>
      </c>
      <c r="J26" s="4"/>
      <c r="K26" s="4"/>
      <c r="L26" s="4"/>
      <c r="M26" s="22"/>
      <c r="N26" s="22"/>
      <c r="O26" s="22"/>
    </row>
    <row r="27" spans="3:15" x14ac:dyDescent="0.25">
      <c r="C27" s="33" t="str">
        <f t="shared" si="1"/>
        <v/>
      </c>
      <c r="D27" s="11" t="s">
        <v>347</v>
      </c>
      <c r="E27" s="33" t="str">
        <f t="shared" ref="E27:E43" si="2">IF(H27=1,"t","")</f>
        <v/>
      </c>
      <c r="F27" t="s">
        <v>147</v>
      </c>
      <c r="G27" t="s">
        <v>93</v>
      </c>
      <c r="H27">
        <f t="shared" si="0"/>
        <v>3</v>
      </c>
      <c r="I27" s="4">
        <v>1233333</v>
      </c>
      <c r="J27" s="4"/>
      <c r="K27" s="4"/>
      <c r="L27" s="4"/>
      <c r="M27" s="22"/>
      <c r="N27" s="22"/>
      <c r="O27" s="22"/>
    </row>
    <row r="28" spans="3:15" x14ac:dyDescent="0.25">
      <c r="C28" s="33" t="str">
        <f t="shared" si="1"/>
        <v>u</v>
      </c>
      <c r="D28" s="11" t="s">
        <v>471</v>
      </c>
      <c r="E28" s="33" t="str">
        <f t="shared" si="2"/>
        <v>t</v>
      </c>
      <c r="F28" t="s">
        <v>376</v>
      </c>
      <c r="G28" t="s">
        <v>93</v>
      </c>
      <c r="H28">
        <f t="shared" si="0"/>
        <v>1</v>
      </c>
      <c r="I28" s="4">
        <v>1050050</v>
      </c>
      <c r="J28" s="4"/>
      <c r="K28" s="4"/>
      <c r="L28" s="4"/>
      <c r="M28" s="22"/>
      <c r="N28" s="22"/>
      <c r="O28" s="22"/>
    </row>
    <row r="29" spans="3:15" x14ac:dyDescent="0.25">
      <c r="C29" s="33" t="str">
        <f t="shared" si="1"/>
        <v/>
      </c>
      <c r="D29" s="11"/>
      <c r="E29" s="33" t="str">
        <f t="shared" si="2"/>
        <v/>
      </c>
      <c r="I29" s="4"/>
      <c r="J29" s="4"/>
      <c r="K29" s="4"/>
      <c r="L29" s="4"/>
      <c r="M29" s="22"/>
      <c r="N29" s="22"/>
      <c r="O29" s="22"/>
    </row>
    <row r="30" spans="3:15" x14ac:dyDescent="0.25">
      <c r="C30" s="33" t="str">
        <f t="shared" si="1"/>
        <v/>
      </c>
      <c r="D30" s="11"/>
      <c r="E30" s="33" t="str">
        <f t="shared" si="2"/>
        <v/>
      </c>
      <c r="I30" s="4"/>
      <c r="J30" s="4"/>
      <c r="K30" s="4"/>
      <c r="L30" s="4"/>
      <c r="M30" s="22"/>
      <c r="N30" s="22"/>
      <c r="O30" s="22"/>
    </row>
    <row r="31" spans="3:15" x14ac:dyDescent="0.25">
      <c r="C31" s="33" t="str">
        <f t="shared" si="1"/>
        <v/>
      </c>
      <c r="D31" s="11"/>
      <c r="E31" s="33" t="str">
        <f t="shared" si="2"/>
        <v/>
      </c>
      <c r="I31" s="4"/>
      <c r="J31" s="4"/>
      <c r="K31" s="4"/>
      <c r="L31" s="4"/>
      <c r="M31" s="22"/>
      <c r="N31" s="22"/>
      <c r="O31" s="22"/>
    </row>
    <row r="32" spans="3:15" x14ac:dyDescent="0.25">
      <c r="C32" s="33" t="str">
        <f t="shared" si="1"/>
        <v/>
      </c>
      <c r="D32" s="11"/>
      <c r="E32" s="33" t="str">
        <f t="shared" si="2"/>
        <v/>
      </c>
      <c r="I32" s="4"/>
      <c r="J32" s="4"/>
      <c r="K32" s="4"/>
      <c r="L32" s="4"/>
      <c r="M32" s="22"/>
      <c r="N32" s="22"/>
      <c r="O32" s="22"/>
    </row>
    <row r="33" spans="3:15" x14ac:dyDescent="0.25">
      <c r="C33" s="33" t="str">
        <f t="shared" si="1"/>
        <v/>
      </c>
      <c r="D33" s="11"/>
      <c r="E33" s="33" t="str">
        <f t="shared" si="2"/>
        <v/>
      </c>
      <c r="M33" s="21"/>
      <c r="N33" s="21"/>
      <c r="O33" s="21"/>
    </row>
    <row r="34" spans="3:15" x14ac:dyDescent="0.25">
      <c r="C34" s="33" t="str">
        <f t="shared" si="1"/>
        <v/>
      </c>
      <c r="D34" s="11"/>
      <c r="E34" s="33" t="str">
        <f t="shared" si="2"/>
        <v/>
      </c>
      <c r="M34" s="21"/>
      <c r="N34" s="21"/>
      <c r="O34" s="21"/>
    </row>
    <row r="35" spans="3:15" x14ac:dyDescent="0.25">
      <c r="C35" s="33" t="str">
        <f t="shared" si="1"/>
        <v/>
      </c>
      <c r="D35" s="11"/>
      <c r="E35" s="33" t="str">
        <f t="shared" si="2"/>
        <v/>
      </c>
      <c r="M35" s="21"/>
      <c r="N35" s="21"/>
      <c r="O35" s="21"/>
    </row>
    <row r="36" spans="3:15" x14ac:dyDescent="0.25">
      <c r="C36" s="33" t="str">
        <f t="shared" si="1"/>
        <v/>
      </c>
      <c r="D36" s="11"/>
      <c r="E36" s="33" t="str">
        <f t="shared" si="2"/>
        <v/>
      </c>
      <c r="M36" s="21"/>
      <c r="N36" s="21"/>
      <c r="O36" s="21"/>
    </row>
    <row r="37" spans="3:15" x14ac:dyDescent="0.25">
      <c r="C37" s="33" t="str">
        <f t="shared" si="1"/>
        <v/>
      </c>
      <c r="D37" s="11"/>
      <c r="E37" s="33" t="str">
        <f t="shared" si="2"/>
        <v/>
      </c>
      <c r="M37" s="21"/>
      <c r="N37" s="21"/>
      <c r="O37" s="21"/>
    </row>
    <row r="38" spans="3:15" x14ac:dyDescent="0.25">
      <c r="C38" s="33" t="str">
        <f t="shared" si="1"/>
        <v/>
      </c>
      <c r="D38" s="11"/>
      <c r="E38" s="33" t="str">
        <f t="shared" si="2"/>
        <v/>
      </c>
      <c r="M38" s="21"/>
      <c r="N38" s="21"/>
      <c r="O38" s="21"/>
    </row>
    <row r="39" spans="3:15" x14ac:dyDescent="0.25">
      <c r="C39" s="33" t="str">
        <f t="shared" si="1"/>
        <v/>
      </c>
      <c r="D39" s="11"/>
      <c r="E39" s="33" t="str">
        <f t="shared" si="2"/>
        <v/>
      </c>
      <c r="M39" s="21"/>
      <c r="N39" s="21"/>
      <c r="O39" s="21"/>
    </row>
    <row r="40" spans="3:15" x14ac:dyDescent="0.25">
      <c r="C40" s="33" t="str">
        <f t="shared" si="1"/>
        <v/>
      </c>
      <c r="D40" s="11"/>
      <c r="E40" s="33" t="str">
        <f t="shared" si="2"/>
        <v/>
      </c>
      <c r="M40" s="21"/>
      <c r="N40" s="21"/>
      <c r="O40" s="21"/>
    </row>
    <row r="41" spans="3:15" x14ac:dyDescent="0.25">
      <c r="C41" s="33" t="str">
        <f t="shared" si="1"/>
        <v/>
      </c>
      <c r="D41" s="11"/>
      <c r="E41" s="33" t="str">
        <f t="shared" si="2"/>
        <v/>
      </c>
      <c r="M41" s="21"/>
      <c r="N41" s="21"/>
      <c r="O41" s="21"/>
    </row>
    <row r="42" spans="3:15" x14ac:dyDescent="0.25">
      <c r="C42" s="33" t="str">
        <f t="shared" si="1"/>
        <v/>
      </c>
      <c r="D42" s="11"/>
      <c r="E42" s="33" t="str">
        <f t="shared" si="2"/>
        <v/>
      </c>
      <c r="M42" s="21"/>
      <c r="N42" s="21"/>
      <c r="O42" s="21"/>
    </row>
    <row r="43" spans="3:15" x14ac:dyDescent="0.25">
      <c r="C43" s="33" t="str">
        <f t="shared" si="1"/>
        <v/>
      </c>
      <c r="D43" s="11"/>
      <c r="E43" s="33" t="str">
        <f t="shared" si="2"/>
        <v/>
      </c>
      <c r="M43" s="21"/>
      <c r="N43" s="21"/>
      <c r="O43" s="21"/>
    </row>
    <row r="44" spans="3:15" ht="6" customHeight="1" x14ac:dyDescent="0.25">
      <c r="C44" s="9"/>
      <c r="D44" s="9"/>
      <c r="E44" s="9"/>
      <c r="F44" s="9"/>
      <c r="G44" s="9"/>
      <c r="H44" s="9"/>
      <c r="I44" s="9"/>
      <c r="J44" s="9"/>
      <c r="K44" s="9"/>
      <c r="L44" s="9"/>
      <c r="M44" s="21"/>
      <c r="N44" s="21"/>
      <c r="O44" s="21"/>
    </row>
    <row r="45" spans="3:15" ht="6" customHeight="1" x14ac:dyDescent="0.25">
      <c r="M45" s="21"/>
      <c r="N45" s="21"/>
      <c r="O45" s="21"/>
    </row>
    <row r="46" spans="3:15" x14ac:dyDescent="0.25">
      <c r="C46" s="15" t="s">
        <v>79</v>
      </c>
      <c r="M46" s="21"/>
      <c r="N46" s="21"/>
      <c r="O46" s="21"/>
    </row>
    <row r="47" spans="3:15" x14ac:dyDescent="0.25">
      <c r="C47" s="15" t="s">
        <v>78</v>
      </c>
    </row>
  </sheetData>
  <mergeCells count="1">
    <mergeCell ref="G13:H13"/>
  </mergeCells>
  <conditionalFormatting sqref="I9">
    <cfRule type="containsText" dxfId="547" priority="10" operator="containsText" text="FAIL">
      <formula>NOT(ISERROR(SEARCH("FAIL",I9)))</formula>
    </cfRule>
  </conditionalFormatting>
  <conditionalFormatting sqref="I9">
    <cfRule type="containsText" dxfId="546" priority="9" operator="containsText" text="GOOD">
      <formula>NOT(ISERROR(SEARCH("GOOD",I9)))</formula>
    </cfRule>
  </conditionalFormatting>
  <conditionalFormatting sqref="F11">
    <cfRule type="containsText" dxfId="545" priority="8" operator="containsText" text="FAIL">
      <formula>NOT(ISERROR(SEARCH("FAIL",F11)))</formula>
    </cfRule>
  </conditionalFormatting>
  <conditionalFormatting sqref="F11">
    <cfRule type="containsText" dxfId="544" priority="7" operator="containsText" text="GOOD">
      <formula>NOT(ISERROR(SEARCH("GOOD",F11)))</formula>
    </cfRule>
  </conditionalFormatting>
  <conditionalFormatting sqref="D25">
    <cfRule type="expression" dxfId="543" priority="6" stopIfTrue="1">
      <formula>IF($H$25=1,0)</formula>
    </cfRule>
  </conditionalFormatting>
  <conditionalFormatting sqref="D23:D43">
    <cfRule type="expression" dxfId="542" priority="5">
      <formula>H23=1</formula>
    </cfRule>
  </conditionalFormatting>
  <conditionalFormatting sqref="C23:C43">
    <cfRule type="expression" dxfId="541" priority="4">
      <formula>H23=1</formula>
    </cfRule>
  </conditionalFormatting>
  <conditionalFormatting sqref="E23:E43">
    <cfRule type="expression" dxfId="540" priority="3">
      <formula>H23=1</formula>
    </cfRule>
  </conditionalFormatting>
  <conditionalFormatting sqref="F11">
    <cfRule type="containsText" dxfId="539" priority="2" operator="containsText" text="FAIL">
      <formula>NOT(ISERROR(SEARCH("FAIL",F11)))</formula>
    </cfRule>
  </conditionalFormatting>
  <conditionalFormatting sqref="F11">
    <cfRule type="containsText" dxfId="538" priority="1" operator="containsText" text="GOOD">
      <formula>NOT(ISERROR(SEARCH("GOOD",F11)))</formula>
    </cfRule>
  </conditionalFormatting>
  <pageMargins left="0.7" right="0.7" top="0.75" bottom="0.75" header="0.3" footer="0.3"/>
  <pageSetup scale="73" orientation="portrait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000-000000000000}">
  <sheetPr codeName="Sheet98"/>
  <dimension ref="A2:O47"/>
  <sheetViews>
    <sheetView workbookViewId="0">
      <selection activeCell="L7" sqref="L7"/>
    </sheetView>
  </sheetViews>
  <sheetFormatPr defaultRowHeight="15" x14ac:dyDescent="0.25"/>
  <cols>
    <col min="1" max="2" width="4.42578125" customWidth="1"/>
    <col min="3" max="3" width="3" customWidth="1"/>
    <col min="4" max="4" width="24.7109375" customWidth="1"/>
    <col min="5" max="5" width="3" customWidth="1"/>
    <col min="6" max="6" width="15.7109375" customWidth="1"/>
    <col min="7" max="7" width="8.5703125" customWidth="1"/>
    <col min="8" max="8" width="5.85546875" customWidth="1"/>
    <col min="9" max="15" width="15.7109375" customWidth="1"/>
  </cols>
  <sheetData>
    <row r="2" spans="1:11" x14ac:dyDescent="0.25">
      <c r="C2" s="15" t="s">
        <v>32</v>
      </c>
      <c r="E2" s="15"/>
      <c r="F2" s="15"/>
      <c r="G2" s="15" t="s">
        <v>33</v>
      </c>
      <c r="H2" s="15"/>
      <c r="I2" s="15"/>
      <c r="J2" s="15"/>
      <c r="K2" s="15"/>
    </row>
    <row r="3" spans="1:11" ht="18.75" x14ac:dyDescent="0.3">
      <c r="C3" s="3" t="s">
        <v>26</v>
      </c>
      <c r="J3" s="8" t="s">
        <v>47</v>
      </c>
    </row>
    <row r="4" spans="1:11" x14ac:dyDescent="0.25">
      <c r="D4" s="2" t="s">
        <v>0</v>
      </c>
      <c r="E4" s="1"/>
      <c r="F4" t="s">
        <v>731</v>
      </c>
      <c r="I4" s="2" t="s">
        <v>4</v>
      </c>
      <c r="J4" t="s">
        <v>442</v>
      </c>
    </row>
    <row r="5" spans="1:11" x14ac:dyDescent="0.25">
      <c r="D5" s="2" t="s">
        <v>1</v>
      </c>
      <c r="F5" t="s">
        <v>732</v>
      </c>
    </row>
    <row r="6" spans="1:11" x14ac:dyDescent="0.25">
      <c r="D6" s="2" t="s">
        <v>2</v>
      </c>
      <c r="F6" s="6">
        <v>42612</v>
      </c>
      <c r="H6" s="11"/>
    </row>
    <row r="7" spans="1:11" x14ac:dyDescent="0.25">
      <c r="D7" s="2" t="s">
        <v>3</v>
      </c>
      <c r="F7" s="5">
        <f>+I7+J7</f>
        <v>2000000</v>
      </c>
      <c r="G7" s="2" t="s">
        <v>34</v>
      </c>
      <c r="H7" s="11"/>
      <c r="I7" s="19">
        <v>128100</v>
      </c>
      <c r="J7" s="19">
        <v>1871900</v>
      </c>
    </row>
    <row r="8" spans="1:11" x14ac:dyDescent="0.25">
      <c r="D8" s="2" t="s">
        <v>18</v>
      </c>
      <c r="F8" s="5">
        <f>MIN(K23:K43)</f>
        <v>1460000</v>
      </c>
      <c r="H8" s="11"/>
      <c r="I8" s="18" t="s">
        <v>43</v>
      </c>
      <c r="J8" s="18" t="s">
        <v>44</v>
      </c>
    </row>
    <row r="9" spans="1:11" x14ac:dyDescent="0.25">
      <c r="D9" s="2" t="s">
        <v>19</v>
      </c>
      <c r="F9" s="4">
        <f>+F8-F7</f>
        <v>-540000</v>
      </c>
      <c r="G9" s="16">
        <f>+F9/F7</f>
        <v>-0.27</v>
      </c>
      <c r="H9" s="12" t="s">
        <v>20</v>
      </c>
      <c r="I9" s="11" t="str">
        <f>(IF(G9&lt;-0.1,"FAIL",IF(G9&gt;0.05,"FAIL","GOOD")))</f>
        <v>FAIL</v>
      </c>
      <c r="J9" s="14" t="s">
        <v>72</v>
      </c>
    </row>
    <row r="10" spans="1:11" x14ac:dyDescent="0.25">
      <c r="D10" s="2" t="s">
        <v>68</v>
      </c>
      <c r="F10" s="4">
        <f>+F7-F12</f>
        <v>-42108.100000000093</v>
      </c>
      <c r="H10" s="11"/>
    </row>
    <row r="11" spans="1:11" x14ac:dyDescent="0.25">
      <c r="A11" s="30"/>
      <c r="D11" s="2" t="s">
        <v>71</v>
      </c>
      <c r="F11" s="11" t="str">
        <f>(IF(F7&lt;J12,"FAIL",IF(F7&gt;J13,"FAIL","GOOD")))</f>
        <v>GOOD</v>
      </c>
      <c r="H11" s="11"/>
    </row>
    <row r="12" spans="1:11" x14ac:dyDescent="0.25">
      <c r="D12" s="2" t="s">
        <v>28</v>
      </c>
      <c r="F12" s="4">
        <f>SUM(K23:K43)/H12</f>
        <v>2042108.1</v>
      </c>
      <c r="G12" s="14"/>
      <c r="H12" s="11">
        <f>COUNT(K23:K43)</f>
        <v>10</v>
      </c>
      <c r="I12" s="1" t="s">
        <v>31</v>
      </c>
      <c r="J12" s="4">
        <f>+F8*0.9</f>
        <v>1314000</v>
      </c>
      <c r="K12" s="1" t="s">
        <v>69</v>
      </c>
    </row>
    <row r="13" spans="1:11" x14ac:dyDescent="0.25">
      <c r="D13" s="2" t="s">
        <v>29</v>
      </c>
      <c r="F13" s="4">
        <f>MAX(K23:K43)-MIN(K23:K43)</f>
        <v>2325260</v>
      </c>
      <c r="G13" s="399">
        <f>MEDIAN(K23:K43)</f>
        <v>1864300.5</v>
      </c>
      <c r="H13" s="400"/>
      <c r="I13" s="1" t="s">
        <v>30</v>
      </c>
      <c r="J13" s="4">
        <f>+F12*1.1</f>
        <v>2246318.91</v>
      </c>
      <c r="K13" s="1" t="s">
        <v>70</v>
      </c>
    </row>
    <row r="14" spans="1:11" x14ac:dyDescent="0.25">
      <c r="H14" s="11"/>
    </row>
    <row r="15" spans="1:11" x14ac:dyDescent="0.25">
      <c r="D15" s="2" t="s">
        <v>8</v>
      </c>
      <c r="F15" s="4">
        <v>30000000</v>
      </c>
      <c r="G15" s="1" t="s">
        <v>9</v>
      </c>
      <c r="H15" s="11"/>
      <c r="I15" t="s">
        <v>15</v>
      </c>
      <c r="J15" s="7">
        <f>+F16/F15</f>
        <v>0.93333333333333335</v>
      </c>
    </row>
    <row r="16" spans="1:11" x14ac:dyDescent="0.25">
      <c r="F16" s="4">
        <v>28000000</v>
      </c>
      <c r="G16" s="1" t="s">
        <v>10</v>
      </c>
      <c r="H16" s="11"/>
      <c r="I16" t="s">
        <v>14</v>
      </c>
      <c r="J16" s="7">
        <f>+F17/F16</f>
        <v>1.0535714285714286</v>
      </c>
    </row>
    <row r="17" spans="3:15" x14ac:dyDescent="0.25">
      <c r="F17" s="4">
        <v>29500000</v>
      </c>
      <c r="G17" s="1" t="s">
        <v>11</v>
      </c>
      <c r="H17" s="11"/>
      <c r="I17" t="s">
        <v>13</v>
      </c>
      <c r="J17" s="7">
        <f>+F18/F17</f>
        <v>6.7796610169491525E-2</v>
      </c>
    </row>
    <row r="18" spans="3:15" x14ac:dyDescent="0.25">
      <c r="F18" s="4">
        <f>+F7</f>
        <v>2000000</v>
      </c>
      <c r="G18" s="1" t="s">
        <v>12</v>
      </c>
      <c r="H18" s="11"/>
      <c r="I18" t="s">
        <v>16</v>
      </c>
      <c r="J18" s="7">
        <f>+F8/F18</f>
        <v>0.73</v>
      </c>
    </row>
    <row r="19" spans="3:15" x14ac:dyDescent="0.25">
      <c r="F19" s="2" t="s">
        <v>51</v>
      </c>
      <c r="G19">
        <v>0</v>
      </c>
      <c r="H19" s="11" t="s">
        <v>52</v>
      </c>
      <c r="I19" t="s">
        <v>41</v>
      </c>
      <c r="J19" s="7">
        <f>+F8/F15</f>
        <v>4.8666666666666664E-2</v>
      </c>
    </row>
    <row r="20" spans="3:15" x14ac:dyDescent="0.25">
      <c r="H20" s="11"/>
      <c r="M20" s="21"/>
      <c r="N20" s="21"/>
      <c r="O20" s="21"/>
    </row>
    <row r="21" spans="3:15" x14ac:dyDescent="0.25">
      <c r="C21" s="9"/>
      <c r="D21" s="13" t="s">
        <v>21</v>
      </c>
      <c r="E21" s="9"/>
      <c r="F21" s="9" t="s">
        <v>22</v>
      </c>
      <c r="G21" s="9" t="s">
        <v>23</v>
      </c>
      <c r="H21" s="13" t="s">
        <v>27</v>
      </c>
      <c r="I21" s="10" t="s">
        <v>38</v>
      </c>
      <c r="J21" s="10" t="s">
        <v>37</v>
      </c>
      <c r="K21" s="10" t="s">
        <v>39</v>
      </c>
      <c r="L21" s="9"/>
      <c r="M21" s="21"/>
      <c r="N21" s="21"/>
      <c r="O21" s="21"/>
    </row>
    <row r="22" spans="3:15" ht="6" customHeight="1" x14ac:dyDescent="0.25">
      <c r="M22" s="21"/>
      <c r="N22" s="21"/>
      <c r="O22" s="21"/>
    </row>
    <row r="23" spans="3:15" x14ac:dyDescent="0.25">
      <c r="C23" s="33" t="str">
        <f>IF(H23=1,"u","")</f>
        <v/>
      </c>
      <c r="D23" s="11" t="s">
        <v>733</v>
      </c>
      <c r="E23" s="33"/>
      <c r="F23" t="s">
        <v>120</v>
      </c>
      <c r="G23" t="s">
        <v>25</v>
      </c>
      <c r="H23">
        <f>RANK(K23,K$23:K$43,1)</f>
        <v>9</v>
      </c>
      <c r="I23" s="4">
        <v>60000</v>
      </c>
      <c r="J23" s="4">
        <v>2556300</v>
      </c>
      <c r="K23" s="4">
        <f>+J23+I23</f>
        <v>2616300</v>
      </c>
      <c r="L23" s="4"/>
      <c r="M23" s="22"/>
      <c r="N23" s="22"/>
      <c r="O23" s="22"/>
    </row>
    <row r="24" spans="3:15" x14ac:dyDescent="0.25">
      <c r="C24" s="33" t="str">
        <f>IF(H24=1,"u","")</f>
        <v/>
      </c>
      <c r="D24" s="11" t="s">
        <v>734</v>
      </c>
      <c r="E24" s="33"/>
      <c r="F24" t="s">
        <v>558</v>
      </c>
      <c r="G24" t="s">
        <v>25</v>
      </c>
      <c r="H24">
        <f t="shared" ref="H24:H32" si="0">RANK(K24,K$23:K$43,1)</f>
        <v>2</v>
      </c>
      <c r="I24" s="4">
        <v>90000</v>
      </c>
      <c r="J24" s="4">
        <v>1410000</v>
      </c>
      <c r="K24" s="4">
        <f t="shared" ref="K24:K32" si="1">+J24+I24</f>
        <v>1500000</v>
      </c>
      <c r="L24" s="4"/>
      <c r="M24" s="22"/>
      <c r="N24" s="22"/>
      <c r="O24" s="22"/>
    </row>
    <row r="25" spans="3:15" x14ac:dyDescent="0.25">
      <c r="C25" s="33" t="str">
        <f>IF(H25=1,"u","")</f>
        <v/>
      </c>
      <c r="D25" s="11" t="s">
        <v>735</v>
      </c>
      <c r="E25" s="33"/>
      <c r="F25" t="s">
        <v>157</v>
      </c>
      <c r="G25" t="s">
        <v>93</v>
      </c>
      <c r="H25">
        <f t="shared" si="0"/>
        <v>10</v>
      </c>
      <c r="I25" s="4">
        <v>180000</v>
      </c>
      <c r="J25" s="4">
        <v>3605260</v>
      </c>
      <c r="K25" s="4">
        <f t="shared" si="1"/>
        <v>3785260</v>
      </c>
      <c r="L25" s="4"/>
      <c r="M25" s="22"/>
      <c r="N25" s="22"/>
      <c r="O25" s="22"/>
    </row>
    <row r="26" spans="3:15" x14ac:dyDescent="0.25">
      <c r="C26" s="33"/>
      <c r="D26" s="11" t="s">
        <v>725</v>
      </c>
      <c r="E26" s="33"/>
      <c r="F26" t="s">
        <v>594</v>
      </c>
      <c r="G26" t="s">
        <v>25</v>
      </c>
      <c r="H26">
        <f t="shared" si="0"/>
        <v>3</v>
      </c>
      <c r="I26" s="4">
        <v>135000</v>
      </c>
      <c r="J26" s="4">
        <v>1475000</v>
      </c>
      <c r="K26" s="4">
        <f t="shared" si="1"/>
        <v>1610000</v>
      </c>
      <c r="L26" s="4"/>
      <c r="M26" s="22"/>
      <c r="N26" s="22"/>
      <c r="O26" s="22"/>
    </row>
    <row r="27" spans="3:15" x14ac:dyDescent="0.25">
      <c r="C27" s="33"/>
      <c r="D27" s="11" t="s">
        <v>736</v>
      </c>
      <c r="E27" s="33"/>
      <c r="F27" t="s">
        <v>737</v>
      </c>
      <c r="G27" t="s">
        <v>321</v>
      </c>
      <c r="H27">
        <f t="shared" si="0"/>
        <v>5</v>
      </c>
      <c r="I27" s="4">
        <v>313900</v>
      </c>
      <c r="J27" s="4">
        <v>1458701</v>
      </c>
      <c r="K27" s="4">
        <f t="shared" si="1"/>
        <v>1772601</v>
      </c>
      <c r="L27" s="4"/>
      <c r="M27" s="22"/>
      <c r="N27" s="22"/>
      <c r="O27" s="22"/>
    </row>
    <row r="28" spans="3:15" x14ac:dyDescent="0.25">
      <c r="C28" s="33"/>
      <c r="D28" s="11" t="s">
        <v>738</v>
      </c>
      <c r="E28" s="33"/>
      <c r="F28" t="s">
        <v>739</v>
      </c>
      <c r="G28" t="s">
        <v>93</v>
      </c>
      <c r="H28">
        <f t="shared" si="0"/>
        <v>1</v>
      </c>
      <c r="I28" s="4">
        <v>114000</v>
      </c>
      <c r="J28" s="4">
        <v>1346000</v>
      </c>
      <c r="K28" s="4">
        <f t="shared" si="1"/>
        <v>1460000</v>
      </c>
      <c r="L28" s="4"/>
      <c r="M28" s="22"/>
      <c r="N28" s="22"/>
      <c r="O28" s="22"/>
    </row>
    <row r="29" spans="3:15" x14ac:dyDescent="0.25">
      <c r="C29" s="33"/>
      <c r="D29" s="11" t="s">
        <v>740</v>
      </c>
      <c r="E29" s="33"/>
      <c r="F29" t="s">
        <v>149</v>
      </c>
      <c r="G29" t="s">
        <v>25</v>
      </c>
      <c r="H29">
        <f t="shared" si="0"/>
        <v>7</v>
      </c>
      <c r="I29" s="4">
        <v>110000</v>
      </c>
      <c r="J29" s="4">
        <v>1909800</v>
      </c>
      <c r="K29" s="4">
        <f t="shared" si="1"/>
        <v>2019800</v>
      </c>
      <c r="L29" s="4"/>
      <c r="M29" s="22"/>
      <c r="N29" s="22"/>
      <c r="O29" s="22"/>
    </row>
    <row r="30" spans="3:15" x14ac:dyDescent="0.25">
      <c r="C30" s="33"/>
      <c r="D30" s="11" t="s">
        <v>554</v>
      </c>
      <c r="E30" s="33"/>
      <c r="F30" t="s">
        <v>397</v>
      </c>
      <c r="G30" t="s">
        <v>25</v>
      </c>
      <c r="H30">
        <f t="shared" si="0"/>
        <v>4</v>
      </c>
      <c r="I30" s="4">
        <v>98000</v>
      </c>
      <c r="J30" s="4">
        <v>1544000</v>
      </c>
      <c r="K30" s="4">
        <f t="shared" si="1"/>
        <v>1642000</v>
      </c>
      <c r="L30" s="4"/>
      <c r="M30" s="22"/>
      <c r="N30" s="22"/>
      <c r="O30" s="22"/>
    </row>
    <row r="31" spans="3:15" x14ac:dyDescent="0.25">
      <c r="C31" s="33"/>
      <c r="D31" s="11" t="s">
        <v>680</v>
      </c>
      <c r="E31" s="33"/>
      <c r="F31" t="s">
        <v>532</v>
      </c>
      <c r="G31" t="s">
        <v>93</v>
      </c>
      <c r="H31">
        <f t="shared" si="0"/>
        <v>6</v>
      </c>
      <c r="I31" s="4">
        <v>140000</v>
      </c>
      <c r="J31" s="4">
        <v>1816000</v>
      </c>
      <c r="K31" s="4">
        <f t="shared" si="1"/>
        <v>1956000</v>
      </c>
      <c r="L31" s="4"/>
      <c r="M31" s="22"/>
      <c r="N31" s="22"/>
      <c r="O31" s="22"/>
    </row>
    <row r="32" spans="3:15" x14ac:dyDescent="0.25">
      <c r="C32" s="33"/>
      <c r="D32" s="11" t="s">
        <v>741</v>
      </c>
      <c r="E32" s="33"/>
      <c r="F32" t="s">
        <v>742</v>
      </c>
      <c r="G32" t="s">
        <v>25</v>
      </c>
      <c r="H32">
        <f t="shared" si="0"/>
        <v>8</v>
      </c>
      <c r="I32" s="4">
        <v>82120</v>
      </c>
      <c r="J32" s="4">
        <v>1977000</v>
      </c>
      <c r="K32" s="4">
        <f t="shared" si="1"/>
        <v>2059120</v>
      </c>
      <c r="L32" s="4"/>
      <c r="M32" s="22"/>
      <c r="N32" s="22"/>
      <c r="O32" s="22"/>
    </row>
    <row r="33" spans="3:15" x14ac:dyDescent="0.25">
      <c r="C33" s="33"/>
      <c r="D33" s="11"/>
      <c r="E33" s="33"/>
      <c r="I33" s="4"/>
      <c r="J33" s="4"/>
      <c r="K33" s="4"/>
      <c r="M33" s="21"/>
      <c r="N33" s="21"/>
      <c r="O33" s="21"/>
    </row>
    <row r="34" spans="3:15" x14ac:dyDescent="0.25">
      <c r="C34" s="33"/>
      <c r="D34" s="11"/>
      <c r="E34" s="33"/>
      <c r="I34" s="4"/>
      <c r="J34" s="4"/>
      <c r="K34" s="4"/>
      <c r="M34" s="21"/>
      <c r="N34" s="21"/>
      <c r="O34" s="21"/>
    </row>
    <row r="35" spans="3:15" x14ac:dyDescent="0.25">
      <c r="C35" s="33"/>
      <c r="D35" s="11"/>
      <c r="E35" s="33"/>
      <c r="I35" s="4"/>
      <c r="J35" s="4"/>
      <c r="K35" s="4"/>
      <c r="M35" s="21"/>
      <c r="N35" s="21"/>
      <c r="O35" s="21"/>
    </row>
    <row r="36" spans="3:15" x14ac:dyDescent="0.25">
      <c r="C36" s="33" t="str">
        <f t="shared" ref="C36:C43" si="2">IF(H36=1,"u","")</f>
        <v/>
      </c>
      <c r="D36" s="11"/>
      <c r="E36" s="33" t="str">
        <f t="shared" ref="E36:E43" si="3">IF(H36=1,"t","")</f>
        <v/>
      </c>
      <c r="K36" s="4"/>
      <c r="M36" s="21"/>
      <c r="N36" s="21"/>
      <c r="O36" s="21"/>
    </row>
    <row r="37" spans="3:15" x14ac:dyDescent="0.25">
      <c r="C37" s="33" t="str">
        <f t="shared" si="2"/>
        <v/>
      </c>
      <c r="D37" s="11"/>
      <c r="E37" s="33" t="str">
        <f t="shared" si="3"/>
        <v/>
      </c>
      <c r="K37" s="4"/>
      <c r="M37" s="21"/>
      <c r="N37" s="21"/>
      <c r="O37" s="21"/>
    </row>
    <row r="38" spans="3:15" x14ac:dyDescent="0.25">
      <c r="C38" s="33" t="str">
        <f t="shared" si="2"/>
        <v/>
      </c>
      <c r="D38" s="11"/>
      <c r="E38" s="33" t="str">
        <f t="shared" si="3"/>
        <v/>
      </c>
      <c r="K38" s="4"/>
      <c r="M38" s="21"/>
      <c r="N38" s="21"/>
      <c r="O38" s="21"/>
    </row>
    <row r="39" spans="3:15" x14ac:dyDescent="0.25">
      <c r="C39" s="33" t="str">
        <f t="shared" si="2"/>
        <v/>
      </c>
      <c r="D39" s="11"/>
      <c r="E39" s="33" t="str">
        <f t="shared" si="3"/>
        <v/>
      </c>
      <c r="K39" s="4"/>
      <c r="M39" s="21"/>
      <c r="N39" s="21"/>
      <c r="O39" s="21"/>
    </row>
    <row r="40" spans="3:15" x14ac:dyDescent="0.25">
      <c r="C40" s="33" t="str">
        <f t="shared" si="2"/>
        <v/>
      </c>
      <c r="D40" s="11"/>
      <c r="E40" s="33" t="str">
        <f t="shared" si="3"/>
        <v/>
      </c>
      <c r="K40" s="4"/>
      <c r="M40" s="21"/>
      <c r="N40" s="21"/>
      <c r="O40" s="21"/>
    </row>
    <row r="41" spans="3:15" x14ac:dyDescent="0.25">
      <c r="C41" s="33" t="str">
        <f t="shared" si="2"/>
        <v/>
      </c>
      <c r="D41" s="11"/>
      <c r="E41" s="33" t="str">
        <f t="shared" si="3"/>
        <v/>
      </c>
      <c r="K41" s="4"/>
      <c r="M41" s="21"/>
      <c r="N41" s="21"/>
      <c r="O41" s="21"/>
    </row>
    <row r="42" spans="3:15" x14ac:dyDescent="0.25">
      <c r="C42" s="33" t="str">
        <f t="shared" si="2"/>
        <v/>
      </c>
      <c r="D42" s="11"/>
      <c r="E42" s="33" t="str">
        <f t="shared" si="3"/>
        <v/>
      </c>
      <c r="K42" s="4"/>
      <c r="M42" s="21"/>
      <c r="N42" s="21"/>
      <c r="O42" s="21"/>
    </row>
    <row r="43" spans="3:15" x14ac:dyDescent="0.25">
      <c r="C43" s="33" t="str">
        <f t="shared" si="2"/>
        <v/>
      </c>
      <c r="D43" s="11"/>
      <c r="E43" s="33" t="str">
        <f t="shared" si="3"/>
        <v/>
      </c>
      <c r="K43" s="4"/>
      <c r="M43" s="21"/>
      <c r="N43" s="21"/>
      <c r="O43" s="21"/>
    </row>
    <row r="44" spans="3:15" ht="6" customHeight="1" x14ac:dyDescent="0.25">
      <c r="C44" s="9"/>
      <c r="D44" s="9"/>
      <c r="E44" s="9"/>
      <c r="F44" s="9"/>
      <c r="G44" s="9"/>
      <c r="H44" s="9"/>
      <c r="I44" s="9"/>
      <c r="J44" s="9"/>
      <c r="K44" s="9"/>
      <c r="L44" s="9"/>
      <c r="M44" s="21"/>
      <c r="N44" s="21"/>
      <c r="O44" s="21"/>
    </row>
    <row r="45" spans="3:15" ht="6" customHeight="1" x14ac:dyDescent="0.25">
      <c r="M45" s="21"/>
      <c r="N45" s="21"/>
      <c r="O45" s="21"/>
    </row>
    <row r="46" spans="3:15" x14ac:dyDescent="0.25">
      <c r="C46" s="15" t="s">
        <v>79</v>
      </c>
      <c r="M46" s="21"/>
      <c r="N46" s="21"/>
      <c r="O46" s="21"/>
    </row>
    <row r="47" spans="3:15" x14ac:dyDescent="0.25">
      <c r="C47" s="15" t="s">
        <v>78</v>
      </c>
    </row>
  </sheetData>
  <mergeCells count="1">
    <mergeCell ref="G13:H13"/>
  </mergeCells>
  <conditionalFormatting sqref="I9">
    <cfRule type="containsText" dxfId="956" priority="23" operator="containsText" text="FAIL">
      <formula>NOT(ISERROR(SEARCH("FAIL",I9)))</formula>
    </cfRule>
  </conditionalFormatting>
  <conditionalFormatting sqref="I9">
    <cfRule type="containsText" dxfId="955" priority="22" operator="containsText" text="GOOD">
      <formula>NOT(ISERROR(SEARCH("GOOD",I9)))</formula>
    </cfRule>
  </conditionalFormatting>
  <conditionalFormatting sqref="I9">
    <cfRule type="containsText" dxfId="954" priority="21" operator="containsText" text="FAIL">
      <formula>NOT(ISERROR(SEARCH("FAIL",I9)))</formula>
    </cfRule>
  </conditionalFormatting>
  <conditionalFormatting sqref="I9">
    <cfRule type="containsText" dxfId="953" priority="20" operator="containsText" text="GOOD">
      <formula>NOT(ISERROR(SEARCH("GOOD",I9)))</formula>
    </cfRule>
  </conditionalFormatting>
  <conditionalFormatting sqref="I9">
    <cfRule type="containsText" dxfId="952" priority="19" operator="containsText" text="FAIL">
      <formula>NOT(ISERROR(SEARCH("FAIL",I9)))</formula>
    </cfRule>
  </conditionalFormatting>
  <conditionalFormatting sqref="I9">
    <cfRule type="containsText" dxfId="951" priority="18" operator="containsText" text="GOOD">
      <formula>NOT(ISERROR(SEARCH("GOOD",I9)))</formula>
    </cfRule>
  </conditionalFormatting>
  <conditionalFormatting sqref="F11">
    <cfRule type="containsText" dxfId="950" priority="17" operator="containsText" text="FAIL">
      <formula>NOT(ISERROR(SEARCH("FAIL",F11)))</formula>
    </cfRule>
  </conditionalFormatting>
  <conditionalFormatting sqref="F11">
    <cfRule type="containsText" dxfId="949" priority="16" operator="containsText" text="GOOD">
      <formula>NOT(ISERROR(SEARCH("GOOD",F11)))</formula>
    </cfRule>
  </conditionalFormatting>
  <conditionalFormatting sqref="I9">
    <cfRule type="containsText" dxfId="948" priority="15" operator="containsText" text="FAIL">
      <formula>NOT(ISERROR(SEARCH("FAIL",I9)))</formula>
    </cfRule>
  </conditionalFormatting>
  <conditionalFormatting sqref="I9">
    <cfRule type="containsText" dxfId="947" priority="14" operator="containsText" text="GOOD">
      <formula>NOT(ISERROR(SEARCH("GOOD",I9)))</formula>
    </cfRule>
  </conditionalFormatting>
  <conditionalFormatting sqref="F11">
    <cfRule type="containsText" dxfId="946" priority="13" operator="containsText" text="FAIL">
      <formula>NOT(ISERROR(SEARCH("FAIL",F11)))</formula>
    </cfRule>
  </conditionalFormatting>
  <conditionalFormatting sqref="F11">
    <cfRule type="containsText" dxfId="945" priority="12" operator="containsText" text="GOOD">
      <formula>NOT(ISERROR(SEARCH("GOOD",F11)))</formula>
    </cfRule>
  </conditionalFormatting>
  <conditionalFormatting sqref="D25">
    <cfRule type="expression" dxfId="944" priority="11" stopIfTrue="1">
      <formula>IF($H$25=1,0)</formula>
    </cfRule>
  </conditionalFormatting>
  <conditionalFormatting sqref="D23:D33 D36:D43">
    <cfRule type="expression" dxfId="943" priority="10">
      <formula>H23=1</formula>
    </cfRule>
  </conditionalFormatting>
  <conditionalFormatting sqref="C23:C33 C36:C43">
    <cfRule type="expression" dxfId="942" priority="9">
      <formula>H23=1</formula>
    </cfRule>
  </conditionalFormatting>
  <conditionalFormatting sqref="E23:E33 E36:E43">
    <cfRule type="expression" dxfId="941" priority="8">
      <formula>H23=1</formula>
    </cfRule>
  </conditionalFormatting>
  <conditionalFormatting sqref="E23:E33 E36:E43">
    <cfRule type="expression" dxfId="940" priority="7">
      <formula>H23=1</formula>
    </cfRule>
  </conditionalFormatting>
  <conditionalFormatting sqref="F11">
    <cfRule type="containsText" dxfId="939" priority="6" operator="containsText" text="FAIL">
      <formula>NOT(ISERROR(SEARCH("FAIL",F11)))</formula>
    </cfRule>
  </conditionalFormatting>
  <conditionalFormatting sqref="F11">
    <cfRule type="containsText" dxfId="938" priority="5" operator="containsText" text="GOOD">
      <formula>NOT(ISERROR(SEARCH("GOOD",F11)))</formula>
    </cfRule>
  </conditionalFormatting>
  <conditionalFormatting sqref="D34:D35">
    <cfRule type="expression" dxfId="937" priority="4">
      <formula>H34=1</formula>
    </cfRule>
  </conditionalFormatting>
  <conditionalFormatting sqref="C34:C35">
    <cfRule type="expression" dxfId="936" priority="3">
      <formula>H34=1</formula>
    </cfRule>
  </conditionalFormatting>
  <conditionalFormatting sqref="E34:E35">
    <cfRule type="expression" dxfId="935" priority="2">
      <formula>H34=1</formula>
    </cfRule>
  </conditionalFormatting>
  <conditionalFormatting sqref="E34:E35">
    <cfRule type="expression" dxfId="934" priority="1">
      <formula>H34=1</formula>
    </cfRule>
  </conditionalFormatting>
  <pageMargins left="0.7" right="0.7" top="0.75" bottom="0.75" header="0.3" footer="0.3"/>
  <pageSetup orientation="portrait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C00-000000000000}">
  <sheetPr codeName="Sheet126"/>
  <dimension ref="A2:O47"/>
  <sheetViews>
    <sheetView zoomScaleNormal="100" workbookViewId="0">
      <selection activeCell="J9" sqref="J9"/>
    </sheetView>
  </sheetViews>
  <sheetFormatPr defaultRowHeight="15" x14ac:dyDescent="0.25"/>
  <cols>
    <col min="1" max="2" width="4.42578125" customWidth="1"/>
    <col min="3" max="3" width="3" customWidth="1"/>
    <col min="4" max="4" width="24.85546875" customWidth="1"/>
    <col min="5" max="5" width="3" customWidth="1"/>
    <col min="6" max="6" width="15.7109375" customWidth="1"/>
    <col min="7" max="7" width="8.5703125" customWidth="1"/>
    <col min="8" max="8" width="5.85546875" customWidth="1"/>
    <col min="9" max="15" width="15.7109375" customWidth="1"/>
  </cols>
  <sheetData>
    <row r="2" spans="1:11" x14ac:dyDescent="0.25">
      <c r="C2" s="15" t="s">
        <v>32</v>
      </c>
      <c r="E2" s="15"/>
      <c r="F2" s="15"/>
      <c r="G2" s="15" t="s">
        <v>33</v>
      </c>
      <c r="H2" s="15"/>
      <c r="I2" s="15"/>
      <c r="J2" s="15"/>
      <c r="K2" s="15"/>
    </row>
    <row r="3" spans="1:11" ht="18.75" x14ac:dyDescent="0.3">
      <c r="C3" s="3" t="s">
        <v>26</v>
      </c>
      <c r="J3" s="8" t="s">
        <v>17</v>
      </c>
    </row>
    <row r="4" spans="1:11" x14ac:dyDescent="0.25">
      <c r="D4" s="2" t="s">
        <v>0</v>
      </c>
      <c r="E4" s="1"/>
      <c r="F4" t="s">
        <v>481</v>
      </c>
      <c r="I4" s="2" t="s">
        <v>4</v>
      </c>
      <c r="J4" t="s">
        <v>442</v>
      </c>
    </row>
    <row r="5" spans="1:11" x14ac:dyDescent="0.25">
      <c r="D5" s="2" t="s">
        <v>1</v>
      </c>
      <c r="F5" t="s">
        <v>482</v>
      </c>
    </row>
    <row r="6" spans="1:11" x14ac:dyDescent="0.25">
      <c r="D6" s="2" t="s">
        <v>2</v>
      </c>
      <c r="F6" s="6">
        <v>42389</v>
      </c>
      <c r="H6" s="11"/>
    </row>
    <row r="7" spans="1:11" x14ac:dyDescent="0.25">
      <c r="D7" s="2" t="s">
        <v>3</v>
      </c>
      <c r="F7" s="5">
        <v>10000000</v>
      </c>
      <c r="G7" s="2" t="s">
        <v>34</v>
      </c>
      <c r="H7" s="11"/>
    </row>
    <row r="8" spans="1:11" x14ac:dyDescent="0.25">
      <c r="D8" s="2" t="s">
        <v>18</v>
      </c>
      <c r="F8" s="5">
        <f>MIN(I23:I43)</f>
        <v>6499990</v>
      </c>
      <c r="H8" s="11"/>
    </row>
    <row r="9" spans="1:11" x14ac:dyDescent="0.25">
      <c r="D9" s="2" t="s">
        <v>67</v>
      </c>
      <c r="F9" s="4">
        <f>+F8-F7</f>
        <v>-3500010</v>
      </c>
      <c r="G9" s="16">
        <f>+F9/F7</f>
        <v>-0.35000100000000001</v>
      </c>
      <c r="H9" s="12" t="s">
        <v>20</v>
      </c>
      <c r="I9" s="11" t="str">
        <f>(IF(G9&lt;-0.1,"FAIL",IF(G9&gt;0.05,"FAIL","GOOD")))</f>
        <v>FAIL</v>
      </c>
      <c r="J9" s="14" t="s">
        <v>72</v>
      </c>
    </row>
    <row r="10" spans="1:11" x14ac:dyDescent="0.25">
      <c r="D10" s="2" t="s">
        <v>68</v>
      </c>
      <c r="F10" s="4">
        <f>+F7-F12</f>
        <v>1897885</v>
      </c>
      <c r="H10" s="11"/>
    </row>
    <row r="11" spans="1:11" x14ac:dyDescent="0.25">
      <c r="A11" s="30"/>
      <c r="D11" s="2" t="s">
        <v>71</v>
      </c>
      <c r="F11" s="11" t="str">
        <f>(IF(F7&lt;J12,"FAIL",IF(F7&gt;J13,"FAIL","GOOD")))</f>
        <v>FAIL</v>
      </c>
      <c r="H11" s="11"/>
    </row>
    <row r="12" spans="1:11" x14ac:dyDescent="0.25">
      <c r="D12" s="2" t="s">
        <v>28</v>
      </c>
      <c r="F12" s="4">
        <f>SUM(I23:I43)/H12</f>
        <v>8102115</v>
      </c>
      <c r="G12" s="14"/>
      <c r="H12" s="11">
        <f>COUNT(I23:I43)</f>
        <v>6</v>
      </c>
      <c r="I12" s="1" t="s">
        <v>31</v>
      </c>
      <c r="J12" s="4">
        <f>+F8*0.9</f>
        <v>5849991</v>
      </c>
      <c r="K12" s="1" t="s">
        <v>69</v>
      </c>
    </row>
    <row r="13" spans="1:11" x14ac:dyDescent="0.25">
      <c r="D13" s="2" t="s">
        <v>29</v>
      </c>
      <c r="F13" s="4">
        <f>MAX(I23:I43)-MIN(I23:I43)</f>
        <v>4435010</v>
      </c>
      <c r="G13" s="399">
        <f>MEDIAN(I23:I43)</f>
        <v>7570350</v>
      </c>
      <c r="H13" s="400"/>
      <c r="I13" s="1" t="s">
        <v>30</v>
      </c>
      <c r="J13" s="4">
        <f>+F12*1.1</f>
        <v>8912326.5</v>
      </c>
      <c r="K13" s="1" t="s">
        <v>70</v>
      </c>
    </row>
    <row r="14" spans="1:11" x14ac:dyDescent="0.25">
      <c r="H14" s="11"/>
    </row>
    <row r="15" spans="1:11" x14ac:dyDescent="0.25">
      <c r="D15" s="2" t="s">
        <v>8</v>
      </c>
      <c r="F15" s="4">
        <v>2000000</v>
      </c>
      <c r="G15" s="1" t="s">
        <v>9</v>
      </c>
      <c r="H15" s="11"/>
      <c r="I15" t="s">
        <v>15</v>
      </c>
      <c r="J15" s="7">
        <f>+F16/F15</f>
        <v>1.0249999999999999</v>
      </c>
    </row>
    <row r="16" spans="1:11" x14ac:dyDescent="0.25">
      <c r="F16" s="4">
        <v>2050000</v>
      </c>
      <c r="G16" s="1" t="s">
        <v>10</v>
      </c>
      <c r="H16" s="11"/>
      <c r="I16" t="s">
        <v>14</v>
      </c>
      <c r="J16" s="7">
        <f>+F17/F16</f>
        <v>0.87804878048780488</v>
      </c>
    </row>
    <row r="17" spans="3:15" x14ac:dyDescent="0.25">
      <c r="F17" s="4">
        <v>1800000</v>
      </c>
      <c r="G17" s="1" t="s">
        <v>11</v>
      </c>
      <c r="H17" s="11"/>
      <c r="I17" t="s">
        <v>13</v>
      </c>
      <c r="J17" s="7">
        <f>+F18/F17</f>
        <v>5.5555555555555554</v>
      </c>
      <c r="M17" s="21"/>
      <c r="N17" s="21"/>
      <c r="O17" s="21"/>
    </row>
    <row r="18" spans="3:15" x14ac:dyDescent="0.25">
      <c r="F18" s="4">
        <f>+F7</f>
        <v>10000000</v>
      </c>
      <c r="G18" s="1" t="s">
        <v>12</v>
      </c>
      <c r="H18" s="11"/>
      <c r="I18" t="s">
        <v>16</v>
      </c>
      <c r="J18" s="7">
        <f>+F8/F18</f>
        <v>0.64999899999999999</v>
      </c>
      <c r="M18" s="21"/>
      <c r="N18" s="21"/>
      <c r="O18" s="21"/>
    </row>
    <row r="19" spans="3:15" x14ac:dyDescent="0.25">
      <c r="F19" s="2" t="s">
        <v>51</v>
      </c>
      <c r="G19">
        <v>0</v>
      </c>
      <c r="H19" s="11" t="s">
        <v>52</v>
      </c>
      <c r="I19" t="s">
        <v>41</v>
      </c>
      <c r="J19" s="7">
        <f>+F8/F15</f>
        <v>3.2499950000000002</v>
      </c>
      <c r="M19" s="21"/>
      <c r="N19" s="21"/>
      <c r="O19" s="21"/>
    </row>
    <row r="20" spans="3:15" x14ac:dyDescent="0.25">
      <c r="H20" s="11"/>
      <c r="M20" s="21"/>
      <c r="N20" s="21"/>
      <c r="O20" s="21"/>
    </row>
    <row r="21" spans="3:15" x14ac:dyDescent="0.25">
      <c r="C21" s="9"/>
      <c r="D21" s="13" t="s">
        <v>21</v>
      </c>
      <c r="E21" s="9"/>
      <c r="F21" s="9" t="s">
        <v>22</v>
      </c>
      <c r="G21" s="9" t="s">
        <v>23</v>
      </c>
      <c r="H21" s="13" t="s">
        <v>27</v>
      </c>
      <c r="I21" s="10" t="s">
        <v>24</v>
      </c>
      <c r="J21" s="9"/>
      <c r="K21" s="9"/>
      <c r="L21" s="9"/>
      <c r="M21" s="21"/>
      <c r="N21" s="21"/>
      <c r="O21" s="21"/>
    </row>
    <row r="22" spans="3:15" ht="6" customHeight="1" x14ac:dyDescent="0.25">
      <c r="M22" s="21"/>
      <c r="N22" s="21"/>
      <c r="O22" s="21"/>
    </row>
    <row r="23" spans="3:15" x14ac:dyDescent="0.25">
      <c r="C23" s="33" t="str">
        <f>IF(H23=1,"u","")</f>
        <v/>
      </c>
      <c r="D23" s="11" t="s">
        <v>483</v>
      </c>
      <c r="E23" s="33"/>
      <c r="F23" t="s">
        <v>484</v>
      </c>
      <c r="G23" t="s">
        <v>355</v>
      </c>
      <c r="H23">
        <f t="shared" ref="H23:H28" si="0">RANK(I23,I$23:I$43,1)</f>
        <v>5</v>
      </c>
      <c r="I23" s="4">
        <v>8899000</v>
      </c>
      <c r="J23" s="4"/>
      <c r="K23" s="4"/>
      <c r="L23" s="4"/>
      <c r="M23" s="22"/>
      <c r="N23" s="22"/>
      <c r="O23" s="22"/>
    </row>
    <row r="24" spans="3:15" x14ac:dyDescent="0.25">
      <c r="C24" s="33" t="str">
        <f>IF(H24=1,"u","")</f>
        <v/>
      </c>
      <c r="D24" s="11" t="s">
        <v>485</v>
      </c>
      <c r="E24" s="33"/>
      <c r="F24" t="s">
        <v>486</v>
      </c>
      <c r="G24" t="s">
        <v>25</v>
      </c>
      <c r="H24">
        <f t="shared" si="0"/>
        <v>2</v>
      </c>
      <c r="I24" s="4">
        <v>7138000</v>
      </c>
      <c r="J24" s="4"/>
      <c r="K24" s="4"/>
      <c r="L24" s="4"/>
      <c r="M24" s="22"/>
      <c r="N24" s="22"/>
      <c r="O24" s="22"/>
    </row>
    <row r="25" spans="3:15" x14ac:dyDescent="0.25">
      <c r="C25" s="33" t="str">
        <f>IF(H25=1,"u","")</f>
        <v/>
      </c>
      <c r="D25" s="11" t="s">
        <v>487</v>
      </c>
      <c r="E25" s="33"/>
      <c r="F25" t="s">
        <v>113</v>
      </c>
      <c r="G25" t="s">
        <v>25</v>
      </c>
      <c r="H25">
        <f t="shared" si="0"/>
        <v>3</v>
      </c>
      <c r="I25" s="4">
        <v>7370000</v>
      </c>
      <c r="J25" s="4"/>
      <c r="K25" s="4"/>
      <c r="L25" s="4"/>
      <c r="M25" s="22"/>
      <c r="N25" s="22"/>
      <c r="O25" s="22"/>
    </row>
    <row r="26" spans="3:15" x14ac:dyDescent="0.25">
      <c r="C26" s="33" t="str">
        <f t="shared" ref="C26:C43" si="1">IF(H26=1,"u","")</f>
        <v>u</v>
      </c>
      <c r="D26" s="11" t="s">
        <v>488</v>
      </c>
      <c r="E26" s="33"/>
      <c r="F26" t="s">
        <v>120</v>
      </c>
      <c r="G26" t="s">
        <v>25</v>
      </c>
      <c r="H26">
        <f t="shared" si="0"/>
        <v>1</v>
      </c>
      <c r="I26" s="4">
        <v>6499990</v>
      </c>
      <c r="J26" s="4"/>
      <c r="K26" s="4"/>
      <c r="L26" s="4"/>
      <c r="M26" s="22"/>
      <c r="N26" s="22"/>
      <c r="O26" s="22"/>
    </row>
    <row r="27" spans="3:15" x14ac:dyDescent="0.25">
      <c r="C27" s="33" t="str">
        <f t="shared" si="1"/>
        <v/>
      </c>
      <c r="D27" s="11" t="s">
        <v>489</v>
      </c>
      <c r="E27" s="33" t="str">
        <f t="shared" ref="E27:E43" si="2">IF(H27=1,"t","")</f>
        <v/>
      </c>
      <c r="F27" t="s">
        <v>490</v>
      </c>
      <c r="G27" t="s">
        <v>25</v>
      </c>
      <c r="H27">
        <f t="shared" si="0"/>
        <v>4</v>
      </c>
      <c r="I27" s="4">
        <v>7770700</v>
      </c>
      <c r="J27" s="4"/>
      <c r="K27" s="4"/>
      <c r="L27" s="4"/>
      <c r="M27" s="22"/>
      <c r="N27" s="22"/>
      <c r="O27" s="22"/>
    </row>
    <row r="28" spans="3:15" x14ac:dyDescent="0.25">
      <c r="C28" s="33" t="str">
        <f t="shared" si="1"/>
        <v/>
      </c>
      <c r="D28" s="11" t="s">
        <v>491</v>
      </c>
      <c r="E28" s="33" t="str">
        <f t="shared" si="2"/>
        <v/>
      </c>
      <c r="F28" t="s">
        <v>203</v>
      </c>
      <c r="G28" t="s">
        <v>204</v>
      </c>
      <c r="H28">
        <f t="shared" si="0"/>
        <v>6</v>
      </c>
      <c r="I28" s="4">
        <v>10935000</v>
      </c>
      <c r="J28" s="4"/>
      <c r="K28" s="4"/>
      <c r="L28" s="4"/>
      <c r="M28" s="22"/>
      <c r="N28" s="22"/>
      <c r="O28" s="22"/>
    </row>
    <row r="29" spans="3:15" x14ac:dyDescent="0.25">
      <c r="C29" s="33" t="str">
        <f t="shared" si="1"/>
        <v/>
      </c>
      <c r="D29" s="11"/>
      <c r="E29" s="33" t="str">
        <f t="shared" si="2"/>
        <v/>
      </c>
      <c r="I29" s="4"/>
      <c r="J29" s="4"/>
      <c r="K29" s="4"/>
      <c r="L29" s="4"/>
      <c r="M29" s="22"/>
      <c r="N29" s="22"/>
      <c r="O29" s="22"/>
    </row>
    <row r="30" spans="3:15" x14ac:dyDescent="0.25">
      <c r="C30" s="33" t="str">
        <f t="shared" si="1"/>
        <v/>
      </c>
      <c r="D30" s="11"/>
      <c r="E30" s="33" t="str">
        <f t="shared" si="2"/>
        <v/>
      </c>
      <c r="I30" s="4"/>
      <c r="J30" s="4"/>
      <c r="K30" s="4"/>
      <c r="L30" s="4"/>
      <c r="M30" s="22"/>
      <c r="N30" s="22"/>
      <c r="O30" s="22"/>
    </row>
    <row r="31" spans="3:15" x14ac:dyDescent="0.25">
      <c r="C31" s="33" t="str">
        <f t="shared" si="1"/>
        <v/>
      </c>
      <c r="D31" s="11"/>
      <c r="E31" s="33" t="str">
        <f t="shared" si="2"/>
        <v/>
      </c>
      <c r="I31" s="4"/>
      <c r="J31" s="4"/>
      <c r="K31" s="4"/>
      <c r="L31" s="4"/>
      <c r="M31" s="22"/>
      <c r="N31" s="22"/>
      <c r="O31" s="22"/>
    </row>
    <row r="32" spans="3:15" x14ac:dyDescent="0.25">
      <c r="C32" s="33" t="str">
        <f t="shared" si="1"/>
        <v/>
      </c>
      <c r="D32" s="11"/>
      <c r="E32" s="33" t="str">
        <f t="shared" si="2"/>
        <v/>
      </c>
      <c r="I32" s="4"/>
      <c r="J32" s="4"/>
      <c r="K32" s="4"/>
      <c r="L32" s="4"/>
      <c r="M32" s="22"/>
      <c r="N32" s="22"/>
      <c r="O32" s="22"/>
    </row>
    <row r="33" spans="3:15" x14ac:dyDescent="0.25">
      <c r="C33" s="33" t="str">
        <f t="shared" si="1"/>
        <v/>
      </c>
      <c r="D33" s="11"/>
      <c r="E33" s="33" t="str">
        <f t="shared" si="2"/>
        <v/>
      </c>
      <c r="M33" s="21"/>
      <c r="N33" s="21"/>
      <c r="O33" s="21"/>
    </row>
    <row r="34" spans="3:15" x14ac:dyDescent="0.25">
      <c r="C34" s="33" t="str">
        <f t="shared" si="1"/>
        <v/>
      </c>
      <c r="D34" s="11"/>
      <c r="E34" s="33" t="str">
        <f t="shared" si="2"/>
        <v/>
      </c>
      <c r="M34" s="21"/>
      <c r="N34" s="21"/>
      <c r="O34" s="21"/>
    </row>
    <row r="35" spans="3:15" x14ac:dyDescent="0.25">
      <c r="C35" s="33" t="str">
        <f t="shared" si="1"/>
        <v/>
      </c>
      <c r="D35" s="11"/>
      <c r="E35" s="33" t="str">
        <f t="shared" si="2"/>
        <v/>
      </c>
      <c r="M35" s="21"/>
      <c r="N35" s="21"/>
      <c r="O35" s="21"/>
    </row>
    <row r="36" spans="3:15" x14ac:dyDescent="0.25">
      <c r="C36" s="33" t="str">
        <f t="shared" si="1"/>
        <v/>
      </c>
      <c r="D36" s="11"/>
      <c r="E36" s="33" t="str">
        <f t="shared" si="2"/>
        <v/>
      </c>
      <c r="M36" s="21"/>
      <c r="N36" s="21"/>
      <c r="O36" s="21"/>
    </row>
    <row r="37" spans="3:15" x14ac:dyDescent="0.25">
      <c r="C37" s="33" t="str">
        <f t="shared" si="1"/>
        <v/>
      </c>
      <c r="D37" s="11"/>
      <c r="E37" s="33" t="str">
        <f t="shared" si="2"/>
        <v/>
      </c>
      <c r="M37" s="21"/>
      <c r="N37" s="21"/>
      <c r="O37" s="21"/>
    </row>
    <row r="38" spans="3:15" x14ac:dyDescent="0.25">
      <c r="C38" s="33" t="str">
        <f t="shared" si="1"/>
        <v/>
      </c>
      <c r="D38" s="11"/>
      <c r="E38" s="33" t="str">
        <f t="shared" si="2"/>
        <v/>
      </c>
      <c r="M38" s="21"/>
      <c r="N38" s="21"/>
      <c r="O38" s="21"/>
    </row>
    <row r="39" spans="3:15" x14ac:dyDescent="0.25">
      <c r="C39" s="33" t="str">
        <f t="shared" si="1"/>
        <v/>
      </c>
      <c r="D39" s="11"/>
      <c r="E39" s="33" t="str">
        <f t="shared" si="2"/>
        <v/>
      </c>
      <c r="M39" s="21"/>
      <c r="N39" s="21"/>
      <c r="O39" s="21"/>
    </row>
    <row r="40" spans="3:15" x14ac:dyDescent="0.25">
      <c r="C40" s="33" t="str">
        <f t="shared" si="1"/>
        <v/>
      </c>
      <c r="D40" s="11"/>
      <c r="E40" s="33" t="str">
        <f t="shared" si="2"/>
        <v/>
      </c>
      <c r="M40" s="21"/>
      <c r="N40" s="21"/>
      <c r="O40" s="21"/>
    </row>
    <row r="41" spans="3:15" x14ac:dyDescent="0.25">
      <c r="C41" s="33" t="str">
        <f t="shared" si="1"/>
        <v/>
      </c>
      <c r="D41" s="11"/>
      <c r="E41" s="33" t="str">
        <f t="shared" si="2"/>
        <v/>
      </c>
      <c r="M41" s="21"/>
      <c r="N41" s="21"/>
      <c r="O41" s="21"/>
    </row>
    <row r="42" spans="3:15" x14ac:dyDescent="0.25">
      <c r="C42" s="33" t="str">
        <f t="shared" si="1"/>
        <v/>
      </c>
      <c r="D42" s="11"/>
      <c r="E42" s="33" t="str">
        <f t="shared" si="2"/>
        <v/>
      </c>
      <c r="M42" s="21"/>
      <c r="N42" s="21"/>
      <c r="O42" s="21"/>
    </row>
    <row r="43" spans="3:15" x14ac:dyDescent="0.25">
      <c r="C43" s="33" t="str">
        <f t="shared" si="1"/>
        <v/>
      </c>
      <c r="D43" s="11"/>
      <c r="E43" s="33" t="str">
        <f t="shared" si="2"/>
        <v/>
      </c>
      <c r="M43" s="21"/>
      <c r="N43" s="21"/>
      <c r="O43" s="21"/>
    </row>
    <row r="44" spans="3:15" ht="6" customHeight="1" x14ac:dyDescent="0.25">
      <c r="C44" s="9"/>
      <c r="D44" s="9"/>
      <c r="E44" s="9"/>
      <c r="F44" s="9"/>
      <c r="G44" s="9"/>
      <c r="H44" s="9"/>
      <c r="I44" s="9"/>
      <c r="J44" s="9"/>
      <c r="K44" s="9"/>
      <c r="L44" s="9"/>
      <c r="M44" s="21"/>
      <c r="N44" s="21"/>
      <c r="O44" s="21"/>
    </row>
    <row r="45" spans="3:15" ht="6" customHeight="1" x14ac:dyDescent="0.25">
      <c r="M45" s="21"/>
      <c r="N45" s="21"/>
      <c r="O45" s="21"/>
    </row>
    <row r="46" spans="3:15" x14ac:dyDescent="0.25">
      <c r="C46" s="15" t="s">
        <v>79</v>
      </c>
      <c r="M46" s="21"/>
      <c r="N46" s="21"/>
      <c r="O46" s="21"/>
    </row>
    <row r="47" spans="3:15" x14ac:dyDescent="0.25">
      <c r="C47" s="15" t="s">
        <v>78</v>
      </c>
    </row>
  </sheetData>
  <mergeCells count="1">
    <mergeCell ref="G13:H13"/>
  </mergeCells>
  <conditionalFormatting sqref="I9">
    <cfRule type="containsText" dxfId="567" priority="10" operator="containsText" text="FAIL">
      <formula>NOT(ISERROR(SEARCH("FAIL",I9)))</formula>
    </cfRule>
  </conditionalFormatting>
  <conditionalFormatting sqref="I9">
    <cfRule type="containsText" dxfId="566" priority="9" operator="containsText" text="GOOD">
      <formula>NOT(ISERROR(SEARCH("GOOD",I9)))</formula>
    </cfRule>
  </conditionalFormatting>
  <conditionalFormatting sqref="F11">
    <cfRule type="containsText" dxfId="565" priority="8" operator="containsText" text="FAIL">
      <formula>NOT(ISERROR(SEARCH("FAIL",F11)))</formula>
    </cfRule>
  </conditionalFormatting>
  <conditionalFormatting sqref="F11">
    <cfRule type="containsText" dxfId="564" priority="7" operator="containsText" text="GOOD">
      <formula>NOT(ISERROR(SEARCH("GOOD",F11)))</formula>
    </cfRule>
  </conditionalFormatting>
  <conditionalFormatting sqref="D25">
    <cfRule type="expression" dxfId="563" priority="6" stopIfTrue="1">
      <formula>IF($H$25=1,0)</formula>
    </cfRule>
  </conditionalFormatting>
  <conditionalFormatting sqref="D23:D43">
    <cfRule type="expression" dxfId="562" priority="5">
      <formula>H23=1</formula>
    </cfRule>
  </conditionalFormatting>
  <conditionalFormatting sqref="C23:C43">
    <cfRule type="expression" dxfId="561" priority="4">
      <formula>H23=1</formula>
    </cfRule>
  </conditionalFormatting>
  <conditionalFormatting sqref="E23:E43">
    <cfRule type="expression" dxfId="560" priority="3">
      <formula>H23=1</formula>
    </cfRule>
  </conditionalFormatting>
  <conditionalFormatting sqref="F11">
    <cfRule type="containsText" dxfId="559" priority="2" operator="containsText" text="FAIL">
      <formula>NOT(ISERROR(SEARCH("FAIL",F11)))</formula>
    </cfRule>
  </conditionalFormatting>
  <conditionalFormatting sqref="F11">
    <cfRule type="containsText" dxfId="558" priority="1" operator="containsText" text="GOOD">
      <formula>NOT(ISERROR(SEARCH("GOOD",F11)))</formula>
    </cfRule>
  </conditionalFormatting>
  <pageMargins left="0.7" right="0.7" top="0.75" bottom="0.75" header="0.3" footer="0.3"/>
  <pageSetup scale="68" orientation="portrait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800-000000000000}">
  <sheetPr codeName="Sheet154"/>
  <dimension ref="A2:O47"/>
  <sheetViews>
    <sheetView zoomScaleNormal="100" workbookViewId="0">
      <selection activeCell="K28" sqref="K28"/>
    </sheetView>
  </sheetViews>
  <sheetFormatPr defaultRowHeight="15" x14ac:dyDescent="0.25"/>
  <cols>
    <col min="1" max="2" width="4.42578125" customWidth="1"/>
    <col min="3" max="3" width="2.7109375" customWidth="1"/>
    <col min="4" max="4" width="24.7109375" customWidth="1"/>
    <col min="5" max="5" width="2.7109375" customWidth="1"/>
    <col min="6" max="6" width="15.7109375" customWidth="1"/>
    <col min="7" max="7" width="8.5703125" customWidth="1"/>
    <col min="8" max="8" width="5.85546875" customWidth="1"/>
    <col min="9" max="15" width="15.7109375" customWidth="1"/>
  </cols>
  <sheetData>
    <row r="2" spans="1:14" x14ac:dyDescent="0.25">
      <c r="C2" s="15" t="s">
        <v>32</v>
      </c>
      <c r="E2" s="15"/>
      <c r="F2" s="15"/>
      <c r="G2" s="15" t="s">
        <v>33</v>
      </c>
      <c r="H2" s="15"/>
      <c r="I2" s="15"/>
      <c r="J2" s="15"/>
      <c r="K2" s="15"/>
    </row>
    <row r="3" spans="1:14" ht="18.75" x14ac:dyDescent="0.3">
      <c r="C3" s="3" t="s">
        <v>26</v>
      </c>
      <c r="J3" s="8" t="s">
        <v>48</v>
      </c>
    </row>
    <row r="4" spans="1:14" x14ac:dyDescent="0.25">
      <c r="C4" s="1"/>
      <c r="D4" s="2" t="s">
        <v>0</v>
      </c>
      <c r="E4" s="1"/>
      <c r="F4" t="s">
        <v>45</v>
      </c>
      <c r="I4" s="2" t="s">
        <v>4</v>
      </c>
    </row>
    <row r="5" spans="1:14" x14ac:dyDescent="0.25">
      <c r="D5" s="2" t="s">
        <v>1</v>
      </c>
      <c r="F5" t="s">
        <v>46</v>
      </c>
    </row>
    <row r="6" spans="1:14" x14ac:dyDescent="0.25">
      <c r="D6" s="2" t="s">
        <v>2</v>
      </c>
      <c r="F6" s="6">
        <v>42145</v>
      </c>
      <c r="H6" s="11"/>
    </row>
    <row r="7" spans="1:14" x14ac:dyDescent="0.25">
      <c r="D7" s="2" t="s">
        <v>3</v>
      </c>
      <c r="F7" s="5">
        <f>+(K7*L7)+K7+J7+I7</f>
        <v>6400000</v>
      </c>
      <c r="G7" s="2" t="s">
        <v>34</v>
      </c>
      <c r="H7" s="11"/>
      <c r="I7" s="19">
        <v>1900000</v>
      </c>
      <c r="J7" s="19">
        <v>2700000</v>
      </c>
      <c r="K7" s="19">
        <v>1800000</v>
      </c>
      <c r="L7" s="20">
        <v>0</v>
      </c>
    </row>
    <row r="8" spans="1:14" x14ac:dyDescent="0.25">
      <c r="D8" s="2" t="s">
        <v>18</v>
      </c>
      <c r="F8" s="5">
        <f>MIN(L23:L43)</f>
        <v>5777000</v>
      </c>
      <c r="H8" s="11"/>
      <c r="I8" s="18" t="s">
        <v>43</v>
      </c>
      <c r="J8" s="18" t="s">
        <v>44</v>
      </c>
      <c r="K8" s="18" t="s">
        <v>49</v>
      </c>
      <c r="L8" s="18" t="s">
        <v>50</v>
      </c>
    </row>
    <row r="9" spans="1:14" x14ac:dyDescent="0.25">
      <c r="D9" s="2" t="s">
        <v>19</v>
      </c>
      <c r="F9" s="4">
        <f>+F8-F7</f>
        <v>-623000</v>
      </c>
      <c r="G9" s="16">
        <f>+F9/F7</f>
        <v>-9.7343750000000007E-2</v>
      </c>
      <c r="H9" s="12" t="s">
        <v>20</v>
      </c>
      <c r="I9" s="11" t="str">
        <f>(IF(G9&lt;-0.1,"FAIL",IF(G9&gt;0.05,"FAIL","GOOD")))</f>
        <v>GOOD</v>
      </c>
    </row>
    <row r="10" spans="1:14" x14ac:dyDescent="0.25">
      <c r="D10" s="2" t="s">
        <v>68</v>
      </c>
      <c r="F10" s="4">
        <f>+F7-F12</f>
        <v>-802530.71428571455</v>
      </c>
      <c r="H10" s="11"/>
      <c r="K10" s="31"/>
      <c r="N10" t="e">
        <f>LOOKUP(1,D23:D43)</f>
        <v>#N/A</v>
      </c>
    </row>
    <row r="11" spans="1:14" x14ac:dyDescent="0.25">
      <c r="A11" s="30"/>
      <c r="D11" s="2" t="s">
        <v>71</v>
      </c>
      <c r="F11" s="11" t="str">
        <f>(IF(F7&lt;J12,"FAIL",IF(F7&gt;J13,"FAIL","GOOD")))</f>
        <v>GOOD</v>
      </c>
      <c r="H11" s="11"/>
      <c r="L11" s="31"/>
      <c r="N11" t="e">
        <f>MATCH(1,D23:H43,0)</f>
        <v>#N/A</v>
      </c>
    </row>
    <row r="12" spans="1:14" x14ac:dyDescent="0.25">
      <c r="D12" s="2" t="s">
        <v>28</v>
      </c>
      <c r="F12" s="4">
        <f>SUM(L23:L43)/H12</f>
        <v>7202530.7142857146</v>
      </c>
      <c r="G12" s="14"/>
      <c r="H12" s="11">
        <f>COUNT(L23:L43)</f>
        <v>7</v>
      </c>
      <c r="I12" s="1" t="s">
        <v>31</v>
      </c>
      <c r="J12" s="4">
        <f>+F8*0.9</f>
        <v>5199300</v>
      </c>
      <c r="K12" s="1" t="s">
        <v>69</v>
      </c>
      <c r="N12" t="str">
        <f>INDEX(D23:D43,MATCH(1,H23:H43,0))</f>
        <v>D'Annunsio &amp; Sons, Inc.</v>
      </c>
    </row>
    <row r="13" spans="1:14" x14ac:dyDescent="0.25">
      <c r="D13" s="2" t="s">
        <v>29</v>
      </c>
      <c r="F13" s="4">
        <f>MAX(L23:L43)-MIN(L23:L43)</f>
        <v>2598000</v>
      </c>
      <c r="G13" s="399">
        <f>MEDIAN(L23:L43)</f>
        <v>7117005</v>
      </c>
      <c r="H13" s="400"/>
      <c r="I13" s="1" t="s">
        <v>30</v>
      </c>
      <c r="J13" s="4">
        <f>+F12*1.1</f>
        <v>7922783.7857142864</v>
      </c>
      <c r="K13" s="1" t="s">
        <v>70</v>
      </c>
    </row>
    <row r="14" spans="1:14" x14ac:dyDescent="0.25">
      <c r="H14" s="11"/>
    </row>
    <row r="15" spans="1:14" x14ac:dyDescent="0.25">
      <c r="D15" s="2" t="s">
        <v>8</v>
      </c>
      <c r="F15" s="4"/>
      <c r="G15" s="1" t="s">
        <v>9</v>
      </c>
      <c r="H15" s="11"/>
      <c r="I15" t="s">
        <v>15</v>
      </c>
      <c r="J15" s="7" t="e">
        <f>+F16/F15</f>
        <v>#DIV/0!</v>
      </c>
    </row>
    <row r="16" spans="1:14" x14ac:dyDescent="0.25">
      <c r="F16" s="4"/>
      <c r="G16" s="1" t="s">
        <v>10</v>
      </c>
      <c r="H16" s="11"/>
      <c r="I16" t="s">
        <v>14</v>
      </c>
      <c r="J16" s="7" t="e">
        <f>+F17/F16</f>
        <v>#DIV/0!</v>
      </c>
    </row>
    <row r="17" spans="3:15" x14ac:dyDescent="0.25">
      <c r="F17" s="4"/>
      <c r="G17" s="1" t="s">
        <v>11</v>
      </c>
      <c r="H17" s="11"/>
      <c r="I17" t="s">
        <v>13</v>
      </c>
      <c r="J17" s="7" t="e">
        <f>+F18/F17</f>
        <v>#DIV/0!</v>
      </c>
    </row>
    <row r="18" spans="3:15" x14ac:dyDescent="0.25">
      <c r="F18" s="4"/>
      <c r="G18" s="1" t="s">
        <v>12</v>
      </c>
      <c r="H18" s="11"/>
      <c r="I18" t="s">
        <v>16</v>
      </c>
      <c r="J18" s="7" t="e">
        <f>+F8/F18</f>
        <v>#DIV/0!</v>
      </c>
    </row>
    <row r="19" spans="3:15" x14ac:dyDescent="0.25">
      <c r="F19" s="2" t="s">
        <v>51</v>
      </c>
      <c r="G19">
        <v>0</v>
      </c>
      <c r="H19" s="11" t="s">
        <v>52</v>
      </c>
      <c r="I19" t="s">
        <v>41</v>
      </c>
      <c r="J19" s="7" t="e">
        <f>+F8/F15</f>
        <v>#DIV/0!</v>
      </c>
    </row>
    <row r="20" spans="3:15" x14ac:dyDescent="0.25">
      <c r="H20" s="11"/>
    </row>
    <row r="21" spans="3:15" x14ac:dyDescent="0.25">
      <c r="C21" s="9"/>
      <c r="D21" s="13" t="s">
        <v>21</v>
      </c>
      <c r="E21" s="9"/>
      <c r="F21" s="9" t="s">
        <v>22</v>
      </c>
      <c r="G21" s="9" t="s">
        <v>23</v>
      </c>
      <c r="H21" s="13" t="s">
        <v>27</v>
      </c>
      <c r="I21" s="10" t="s">
        <v>38</v>
      </c>
      <c r="J21" s="10" t="s">
        <v>37</v>
      </c>
      <c r="K21" s="17" t="s">
        <v>42</v>
      </c>
      <c r="L21" s="10" t="s">
        <v>39</v>
      </c>
      <c r="M21" s="21"/>
      <c r="N21" s="21"/>
      <c r="O21" s="21"/>
    </row>
    <row r="22" spans="3:15" ht="6" customHeight="1" x14ac:dyDescent="0.25">
      <c r="M22" s="21"/>
      <c r="N22" s="21"/>
      <c r="O22" s="21"/>
    </row>
    <row r="23" spans="3:15" x14ac:dyDescent="0.25">
      <c r="C23" s="33" t="str">
        <f>IF(H23=1,"u","")</f>
        <v>u</v>
      </c>
      <c r="D23" s="23" t="s">
        <v>300</v>
      </c>
      <c r="E23" s="33"/>
      <c r="F23" t="s">
        <v>137</v>
      </c>
      <c r="G23" t="s">
        <v>25</v>
      </c>
      <c r="H23">
        <f>RANK(L23,L$23:L$43,1)</f>
        <v>1</v>
      </c>
      <c r="I23" s="4">
        <v>1959000</v>
      </c>
      <c r="J23" s="4">
        <v>1838000</v>
      </c>
      <c r="K23" s="7">
        <v>0.1</v>
      </c>
      <c r="L23" s="4">
        <f>+I23+J23+(K23*K$7)+$K$7</f>
        <v>5777000</v>
      </c>
      <c r="M23" s="22"/>
      <c r="N23" s="22"/>
      <c r="O23" s="22"/>
    </row>
    <row r="24" spans="3:15" x14ac:dyDescent="0.25">
      <c r="C24" s="33" t="str">
        <f>IF(H24=1,"u","")</f>
        <v/>
      </c>
      <c r="D24" s="23" t="s">
        <v>301</v>
      </c>
      <c r="E24" s="33"/>
      <c r="F24" t="s">
        <v>302</v>
      </c>
      <c r="G24" t="s">
        <v>25</v>
      </c>
      <c r="H24">
        <f t="shared" ref="H24:H29" si="0">RANK(L24,L$23:L$43,1)</f>
        <v>2</v>
      </c>
      <c r="I24" s="4">
        <v>2651495</v>
      </c>
      <c r="J24" s="4">
        <v>1896000</v>
      </c>
      <c r="K24" s="7">
        <v>0.1</v>
      </c>
      <c r="L24" s="4">
        <f t="shared" ref="L24:L29" si="1">+I24+J24+(K24*K$7)+$K$7</f>
        <v>6527495</v>
      </c>
      <c r="M24" s="22"/>
      <c r="N24" s="22"/>
      <c r="O24" s="22"/>
    </row>
    <row r="25" spans="3:15" x14ac:dyDescent="0.25">
      <c r="C25" s="33" t="str">
        <f>IF(H25=1,"u","")</f>
        <v/>
      </c>
      <c r="D25" s="23" t="s">
        <v>304</v>
      </c>
      <c r="E25" s="33"/>
      <c r="F25" t="s">
        <v>305</v>
      </c>
      <c r="G25" t="s">
        <v>25</v>
      </c>
      <c r="H25">
        <f t="shared" si="0"/>
        <v>3</v>
      </c>
      <c r="I25" s="4">
        <v>2902941</v>
      </c>
      <c r="J25" s="4">
        <v>1859660</v>
      </c>
      <c r="K25" s="7">
        <v>0.21</v>
      </c>
      <c r="L25" s="4">
        <f t="shared" si="1"/>
        <v>6940601</v>
      </c>
      <c r="M25" s="22"/>
      <c r="N25" s="22"/>
      <c r="O25" s="22"/>
    </row>
    <row r="26" spans="3:15" x14ac:dyDescent="0.25">
      <c r="C26" s="33" t="str">
        <f t="shared" ref="C26:C43" si="2">IF(H26=1,"u","")</f>
        <v/>
      </c>
      <c r="D26" s="23" t="s">
        <v>306</v>
      </c>
      <c r="E26" s="33"/>
      <c r="F26" t="s">
        <v>131</v>
      </c>
      <c r="G26" t="s">
        <v>25</v>
      </c>
      <c r="H26">
        <f t="shared" si="0"/>
        <v>4</v>
      </c>
      <c r="I26" s="4">
        <v>3055755</v>
      </c>
      <c r="J26" s="4">
        <v>2081250</v>
      </c>
      <c r="K26" s="7">
        <v>0.1</v>
      </c>
      <c r="L26" s="4">
        <f t="shared" si="1"/>
        <v>7117005</v>
      </c>
      <c r="M26" s="22"/>
      <c r="N26" s="22"/>
      <c r="O26" s="22"/>
    </row>
    <row r="27" spans="3:15" x14ac:dyDescent="0.25">
      <c r="C27" s="33" t="str">
        <f t="shared" si="2"/>
        <v/>
      </c>
      <c r="D27" s="23" t="s">
        <v>307</v>
      </c>
      <c r="E27" s="33"/>
      <c r="F27" t="s">
        <v>308</v>
      </c>
      <c r="G27" t="s">
        <v>25</v>
      </c>
      <c r="H27">
        <f t="shared" si="0"/>
        <v>5</v>
      </c>
      <c r="I27" s="4">
        <v>3309776</v>
      </c>
      <c r="J27" s="4">
        <v>2187060</v>
      </c>
      <c r="K27" s="7">
        <v>0.18</v>
      </c>
      <c r="L27" s="4">
        <f t="shared" si="1"/>
        <v>7620836</v>
      </c>
      <c r="M27" s="22"/>
      <c r="N27" s="22"/>
      <c r="O27" s="22"/>
    </row>
    <row r="28" spans="3:15" x14ac:dyDescent="0.25">
      <c r="C28" s="33" t="str">
        <f t="shared" si="2"/>
        <v/>
      </c>
      <c r="D28" s="23" t="s">
        <v>134</v>
      </c>
      <c r="E28" s="33"/>
      <c r="F28" t="s">
        <v>135</v>
      </c>
      <c r="G28" t="s">
        <v>25</v>
      </c>
      <c r="H28">
        <f t="shared" si="0"/>
        <v>6</v>
      </c>
      <c r="I28" s="4">
        <v>3454258</v>
      </c>
      <c r="J28" s="4">
        <v>2481520</v>
      </c>
      <c r="K28" s="7">
        <v>0.18</v>
      </c>
      <c r="L28" s="4">
        <f t="shared" si="1"/>
        <v>8059778</v>
      </c>
      <c r="M28" s="22"/>
      <c r="N28" s="22"/>
      <c r="O28" s="22"/>
    </row>
    <row r="29" spans="3:15" x14ac:dyDescent="0.25">
      <c r="C29" s="33" t="str">
        <f t="shared" si="2"/>
        <v/>
      </c>
      <c r="D29" s="23" t="s">
        <v>252</v>
      </c>
      <c r="E29" s="33"/>
      <c r="F29" t="s">
        <v>253</v>
      </c>
      <c r="G29" t="s">
        <v>25</v>
      </c>
      <c r="H29">
        <f t="shared" si="0"/>
        <v>7</v>
      </c>
      <c r="I29" s="4">
        <v>4500000</v>
      </c>
      <c r="J29" s="4">
        <v>1895000</v>
      </c>
      <c r="K29" s="7">
        <v>0.1</v>
      </c>
      <c r="L29" s="4">
        <f t="shared" si="1"/>
        <v>8375000</v>
      </c>
      <c r="M29" s="22"/>
      <c r="N29" s="22"/>
      <c r="O29" s="22"/>
    </row>
    <row r="30" spans="3:15" x14ac:dyDescent="0.25">
      <c r="C30" s="33" t="str">
        <f t="shared" si="2"/>
        <v/>
      </c>
      <c r="D30" s="23"/>
      <c r="E30" s="33" t="str">
        <f t="shared" ref="E30:E43" si="3">IF(H30=1,"t","")</f>
        <v/>
      </c>
      <c r="I30" s="4"/>
      <c r="J30" s="4"/>
      <c r="K30" s="7"/>
      <c r="L30" s="4"/>
      <c r="M30" s="22"/>
      <c r="N30" s="22"/>
      <c r="O30" s="22"/>
    </row>
    <row r="31" spans="3:15" x14ac:dyDescent="0.25">
      <c r="C31" s="33" t="str">
        <f t="shared" si="2"/>
        <v/>
      </c>
      <c r="D31" s="23"/>
      <c r="E31" s="33" t="str">
        <f t="shared" si="3"/>
        <v/>
      </c>
      <c r="I31" s="4"/>
      <c r="J31" s="4"/>
      <c r="K31" s="7"/>
      <c r="L31" s="4"/>
      <c r="M31" s="22"/>
      <c r="N31" s="22"/>
      <c r="O31" s="22"/>
    </row>
    <row r="32" spans="3:15" x14ac:dyDescent="0.25">
      <c r="C32" s="33" t="str">
        <f t="shared" si="2"/>
        <v/>
      </c>
      <c r="D32" s="23"/>
      <c r="E32" s="33" t="str">
        <f t="shared" si="3"/>
        <v/>
      </c>
      <c r="I32" s="4"/>
      <c r="J32" s="4"/>
      <c r="K32" s="7"/>
      <c r="L32" s="4"/>
      <c r="M32" s="22"/>
      <c r="N32" s="22"/>
      <c r="O32" s="22"/>
    </row>
    <row r="33" spans="3:15" x14ac:dyDescent="0.25">
      <c r="C33" s="33" t="str">
        <f t="shared" si="2"/>
        <v/>
      </c>
      <c r="D33" s="23"/>
      <c r="E33" s="33" t="str">
        <f t="shared" si="3"/>
        <v/>
      </c>
      <c r="I33" s="4"/>
      <c r="J33" s="4"/>
      <c r="K33" s="7"/>
      <c r="L33" s="4"/>
      <c r="M33" s="21"/>
      <c r="N33" s="21"/>
      <c r="O33" s="21"/>
    </row>
    <row r="34" spans="3:15" x14ac:dyDescent="0.25">
      <c r="C34" s="33" t="str">
        <f t="shared" si="2"/>
        <v/>
      </c>
      <c r="D34" s="23"/>
      <c r="E34" s="33" t="str">
        <f t="shared" si="3"/>
        <v/>
      </c>
      <c r="K34" s="7"/>
      <c r="M34" s="21"/>
      <c r="N34" s="21"/>
      <c r="O34" s="21"/>
    </row>
    <row r="35" spans="3:15" x14ac:dyDescent="0.25">
      <c r="C35" s="33" t="str">
        <f t="shared" si="2"/>
        <v/>
      </c>
      <c r="D35" s="23"/>
      <c r="E35" s="33" t="str">
        <f t="shared" si="3"/>
        <v/>
      </c>
      <c r="K35" s="7"/>
      <c r="M35" s="21"/>
      <c r="N35" s="21"/>
      <c r="O35" s="21"/>
    </row>
    <row r="36" spans="3:15" x14ac:dyDescent="0.25">
      <c r="C36" s="33" t="str">
        <f t="shared" si="2"/>
        <v/>
      </c>
      <c r="D36" s="11"/>
      <c r="E36" s="33" t="str">
        <f t="shared" si="3"/>
        <v/>
      </c>
      <c r="K36" s="7"/>
      <c r="M36" s="21"/>
      <c r="N36" s="21"/>
      <c r="O36" s="21"/>
    </row>
    <row r="37" spans="3:15" x14ac:dyDescent="0.25">
      <c r="C37" s="33" t="str">
        <f t="shared" si="2"/>
        <v/>
      </c>
      <c r="D37" s="11"/>
      <c r="E37" s="33" t="str">
        <f t="shared" si="3"/>
        <v/>
      </c>
      <c r="K37" s="7"/>
      <c r="M37" s="21"/>
      <c r="N37" s="21"/>
      <c r="O37" s="21"/>
    </row>
    <row r="38" spans="3:15" x14ac:dyDescent="0.25">
      <c r="C38" s="33" t="str">
        <f t="shared" si="2"/>
        <v/>
      </c>
      <c r="D38" s="11"/>
      <c r="E38" s="33" t="str">
        <f t="shared" si="3"/>
        <v/>
      </c>
      <c r="K38" s="7"/>
      <c r="M38" s="21"/>
      <c r="N38" s="21"/>
      <c r="O38" s="21"/>
    </row>
    <row r="39" spans="3:15" x14ac:dyDescent="0.25">
      <c r="C39" s="33" t="str">
        <f t="shared" si="2"/>
        <v/>
      </c>
      <c r="D39" s="11"/>
      <c r="E39" s="33" t="str">
        <f t="shared" si="3"/>
        <v/>
      </c>
      <c r="K39" s="7"/>
      <c r="M39" s="21"/>
      <c r="N39" s="21"/>
      <c r="O39" s="21"/>
    </row>
    <row r="40" spans="3:15" x14ac:dyDescent="0.25">
      <c r="C40" s="33" t="str">
        <f t="shared" si="2"/>
        <v/>
      </c>
      <c r="D40" s="11"/>
      <c r="E40" s="33" t="str">
        <f t="shared" si="3"/>
        <v/>
      </c>
      <c r="K40" s="7"/>
      <c r="M40" s="21"/>
      <c r="N40" s="21"/>
      <c r="O40" s="21"/>
    </row>
    <row r="41" spans="3:15" x14ac:dyDescent="0.25">
      <c r="C41" s="33" t="str">
        <f t="shared" si="2"/>
        <v/>
      </c>
      <c r="D41" s="11"/>
      <c r="E41" s="33" t="str">
        <f t="shared" si="3"/>
        <v/>
      </c>
      <c r="K41" s="7"/>
      <c r="M41" s="21"/>
      <c r="N41" s="21"/>
      <c r="O41" s="21"/>
    </row>
    <row r="42" spans="3:15" x14ac:dyDescent="0.25">
      <c r="C42" s="33" t="str">
        <f t="shared" si="2"/>
        <v/>
      </c>
      <c r="D42" s="11"/>
      <c r="E42" s="33" t="str">
        <f t="shared" si="3"/>
        <v/>
      </c>
      <c r="K42" s="7"/>
      <c r="M42" s="21"/>
      <c r="N42" s="21"/>
      <c r="O42" s="21"/>
    </row>
    <row r="43" spans="3:15" x14ac:dyDescent="0.25">
      <c r="C43" s="33" t="str">
        <f t="shared" si="2"/>
        <v/>
      </c>
      <c r="D43" s="11"/>
      <c r="E43" s="33" t="str">
        <f t="shared" si="3"/>
        <v/>
      </c>
      <c r="K43" s="7"/>
      <c r="M43" s="21"/>
      <c r="N43" s="21"/>
      <c r="O43" s="21"/>
    </row>
    <row r="44" spans="3:15" ht="6" customHeight="1" x14ac:dyDescent="0.25">
      <c r="C44" s="9"/>
      <c r="D44" s="9"/>
      <c r="E44" s="9"/>
      <c r="F44" s="9"/>
      <c r="G44" s="9"/>
      <c r="H44" s="9"/>
      <c r="I44" s="9"/>
      <c r="J44" s="9"/>
      <c r="K44" s="9"/>
      <c r="L44" s="9"/>
      <c r="M44" s="21"/>
      <c r="N44" s="21"/>
      <c r="O44" s="21"/>
    </row>
    <row r="45" spans="3:15" ht="6" customHeight="1" x14ac:dyDescent="0.25">
      <c r="M45" s="21"/>
      <c r="N45" s="21"/>
      <c r="O45" s="21"/>
    </row>
    <row r="46" spans="3:15" x14ac:dyDescent="0.25">
      <c r="C46" s="15" t="s">
        <v>79</v>
      </c>
      <c r="M46" s="21"/>
      <c r="N46" s="21"/>
      <c r="O46" s="21"/>
    </row>
    <row r="47" spans="3:15" x14ac:dyDescent="0.25">
      <c r="C47" s="15" t="s">
        <v>78</v>
      </c>
      <c r="M47" s="21"/>
      <c r="N47" s="21"/>
      <c r="O47" s="21"/>
    </row>
  </sheetData>
  <mergeCells count="1">
    <mergeCell ref="G13:H13"/>
  </mergeCells>
  <conditionalFormatting sqref="I9 F11">
    <cfRule type="containsText" dxfId="261" priority="8" operator="containsText" text="FAIL">
      <formula>NOT(ISERROR(SEARCH("FAIL",F9)))</formula>
    </cfRule>
  </conditionalFormatting>
  <conditionalFormatting sqref="I9 F11">
    <cfRule type="containsText" dxfId="260" priority="7" operator="containsText" text="GOOD">
      <formula>NOT(ISERROR(SEARCH("GOOD",F9)))</formula>
    </cfRule>
  </conditionalFormatting>
  <conditionalFormatting sqref="I9">
    <cfRule type="containsText" dxfId="259" priority="6" operator="containsText" text="FAIL">
      <formula>NOT(ISERROR(SEARCH("FAIL",I9)))</formula>
    </cfRule>
  </conditionalFormatting>
  <conditionalFormatting sqref="I9">
    <cfRule type="containsText" dxfId="258" priority="5" operator="containsText" text="GOOD">
      <formula>NOT(ISERROR(SEARCH("GOOD",I9)))</formula>
    </cfRule>
  </conditionalFormatting>
  <conditionalFormatting sqref="D25">
    <cfRule type="expression" dxfId="257" priority="4" stopIfTrue="1">
      <formula>IF($H$25=1,0)</formula>
    </cfRule>
  </conditionalFormatting>
  <conditionalFormatting sqref="D23:D43">
    <cfRule type="expression" dxfId="256" priority="3">
      <formula>H23=1</formula>
    </cfRule>
  </conditionalFormatting>
  <conditionalFormatting sqref="C23:C43">
    <cfRule type="expression" dxfId="255" priority="2">
      <formula>H23=1</formula>
    </cfRule>
  </conditionalFormatting>
  <conditionalFormatting sqref="E23:E43">
    <cfRule type="expression" dxfId="254" priority="1">
      <formula>H23=1</formula>
    </cfRule>
  </conditionalFormatting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Sheet35">
    <pageSetUpPr fitToPage="1"/>
  </sheetPr>
  <dimension ref="A2:P47"/>
  <sheetViews>
    <sheetView view="pageBreakPreview" zoomScale="60" zoomScaleNormal="100" workbookViewId="0">
      <selection activeCell="J27" sqref="J27"/>
    </sheetView>
  </sheetViews>
  <sheetFormatPr defaultRowHeight="15" x14ac:dyDescent="0.25"/>
  <cols>
    <col min="1" max="2" width="4.42578125" customWidth="1"/>
    <col min="3" max="3" width="3" customWidth="1"/>
    <col min="4" max="4" width="24.85546875" customWidth="1"/>
    <col min="5" max="5" width="3" customWidth="1"/>
    <col min="6" max="6" width="15.7109375" customWidth="1"/>
    <col min="7" max="7" width="8.5703125" customWidth="1"/>
    <col min="8" max="8" width="5.85546875" customWidth="1"/>
    <col min="9" max="15" width="15.7109375" customWidth="1"/>
  </cols>
  <sheetData>
    <row r="2" spans="1:16" x14ac:dyDescent="0.25">
      <c r="C2" s="15" t="s">
        <v>32</v>
      </c>
      <c r="E2" s="15"/>
      <c r="F2" s="15"/>
      <c r="G2" s="15" t="s">
        <v>33</v>
      </c>
      <c r="H2" s="15"/>
      <c r="I2" s="15"/>
      <c r="J2" s="15"/>
      <c r="K2" s="15"/>
    </row>
    <row r="3" spans="1:16" ht="18.75" x14ac:dyDescent="0.3">
      <c r="C3" s="3" t="s">
        <v>26</v>
      </c>
      <c r="J3" s="8" t="s">
        <v>17</v>
      </c>
      <c r="P3" s="100"/>
    </row>
    <row r="4" spans="1:16" x14ac:dyDescent="0.25">
      <c r="D4" s="2" t="s">
        <v>0</v>
      </c>
      <c r="E4" s="1"/>
      <c r="F4" t="s">
        <v>1075</v>
      </c>
      <c r="I4" s="2" t="s">
        <v>4</v>
      </c>
      <c r="J4" t="s">
        <v>816</v>
      </c>
    </row>
    <row r="5" spans="1:16" x14ac:dyDescent="0.25">
      <c r="D5" s="2" t="s">
        <v>1</v>
      </c>
      <c r="F5" t="s">
        <v>1076</v>
      </c>
    </row>
    <row r="6" spans="1:16" x14ac:dyDescent="0.25">
      <c r="D6" s="2" t="s">
        <v>2</v>
      </c>
      <c r="F6" s="6">
        <v>42999</v>
      </c>
      <c r="H6" s="11"/>
    </row>
    <row r="7" spans="1:16" x14ac:dyDescent="0.25">
      <c r="D7" s="2" t="s">
        <v>3</v>
      </c>
      <c r="F7" s="5">
        <v>1250000</v>
      </c>
      <c r="G7" s="2" t="s">
        <v>34</v>
      </c>
      <c r="H7" s="11"/>
    </row>
    <row r="8" spans="1:16" x14ac:dyDescent="0.25">
      <c r="D8" s="2" t="s">
        <v>18</v>
      </c>
      <c r="F8" s="5">
        <f>MIN(I23:I43)</f>
        <v>876947</v>
      </c>
      <c r="H8" s="11"/>
    </row>
    <row r="9" spans="1:16" x14ac:dyDescent="0.25">
      <c r="D9" s="2" t="s">
        <v>67</v>
      </c>
      <c r="F9" s="4">
        <f>+F8-F7</f>
        <v>-373053</v>
      </c>
      <c r="G9" s="16">
        <f>+F9/F7</f>
        <v>-0.2984424</v>
      </c>
      <c r="H9" s="12" t="s">
        <v>20</v>
      </c>
      <c r="I9" s="11" t="str">
        <f>(IF(G9&lt;-0.1,"FAIL",IF(G9&gt;0.05,"FAIL","GOOD")))</f>
        <v>FAIL</v>
      </c>
      <c r="J9" s="14" t="s">
        <v>72</v>
      </c>
    </row>
    <row r="10" spans="1:16" x14ac:dyDescent="0.25">
      <c r="D10" s="2" t="s">
        <v>68</v>
      </c>
      <c r="F10" s="4">
        <f>+F7-F12</f>
        <v>-958884.5384615385</v>
      </c>
      <c r="H10" s="11"/>
    </row>
    <row r="11" spans="1:16" x14ac:dyDescent="0.25">
      <c r="A11" s="52"/>
      <c r="D11" s="2" t="s">
        <v>71</v>
      </c>
      <c r="F11" s="11" t="str">
        <f>(IF(F7&lt;J12,"FAIL",IF(F7&gt;J13,"FAIL","GOOD")))</f>
        <v>GOOD</v>
      </c>
      <c r="H11" s="11"/>
    </row>
    <row r="12" spans="1:16" x14ac:dyDescent="0.25">
      <c r="D12" s="2" t="s">
        <v>28</v>
      </c>
      <c r="F12" s="4">
        <f>SUM(I23:I43)/H12</f>
        <v>2208884.5384615385</v>
      </c>
      <c r="G12" s="14"/>
      <c r="H12" s="11">
        <f>COUNT(I23:I43)</f>
        <v>13</v>
      </c>
      <c r="I12" s="1" t="s">
        <v>31</v>
      </c>
      <c r="J12" s="4">
        <f>+F8*0.9</f>
        <v>789252.3</v>
      </c>
      <c r="K12" s="1" t="s">
        <v>69</v>
      </c>
    </row>
    <row r="13" spans="1:16" x14ac:dyDescent="0.25">
      <c r="D13" s="2" t="s">
        <v>29</v>
      </c>
      <c r="F13" s="4">
        <f>MAX(I23:I43)-MIN(I23:I43)</f>
        <v>3860053</v>
      </c>
      <c r="G13" s="399">
        <f>MEDIAN(I23:I43)</f>
        <v>1592962</v>
      </c>
      <c r="H13" s="400"/>
      <c r="I13" s="1" t="s">
        <v>30</v>
      </c>
      <c r="J13" s="4">
        <f>+F12*1.1</f>
        <v>2429772.9923076928</v>
      </c>
      <c r="K13" s="1" t="s">
        <v>70</v>
      </c>
    </row>
    <row r="14" spans="1:16" x14ac:dyDescent="0.25">
      <c r="H14" s="11"/>
    </row>
    <row r="15" spans="1:16" x14ac:dyDescent="0.25">
      <c r="D15" s="2" t="s">
        <v>8</v>
      </c>
      <c r="F15" s="4"/>
      <c r="G15" s="1" t="s">
        <v>9</v>
      </c>
      <c r="H15" s="11"/>
      <c r="I15" t="s">
        <v>15</v>
      </c>
      <c r="J15" s="7" t="e">
        <f>+F16/F15</f>
        <v>#DIV/0!</v>
      </c>
    </row>
    <row r="16" spans="1:16" x14ac:dyDescent="0.25">
      <c r="F16" s="4"/>
      <c r="G16" s="1" t="s">
        <v>10</v>
      </c>
      <c r="H16" s="11"/>
      <c r="I16" t="s">
        <v>14</v>
      </c>
      <c r="J16" s="7" t="e">
        <f>+F17/F16</f>
        <v>#DIV/0!</v>
      </c>
    </row>
    <row r="17" spans="3:15" x14ac:dyDescent="0.25">
      <c r="F17" s="4"/>
      <c r="G17" s="1" t="s">
        <v>11</v>
      </c>
      <c r="H17" s="11"/>
      <c r="I17" t="s">
        <v>13</v>
      </c>
      <c r="J17" s="7" t="e">
        <f>+F18/F17</f>
        <v>#DIV/0!</v>
      </c>
      <c r="M17" s="21"/>
      <c r="N17" s="21"/>
      <c r="O17" s="21"/>
    </row>
    <row r="18" spans="3:15" x14ac:dyDescent="0.25">
      <c r="F18" s="4"/>
      <c r="G18" s="1" t="s">
        <v>12</v>
      </c>
      <c r="H18" s="11"/>
      <c r="I18" t="s">
        <v>16</v>
      </c>
      <c r="J18" s="7" t="e">
        <f>+F8/F18</f>
        <v>#DIV/0!</v>
      </c>
      <c r="M18" s="21"/>
      <c r="N18" s="21"/>
      <c r="O18" s="21"/>
    </row>
    <row r="19" spans="3:15" x14ac:dyDescent="0.25">
      <c r="F19" s="2" t="s">
        <v>51</v>
      </c>
      <c r="G19">
        <v>0</v>
      </c>
      <c r="H19" s="11" t="s">
        <v>52</v>
      </c>
      <c r="I19" t="s">
        <v>41</v>
      </c>
      <c r="J19" s="7" t="e">
        <f>+F8/F15</f>
        <v>#DIV/0!</v>
      </c>
      <c r="M19" s="21"/>
      <c r="N19" s="21"/>
      <c r="O19" s="21"/>
    </row>
    <row r="20" spans="3:15" x14ac:dyDescent="0.25">
      <c r="H20" s="11"/>
      <c r="M20" s="21"/>
      <c r="N20" s="21"/>
      <c r="O20" s="21"/>
    </row>
    <row r="21" spans="3:15" x14ac:dyDescent="0.25">
      <c r="C21" s="9"/>
      <c r="D21" s="13" t="s">
        <v>21</v>
      </c>
      <c r="E21" s="9"/>
      <c r="F21" s="9" t="s">
        <v>22</v>
      </c>
      <c r="G21" s="9" t="s">
        <v>23</v>
      </c>
      <c r="H21" s="13" t="s">
        <v>27</v>
      </c>
      <c r="I21" s="10" t="s">
        <v>24</v>
      </c>
      <c r="J21" s="9"/>
      <c r="K21" s="9"/>
      <c r="L21" s="9"/>
      <c r="M21" s="21"/>
      <c r="N21" s="21"/>
      <c r="O21" s="21"/>
    </row>
    <row r="22" spans="3:15" ht="6" customHeight="1" x14ac:dyDescent="0.25">
      <c r="M22" s="21"/>
      <c r="N22" s="21"/>
      <c r="O22" s="21"/>
    </row>
    <row r="23" spans="3:15" x14ac:dyDescent="0.25">
      <c r="C23" s="33" t="str">
        <f>IF(H23=1,"u","")</f>
        <v>u</v>
      </c>
      <c r="D23" s="11" t="s">
        <v>1077</v>
      </c>
      <c r="E23" s="33"/>
      <c r="F23" t="s">
        <v>1078</v>
      </c>
      <c r="G23" t="s">
        <v>25</v>
      </c>
      <c r="H23">
        <f>RANK(I23,I$23:I$43,1)</f>
        <v>1</v>
      </c>
      <c r="I23" s="4">
        <v>876947</v>
      </c>
      <c r="J23" s="4"/>
      <c r="K23" s="4"/>
      <c r="L23" s="4"/>
      <c r="M23" s="22"/>
      <c r="N23" s="22"/>
      <c r="O23" s="22"/>
    </row>
    <row r="24" spans="3:15" x14ac:dyDescent="0.25">
      <c r="C24" s="33" t="str">
        <f>IF(H24=1,"u","")</f>
        <v/>
      </c>
      <c r="D24" s="11" t="s">
        <v>1079</v>
      </c>
      <c r="E24" s="33"/>
      <c r="F24" t="s">
        <v>184</v>
      </c>
      <c r="G24" t="s">
        <v>25</v>
      </c>
      <c r="H24">
        <f t="shared" ref="H24:H30" si="0">RANK(I24,I$23:I$43,1)</f>
        <v>2</v>
      </c>
      <c r="I24" s="4">
        <v>1053180</v>
      </c>
      <c r="J24" s="4"/>
      <c r="K24" s="4"/>
      <c r="L24" s="4"/>
      <c r="M24" s="22"/>
      <c r="N24" s="22"/>
      <c r="O24" s="22"/>
    </row>
    <row r="25" spans="3:15" x14ac:dyDescent="0.25">
      <c r="C25" s="33" t="str">
        <f>IF(H25=1,"u","")</f>
        <v/>
      </c>
      <c r="D25" s="11" t="s">
        <v>1080</v>
      </c>
      <c r="E25" s="33"/>
      <c r="F25" t="s">
        <v>1081</v>
      </c>
      <c r="G25" t="s">
        <v>93</v>
      </c>
      <c r="H25">
        <f t="shared" si="0"/>
        <v>3</v>
      </c>
      <c r="I25" s="4">
        <v>1169000</v>
      </c>
      <c r="J25" s="4"/>
      <c r="K25" s="4"/>
      <c r="L25" s="4"/>
      <c r="M25" s="22"/>
      <c r="N25" s="22"/>
      <c r="O25" s="22"/>
    </row>
    <row r="26" spans="3:15" x14ac:dyDescent="0.25">
      <c r="C26" s="33"/>
      <c r="D26" s="11" t="s">
        <v>681</v>
      </c>
      <c r="E26" s="33"/>
      <c r="F26" t="s">
        <v>199</v>
      </c>
      <c r="G26" t="s">
        <v>93</v>
      </c>
      <c r="H26">
        <f t="shared" si="0"/>
        <v>4</v>
      </c>
      <c r="I26" s="4">
        <v>1176940</v>
      </c>
      <c r="J26" s="4"/>
      <c r="K26" s="4"/>
      <c r="L26" s="4"/>
      <c r="M26" s="22"/>
      <c r="N26" s="22"/>
      <c r="O26" s="22"/>
    </row>
    <row r="27" spans="3:15" x14ac:dyDescent="0.25">
      <c r="C27" s="33"/>
      <c r="D27" s="11" t="s">
        <v>1017</v>
      </c>
      <c r="E27" s="33"/>
      <c r="F27" t="s">
        <v>201</v>
      </c>
      <c r="G27" t="s">
        <v>25</v>
      </c>
      <c r="H27">
        <f t="shared" si="0"/>
        <v>5</v>
      </c>
      <c r="I27" s="4">
        <v>1274300</v>
      </c>
      <c r="J27" s="4"/>
      <c r="K27" s="4"/>
      <c r="L27" s="4"/>
      <c r="M27" s="22"/>
      <c r="N27" s="22"/>
      <c r="O27" s="22"/>
    </row>
    <row r="28" spans="3:15" x14ac:dyDescent="0.25">
      <c r="C28" s="33"/>
      <c r="D28" s="11" t="s">
        <v>1030</v>
      </c>
      <c r="E28" s="33"/>
      <c r="F28" t="s">
        <v>289</v>
      </c>
      <c r="G28" t="s">
        <v>93</v>
      </c>
      <c r="H28">
        <f t="shared" si="0"/>
        <v>6</v>
      </c>
      <c r="I28" s="4">
        <v>1523544</v>
      </c>
      <c r="J28" s="4"/>
      <c r="K28" s="4"/>
      <c r="L28" s="4"/>
      <c r="M28" s="22"/>
      <c r="N28" s="22"/>
      <c r="O28" s="22"/>
    </row>
    <row r="29" spans="3:15" x14ac:dyDescent="0.25">
      <c r="C29" s="33" t="str">
        <f t="shared" ref="C29:C43" si="1">IF(H29=1,"u","")</f>
        <v/>
      </c>
      <c r="D29" s="11" t="s">
        <v>1005</v>
      </c>
      <c r="E29" s="33"/>
      <c r="F29" t="s">
        <v>95</v>
      </c>
      <c r="G29" t="s">
        <v>93</v>
      </c>
      <c r="H29">
        <f t="shared" si="0"/>
        <v>7</v>
      </c>
      <c r="I29" s="4">
        <v>1592962</v>
      </c>
      <c r="J29" s="4"/>
      <c r="K29" s="4"/>
      <c r="L29" s="4"/>
      <c r="M29" s="22"/>
      <c r="N29" s="22"/>
      <c r="O29" s="22"/>
    </row>
    <row r="30" spans="3:15" x14ac:dyDescent="0.25">
      <c r="C30" s="33" t="str">
        <f t="shared" si="1"/>
        <v/>
      </c>
      <c r="D30" s="11" t="s">
        <v>997</v>
      </c>
      <c r="E30" s="33"/>
      <c r="F30" t="s">
        <v>998</v>
      </c>
      <c r="G30" t="s">
        <v>25</v>
      </c>
      <c r="H30">
        <f t="shared" si="0"/>
        <v>8</v>
      </c>
      <c r="I30" s="4">
        <v>1821900</v>
      </c>
      <c r="J30" s="4"/>
      <c r="K30" s="4"/>
      <c r="L30" s="4"/>
      <c r="M30" s="22"/>
      <c r="N30" s="22"/>
      <c r="O30" s="22"/>
    </row>
    <row r="31" spans="3:15" x14ac:dyDescent="0.25">
      <c r="C31" s="33" t="str">
        <f t="shared" si="1"/>
        <v/>
      </c>
      <c r="D31" s="11" t="s">
        <v>529</v>
      </c>
      <c r="E31" s="33"/>
      <c r="F31" t="s">
        <v>170</v>
      </c>
      <c r="G31" t="s">
        <v>93</v>
      </c>
      <c r="H31">
        <f>RANK(I31,I$23:I$43,1)</f>
        <v>9</v>
      </c>
      <c r="I31" s="4">
        <v>2549700</v>
      </c>
      <c r="J31" s="4"/>
      <c r="K31" s="4"/>
      <c r="L31" s="4"/>
      <c r="M31" s="22"/>
      <c r="N31" s="22"/>
      <c r="O31" s="22"/>
    </row>
    <row r="32" spans="3:15" x14ac:dyDescent="0.25">
      <c r="C32" s="33" t="str">
        <f t="shared" si="1"/>
        <v/>
      </c>
      <c r="D32" s="11" t="s">
        <v>1082</v>
      </c>
      <c r="E32" s="33"/>
      <c r="F32" t="s">
        <v>251</v>
      </c>
      <c r="G32" t="s">
        <v>25</v>
      </c>
      <c r="H32">
        <f>RANK(I32,I$23:I$43,1)</f>
        <v>10</v>
      </c>
      <c r="I32" s="4">
        <v>2890000</v>
      </c>
      <c r="J32" s="4"/>
      <c r="K32" s="4"/>
      <c r="L32" s="4"/>
      <c r="M32" s="22"/>
      <c r="N32" s="22"/>
      <c r="O32" s="22"/>
    </row>
    <row r="33" spans="3:15" x14ac:dyDescent="0.25">
      <c r="C33" s="33" t="str">
        <f t="shared" si="1"/>
        <v/>
      </c>
      <c r="D33" s="11" t="s">
        <v>631</v>
      </c>
      <c r="E33" s="33"/>
      <c r="F33" t="s">
        <v>131</v>
      </c>
      <c r="G33" t="s">
        <v>25</v>
      </c>
      <c r="H33">
        <f>RANK(I33,I$23:I$43,1)</f>
        <v>11</v>
      </c>
      <c r="I33" s="4">
        <v>3816796</v>
      </c>
      <c r="M33" s="21"/>
      <c r="N33" s="21"/>
      <c r="O33" s="21"/>
    </row>
    <row r="34" spans="3:15" x14ac:dyDescent="0.25">
      <c r="C34" s="33" t="str">
        <f t="shared" si="1"/>
        <v/>
      </c>
      <c r="D34" s="11" t="s">
        <v>623</v>
      </c>
      <c r="E34" s="33" t="str">
        <f t="shared" ref="E34:E43" si="2">IF(H34=1,"t","")</f>
        <v/>
      </c>
      <c r="F34" t="s">
        <v>624</v>
      </c>
      <c r="G34" t="s">
        <v>25</v>
      </c>
      <c r="H34">
        <f>RANK(I34,I$23:I$43,1)</f>
        <v>12</v>
      </c>
      <c r="I34" s="4">
        <v>4233230</v>
      </c>
      <c r="M34" s="21"/>
      <c r="N34" s="21"/>
      <c r="O34" s="21"/>
    </row>
    <row r="35" spans="3:15" x14ac:dyDescent="0.25">
      <c r="C35" s="33" t="str">
        <f t="shared" si="1"/>
        <v/>
      </c>
      <c r="D35" s="11" t="s">
        <v>1083</v>
      </c>
      <c r="E35" s="33" t="str">
        <f t="shared" si="2"/>
        <v/>
      </c>
      <c r="F35" t="s">
        <v>95</v>
      </c>
      <c r="G35" t="s">
        <v>93</v>
      </c>
      <c r="H35">
        <f>RANK(I35,I$23:I$43,1)</f>
        <v>13</v>
      </c>
      <c r="I35" s="4">
        <v>4737000</v>
      </c>
      <c r="M35" s="21"/>
      <c r="N35" s="21"/>
      <c r="O35" s="21"/>
    </row>
    <row r="36" spans="3:15" x14ac:dyDescent="0.25">
      <c r="C36" s="33" t="str">
        <f t="shared" si="1"/>
        <v/>
      </c>
      <c r="D36" s="11"/>
      <c r="E36" s="33" t="str">
        <f t="shared" si="2"/>
        <v/>
      </c>
      <c r="M36" s="21"/>
      <c r="N36" s="21"/>
      <c r="O36" s="21"/>
    </row>
    <row r="37" spans="3:15" x14ac:dyDescent="0.25">
      <c r="C37" s="33" t="str">
        <f t="shared" si="1"/>
        <v/>
      </c>
      <c r="D37" s="11"/>
      <c r="E37" s="33" t="str">
        <f t="shared" si="2"/>
        <v/>
      </c>
      <c r="M37" s="21"/>
      <c r="N37" s="21"/>
      <c r="O37" s="21"/>
    </row>
    <row r="38" spans="3:15" x14ac:dyDescent="0.25">
      <c r="C38" s="33" t="str">
        <f t="shared" si="1"/>
        <v/>
      </c>
      <c r="D38" s="11"/>
      <c r="E38" s="33" t="str">
        <f t="shared" si="2"/>
        <v/>
      </c>
      <c r="M38" s="21"/>
      <c r="N38" s="21"/>
      <c r="O38" s="21"/>
    </row>
    <row r="39" spans="3:15" x14ac:dyDescent="0.25">
      <c r="C39" s="33" t="str">
        <f t="shared" si="1"/>
        <v/>
      </c>
      <c r="D39" s="11"/>
      <c r="E39" s="33" t="str">
        <f t="shared" si="2"/>
        <v/>
      </c>
      <c r="M39" s="21"/>
      <c r="N39" s="21"/>
      <c r="O39" s="21"/>
    </row>
    <row r="40" spans="3:15" x14ac:dyDescent="0.25">
      <c r="C40" s="33" t="str">
        <f t="shared" si="1"/>
        <v/>
      </c>
      <c r="D40" s="11"/>
      <c r="E40" s="33" t="str">
        <f t="shared" si="2"/>
        <v/>
      </c>
      <c r="M40" s="21"/>
      <c r="N40" s="21"/>
      <c r="O40" s="21"/>
    </row>
    <row r="41" spans="3:15" x14ac:dyDescent="0.25">
      <c r="C41" s="33" t="str">
        <f t="shared" si="1"/>
        <v/>
      </c>
      <c r="D41" s="11"/>
      <c r="E41" s="33" t="str">
        <f t="shared" si="2"/>
        <v/>
      </c>
      <c r="M41" s="21"/>
      <c r="N41" s="21"/>
      <c r="O41" s="21"/>
    </row>
    <row r="42" spans="3:15" x14ac:dyDescent="0.25">
      <c r="C42" s="33" t="str">
        <f t="shared" si="1"/>
        <v/>
      </c>
      <c r="D42" s="11"/>
      <c r="E42" s="33" t="str">
        <f t="shared" si="2"/>
        <v/>
      </c>
      <c r="M42" s="21"/>
      <c r="N42" s="21"/>
      <c r="O42" s="21"/>
    </row>
    <row r="43" spans="3:15" x14ac:dyDescent="0.25">
      <c r="C43" s="33" t="str">
        <f t="shared" si="1"/>
        <v/>
      </c>
      <c r="D43" s="11"/>
      <c r="E43" s="33" t="str">
        <f t="shared" si="2"/>
        <v/>
      </c>
      <c r="M43" s="21"/>
      <c r="N43" s="21"/>
      <c r="O43" s="21"/>
    </row>
    <row r="44" spans="3:15" ht="6" customHeight="1" x14ac:dyDescent="0.25">
      <c r="C44" s="9"/>
      <c r="D44" s="9"/>
      <c r="E44" s="9"/>
      <c r="F44" s="9"/>
      <c r="G44" s="9"/>
      <c r="H44" s="9"/>
      <c r="I44" s="9"/>
      <c r="J44" s="9"/>
      <c r="K44" s="9"/>
      <c r="L44" s="9"/>
      <c r="M44" s="21"/>
      <c r="N44" s="21"/>
      <c r="O44" s="21"/>
    </row>
    <row r="45" spans="3:15" ht="6" customHeight="1" x14ac:dyDescent="0.25">
      <c r="M45" s="21"/>
      <c r="N45" s="21"/>
      <c r="O45" s="21"/>
    </row>
    <row r="46" spans="3:15" x14ac:dyDescent="0.25">
      <c r="C46" s="15" t="s">
        <v>79</v>
      </c>
      <c r="M46" s="21"/>
      <c r="N46" s="21"/>
      <c r="O46" s="21"/>
    </row>
    <row r="47" spans="3:15" x14ac:dyDescent="0.25">
      <c r="C47" s="15" t="s">
        <v>78</v>
      </c>
    </row>
  </sheetData>
  <mergeCells count="1">
    <mergeCell ref="G13:H13"/>
  </mergeCells>
  <conditionalFormatting sqref="I9">
    <cfRule type="containsText" dxfId="2031" priority="18" operator="containsText" text="FAIL">
      <formula>NOT(ISERROR(SEARCH("FAIL",I9)))</formula>
    </cfRule>
  </conditionalFormatting>
  <conditionalFormatting sqref="I9">
    <cfRule type="containsText" dxfId="2030" priority="17" operator="containsText" text="GOOD">
      <formula>NOT(ISERROR(SEARCH("GOOD",I9)))</formula>
    </cfRule>
  </conditionalFormatting>
  <conditionalFormatting sqref="F11">
    <cfRule type="containsText" dxfId="2029" priority="16" operator="containsText" text="FAIL">
      <formula>NOT(ISERROR(SEARCH("FAIL",F11)))</formula>
    </cfRule>
  </conditionalFormatting>
  <conditionalFormatting sqref="F11">
    <cfRule type="containsText" dxfId="2028" priority="15" operator="containsText" text="GOOD">
      <formula>NOT(ISERROR(SEARCH("GOOD",F11)))</formula>
    </cfRule>
  </conditionalFormatting>
  <conditionalFormatting sqref="D25">
    <cfRule type="expression" dxfId="2027" priority="14" stopIfTrue="1">
      <formula>IF($H$25=1,0)</formula>
    </cfRule>
  </conditionalFormatting>
  <conditionalFormatting sqref="D23 D29:D43 D25">
    <cfRule type="expression" dxfId="2026" priority="13">
      <formula>H23=1</formula>
    </cfRule>
  </conditionalFormatting>
  <conditionalFormatting sqref="C23:C26 C29:C43">
    <cfRule type="expression" dxfId="2025" priority="12">
      <formula>H23=1</formula>
    </cfRule>
  </conditionalFormatting>
  <conditionalFormatting sqref="E23 E29:E43 E25">
    <cfRule type="expression" dxfId="2024" priority="11">
      <formula>H23=1</formula>
    </cfRule>
  </conditionalFormatting>
  <conditionalFormatting sqref="F11">
    <cfRule type="containsText" dxfId="2023" priority="10" operator="containsText" text="FAIL">
      <formula>NOT(ISERROR(SEARCH("FAIL",F11)))</formula>
    </cfRule>
  </conditionalFormatting>
  <conditionalFormatting sqref="F11">
    <cfRule type="containsText" dxfId="2022" priority="9" operator="containsText" text="GOOD">
      <formula>NOT(ISERROR(SEARCH("GOOD",F11)))</formula>
    </cfRule>
  </conditionalFormatting>
  <conditionalFormatting sqref="D27:D28">
    <cfRule type="expression" dxfId="2021" priority="8">
      <formula>H27=1</formula>
    </cfRule>
  </conditionalFormatting>
  <conditionalFormatting sqref="C27:C28">
    <cfRule type="expression" dxfId="2020" priority="7">
      <formula>H27=1</formula>
    </cfRule>
  </conditionalFormatting>
  <conditionalFormatting sqref="E27:E28">
    <cfRule type="expression" dxfId="2019" priority="6">
      <formula>H27=1</formula>
    </cfRule>
  </conditionalFormatting>
  <conditionalFormatting sqref="D24">
    <cfRule type="expression" dxfId="2018" priority="5" stopIfTrue="1">
      <formula>IF($H$25=1,0)</formula>
    </cfRule>
  </conditionalFormatting>
  <conditionalFormatting sqref="D24">
    <cfRule type="expression" dxfId="2017" priority="4">
      <formula>H24=1</formula>
    </cfRule>
  </conditionalFormatting>
  <conditionalFormatting sqref="E24">
    <cfRule type="expression" dxfId="2016" priority="3">
      <formula>H24=1</formula>
    </cfRule>
  </conditionalFormatting>
  <conditionalFormatting sqref="D26">
    <cfRule type="expression" dxfId="2015" priority="2">
      <formula>H26=1</formula>
    </cfRule>
  </conditionalFormatting>
  <conditionalFormatting sqref="E26">
    <cfRule type="expression" dxfId="2014" priority="1">
      <formula>H26=1</formula>
    </cfRule>
  </conditionalFormatting>
  <pageMargins left="0.7" right="0.7" top="0.75" bottom="0.75" header="0.3" footer="0.3"/>
  <pageSetup scale="68" fitToHeight="0" orientation="portrait" r:id="rId1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sheetPr codeName="Sheet85"/>
  <dimension ref="A2:O47"/>
  <sheetViews>
    <sheetView workbookViewId="0">
      <selection activeCell="H27" sqref="H27"/>
    </sheetView>
  </sheetViews>
  <sheetFormatPr defaultRowHeight="15" x14ac:dyDescent="0.25"/>
  <cols>
    <col min="1" max="2" width="4.42578125" customWidth="1"/>
    <col min="3" max="3" width="3" customWidth="1"/>
    <col min="4" max="4" width="24.7109375" customWidth="1"/>
    <col min="5" max="5" width="3" customWidth="1"/>
    <col min="6" max="6" width="15.7109375" customWidth="1"/>
    <col min="7" max="7" width="8.5703125" customWidth="1"/>
    <col min="8" max="8" width="5.85546875" customWidth="1"/>
    <col min="9" max="15" width="15.7109375" customWidth="1"/>
  </cols>
  <sheetData>
    <row r="2" spans="1:11" x14ac:dyDescent="0.25">
      <c r="C2" s="15" t="s">
        <v>32</v>
      </c>
      <c r="E2" s="15"/>
      <c r="F2" s="15"/>
      <c r="G2" s="15" t="s">
        <v>33</v>
      </c>
      <c r="H2" s="15"/>
      <c r="I2" s="15"/>
      <c r="J2" s="15"/>
      <c r="K2" s="15"/>
    </row>
    <row r="3" spans="1:11" ht="18.75" x14ac:dyDescent="0.3">
      <c r="C3" s="3" t="s">
        <v>26</v>
      </c>
      <c r="J3" s="8" t="s">
        <v>47</v>
      </c>
    </row>
    <row r="4" spans="1:11" x14ac:dyDescent="0.25">
      <c r="D4" s="2" t="s">
        <v>0</v>
      </c>
      <c r="E4" s="1"/>
      <c r="F4" t="s">
        <v>812</v>
      </c>
      <c r="I4" s="2" t="s">
        <v>4</v>
      </c>
      <c r="J4" t="s">
        <v>816</v>
      </c>
    </row>
    <row r="5" spans="1:11" x14ac:dyDescent="0.25">
      <c r="D5" s="2" t="s">
        <v>1</v>
      </c>
      <c r="F5" t="s">
        <v>813</v>
      </c>
    </row>
    <row r="6" spans="1:11" x14ac:dyDescent="0.25">
      <c r="D6" s="2" t="s">
        <v>2</v>
      </c>
      <c r="F6" s="6">
        <v>42719</v>
      </c>
      <c r="H6" s="11"/>
    </row>
    <row r="7" spans="1:11" x14ac:dyDescent="0.25">
      <c r="D7" s="2" t="s">
        <v>3</v>
      </c>
      <c r="F7" s="5">
        <f>+I7+J7</f>
        <v>1460000</v>
      </c>
      <c r="G7" s="2" t="s">
        <v>693</v>
      </c>
      <c r="H7" s="11"/>
      <c r="I7" s="19">
        <v>820000</v>
      </c>
      <c r="J7" s="19">
        <v>640000</v>
      </c>
    </row>
    <row r="8" spans="1:11" x14ac:dyDescent="0.25">
      <c r="D8" s="2" t="s">
        <v>18</v>
      </c>
      <c r="F8" s="5">
        <f>MIN(K23:K43)</f>
        <v>1457020</v>
      </c>
      <c r="H8" s="11"/>
      <c r="I8" s="18" t="s">
        <v>43</v>
      </c>
      <c r="J8" s="18" t="s">
        <v>44</v>
      </c>
    </row>
    <row r="9" spans="1:11" x14ac:dyDescent="0.25">
      <c r="D9" s="2" t="s">
        <v>19</v>
      </c>
      <c r="F9" s="4">
        <f>+F8-F7</f>
        <v>-2980</v>
      </c>
      <c r="G9" s="16">
        <f>+F9/F7</f>
        <v>-2.0410958904109591E-3</v>
      </c>
      <c r="H9" s="12" t="s">
        <v>20</v>
      </c>
      <c r="I9" s="11" t="str">
        <f>(IF(G9&lt;-0.1,"FAIL",IF(G9&gt;0.05,"FAIL","GOOD")))</f>
        <v>GOOD</v>
      </c>
      <c r="J9" s="14" t="s">
        <v>72</v>
      </c>
    </row>
    <row r="10" spans="1:11" x14ac:dyDescent="0.25">
      <c r="D10" s="2" t="s">
        <v>68</v>
      </c>
      <c r="F10" s="4">
        <f>+F7-F12</f>
        <v>-149377.28571428568</v>
      </c>
      <c r="H10" s="11"/>
    </row>
    <row r="11" spans="1:11" x14ac:dyDescent="0.25">
      <c r="A11" s="30"/>
      <c r="D11" s="2" t="s">
        <v>71</v>
      </c>
      <c r="F11" s="11" t="str">
        <f>(IF(F7&lt;J12,"FAIL",IF(F7&gt;J13,"FAIL","GOOD")))</f>
        <v>GOOD</v>
      </c>
      <c r="H11" s="11"/>
    </row>
    <row r="12" spans="1:11" x14ac:dyDescent="0.25">
      <c r="D12" s="2" t="s">
        <v>28</v>
      </c>
      <c r="F12" s="4">
        <f>SUM(K23:K43)/H12</f>
        <v>1609377.2857142857</v>
      </c>
      <c r="G12" s="14"/>
      <c r="H12" s="11">
        <f>COUNT(K23:K43)</f>
        <v>7</v>
      </c>
      <c r="I12" s="1" t="s">
        <v>31</v>
      </c>
      <c r="J12" s="4">
        <f>+F8*0.9</f>
        <v>1311318</v>
      </c>
      <c r="K12" s="1" t="s">
        <v>69</v>
      </c>
    </row>
    <row r="13" spans="1:11" x14ac:dyDescent="0.25">
      <c r="D13" s="2" t="s">
        <v>29</v>
      </c>
      <c r="F13" s="4">
        <f>MAX(K23:K43)-MIN(K23:K43)</f>
        <v>373507</v>
      </c>
      <c r="G13" s="399">
        <f>MEDIAN(K23:K43)</f>
        <v>1551000</v>
      </c>
      <c r="H13" s="400"/>
      <c r="I13" s="1" t="s">
        <v>30</v>
      </c>
      <c r="J13" s="4">
        <f>+F12*1.1</f>
        <v>1770315.0142857144</v>
      </c>
      <c r="K13" s="1" t="s">
        <v>70</v>
      </c>
    </row>
    <row r="14" spans="1:11" x14ac:dyDescent="0.25">
      <c r="H14" s="11"/>
    </row>
    <row r="15" spans="1:11" x14ac:dyDescent="0.25">
      <c r="D15" s="2" t="s">
        <v>8</v>
      </c>
      <c r="F15" s="4">
        <v>30000000</v>
      </c>
      <c r="G15" s="1" t="s">
        <v>9</v>
      </c>
      <c r="H15" s="11"/>
      <c r="I15" t="s">
        <v>15</v>
      </c>
      <c r="J15" s="7">
        <f>+F16/F15</f>
        <v>0.93333333333333335</v>
      </c>
    </row>
    <row r="16" spans="1:11" x14ac:dyDescent="0.25">
      <c r="F16" s="4">
        <v>28000000</v>
      </c>
      <c r="G16" s="1" t="s">
        <v>10</v>
      </c>
      <c r="H16" s="11"/>
      <c r="I16" t="s">
        <v>14</v>
      </c>
      <c r="J16" s="7">
        <f>+F17/F16</f>
        <v>1.0535714285714286</v>
      </c>
    </row>
    <row r="17" spans="3:15" x14ac:dyDescent="0.25">
      <c r="F17" s="4">
        <v>29500000</v>
      </c>
      <c r="G17" s="1" t="s">
        <v>11</v>
      </c>
      <c r="H17" s="11"/>
      <c r="I17" t="s">
        <v>13</v>
      </c>
      <c r="J17" s="7">
        <f>+F18/F17</f>
        <v>4.949152542372881E-2</v>
      </c>
    </row>
    <row r="18" spans="3:15" x14ac:dyDescent="0.25">
      <c r="F18" s="4">
        <f>+F7</f>
        <v>1460000</v>
      </c>
      <c r="G18" s="1" t="s">
        <v>12</v>
      </c>
      <c r="H18" s="11"/>
      <c r="I18" t="s">
        <v>16</v>
      </c>
      <c r="J18" s="7">
        <f>+F8/F18</f>
        <v>0.9979589041095891</v>
      </c>
    </row>
    <row r="19" spans="3:15" x14ac:dyDescent="0.25">
      <c r="F19" s="2" t="s">
        <v>51</v>
      </c>
      <c r="G19">
        <v>0</v>
      </c>
      <c r="H19" s="11" t="s">
        <v>52</v>
      </c>
      <c r="I19" t="s">
        <v>41</v>
      </c>
      <c r="J19" s="7">
        <f>+F8/F15</f>
        <v>4.856733333333333E-2</v>
      </c>
    </row>
    <row r="20" spans="3:15" x14ac:dyDescent="0.25">
      <c r="H20" s="11"/>
      <c r="M20" s="21"/>
      <c r="N20" s="21"/>
      <c r="O20" s="21"/>
    </row>
    <row r="21" spans="3:15" x14ac:dyDescent="0.25">
      <c r="C21" s="9"/>
      <c r="D21" s="13" t="s">
        <v>21</v>
      </c>
      <c r="E21" s="9"/>
      <c r="F21" s="9" t="s">
        <v>22</v>
      </c>
      <c r="G21" s="9" t="s">
        <v>23</v>
      </c>
      <c r="H21" s="13" t="s">
        <v>27</v>
      </c>
      <c r="I21" s="10" t="s">
        <v>38</v>
      </c>
      <c r="J21" s="10" t="s">
        <v>37</v>
      </c>
      <c r="K21" s="10" t="s">
        <v>39</v>
      </c>
      <c r="L21" s="9"/>
      <c r="M21" s="21"/>
      <c r="N21" s="21"/>
      <c r="O21" s="21"/>
    </row>
    <row r="22" spans="3:15" ht="6" customHeight="1" x14ac:dyDescent="0.25">
      <c r="M22" s="21"/>
      <c r="N22" s="21"/>
      <c r="O22" s="21"/>
    </row>
    <row r="23" spans="3:15" x14ac:dyDescent="0.25">
      <c r="C23" s="33" t="str">
        <f t="shared" ref="C23:C43" si="0">IF(H23=1,"u","")</f>
        <v/>
      </c>
      <c r="D23" s="11" t="s">
        <v>814</v>
      </c>
      <c r="E23" s="33"/>
      <c r="F23" t="s">
        <v>376</v>
      </c>
      <c r="G23" t="s">
        <v>93</v>
      </c>
      <c r="H23">
        <f>RANK(K23,K$23:K$43,1)</f>
        <v>6</v>
      </c>
      <c r="I23" s="4">
        <v>737750</v>
      </c>
      <c r="J23" s="4">
        <v>1012250</v>
      </c>
      <c r="K23" s="4">
        <f>+J23+I23</f>
        <v>1750000</v>
      </c>
      <c r="L23" s="4"/>
      <c r="M23" s="22"/>
      <c r="N23" s="22"/>
      <c r="O23" s="22"/>
    </row>
    <row r="24" spans="3:15" x14ac:dyDescent="0.25">
      <c r="C24" s="33" t="str">
        <f t="shared" si="0"/>
        <v/>
      </c>
      <c r="D24" s="11" t="s">
        <v>815</v>
      </c>
      <c r="E24" s="33"/>
      <c r="F24" t="s">
        <v>113</v>
      </c>
      <c r="G24" t="s">
        <v>25</v>
      </c>
      <c r="H24">
        <f t="shared" ref="H24:H29" si="1">RANK(K24,K$23:K$43,1)</f>
        <v>2</v>
      </c>
      <c r="I24" s="4">
        <v>837660</v>
      </c>
      <c r="J24" s="4">
        <v>623873</v>
      </c>
      <c r="K24" s="4">
        <f t="shared" ref="K24:K29" si="2">+J24+I24</f>
        <v>1461533</v>
      </c>
      <c r="L24" s="4"/>
      <c r="M24" s="22"/>
      <c r="N24" s="22"/>
      <c r="O24" s="22"/>
    </row>
    <row r="25" spans="3:15" x14ac:dyDescent="0.25">
      <c r="C25" s="33" t="str">
        <f t="shared" si="0"/>
        <v/>
      </c>
      <c r="D25" s="11" t="s">
        <v>431</v>
      </c>
      <c r="E25" s="33"/>
      <c r="F25" t="s">
        <v>380</v>
      </c>
      <c r="G25" t="s">
        <v>93</v>
      </c>
      <c r="H25">
        <f t="shared" si="1"/>
        <v>5</v>
      </c>
      <c r="I25" s="4">
        <v>1054450</v>
      </c>
      <c r="J25" s="4">
        <v>650000</v>
      </c>
      <c r="K25" s="4">
        <f t="shared" si="2"/>
        <v>1704450</v>
      </c>
      <c r="L25" s="4"/>
      <c r="M25" s="22"/>
      <c r="N25" s="22"/>
      <c r="O25" s="22"/>
    </row>
    <row r="26" spans="3:15" x14ac:dyDescent="0.25">
      <c r="C26" s="33" t="str">
        <f t="shared" si="0"/>
        <v/>
      </c>
      <c r="D26" s="11" t="s">
        <v>676</v>
      </c>
      <c r="E26" s="33"/>
      <c r="F26" t="s">
        <v>85</v>
      </c>
      <c r="G26" t="s">
        <v>25</v>
      </c>
      <c r="H26">
        <f t="shared" si="1"/>
        <v>7</v>
      </c>
      <c r="I26" s="4">
        <v>943250</v>
      </c>
      <c r="J26" s="4">
        <v>887277</v>
      </c>
      <c r="K26" s="4">
        <f t="shared" si="2"/>
        <v>1830527</v>
      </c>
      <c r="L26" s="4"/>
      <c r="M26" s="22"/>
      <c r="N26" s="22"/>
      <c r="O26" s="22"/>
    </row>
    <row r="27" spans="3:15" x14ac:dyDescent="0.25">
      <c r="C27" s="33" t="str">
        <f t="shared" si="0"/>
        <v>u</v>
      </c>
      <c r="D27" s="11" t="s">
        <v>347</v>
      </c>
      <c r="E27" s="33"/>
      <c r="F27" t="s">
        <v>147</v>
      </c>
      <c r="G27" t="s">
        <v>93</v>
      </c>
      <c r="H27">
        <f t="shared" si="1"/>
        <v>1</v>
      </c>
      <c r="I27" s="4">
        <v>838900</v>
      </c>
      <c r="J27" s="4">
        <v>618120</v>
      </c>
      <c r="K27" s="4">
        <f t="shared" si="2"/>
        <v>1457020</v>
      </c>
      <c r="L27" s="4"/>
      <c r="M27" s="22"/>
      <c r="N27" s="22"/>
      <c r="O27" s="22"/>
    </row>
    <row r="28" spans="3:15" x14ac:dyDescent="0.25">
      <c r="C28" s="33" t="str">
        <f t="shared" si="0"/>
        <v/>
      </c>
      <c r="D28" s="11" t="s">
        <v>631</v>
      </c>
      <c r="E28" s="33"/>
      <c r="F28" t="s">
        <v>131</v>
      </c>
      <c r="G28" t="s">
        <v>25</v>
      </c>
      <c r="H28">
        <f t="shared" si="1"/>
        <v>4</v>
      </c>
      <c r="I28" s="4">
        <v>883750</v>
      </c>
      <c r="J28" s="4">
        <v>667250</v>
      </c>
      <c r="K28" s="4">
        <f t="shared" si="2"/>
        <v>1551000</v>
      </c>
      <c r="L28" s="4"/>
      <c r="M28" s="22"/>
      <c r="N28" s="22"/>
      <c r="O28" s="22"/>
    </row>
    <row r="29" spans="3:15" x14ac:dyDescent="0.25">
      <c r="C29" s="33" t="str">
        <f t="shared" si="0"/>
        <v/>
      </c>
      <c r="D29" s="11" t="s">
        <v>733</v>
      </c>
      <c r="E29" s="33"/>
      <c r="F29" t="s">
        <v>120</v>
      </c>
      <c r="G29" t="s">
        <v>25</v>
      </c>
      <c r="H29">
        <f t="shared" si="1"/>
        <v>3</v>
      </c>
      <c r="I29" s="4">
        <v>633775</v>
      </c>
      <c r="J29" s="4">
        <v>877336</v>
      </c>
      <c r="K29" s="4">
        <f t="shared" si="2"/>
        <v>1511111</v>
      </c>
      <c r="L29" s="4"/>
      <c r="M29" s="22"/>
      <c r="N29" s="22"/>
      <c r="O29" s="22"/>
    </row>
    <row r="30" spans="3:15" x14ac:dyDescent="0.25">
      <c r="C30" s="33" t="str">
        <f t="shared" si="0"/>
        <v/>
      </c>
      <c r="D30" s="11"/>
      <c r="E30" s="33"/>
      <c r="I30" s="4"/>
      <c r="J30" s="4"/>
      <c r="K30" s="4"/>
      <c r="L30" s="4"/>
      <c r="M30" s="22"/>
      <c r="N30" s="22"/>
      <c r="O30" s="22"/>
    </row>
    <row r="31" spans="3:15" x14ac:dyDescent="0.25">
      <c r="C31" s="33" t="str">
        <f t="shared" si="0"/>
        <v/>
      </c>
      <c r="D31" s="11"/>
      <c r="E31" s="33"/>
      <c r="I31" s="4"/>
      <c r="J31" s="4"/>
      <c r="K31" s="4"/>
      <c r="L31" s="4"/>
      <c r="M31" s="22"/>
      <c r="N31" s="22"/>
      <c r="O31" s="22"/>
    </row>
    <row r="32" spans="3:15" x14ac:dyDescent="0.25">
      <c r="C32" s="33" t="str">
        <f t="shared" si="0"/>
        <v/>
      </c>
      <c r="D32" s="11"/>
      <c r="E32" s="33"/>
      <c r="I32" s="4"/>
      <c r="J32" s="4"/>
      <c r="K32" s="4"/>
      <c r="L32" s="4"/>
      <c r="M32" s="22"/>
      <c r="N32" s="22"/>
      <c r="O32" s="22"/>
    </row>
    <row r="33" spans="3:15" x14ac:dyDescent="0.25">
      <c r="C33" s="33" t="str">
        <f t="shared" si="0"/>
        <v/>
      </c>
      <c r="D33" s="11"/>
      <c r="E33" s="33"/>
      <c r="I33" s="4"/>
      <c r="J33" s="4"/>
      <c r="K33" s="4"/>
      <c r="M33" s="21"/>
      <c r="N33" s="21"/>
      <c r="O33" s="21"/>
    </row>
    <row r="34" spans="3:15" x14ac:dyDescent="0.25">
      <c r="C34" s="33" t="str">
        <f t="shared" si="0"/>
        <v/>
      </c>
      <c r="D34" s="11"/>
      <c r="E34" s="33"/>
      <c r="I34" s="4"/>
      <c r="J34" s="4"/>
      <c r="K34" s="4"/>
      <c r="M34" s="21"/>
      <c r="N34" s="21"/>
      <c r="O34" s="21"/>
    </row>
    <row r="35" spans="3:15" x14ac:dyDescent="0.25">
      <c r="C35" s="33" t="str">
        <f t="shared" si="0"/>
        <v/>
      </c>
      <c r="D35" s="11"/>
      <c r="E35" s="33"/>
      <c r="I35" s="4"/>
      <c r="J35" s="4"/>
      <c r="K35" s="4"/>
      <c r="M35" s="21"/>
      <c r="N35" s="21"/>
      <c r="O35" s="21"/>
    </row>
    <row r="36" spans="3:15" x14ac:dyDescent="0.25">
      <c r="C36" s="33" t="str">
        <f t="shared" si="0"/>
        <v/>
      </c>
      <c r="D36" s="11"/>
      <c r="E36" s="33" t="str">
        <f t="shared" ref="E36:E43" si="3">IF(H36=1,"t","")</f>
        <v/>
      </c>
      <c r="K36" s="4"/>
      <c r="M36" s="21"/>
      <c r="N36" s="21"/>
      <c r="O36" s="21"/>
    </row>
    <row r="37" spans="3:15" x14ac:dyDescent="0.25">
      <c r="C37" s="33" t="str">
        <f t="shared" si="0"/>
        <v/>
      </c>
      <c r="D37" s="11"/>
      <c r="E37" s="33" t="str">
        <f t="shared" si="3"/>
        <v/>
      </c>
      <c r="K37" s="4"/>
      <c r="M37" s="21"/>
      <c r="N37" s="21"/>
      <c r="O37" s="21"/>
    </row>
    <row r="38" spans="3:15" x14ac:dyDescent="0.25">
      <c r="C38" s="33" t="str">
        <f t="shared" si="0"/>
        <v/>
      </c>
      <c r="D38" s="11"/>
      <c r="E38" s="33" t="str">
        <f t="shared" si="3"/>
        <v/>
      </c>
      <c r="K38" s="4"/>
      <c r="M38" s="21"/>
      <c r="N38" s="21"/>
      <c r="O38" s="21"/>
    </row>
    <row r="39" spans="3:15" x14ac:dyDescent="0.25">
      <c r="C39" s="33" t="str">
        <f t="shared" si="0"/>
        <v/>
      </c>
      <c r="D39" s="11"/>
      <c r="E39" s="33" t="str">
        <f t="shared" si="3"/>
        <v/>
      </c>
      <c r="K39" s="4"/>
      <c r="M39" s="21"/>
      <c r="N39" s="21"/>
      <c r="O39" s="21"/>
    </row>
    <row r="40" spans="3:15" x14ac:dyDescent="0.25">
      <c r="C40" s="33" t="str">
        <f t="shared" si="0"/>
        <v/>
      </c>
      <c r="D40" s="11"/>
      <c r="E40" s="33" t="str">
        <f t="shared" si="3"/>
        <v/>
      </c>
      <c r="K40" s="4"/>
      <c r="M40" s="21"/>
      <c r="N40" s="21"/>
      <c r="O40" s="21"/>
    </row>
    <row r="41" spans="3:15" x14ac:dyDescent="0.25">
      <c r="C41" s="33" t="str">
        <f t="shared" si="0"/>
        <v/>
      </c>
      <c r="D41" s="11"/>
      <c r="E41" s="33" t="str">
        <f t="shared" si="3"/>
        <v/>
      </c>
      <c r="K41" s="4"/>
      <c r="M41" s="21"/>
      <c r="N41" s="21"/>
      <c r="O41" s="21"/>
    </row>
    <row r="42" spans="3:15" x14ac:dyDescent="0.25">
      <c r="C42" s="33" t="str">
        <f t="shared" si="0"/>
        <v/>
      </c>
      <c r="D42" s="11"/>
      <c r="E42" s="33" t="str">
        <f t="shared" si="3"/>
        <v/>
      </c>
      <c r="K42" s="4"/>
      <c r="M42" s="21"/>
      <c r="N42" s="21"/>
      <c r="O42" s="21"/>
    </row>
    <row r="43" spans="3:15" x14ac:dyDescent="0.25">
      <c r="C43" s="33" t="str">
        <f t="shared" si="0"/>
        <v/>
      </c>
      <c r="D43" s="11"/>
      <c r="E43" s="33" t="str">
        <f t="shared" si="3"/>
        <v/>
      </c>
      <c r="K43" s="4"/>
      <c r="M43" s="21"/>
      <c r="N43" s="21"/>
      <c r="O43" s="21"/>
    </row>
    <row r="44" spans="3:15" ht="6" customHeight="1" x14ac:dyDescent="0.25">
      <c r="C44" s="9"/>
      <c r="D44" s="9"/>
      <c r="E44" s="9"/>
      <c r="F44" s="9"/>
      <c r="G44" s="9"/>
      <c r="H44" s="9"/>
      <c r="I44" s="9"/>
      <c r="J44" s="9"/>
      <c r="K44" s="9"/>
      <c r="L44" s="9"/>
      <c r="M44" s="21"/>
      <c r="N44" s="21"/>
      <c r="O44" s="21"/>
    </row>
    <row r="45" spans="3:15" ht="6" customHeight="1" x14ac:dyDescent="0.25">
      <c r="M45" s="21"/>
      <c r="N45" s="21"/>
      <c r="O45" s="21"/>
    </row>
    <row r="46" spans="3:15" x14ac:dyDescent="0.25">
      <c r="C46" s="15" t="s">
        <v>79</v>
      </c>
      <c r="M46" s="21"/>
      <c r="N46" s="21"/>
      <c r="O46" s="21"/>
    </row>
    <row r="47" spans="3:15" x14ac:dyDescent="0.25">
      <c r="C47" s="15" t="s">
        <v>78</v>
      </c>
    </row>
  </sheetData>
  <mergeCells count="1">
    <mergeCell ref="G13:H13"/>
  </mergeCells>
  <conditionalFormatting sqref="I9">
    <cfRule type="containsText" dxfId="1146" priority="25" operator="containsText" text="FAIL">
      <formula>NOT(ISERROR(SEARCH("FAIL",I9)))</formula>
    </cfRule>
  </conditionalFormatting>
  <conditionalFormatting sqref="I9">
    <cfRule type="containsText" dxfId="1145" priority="24" operator="containsText" text="GOOD">
      <formula>NOT(ISERROR(SEARCH("GOOD",I9)))</formula>
    </cfRule>
  </conditionalFormatting>
  <conditionalFormatting sqref="I9">
    <cfRule type="containsText" dxfId="1144" priority="23" operator="containsText" text="FAIL">
      <formula>NOT(ISERROR(SEARCH("FAIL",I9)))</formula>
    </cfRule>
  </conditionalFormatting>
  <conditionalFormatting sqref="I9">
    <cfRule type="containsText" dxfId="1143" priority="22" operator="containsText" text="GOOD">
      <formula>NOT(ISERROR(SEARCH("GOOD",I9)))</formula>
    </cfRule>
  </conditionalFormatting>
  <conditionalFormatting sqref="I9">
    <cfRule type="containsText" dxfId="1142" priority="21" operator="containsText" text="FAIL">
      <formula>NOT(ISERROR(SEARCH("FAIL",I9)))</formula>
    </cfRule>
  </conditionalFormatting>
  <conditionalFormatting sqref="I9">
    <cfRule type="containsText" dxfId="1141" priority="20" operator="containsText" text="GOOD">
      <formula>NOT(ISERROR(SEARCH("GOOD",I9)))</formula>
    </cfRule>
  </conditionalFormatting>
  <conditionalFormatting sqref="F11">
    <cfRule type="containsText" dxfId="1140" priority="19" operator="containsText" text="FAIL">
      <formula>NOT(ISERROR(SEARCH("FAIL",F11)))</formula>
    </cfRule>
  </conditionalFormatting>
  <conditionalFormatting sqref="F11">
    <cfRule type="containsText" dxfId="1139" priority="18" operator="containsText" text="GOOD">
      <formula>NOT(ISERROR(SEARCH("GOOD",F11)))</formula>
    </cfRule>
  </conditionalFormatting>
  <conditionalFormatting sqref="I9">
    <cfRule type="containsText" dxfId="1138" priority="17" operator="containsText" text="FAIL">
      <formula>NOT(ISERROR(SEARCH("FAIL",I9)))</formula>
    </cfRule>
  </conditionalFormatting>
  <conditionalFormatting sqref="I9">
    <cfRule type="containsText" dxfId="1137" priority="16" operator="containsText" text="GOOD">
      <formula>NOT(ISERROR(SEARCH("GOOD",I9)))</formula>
    </cfRule>
  </conditionalFormatting>
  <conditionalFormatting sqref="F11">
    <cfRule type="containsText" dxfId="1136" priority="15" operator="containsText" text="FAIL">
      <formula>NOT(ISERROR(SEARCH("FAIL",F11)))</formula>
    </cfRule>
  </conditionalFormatting>
  <conditionalFormatting sqref="F11">
    <cfRule type="containsText" dxfId="1135" priority="14" operator="containsText" text="GOOD">
      <formula>NOT(ISERROR(SEARCH("GOOD",F11)))</formula>
    </cfRule>
  </conditionalFormatting>
  <conditionalFormatting sqref="D25">
    <cfRule type="expression" dxfId="1134" priority="13" stopIfTrue="1">
      <formula>IF($H$25=1,0)</formula>
    </cfRule>
  </conditionalFormatting>
  <conditionalFormatting sqref="D23:D29 D36:D43 D32:D33">
    <cfRule type="expression" dxfId="1133" priority="12">
      <formula>H23=1</formula>
    </cfRule>
  </conditionalFormatting>
  <conditionalFormatting sqref="C23:C43">
    <cfRule type="expression" dxfId="1132" priority="11">
      <formula>H23=1</formula>
    </cfRule>
  </conditionalFormatting>
  <conditionalFormatting sqref="E23:E29 E36:E43 E32:E33">
    <cfRule type="expression" dxfId="1131" priority="10">
      <formula>H23=1</formula>
    </cfRule>
  </conditionalFormatting>
  <conditionalFormatting sqref="E23:E29 E36:E43 E32:E33">
    <cfRule type="expression" dxfId="1130" priority="9">
      <formula>H23=1</formula>
    </cfRule>
  </conditionalFormatting>
  <conditionalFormatting sqref="F11">
    <cfRule type="containsText" dxfId="1129" priority="8" operator="containsText" text="FAIL">
      <formula>NOT(ISERROR(SEARCH("FAIL",F11)))</formula>
    </cfRule>
  </conditionalFormatting>
  <conditionalFormatting sqref="F11">
    <cfRule type="containsText" dxfId="1128" priority="7" operator="containsText" text="GOOD">
      <formula>NOT(ISERROR(SEARCH("GOOD",F11)))</formula>
    </cfRule>
  </conditionalFormatting>
  <conditionalFormatting sqref="D34:D35">
    <cfRule type="expression" dxfId="1127" priority="6">
      <formula>H34=1</formula>
    </cfRule>
  </conditionalFormatting>
  <conditionalFormatting sqref="E34:E35">
    <cfRule type="expression" dxfId="1126" priority="5">
      <formula>H34=1</formula>
    </cfRule>
  </conditionalFormatting>
  <conditionalFormatting sqref="E34:E35">
    <cfRule type="expression" dxfId="1125" priority="4">
      <formula>H34=1</formula>
    </cfRule>
  </conditionalFormatting>
  <conditionalFormatting sqref="D30:D31">
    <cfRule type="expression" dxfId="1124" priority="3">
      <formula>H30=1</formula>
    </cfRule>
  </conditionalFormatting>
  <conditionalFormatting sqref="E30:E31">
    <cfRule type="expression" dxfId="1123" priority="2">
      <formula>H30=1</formula>
    </cfRule>
  </conditionalFormatting>
  <conditionalFormatting sqref="E30:E31">
    <cfRule type="expression" dxfId="1122" priority="1">
      <formula>H30=1</formula>
    </cfRule>
  </conditionalFormatting>
  <pageMargins left="0.7" right="0.7" top="0.75" bottom="0.75" header="0.3" footer="0.3"/>
  <pageSetup orientation="landscape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sheetPr codeName="Sheet59"/>
  <dimension ref="A2:O47"/>
  <sheetViews>
    <sheetView zoomScaleNormal="100" workbookViewId="0">
      <selection activeCell="M26" sqref="M26"/>
    </sheetView>
  </sheetViews>
  <sheetFormatPr defaultRowHeight="15" x14ac:dyDescent="0.25"/>
  <cols>
    <col min="1" max="2" width="4.42578125" customWidth="1"/>
    <col min="3" max="3" width="3" customWidth="1"/>
    <col min="4" max="4" width="24.85546875" customWidth="1"/>
    <col min="5" max="5" width="3" customWidth="1"/>
    <col min="6" max="6" width="15.7109375" customWidth="1"/>
    <col min="7" max="7" width="8.5703125" customWidth="1"/>
    <col min="8" max="8" width="5.85546875" customWidth="1"/>
    <col min="9" max="15" width="15.7109375" customWidth="1"/>
  </cols>
  <sheetData>
    <row r="2" spans="1:11" x14ac:dyDescent="0.25">
      <c r="C2" s="15" t="s">
        <v>32</v>
      </c>
      <c r="E2" s="15"/>
      <c r="F2" s="15"/>
      <c r="G2" s="15" t="s">
        <v>33</v>
      </c>
      <c r="H2" s="15"/>
      <c r="I2" s="15"/>
      <c r="J2" s="15"/>
      <c r="K2" s="15"/>
    </row>
    <row r="3" spans="1:11" ht="18.75" x14ac:dyDescent="0.3">
      <c r="C3" s="3" t="s">
        <v>26</v>
      </c>
      <c r="J3" s="8" t="s">
        <v>17</v>
      </c>
    </row>
    <row r="4" spans="1:11" x14ac:dyDescent="0.25">
      <c r="D4" s="2" t="s">
        <v>0</v>
      </c>
      <c r="E4" s="1"/>
      <c r="F4" t="s">
        <v>987</v>
      </c>
      <c r="I4" s="2" t="s">
        <v>4</v>
      </c>
      <c r="J4" t="s">
        <v>816</v>
      </c>
    </row>
    <row r="5" spans="1:11" x14ac:dyDescent="0.25">
      <c r="D5" s="2" t="s">
        <v>1</v>
      </c>
      <c r="F5" t="s">
        <v>988</v>
      </c>
    </row>
    <row r="6" spans="1:11" x14ac:dyDescent="0.25">
      <c r="D6" s="2" t="s">
        <v>2</v>
      </c>
      <c r="F6" s="6">
        <v>42845</v>
      </c>
      <c r="H6" s="11"/>
    </row>
    <row r="7" spans="1:11" x14ac:dyDescent="0.25">
      <c r="D7" s="2" t="s">
        <v>3</v>
      </c>
      <c r="F7" s="5">
        <v>1520000</v>
      </c>
      <c r="G7" s="2" t="s">
        <v>34</v>
      </c>
      <c r="H7" s="11"/>
    </row>
    <row r="8" spans="1:11" x14ac:dyDescent="0.25">
      <c r="D8" s="2" t="s">
        <v>18</v>
      </c>
      <c r="F8" s="5">
        <f>MIN(I23:I43)</f>
        <v>994200</v>
      </c>
      <c r="H8" s="11"/>
    </row>
    <row r="9" spans="1:11" x14ac:dyDescent="0.25">
      <c r="D9" s="2" t="s">
        <v>67</v>
      </c>
      <c r="F9" s="4">
        <f>+F8-F7</f>
        <v>-525800</v>
      </c>
      <c r="G9" s="16">
        <f>+F9/F7</f>
        <v>-0.34592105263157896</v>
      </c>
      <c r="H9" s="12" t="s">
        <v>20</v>
      </c>
      <c r="I9" s="11" t="str">
        <f>(IF(G9&lt;-0.1,"FAIL",IF(G9&gt;0.05,"FAIL","GOOD")))</f>
        <v>FAIL</v>
      </c>
      <c r="J9" s="14" t="s">
        <v>72</v>
      </c>
    </row>
    <row r="10" spans="1:11" x14ac:dyDescent="0.25">
      <c r="D10" s="2" t="s">
        <v>68</v>
      </c>
      <c r="F10" s="4">
        <f>+F7-F12</f>
        <v>-437750</v>
      </c>
      <c r="H10" s="11"/>
    </row>
    <row r="11" spans="1:11" x14ac:dyDescent="0.25">
      <c r="A11" s="52"/>
      <c r="D11" s="2" t="s">
        <v>71</v>
      </c>
      <c r="F11" s="11" t="str">
        <f>(IF(F7&lt;J12,"FAIL",IF(F7&gt;J13,"FAIL","GOOD")))</f>
        <v>GOOD</v>
      </c>
      <c r="H11" s="11"/>
    </row>
    <row r="12" spans="1:11" x14ac:dyDescent="0.25">
      <c r="D12" s="2" t="s">
        <v>28</v>
      </c>
      <c r="F12" s="4">
        <f>SUM(I23:I43)/H12</f>
        <v>1957750</v>
      </c>
      <c r="G12" s="14"/>
      <c r="H12" s="11">
        <f>COUNT(I23:I43)</f>
        <v>4</v>
      </c>
      <c r="I12" s="1" t="s">
        <v>31</v>
      </c>
      <c r="J12" s="4">
        <f>+F8*0.9</f>
        <v>894780</v>
      </c>
      <c r="K12" s="1" t="s">
        <v>69</v>
      </c>
    </row>
    <row r="13" spans="1:11" x14ac:dyDescent="0.25">
      <c r="D13" s="2" t="s">
        <v>29</v>
      </c>
      <c r="F13" s="4">
        <f>MAX(I23:I43)-MIN(I23:I43)</f>
        <v>2650800</v>
      </c>
      <c r="G13" s="399">
        <f>MEDIAN(I23:I43)</f>
        <v>1595900</v>
      </c>
      <c r="H13" s="400"/>
      <c r="I13" s="1" t="s">
        <v>30</v>
      </c>
      <c r="J13" s="4">
        <f>+F12*1.1</f>
        <v>2153525</v>
      </c>
      <c r="K13" s="1" t="s">
        <v>70</v>
      </c>
    </row>
    <row r="14" spans="1:11" x14ac:dyDescent="0.25">
      <c r="H14" s="11"/>
    </row>
    <row r="15" spans="1:11" x14ac:dyDescent="0.25">
      <c r="D15" s="2" t="s">
        <v>8</v>
      </c>
      <c r="F15" s="4"/>
      <c r="G15" s="1" t="s">
        <v>9</v>
      </c>
      <c r="H15" s="11"/>
      <c r="I15" t="s">
        <v>15</v>
      </c>
      <c r="J15" s="7" t="e">
        <f>+F16/F15</f>
        <v>#DIV/0!</v>
      </c>
    </row>
    <row r="16" spans="1:11" x14ac:dyDescent="0.25">
      <c r="F16" s="4"/>
      <c r="G16" s="1" t="s">
        <v>10</v>
      </c>
      <c r="H16" s="11"/>
      <c r="I16" t="s">
        <v>14</v>
      </c>
      <c r="J16" s="7" t="e">
        <f>+F17/F16</f>
        <v>#DIV/0!</v>
      </c>
    </row>
    <row r="17" spans="3:15" x14ac:dyDescent="0.25">
      <c r="F17" s="4"/>
      <c r="G17" s="1" t="s">
        <v>11</v>
      </c>
      <c r="H17" s="11"/>
      <c r="I17" t="s">
        <v>13</v>
      </c>
      <c r="J17" s="7" t="e">
        <f>+F18/F17</f>
        <v>#DIV/0!</v>
      </c>
      <c r="M17" s="21"/>
      <c r="N17" s="21"/>
      <c r="O17" s="21"/>
    </row>
    <row r="18" spans="3:15" x14ac:dyDescent="0.25">
      <c r="F18" s="4"/>
      <c r="G18" s="1" t="s">
        <v>12</v>
      </c>
      <c r="H18" s="11"/>
      <c r="I18" t="s">
        <v>16</v>
      </c>
      <c r="J18" s="7" t="e">
        <f>+F8/F18</f>
        <v>#DIV/0!</v>
      </c>
      <c r="M18" s="21"/>
      <c r="N18" s="21"/>
      <c r="O18" s="21"/>
    </row>
    <row r="19" spans="3:15" x14ac:dyDescent="0.25">
      <c r="F19" s="2" t="s">
        <v>51</v>
      </c>
      <c r="G19">
        <v>0</v>
      </c>
      <c r="H19" s="11" t="s">
        <v>52</v>
      </c>
      <c r="I19" t="s">
        <v>41</v>
      </c>
      <c r="J19" s="7" t="e">
        <f>+F8/F15</f>
        <v>#DIV/0!</v>
      </c>
      <c r="M19" s="21"/>
      <c r="N19" s="21"/>
      <c r="O19" s="21"/>
    </row>
    <row r="20" spans="3:15" x14ac:dyDescent="0.25">
      <c r="H20" s="11"/>
      <c r="M20" s="21"/>
      <c r="N20" s="21"/>
      <c r="O20" s="21"/>
    </row>
    <row r="21" spans="3:15" x14ac:dyDescent="0.25">
      <c r="C21" s="9"/>
      <c r="D21" s="13" t="s">
        <v>21</v>
      </c>
      <c r="E21" s="9"/>
      <c r="F21" s="9" t="s">
        <v>22</v>
      </c>
      <c r="G21" s="9" t="s">
        <v>23</v>
      </c>
      <c r="H21" s="13" t="s">
        <v>27</v>
      </c>
      <c r="I21" s="10" t="s">
        <v>24</v>
      </c>
      <c r="J21" s="9"/>
      <c r="K21" s="9"/>
      <c r="L21" s="9"/>
      <c r="M21" s="21"/>
      <c r="N21" s="21"/>
      <c r="O21" s="21"/>
    </row>
    <row r="22" spans="3:15" ht="6" customHeight="1" x14ac:dyDescent="0.25">
      <c r="M22" s="21"/>
      <c r="N22" s="21"/>
      <c r="O22" s="21"/>
    </row>
    <row r="23" spans="3:15" x14ac:dyDescent="0.25">
      <c r="C23" s="33" t="str">
        <f>IF(H23=1,"u","")</f>
        <v/>
      </c>
      <c r="D23" s="11" t="s">
        <v>573</v>
      </c>
      <c r="E23" s="33"/>
      <c r="F23" t="s">
        <v>490</v>
      </c>
      <c r="G23" t="s">
        <v>25</v>
      </c>
      <c r="H23">
        <f>RANK(I23,I$23:I$43,1)</f>
        <v>2</v>
      </c>
      <c r="I23" s="4">
        <v>1248000</v>
      </c>
      <c r="J23" s="4"/>
      <c r="K23" s="4"/>
      <c r="L23" s="4"/>
      <c r="M23" s="22"/>
      <c r="N23" s="22"/>
      <c r="O23" s="22"/>
    </row>
    <row r="24" spans="3:15" x14ac:dyDescent="0.25">
      <c r="C24" s="33" t="str">
        <f>IF(H24=1,"u","")</f>
        <v/>
      </c>
      <c r="D24" s="11" t="s">
        <v>568</v>
      </c>
      <c r="E24" s="33"/>
      <c r="F24" t="s">
        <v>569</v>
      </c>
      <c r="G24" t="s">
        <v>570</v>
      </c>
      <c r="H24">
        <f>RANK(I24,I$23:I$43,1)</f>
        <v>4</v>
      </c>
      <c r="I24" s="4">
        <v>3645000</v>
      </c>
      <c r="J24" s="4"/>
      <c r="K24" s="4"/>
      <c r="L24" s="4"/>
      <c r="M24" s="22"/>
      <c r="N24" s="22"/>
      <c r="O24" s="22"/>
    </row>
    <row r="25" spans="3:15" x14ac:dyDescent="0.25">
      <c r="C25" s="33" t="str">
        <f>IF(H25=1,"u","")</f>
        <v/>
      </c>
      <c r="D25" s="11" t="s">
        <v>576</v>
      </c>
      <c r="E25" s="33"/>
      <c r="F25" t="s">
        <v>147</v>
      </c>
      <c r="G25" t="s">
        <v>93</v>
      </c>
      <c r="H25">
        <f>RANK(I25,I$23:I$43,1)</f>
        <v>3</v>
      </c>
      <c r="I25" s="4">
        <v>1943800</v>
      </c>
      <c r="J25" s="4"/>
      <c r="K25" s="4"/>
      <c r="L25" s="4"/>
      <c r="M25" s="22"/>
      <c r="N25" s="22"/>
      <c r="O25" s="22"/>
    </row>
    <row r="26" spans="3:15" x14ac:dyDescent="0.25">
      <c r="C26" s="33" t="str">
        <f>IF(H26=1,"u","")</f>
        <v>u</v>
      </c>
      <c r="D26" s="11" t="s">
        <v>571</v>
      </c>
      <c r="E26" s="33"/>
      <c r="F26" t="s">
        <v>572</v>
      </c>
      <c r="G26" t="s">
        <v>321</v>
      </c>
      <c r="H26">
        <f>RANK(I26,I$23:I$43,1)</f>
        <v>1</v>
      </c>
      <c r="I26" s="4">
        <v>994200</v>
      </c>
      <c r="J26" s="4"/>
      <c r="K26" s="4"/>
      <c r="L26" s="4"/>
      <c r="M26" s="22"/>
      <c r="N26" s="22"/>
      <c r="O26" s="22"/>
    </row>
    <row r="27" spans="3:15" x14ac:dyDescent="0.25">
      <c r="C27" s="33" t="str">
        <f t="shared" ref="C27:C43" si="0">IF(H27=1,"u","")</f>
        <v/>
      </c>
      <c r="D27" s="11"/>
      <c r="E27" s="33"/>
      <c r="I27" s="4"/>
      <c r="J27" s="4"/>
      <c r="K27" s="4"/>
      <c r="L27" s="4"/>
      <c r="M27" s="22"/>
      <c r="N27" s="22"/>
      <c r="O27" s="22"/>
    </row>
    <row r="28" spans="3:15" x14ac:dyDescent="0.25">
      <c r="C28" s="33" t="str">
        <f t="shared" si="0"/>
        <v/>
      </c>
      <c r="D28" s="11"/>
      <c r="E28" s="33"/>
      <c r="I28" s="4"/>
      <c r="J28" s="4"/>
      <c r="K28" s="4"/>
      <c r="L28" s="4"/>
      <c r="M28" s="22"/>
      <c r="N28" s="22"/>
      <c r="O28" s="22"/>
    </row>
    <row r="29" spans="3:15" x14ac:dyDescent="0.25">
      <c r="C29" s="33" t="str">
        <f t="shared" si="0"/>
        <v/>
      </c>
      <c r="D29" s="11"/>
      <c r="E29" s="33"/>
      <c r="I29" s="4"/>
      <c r="J29" s="4"/>
      <c r="K29" s="4"/>
      <c r="L29" s="4"/>
      <c r="M29" s="22"/>
      <c r="N29" s="22"/>
      <c r="O29" s="22"/>
    </row>
    <row r="30" spans="3:15" x14ac:dyDescent="0.25">
      <c r="C30" s="33" t="str">
        <f t="shared" si="0"/>
        <v/>
      </c>
      <c r="D30" s="11"/>
      <c r="E30" s="33"/>
      <c r="I30" s="4"/>
      <c r="J30" s="4"/>
      <c r="K30" s="4"/>
      <c r="L30" s="4"/>
      <c r="M30" s="22"/>
      <c r="N30" s="22"/>
      <c r="O30" s="22"/>
    </row>
    <row r="31" spans="3:15" x14ac:dyDescent="0.25">
      <c r="C31" s="33" t="str">
        <f t="shared" si="0"/>
        <v/>
      </c>
      <c r="D31" s="11"/>
      <c r="E31" s="33"/>
      <c r="I31" s="4"/>
      <c r="J31" s="4"/>
      <c r="K31" s="4"/>
      <c r="L31" s="4"/>
      <c r="M31" s="22"/>
      <c r="N31" s="22"/>
      <c r="O31" s="22"/>
    </row>
    <row r="32" spans="3:15" x14ac:dyDescent="0.25">
      <c r="C32" s="33" t="str">
        <f t="shared" si="0"/>
        <v/>
      </c>
      <c r="D32" s="11"/>
      <c r="E32" s="33"/>
      <c r="I32" s="4"/>
      <c r="J32" s="4"/>
      <c r="K32" s="4"/>
      <c r="L32" s="4"/>
      <c r="M32" s="22"/>
      <c r="N32" s="22"/>
      <c r="O32" s="22"/>
    </row>
    <row r="33" spans="3:15" x14ac:dyDescent="0.25">
      <c r="C33" s="33" t="str">
        <f t="shared" si="0"/>
        <v/>
      </c>
      <c r="D33" s="11"/>
      <c r="E33" s="33"/>
      <c r="I33" s="4"/>
      <c r="M33" s="21"/>
      <c r="N33" s="21"/>
      <c r="O33" s="21"/>
    </row>
    <row r="34" spans="3:15" x14ac:dyDescent="0.25">
      <c r="C34" s="33" t="str">
        <f t="shared" si="0"/>
        <v/>
      </c>
      <c r="D34" s="11"/>
      <c r="E34" s="33"/>
      <c r="I34" s="4"/>
      <c r="M34" s="21"/>
      <c r="N34" s="21"/>
      <c r="O34" s="21"/>
    </row>
    <row r="35" spans="3:15" x14ac:dyDescent="0.25">
      <c r="C35" s="33" t="str">
        <f t="shared" si="0"/>
        <v/>
      </c>
      <c r="D35" s="11"/>
      <c r="E35" s="33"/>
      <c r="I35" s="4"/>
      <c r="M35" s="21"/>
      <c r="N35" s="21"/>
      <c r="O35" s="21"/>
    </row>
    <row r="36" spans="3:15" x14ac:dyDescent="0.25">
      <c r="C36" s="33" t="str">
        <f t="shared" si="0"/>
        <v/>
      </c>
      <c r="D36" s="11"/>
      <c r="E36" s="33"/>
      <c r="I36" s="4"/>
      <c r="M36" s="21"/>
      <c r="N36" s="21"/>
      <c r="O36" s="21"/>
    </row>
    <row r="37" spans="3:15" x14ac:dyDescent="0.25">
      <c r="C37" s="33" t="str">
        <f t="shared" si="0"/>
        <v/>
      </c>
      <c r="D37" s="11"/>
      <c r="E37" s="33" t="str">
        <f t="shared" ref="E37:E43" si="1">IF(H37=1,"t","")</f>
        <v/>
      </c>
      <c r="M37" s="21"/>
      <c r="N37" s="21"/>
      <c r="O37" s="21"/>
    </row>
    <row r="38" spans="3:15" x14ac:dyDescent="0.25">
      <c r="C38" s="33" t="str">
        <f t="shared" si="0"/>
        <v/>
      </c>
      <c r="D38" s="11"/>
      <c r="E38" s="33" t="str">
        <f t="shared" si="1"/>
        <v/>
      </c>
      <c r="M38" s="21"/>
      <c r="N38" s="21"/>
      <c r="O38" s="21"/>
    </row>
    <row r="39" spans="3:15" x14ac:dyDescent="0.25">
      <c r="C39" s="33" t="str">
        <f t="shared" si="0"/>
        <v/>
      </c>
      <c r="D39" s="11"/>
      <c r="E39" s="33" t="str">
        <f t="shared" si="1"/>
        <v/>
      </c>
      <c r="M39" s="21"/>
      <c r="N39" s="21"/>
      <c r="O39" s="21"/>
    </row>
    <row r="40" spans="3:15" x14ac:dyDescent="0.25">
      <c r="C40" s="33" t="str">
        <f t="shared" si="0"/>
        <v/>
      </c>
      <c r="D40" s="11"/>
      <c r="E40" s="33" t="str">
        <f t="shared" si="1"/>
        <v/>
      </c>
      <c r="M40" s="21"/>
      <c r="N40" s="21"/>
      <c r="O40" s="21"/>
    </row>
    <row r="41" spans="3:15" x14ac:dyDescent="0.25">
      <c r="C41" s="33" t="str">
        <f t="shared" si="0"/>
        <v/>
      </c>
      <c r="D41" s="11"/>
      <c r="E41" s="33" t="str">
        <f t="shared" si="1"/>
        <v/>
      </c>
      <c r="M41" s="21"/>
      <c r="N41" s="21"/>
      <c r="O41" s="21"/>
    </row>
    <row r="42" spans="3:15" x14ac:dyDescent="0.25">
      <c r="C42" s="33" t="str">
        <f t="shared" si="0"/>
        <v/>
      </c>
      <c r="D42" s="11"/>
      <c r="E42" s="33" t="str">
        <f t="shared" si="1"/>
        <v/>
      </c>
      <c r="M42" s="21"/>
      <c r="N42" s="21"/>
      <c r="O42" s="21"/>
    </row>
    <row r="43" spans="3:15" x14ac:dyDescent="0.25">
      <c r="C43" s="33" t="str">
        <f t="shared" si="0"/>
        <v/>
      </c>
      <c r="D43" s="11"/>
      <c r="E43" s="33" t="str">
        <f t="shared" si="1"/>
        <v/>
      </c>
      <c r="M43" s="21"/>
      <c r="N43" s="21"/>
      <c r="O43" s="21"/>
    </row>
    <row r="44" spans="3:15" ht="6" customHeight="1" x14ac:dyDescent="0.25">
      <c r="C44" s="9"/>
      <c r="D44" s="9"/>
      <c r="E44" s="9"/>
      <c r="F44" s="9"/>
      <c r="G44" s="9"/>
      <c r="H44" s="9"/>
      <c r="I44" s="9"/>
      <c r="J44" s="9"/>
      <c r="K44" s="9"/>
      <c r="L44" s="9"/>
      <c r="M44" s="21"/>
      <c r="N44" s="21"/>
      <c r="O44" s="21"/>
    </row>
    <row r="45" spans="3:15" ht="6" customHeight="1" x14ac:dyDescent="0.25">
      <c r="M45" s="21"/>
      <c r="N45" s="21"/>
      <c r="O45" s="21"/>
    </row>
    <row r="46" spans="3:15" x14ac:dyDescent="0.25">
      <c r="C46" s="15" t="s">
        <v>79</v>
      </c>
      <c r="M46" s="21"/>
      <c r="N46" s="21"/>
      <c r="O46" s="21"/>
    </row>
    <row r="47" spans="3:15" x14ac:dyDescent="0.25">
      <c r="C47" s="15" t="s">
        <v>78</v>
      </c>
    </row>
  </sheetData>
  <mergeCells count="1">
    <mergeCell ref="G13:H13"/>
  </mergeCells>
  <conditionalFormatting sqref="I9">
    <cfRule type="containsText" dxfId="1590" priority="20" operator="containsText" text="FAIL">
      <formula>NOT(ISERROR(SEARCH("FAIL",I9)))</formula>
    </cfRule>
  </conditionalFormatting>
  <conditionalFormatting sqref="I9">
    <cfRule type="containsText" dxfId="1589" priority="19" operator="containsText" text="GOOD">
      <formula>NOT(ISERROR(SEARCH("GOOD",I9)))</formula>
    </cfRule>
  </conditionalFormatting>
  <conditionalFormatting sqref="F11">
    <cfRule type="containsText" dxfId="1588" priority="18" operator="containsText" text="FAIL">
      <formula>NOT(ISERROR(SEARCH("FAIL",F11)))</formula>
    </cfRule>
  </conditionalFormatting>
  <conditionalFormatting sqref="F11">
    <cfRule type="containsText" dxfId="1587" priority="17" operator="containsText" text="GOOD">
      <formula>NOT(ISERROR(SEARCH("GOOD",F11)))</formula>
    </cfRule>
  </conditionalFormatting>
  <conditionalFormatting sqref="D25">
    <cfRule type="expression" dxfId="1586" priority="16" stopIfTrue="1">
      <formula>IF($H$25=1,0)</formula>
    </cfRule>
  </conditionalFormatting>
  <conditionalFormatting sqref="D23:D25 D32:D43">
    <cfRule type="expression" dxfId="1585" priority="15">
      <formula>H23=1</formula>
    </cfRule>
  </conditionalFormatting>
  <conditionalFormatting sqref="C23:C25 C32:C43">
    <cfRule type="expression" dxfId="1584" priority="14">
      <formula>H23=1</formula>
    </cfRule>
  </conditionalFormatting>
  <conditionalFormatting sqref="E23:E25 E32:E43">
    <cfRule type="expression" dxfId="1583" priority="13">
      <formula>H23=1</formula>
    </cfRule>
  </conditionalFormatting>
  <conditionalFormatting sqref="F11">
    <cfRule type="containsText" dxfId="1582" priority="12" operator="containsText" text="FAIL">
      <formula>NOT(ISERROR(SEARCH("FAIL",F11)))</formula>
    </cfRule>
  </conditionalFormatting>
  <conditionalFormatting sqref="F11">
    <cfRule type="containsText" dxfId="1581" priority="11" operator="containsText" text="GOOD">
      <formula>NOT(ISERROR(SEARCH("GOOD",F11)))</formula>
    </cfRule>
  </conditionalFormatting>
  <conditionalFormatting sqref="D27:D28">
    <cfRule type="expression" dxfId="1580" priority="10">
      <formula>H27=1</formula>
    </cfRule>
  </conditionalFormatting>
  <conditionalFormatting sqref="C27:C28">
    <cfRule type="expression" dxfId="1579" priority="9">
      <formula>H27=1</formula>
    </cfRule>
  </conditionalFormatting>
  <conditionalFormatting sqref="E27:E28">
    <cfRule type="expression" dxfId="1578" priority="8">
      <formula>H27=1</formula>
    </cfRule>
  </conditionalFormatting>
  <conditionalFormatting sqref="D29:D31">
    <cfRule type="expression" dxfId="1577" priority="6">
      <formula>H29=1</formula>
    </cfRule>
  </conditionalFormatting>
  <conditionalFormatting sqref="C29:C31">
    <cfRule type="expression" dxfId="1576" priority="5">
      <formula>H29=1</formula>
    </cfRule>
  </conditionalFormatting>
  <conditionalFormatting sqref="E29:E31">
    <cfRule type="expression" dxfId="1575" priority="4">
      <formula>H29=1</formula>
    </cfRule>
  </conditionalFormatting>
  <conditionalFormatting sqref="E26">
    <cfRule type="expression" dxfId="1574" priority="1">
      <formula>H26=1</formula>
    </cfRule>
  </conditionalFormatting>
  <conditionalFormatting sqref="D26">
    <cfRule type="expression" dxfId="1573" priority="3">
      <formula>H26=1</formula>
    </cfRule>
  </conditionalFormatting>
  <conditionalFormatting sqref="C26">
    <cfRule type="expression" dxfId="1572" priority="2">
      <formula>H26=1</formula>
    </cfRule>
  </conditionalFormatting>
  <pageMargins left="0.7" right="0.7" top="0.75" bottom="0.75" header="0.3" footer="0.3"/>
  <pageSetup scale="68" orientation="portrait" r:id="rId1"/>
</worksheet>
</file>

<file path=xl/worksheets/sheet1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7"/>
  <dimension ref="A2:P47"/>
  <sheetViews>
    <sheetView zoomScaleNormal="100" workbookViewId="0">
      <selection activeCell="I28" sqref="I28"/>
    </sheetView>
  </sheetViews>
  <sheetFormatPr defaultRowHeight="15" x14ac:dyDescent="0.25"/>
  <cols>
    <col min="1" max="2" width="4.42578125" customWidth="1"/>
    <col min="3" max="3" width="3" customWidth="1"/>
    <col min="4" max="4" width="24.85546875" customWidth="1"/>
    <col min="5" max="5" width="3" customWidth="1"/>
    <col min="6" max="6" width="15.7109375" customWidth="1"/>
    <col min="7" max="7" width="8.5703125" customWidth="1"/>
    <col min="8" max="8" width="5.85546875" customWidth="1"/>
    <col min="9" max="15" width="15.7109375" customWidth="1"/>
  </cols>
  <sheetData>
    <row r="2" spans="1:16" x14ac:dyDescent="0.25">
      <c r="C2" s="15" t="s">
        <v>32</v>
      </c>
      <c r="E2" s="15"/>
      <c r="F2" s="15"/>
      <c r="G2" s="15" t="s">
        <v>33</v>
      </c>
      <c r="H2" s="15"/>
      <c r="I2" s="15"/>
      <c r="J2" s="15"/>
      <c r="K2" s="15"/>
    </row>
    <row r="3" spans="1:16" ht="18.75" x14ac:dyDescent="0.3">
      <c r="C3" s="3" t="s">
        <v>26</v>
      </c>
      <c r="J3" s="8" t="s">
        <v>17</v>
      </c>
      <c r="P3" s="100"/>
    </row>
    <row r="4" spans="1:16" x14ac:dyDescent="0.25">
      <c r="D4" s="2" t="s">
        <v>0</v>
      </c>
      <c r="E4" s="1"/>
      <c r="F4" t="s">
        <v>1147</v>
      </c>
      <c r="I4" s="2" t="s">
        <v>4</v>
      </c>
      <c r="J4" t="s">
        <v>816</v>
      </c>
    </row>
    <row r="5" spans="1:16" x14ac:dyDescent="0.25">
      <c r="D5" s="2" t="s">
        <v>1</v>
      </c>
      <c r="F5" t="s">
        <v>1148</v>
      </c>
    </row>
    <row r="6" spans="1:16" x14ac:dyDescent="0.25">
      <c r="D6" s="2" t="s">
        <v>2</v>
      </c>
      <c r="F6" s="6">
        <v>43083</v>
      </c>
      <c r="H6" s="11"/>
    </row>
    <row r="7" spans="1:16" x14ac:dyDescent="0.25">
      <c r="D7" s="2" t="s">
        <v>3</v>
      </c>
      <c r="F7" s="5">
        <v>1765000</v>
      </c>
      <c r="G7" s="2" t="s">
        <v>34</v>
      </c>
      <c r="H7" s="11"/>
    </row>
    <row r="8" spans="1:16" x14ac:dyDescent="0.25">
      <c r="D8" s="2" t="s">
        <v>18</v>
      </c>
      <c r="F8" s="5">
        <f>MIN(I23:I43)</f>
        <v>2248420</v>
      </c>
      <c r="H8" s="11"/>
    </row>
    <row r="9" spans="1:16" x14ac:dyDescent="0.25">
      <c r="D9" s="2" t="s">
        <v>67</v>
      </c>
      <c r="F9" s="4">
        <f>+F8-F7</f>
        <v>483420</v>
      </c>
      <c r="G9" s="16">
        <f>+F9/F7</f>
        <v>0.27389235127478756</v>
      </c>
      <c r="H9" s="12" t="s">
        <v>20</v>
      </c>
      <c r="I9" s="11" t="str">
        <f>(IF(G9&lt;-0.1,"FAIL",IF(G9&gt;0.05,"FAIL","GOOD")))</f>
        <v>FAIL</v>
      </c>
      <c r="J9" s="14" t="s">
        <v>72</v>
      </c>
    </row>
    <row r="10" spans="1:16" x14ac:dyDescent="0.25">
      <c r="D10" s="2" t="s">
        <v>68</v>
      </c>
      <c r="F10" s="4">
        <f>+F7-F12</f>
        <v>-1081710</v>
      </c>
      <c r="H10" s="11"/>
    </row>
    <row r="11" spans="1:16" x14ac:dyDescent="0.25">
      <c r="A11" s="52"/>
      <c r="D11" s="2" t="s">
        <v>71</v>
      </c>
      <c r="F11" s="11" t="str">
        <f>(IF(F7&lt;J12,"FAIL",IF(F7&gt;J13,"FAIL","GOOD")))</f>
        <v>FAIL</v>
      </c>
      <c r="H11" s="11"/>
    </row>
    <row r="12" spans="1:16" x14ac:dyDescent="0.25">
      <c r="D12" s="2" t="s">
        <v>28</v>
      </c>
      <c r="F12" s="4">
        <f>SUM(I23:I43)/H12</f>
        <v>2846710</v>
      </c>
      <c r="G12" s="14"/>
      <c r="H12" s="11">
        <f>COUNT(I23:I43)</f>
        <v>2</v>
      </c>
      <c r="I12" s="1" t="s">
        <v>31</v>
      </c>
      <c r="J12" s="4">
        <f>+F8*0.9</f>
        <v>2023578</v>
      </c>
      <c r="K12" s="1" t="s">
        <v>69</v>
      </c>
    </row>
    <row r="13" spans="1:16" x14ac:dyDescent="0.25">
      <c r="D13" s="2" t="s">
        <v>29</v>
      </c>
      <c r="F13" s="4">
        <f>MAX(I23:I43)-MIN(I23:I43)</f>
        <v>1196580</v>
      </c>
      <c r="G13" s="399">
        <f>MEDIAN(I23:I43)</f>
        <v>2846710</v>
      </c>
      <c r="H13" s="400"/>
      <c r="I13" s="1" t="s">
        <v>30</v>
      </c>
      <c r="J13" s="4">
        <f>+F12*1.1</f>
        <v>3131381.0000000005</v>
      </c>
      <c r="K13" s="1" t="s">
        <v>70</v>
      </c>
    </row>
    <row r="14" spans="1:16" x14ac:dyDescent="0.25">
      <c r="H14" s="11"/>
    </row>
    <row r="15" spans="1:16" x14ac:dyDescent="0.25">
      <c r="D15" s="2" t="s">
        <v>8</v>
      </c>
      <c r="F15" s="4"/>
      <c r="G15" s="1" t="s">
        <v>9</v>
      </c>
      <c r="H15" s="11"/>
      <c r="I15" t="s">
        <v>15</v>
      </c>
      <c r="J15" s="7" t="e">
        <f>+F16/F15</f>
        <v>#DIV/0!</v>
      </c>
    </row>
    <row r="16" spans="1:16" x14ac:dyDescent="0.25">
      <c r="F16" s="4"/>
      <c r="G16" s="1" t="s">
        <v>10</v>
      </c>
      <c r="H16" s="11"/>
      <c r="I16" t="s">
        <v>14</v>
      </c>
      <c r="J16" s="7" t="e">
        <f>+F17/F16</f>
        <v>#DIV/0!</v>
      </c>
    </row>
    <row r="17" spans="3:15" x14ac:dyDescent="0.25">
      <c r="F17" s="4"/>
      <c r="G17" s="1" t="s">
        <v>11</v>
      </c>
      <c r="H17" s="11"/>
      <c r="I17" t="s">
        <v>13</v>
      </c>
      <c r="J17" s="7" t="e">
        <f>+F18/F17</f>
        <v>#DIV/0!</v>
      </c>
      <c r="M17" s="21"/>
      <c r="N17" s="21"/>
      <c r="O17" s="21"/>
    </row>
    <row r="18" spans="3:15" x14ac:dyDescent="0.25">
      <c r="F18" s="4"/>
      <c r="G18" s="1" t="s">
        <v>12</v>
      </c>
      <c r="H18" s="11"/>
      <c r="I18" t="s">
        <v>16</v>
      </c>
      <c r="J18" s="7" t="e">
        <f>+F8/F18</f>
        <v>#DIV/0!</v>
      </c>
      <c r="M18" s="21"/>
      <c r="N18" s="21"/>
      <c r="O18" s="21"/>
    </row>
    <row r="19" spans="3:15" x14ac:dyDescent="0.25">
      <c r="F19" s="2" t="s">
        <v>51</v>
      </c>
      <c r="G19">
        <v>0</v>
      </c>
      <c r="H19" s="11" t="s">
        <v>52</v>
      </c>
      <c r="I19" t="s">
        <v>41</v>
      </c>
      <c r="J19" s="7" t="e">
        <f>+F8/F15</f>
        <v>#DIV/0!</v>
      </c>
      <c r="M19" s="21"/>
      <c r="N19" s="21"/>
      <c r="O19" s="21"/>
    </row>
    <row r="20" spans="3:15" x14ac:dyDescent="0.25">
      <c r="H20" s="11"/>
      <c r="M20" s="21"/>
      <c r="N20" s="21"/>
      <c r="O20" s="21"/>
    </row>
    <row r="21" spans="3:15" x14ac:dyDescent="0.25">
      <c r="C21" s="9"/>
      <c r="D21" s="13" t="s">
        <v>21</v>
      </c>
      <c r="E21" s="9"/>
      <c r="F21" s="9" t="s">
        <v>22</v>
      </c>
      <c r="G21" s="9" t="s">
        <v>23</v>
      </c>
      <c r="H21" s="13" t="s">
        <v>27</v>
      </c>
      <c r="I21" s="10" t="s">
        <v>24</v>
      </c>
      <c r="J21" s="9"/>
      <c r="K21" s="9"/>
      <c r="L21" s="9"/>
      <c r="M21" s="21"/>
      <c r="N21" s="21"/>
      <c r="O21" s="21"/>
    </row>
    <row r="22" spans="3:15" ht="6" customHeight="1" x14ac:dyDescent="0.25">
      <c r="M22" s="21"/>
      <c r="N22" s="21"/>
      <c r="O22" s="21"/>
    </row>
    <row r="23" spans="3:15" x14ac:dyDescent="0.25">
      <c r="C23" s="33" t="str">
        <f>IF(H23=1,"u","")</f>
        <v/>
      </c>
      <c r="D23" s="11" t="s">
        <v>429</v>
      </c>
      <c r="E23" s="33"/>
      <c r="F23" t="s">
        <v>131</v>
      </c>
      <c r="G23" t="s">
        <v>25</v>
      </c>
      <c r="H23">
        <f>RANK(I23,I$23:I$43,1)</f>
        <v>2</v>
      </c>
      <c r="I23" s="4">
        <v>3445000</v>
      </c>
      <c r="J23" s="4"/>
      <c r="K23" s="4"/>
      <c r="L23" s="4"/>
      <c r="M23" s="22"/>
      <c r="N23" s="22"/>
      <c r="O23" s="22"/>
    </row>
    <row r="24" spans="3:15" x14ac:dyDescent="0.25">
      <c r="C24" s="33" t="str">
        <f>IF(H24=1,"u","")</f>
        <v>u</v>
      </c>
      <c r="D24" s="11" t="s">
        <v>1149</v>
      </c>
      <c r="E24" s="33"/>
      <c r="F24" t="s">
        <v>161</v>
      </c>
      <c r="G24" t="s">
        <v>93</v>
      </c>
      <c r="H24">
        <f>RANK(I24,I$23:I$43,1)</f>
        <v>1</v>
      </c>
      <c r="I24" s="4">
        <v>2248420</v>
      </c>
      <c r="J24" s="4"/>
      <c r="K24" s="4"/>
      <c r="L24" s="4"/>
      <c r="M24" s="22"/>
      <c r="N24" s="22"/>
      <c r="O24" s="22"/>
    </row>
    <row r="25" spans="3:15" x14ac:dyDescent="0.25">
      <c r="C25" s="33" t="str">
        <f>IF(H25=1,"u","")</f>
        <v/>
      </c>
      <c r="D25" s="11"/>
      <c r="E25" s="33"/>
      <c r="I25" s="4"/>
      <c r="J25" s="4"/>
      <c r="K25" s="4"/>
      <c r="L25" s="4"/>
      <c r="M25" s="22"/>
      <c r="N25" s="22"/>
      <c r="O25" s="22"/>
    </row>
    <row r="26" spans="3:15" x14ac:dyDescent="0.25">
      <c r="C26" s="33"/>
      <c r="D26" s="11"/>
      <c r="E26" s="33"/>
      <c r="I26" s="4"/>
      <c r="J26" s="4"/>
      <c r="K26" s="4"/>
      <c r="L26" s="4"/>
      <c r="M26" s="22"/>
      <c r="N26" s="22"/>
      <c r="O26" s="22"/>
    </row>
    <row r="27" spans="3:15" x14ac:dyDescent="0.25">
      <c r="C27" s="33"/>
      <c r="D27" s="11"/>
      <c r="E27" s="33"/>
      <c r="I27" s="4"/>
      <c r="J27" s="4"/>
      <c r="K27" s="4"/>
      <c r="L27" s="4"/>
      <c r="M27" s="22"/>
      <c r="N27" s="22"/>
      <c r="O27" s="22"/>
    </row>
    <row r="28" spans="3:15" x14ac:dyDescent="0.25">
      <c r="C28" s="33"/>
      <c r="D28" s="11"/>
      <c r="E28" s="33"/>
      <c r="I28" s="4"/>
      <c r="J28" s="4"/>
      <c r="K28" s="4"/>
      <c r="L28" s="4"/>
      <c r="M28" s="22"/>
      <c r="N28" s="22"/>
      <c r="O28" s="22"/>
    </row>
    <row r="29" spans="3:15" x14ac:dyDescent="0.25">
      <c r="C29" s="33" t="str">
        <f t="shared" ref="C29:C43" si="0">IF(H29=1,"u","")</f>
        <v/>
      </c>
      <c r="D29" s="11"/>
      <c r="E29" s="33"/>
      <c r="I29" s="4"/>
      <c r="J29" s="4"/>
      <c r="K29" s="4"/>
      <c r="L29" s="4"/>
      <c r="M29" s="22"/>
      <c r="N29" s="22"/>
      <c r="O29" s="22"/>
    </row>
    <row r="30" spans="3:15" x14ac:dyDescent="0.25">
      <c r="C30" s="33" t="str">
        <f t="shared" si="0"/>
        <v/>
      </c>
      <c r="D30" s="11"/>
      <c r="E30" s="33"/>
      <c r="I30" s="4"/>
      <c r="J30" s="4"/>
      <c r="K30" s="4"/>
      <c r="L30" s="4"/>
      <c r="M30" s="22"/>
      <c r="N30" s="22"/>
      <c r="O30" s="22"/>
    </row>
    <row r="31" spans="3:15" x14ac:dyDescent="0.25">
      <c r="C31" s="33" t="str">
        <f t="shared" si="0"/>
        <v/>
      </c>
      <c r="D31" s="11"/>
      <c r="E31" s="33"/>
      <c r="I31" s="4"/>
      <c r="J31" s="4"/>
      <c r="K31" s="4"/>
      <c r="L31" s="4"/>
      <c r="M31" s="22"/>
      <c r="N31" s="22"/>
      <c r="O31" s="22"/>
    </row>
    <row r="32" spans="3:15" x14ac:dyDescent="0.25">
      <c r="C32" s="33" t="str">
        <f t="shared" si="0"/>
        <v/>
      </c>
      <c r="D32" s="11"/>
      <c r="E32" s="33"/>
      <c r="I32" s="4"/>
      <c r="J32" s="4"/>
      <c r="K32" s="4"/>
      <c r="L32" s="4"/>
      <c r="M32" s="22"/>
      <c r="N32" s="22"/>
      <c r="O32" s="22"/>
    </row>
    <row r="33" spans="3:15" x14ac:dyDescent="0.25">
      <c r="C33" s="33" t="str">
        <f t="shared" si="0"/>
        <v/>
      </c>
      <c r="D33" s="11"/>
      <c r="E33" s="33"/>
      <c r="I33" s="4"/>
      <c r="M33" s="21"/>
      <c r="N33" s="21"/>
      <c r="O33" s="21"/>
    </row>
    <row r="34" spans="3:15" x14ac:dyDescent="0.25">
      <c r="C34" s="33" t="str">
        <f t="shared" si="0"/>
        <v/>
      </c>
      <c r="D34" s="11"/>
      <c r="E34" s="33"/>
      <c r="I34" s="4"/>
      <c r="M34" s="21"/>
      <c r="N34" s="21"/>
      <c r="O34" s="21"/>
    </row>
    <row r="35" spans="3:15" x14ac:dyDescent="0.25">
      <c r="C35" s="33" t="str">
        <f t="shared" si="0"/>
        <v/>
      </c>
      <c r="D35" s="11"/>
      <c r="E35" s="33"/>
      <c r="I35" s="4"/>
      <c r="M35" s="21"/>
      <c r="N35" s="21"/>
      <c r="O35" s="21"/>
    </row>
    <row r="36" spans="3:15" x14ac:dyDescent="0.25">
      <c r="C36" s="33" t="str">
        <f t="shared" si="0"/>
        <v/>
      </c>
      <c r="D36" s="11"/>
      <c r="E36" s="33" t="str">
        <f t="shared" ref="E36:E43" si="1">IF(H36=1,"t","")</f>
        <v/>
      </c>
      <c r="M36" s="21"/>
      <c r="N36" s="21"/>
      <c r="O36" s="21"/>
    </row>
    <row r="37" spans="3:15" x14ac:dyDescent="0.25">
      <c r="C37" s="33" t="str">
        <f t="shared" si="0"/>
        <v/>
      </c>
      <c r="D37" s="11"/>
      <c r="E37" s="33" t="str">
        <f t="shared" si="1"/>
        <v/>
      </c>
      <c r="M37" s="21"/>
      <c r="N37" s="21"/>
      <c r="O37" s="21"/>
    </row>
    <row r="38" spans="3:15" x14ac:dyDescent="0.25">
      <c r="C38" s="33" t="str">
        <f t="shared" si="0"/>
        <v/>
      </c>
      <c r="D38" s="11"/>
      <c r="E38" s="33" t="str">
        <f t="shared" si="1"/>
        <v/>
      </c>
      <c r="M38" s="21"/>
      <c r="N38" s="21"/>
      <c r="O38" s="21"/>
    </row>
    <row r="39" spans="3:15" x14ac:dyDescent="0.25">
      <c r="C39" s="33" t="str">
        <f t="shared" si="0"/>
        <v/>
      </c>
      <c r="D39" s="11"/>
      <c r="E39" s="33" t="str">
        <f t="shared" si="1"/>
        <v/>
      </c>
      <c r="M39" s="21"/>
      <c r="N39" s="21"/>
      <c r="O39" s="21"/>
    </row>
    <row r="40" spans="3:15" x14ac:dyDescent="0.25">
      <c r="C40" s="33" t="str">
        <f t="shared" si="0"/>
        <v/>
      </c>
      <c r="D40" s="11"/>
      <c r="E40" s="33" t="str">
        <f t="shared" si="1"/>
        <v/>
      </c>
      <c r="M40" s="21"/>
      <c r="N40" s="21"/>
      <c r="O40" s="21"/>
    </row>
    <row r="41" spans="3:15" x14ac:dyDescent="0.25">
      <c r="C41" s="33" t="str">
        <f t="shared" si="0"/>
        <v/>
      </c>
      <c r="D41" s="11"/>
      <c r="E41" s="33" t="str">
        <f t="shared" si="1"/>
        <v/>
      </c>
      <c r="M41" s="21"/>
      <c r="N41" s="21"/>
      <c r="O41" s="21"/>
    </row>
    <row r="42" spans="3:15" x14ac:dyDescent="0.25">
      <c r="C42" s="33" t="str">
        <f t="shared" si="0"/>
        <v/>
      </c>
      <c r="D42" s="11"/>
      <c r="E42" s="33" t="str">
        <f t="shared" si="1"/>
        <v/>
      </c>
      <c r="M42" s="21"/>
      <c r="N42" s="21"/>
      <c r="O42" s="21"/>
    </row>
    <row r="43" spans="3:15" x14ac:dyDescent="0.25">
      <c r="C43" s="33" t="str">
        <f t="shared" si="0"/>
        <v/>
      </c>
      <c r="D43" s="11"/>
      <c r="E43" s="33" t="str">
        <f t="shared" si="1"/>
        <v/>
      </c>
      <c r="M43" s="21"/>
      <c r="N43" s="21"/>
      <c r="O43" s="21"/>
    </row>
    <row r="44" spans="3:15" ht="6" customHeight="1" x14ac:dyDescent="0.25">
      <c r="C44" s="9"/>
      <c r="D44" s="9"/>
      <c r="E44" s="9"/>
      <c r="F44" s="9"/>
      <c r="G44" s="9"/>
      <c r="H44" s="9"/>
      <c r="I44" s="9"/>
      <c r="J44" s="9"/>
      <c r="K44" s="9"/>
      <c r="L44" s="9"/>
      <c r="M44" s="21"/>
      <c r="N44" s="21"/>
      <c r="O44" s="21"/>
    </row>
    <row r="45" spans="3:15" ht="6" customHeight="1" x14ac:dyDescent="0.25">
      <c r="M45" s="21"/>
      <c r="N45" s="21"/>
      <c r="O45" s="21"/>
    </row>
    <row r="46" spans="3:15" x14ac:dyDescent="0.25">
      <c r="C46" s="15" t="s">
        <v>79</v>
      </c>
      <c r="M46" s="21"/>
      <c r="N46" s="21"/>
      <c r="O46" s="21"/>
    </row>
    <row r="47" spans="3:15" x14ac:dyDescent="0.25">
      <c r="C47" s="15" t="s">
        <v>78</v>
      </c>
    </row>
  </sheetData>
  <mergeCells count="1">
    <mergeCell ref="G13:H13"/>
  </mergeCells>
  <conditionalFormatting sqref="I9">
    <cfRule type="containsText" dxfId="2409" priority="18" operator="containsText" text="FAIL">
      <formula>NOT(ISERROR(SEARCH("FAIL",I9)))</formula>
    </cfRule>
  </conditionalFormatting>
  <conditionalFormatting sqref="I9">
    <cfRule type="containsText" dxfId="2408" priority="17" operator="containsText" text="GOOD">
      <formula>NOT(ISERROR(SEARCH("GOOD",I9)))</formula>
    </cfRule>
  </conditionalFormatting>
  <conditionalFormatting sqref="F11">
    <cfRule type="containsText" dxfId="2407" priority="16" operator="containsText" text="FAIL">
      <formula>NOT(ISERROR(SEARCH("FAIL",F11)))</formula>
    </cfRule>
  </conditionalFormatting>
  <conditionalFormatting sqref="F11">
    <cfRule type="containsText" dxfId="2406" priority="15" operator="containsText" text="GOOD">
      <formula>NOT(ISERROR(SEARCH("GOOD",F11)))</formula>
    </cfRule>
  </conditionalFormatting>
  <conditionalFormatting sqref="D25">
    <cfRule type="expression" dxfId="2405" priority="14" stopIfTrue="1">
      <formula>IF($H$25=1,0)</formula>
    </cfRule>
  </conditionalFormatting>
  <conditionalFormatting sqref="D23 D29:D43 D25">
    <cfRule type="expression" dxfId="2404" priority="13">
      <formula>H23=1</formula>
    </cfRule>
  </conditionalFormatting>
  <conditionalFormatting sqref="C23:C26 C29:C43">
    <cfRule type="expression" dxfId="2403" priority="12">
      <formula>H23=1</formula>
    </cfRule>
  </conditionalFormatting>
  <conditionalFormatting sqref="E23 E29:E43 E25">
    <cfRule type="expression" dxfId="2402" priority="11">
      <formula>H23=1</formula>
    </cfRule>
  </conditionalFormatting>
  <conditionalFormatting sqref="F11">
    <cfRule type="containsText" dxfId="2401" priority="10" operator="containsText" text="FAIL">
      <formula>NOT(ISERROR(SEARCH("FAIL",F11)))</formula>
    </cfRule>
  </conditionalFormatting>
  <conditionalFormatting sqref="F11">
    <cfRule type="containsText" dxfId="2400" priority="9" operator="containsText" text="GOOD">
      <formula>NOT(ISERROR(SEARCH("GOOD",F11)))</formula>
    </cfRule>
  </conditionalFormatting>
  <conditionalFormatting sqref="D27:D28">
    <cfRule type="expression" dxfId="2399" priority="8">
      <formula>H27=1</formula>
    </cfRule>
  </conditionalFormatting>
  <conditionalFormatting sqref="C27:C28">
    <cfRule type="expression" dxfId="2398" priority="7">
      <formula>H27=1</formula>
    </cfRule>
  </conditionalFormatting>
  <conditionalFormatting sqref="E27:E28">
    <cfRule type="expression" dxfId="2397" priority="6">
      <formula>H27=1</formula>
    </cfRule>
  </conditionalFormatting>
  <conditionalFormatting sqref="D24">
    <cfRule type="expression" dxfId="2396" priority="5" stopIfTrue="1">
      <formula>IF($H$25=1,0)</formula>
    </cfRule>
  </conditionalFormatting>
  <conditionalFormatting sqref="D24">
    <cfRule type="expression" dxfId="2395" priority="4">
      <formula>H24=1</formula>
    </cfRule>
  </conditionalFormatting>
  <conditionalFormatting sqref="E24">
    <cfRule type="expression" dxfId="2394" priority="3">
      <formula>H24=1</formula>
    </cfRule>
  </conditionalFormatting>
  <conditionalFormatting sqref="D26">
    <cfRule type="expression" dxfId="2393" priority="2">
      <formula>H26=1</formula>
    </cfRule>
  </conditionalFormatting>
  <conditionalFormatting sqref="E26">
    <cfRule type="expression" dxfId="2392" priority="1">
      <formula>H26=1</formula>
    </cfRule>
  </conditionalFormatting>
  <pageMargins left="0.7" right="0.7" top="0.75" bottom="0.75" header="0.3" footer="0.3"/>
  <pageSetup scale="68" orientation="portrait" r:id="rId1"/>
</worksheet>
</file>

<file path=xl/worksheets/sheet1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500-000000000000}">
  <sheetPr codeName="Sheet167"/>
  <dimension ref="A2:O48"/>
  <sheetViews>
    <sheetView topLeftCell="A4" workbookViewId="0">
      <selection activeCell="K34" sqref="K34"/>
    </sheetView>
  </sheetViews>
  <sheetFormatPr defaultRowHeight="15" x14ac:dyDescent="0.25"/>
  <cols>
    <col min="1" max="2" width="4.42578125" customWidth="1"/>
    <col min="3" max="3" width="3" customWidth="1"/>
    <col min="4" max="4" width="24.7109375" customWidth="1"/>
    <col min="5" max="5" width="3" customWidth="1"/>
    <col min="6" max="6" width="15.7109375" customWidth="1"/>
    <col min="7" max="7" width="8.5703125" customWidth="1"/>
    <col min="8" max="8" width="5.85546875" customWidth="1"/>
    <col min="9" max="15" width="15.7109375" customWidth="1"/>
  </cols>
  <sheetData>
    <row r="2" spans="1:11" x14ac:dyDescent="0.25">
      <c r="C2" s="15" t="s">
        <v>32</v>
      </c>
      <c r="E2" s="15"/>
      <c r="F2" s="15"/>
      <c r="G2" s="15" t="s">
        <v>33</v>
      </c>
      <c r="H2" s="15"/>
      <c r="I2" s="15"/>
      <c r="J2" s="15"/>
      <c r="K2" s="15"/>
    </row>
    <row r="3" spans="1:11" ht="18.75" x14ac:dyDescent="0.3">
      <c r="C3" s="3" t="s">
        <v>26</v>
      </c>
      <c r="J3" s="8" t="s">
        <v>47</v>
      </c>
    </row>
    <row r="4" spans="1:11" x14ac:dyDescent="0.25">
      <c r="D4" s="2" t="s">
        <v>0</v>
      </c>
      <c r="E4" s="1"/>
      <c r="F4" t="s">
        <v>388</v>
      </c>
      <c r="I4" s="2" t="s">
        <v>4</v>
      </c>
    </row>
    <row r="5" spans="1:11" x14ac:dyDescent="0.25">
      <c r="D5" s="2" t="s">
        <v>1</v>
      </c>
      <c r="F5" t="s">
        <v>389</v>
      </c>
    </row>
    <row r="6" spans="1:11" x14ac:dyDescent="0.25">
      <c r="D6" s="2" t="s">
        <v>2</v>
      </c>
      <c r="F6" s="6">
        <v>42072</v>
      </c>
      <c r="H6" s="11"/>
    </row>
    <row r="7" spans="1:11" x14ac:dyDescent="0.25">
      <c r="D7" s="2" t="s">
        <v>3</v>
      </c>
      <c r="F7" s="5">
        <f>+I7+J7</f>
        <v>9600000</v>
      </c>
      <c r="G7" s="2" t="s">
        <v>34</v>
      </c>
      <c r="H7" s="11"/>
      <c r="I7" s="19">
        <v>1300000</v>
      </c>
      <c r="J7" s="19">
        <v>8300000</v>
      </c>
    </row>
    <row r="8" spans="1:11" x14ac:dyDescent="0.25">
      <c r="D8" s="2" t="s">
        <v>18</v>
      </c>
      <c r="F8" s="5">
        <f>MIN(K23:K44)</f>
        <v>6748000</v>
      </c>
      <c r="H8" s="11"/>
      <c r="I8" s="18" t="s">
        <v>43</v>
      </c>
      <c r="J8" s="18" t="s">
        <v>44</v>
      </c>
    </row>
    <row r="9" spans="1:11" x14ac:dyDescent="0.25">
      <c r="D9" s="2" t="s">
        <v>19</v>
      </c>
      <c r="F9" s="4">
        <f>+F8-F7</f>
        <v>-2852000</v>
      </c>
      <c r="G9" s="16">
        <f>+F9/F7</f>
        <v>-0.29708333333333331</v>
      </c>
      <c r="H9" s="12" t="s">
        <v>20</v>
      </c>
      <c r="I9" s="11" t="str">
        <f>(IF(G9&lt;-0.1,"FAIL",IF(G9&gt;0.05,"FAIL","GOOD")))</f>
        <v>FAIL</v>
      </c>
    </row>
    <row r="10" spans="1:11" x14ac:dyDescent="0.25">
      <c r="D10" s="2" t="s">
        <v>68</v>
      </c>
      <c r="F10" s="4">
        <f>+F7-F12</f>
        <v>170648.41666666605</v>
      </c>
      <c r="H10" s="11"/>
    </row>
    <row r="11" spans="1:11" x14ac:dyDescent="0.25">
      <c r="A11" s="30"/>
      <c r="D11" s="2" t="s">
        <v>71</v>
      </c>
      <c r="F11" s="11" t="str">
        <f>(IF(F7&lt;J12,"FAIL",IF(F7&gt;J13,"FAIL","GOOD")))</f>
        <v>GOOD</v>
      </c>
      <c r="H11" s="11"/>
    </row>
    <row r="12" spans="1:11" x14ac:dyDescent="0.25">
      <c r="D12" s="2" t="s">
        <v>28</v>
      </c>
      <c r="F12" s="4">
        <f>SUM(K23:K44)/H12</f>
        <v>9429351.583333334</v>
      </c>
      <c r="G12" s="14"/>
      <c r="H12" s="11">
        <f>COUNT(K23:K44)</f>
        <v>12</v>
      </c>
      <c r="I12" s="1" t="s">
        <v>31</v>
      </c>
      <c r="J12" s="4">
        <f>+F8*0.9</f>
        <v>6073200</v>
      </c>
      <c r="K12" s="1" t="s">
        <v>69</v>
      </c>
    </row>
    <row r="13" spans="1:11" x14ac:dyDescent="0.25">
      <c r="D13" s="2" t="s">
        <v>29</v>
      </c>
      <c r="F13" s="4">
        <f>MAX(K23:K44)-MIN(K23:K44)</f>
        <v>7592306</v>
      </c>
      <c r="G13" s="399">
        <f>MEDIAN(K23:K44)</f>
        <v>9232867.5</v>
      </c>
      <c r="H13" s="400"/>
      <c r="I13" s="1" t="s">
        <v>30</v>
      </c>
      <c r="J13" s="4">
        <f>+F12*1.1</f>
        <v>10372286.741666669</v>
      </c>
      <c r="K13" s="1" t="s">
        <v>70</v>
      </c>
    </row>
    <row r="14" spans="1:11" x14ac:dyDescent="0.25">
      <c r="H14" s="11"/>
    </row>
    <row r="15" spans="1:11" x14ac:dyDescent="0.25">
      <c r="D15" s="2" t="s">
        <v>8</v>
      </c>
      <c r="F15" s="4"/>
      <c r="G15" s="1" t="s">
        <v>9</v>
      </c>
      <c r="H15" s="11"/>
      <c r="I15" t="s">
        <v>15</v>
      </c>
      <c r="J15" s="7" t="e">
        <f>+F16/F15</f>
        <v>#DIV/0!</v>
      </c>
    </row>
    <row r="16" spans="1:11" x14ac:dyDescent="0.25">
      <c r="F16" s="4"/>
      <c r="G16" s="1" t="s">
        <v>10</v>
      </c>
      <c r="H16" s="11"/>
      <c r="I16" t="s">
        <v>14</v>
      </c>
      <c r="J16" s="7" t="e">
        <f>+F17/F16</f>
        <v>#DIV/0!</v>
      </c>
    </row>
    <row r="17" spans="3:15" x14ac:dyDescent="0.25">
      <c r="F17" s="4"/>
      <c r="G17" s="1" t="s">
        <v>11</v>
      </c>
      <c r="H17" s="11"/>
      <c r="I17" t="s">
        <v>13</v>
      </c>
      <c r="J17" s="7" t="e">
        <f>+F18/F17</f>
        <v>#DIV/0!</v>
      </c>
    </row>
    <row r="18" spans="3:15" x14ac:dyDescent="0.25">
      <c r="F18" s="4"/>
      <c r="G18" s="1" t="s">
        <v>12</v>
      </c>
      <c r="H18" s="11"/>
      <c r="I18" t="s">
        <v>16</v>
      </c>
      <c r="J18" s="7" t="e">
        <f>+F8/F18</f>
        <v>#DIV/0!</v>
      </c>
    </row>
    <row r="19" spans="3:15" x14ac:dyDescent="0.25">
      <c r="F19" s="2" t="s">
        <v>51</v>
      </c>
      <c r="G19">
        <v>0</v>
      </c>
      <c r="H19" s="11" t="s">
        <v>52</v>
      </c>
      <c r="I19" t="s">
        <v>41</v>
      </c>
      <c r="J19" s="7" t="e">
        <f>+F8/F15</f>
        <v>#DIV/0!</v>
      </c>
    </row>
    <row r="20" spans="3:15" x14ac:dyDescent="0.25">
      <c r="H20" s="11"/>
      <c r="M20" s="21"/>
      <c r="N20" s="21"/>
      <c r="O20" s="21"/>
    </row>
    <row r="21" spans="3:15" x14ac:dyDescent="0.25">
      <c r="C21" s="9"/>
      <c r="D21" s="13" t="s">
        <v>21</v>
      </c>
      <c r="E21" s="9"/>
      <c r="F21" s="9" t="s">
        <v>22</v>
      </c>
      <c r="G21" s="9" t="s">
        <v>23</v>
      </c>
      <c r="H21" s="13" t="s">
        <v>27</v>
      </c>
      <c r="I21" s="10" t="s">
        <v>38</v>
      </c>
      <c r="J21" s="10" t="s">
        <v>37</v>
      </c>
      <c r="K21" s="10" t="s">
        <v>39</v>
      </c>
      <c r="L21" s="9"/>
      <c r="M21" s="21"/>
      <c r="N21" s="21"/>
      <c r="O21" s="21"/>
    </row>
    <row r="22" spans="3:15" ht="6" customHeight="1" x14ac:dyDescent="0.25">
      <c r="M22" s="21"/>
      <c r="N22" s="21"/>
      <c r="O22" s="21"/>
    </row>
    <row r="23" spans="3:15" x14ac:dyDescent="0.25">
      <c r="C23" s="33" t="str">
        <f>IF(H23=1,"u","")</f>
        <v>u</v>
      </c>
      <c r="D23" s="23" t="s">
        <v>390</v>
      </c>
      <c r="E23" s="33"/>
      <c r="F23" t="s">
        <v>391</v>
      </c>
      <c r="G23" t="s">
        <v>93</v>
      </c>
      <c r="H23">
        <f>RANK(K23,K$23:K$44,1)</f>
        <v>1</v>
      </c>
      <c r="I23" s="4">
        <v>1139300</v>
      </c>
      <c r="J23" s="4">
        <v>5608700</v>
      </c>
      <c r="K23" s="4">
        <f>+J23+I23</f>
        <v>6748000</v>
      </c>
      <c r="L23" s="4"/>
      <c r="M23" s="22"/>
      <c r="N23" s="22"/>
      <c r="O23" s="22"/>
    </row>
    <row r="24" spans="3:15" x14ac:dyDescent="0.25">
      <c r="C24" s="33" t="str">
        <f>IF(H24=1,"u","")</f>
        <v/>
      </c>
      <c r="D24" s="23" t="s">
        <v>392</v>
      </c>
      <c r="E24" s="33"/>
      <c r="F24" t="s">
        <v>393</v>
      </c>
      <c r="G24" t="s">
        <v>25</v>
      </c>
      <c r="H24">
        <f t="shared" ref="H24:H34" si="0">RANK(K24,K$23:K$44,1)</f>
        <v>2</v>
      </c>
      <c r="I24" s="4">
        <v>997200</v>
      </c>
      <c r="J24" s="4">
        <v>6067200</v>
      </c>
      <c r="K24" s="4">
        <f t="shared" ref="K24:K34" si="1">+J24+I24</f>
        <v>7064400</v>
      </c>
      <c r="L24" s="4"/>
      <c r="M24" s="22"/>
      <c r="N24" s="22"/>
      <c r="O24" s="22"/>
    </row>
    <row r="25" spans="3:15" x14ac:dyDescent="0.25">
      <c r="C25" s="33" t="str">
        <f>IF(H25=1,"u","")</f>
        <v/>
      </c>
      <c r="D25" s="23" t="s">
        <v>394</v>
      </c>
      <c r="E25" s="33"/>
      <c r="F25" t="s">
        <v>312</v>
      </c>
      <c r="G25" t="s">
        <v>25</v>
      </c>
      <c r="H25">
        <f t="shared" si="0"/>
        <v>3</v>
      </c>
      <c r="I25" s="4">
        <v>1389750</v>
      </c>
      <c r="J25" s="4">
        <v>7054000</v>
      </c>
      <c r="K25" s="4">
        <f t="shared" si="1"/>
        <v>8443750</v>
      </c>
      <c r="L25" s="4"/>
      <c r="M25" s="22"/>
      <c r="N25" s="22"/>
      <c r="O25" s="22"/>
    </row>
    <row r="26" spans="3:15" x14ac:dyDescent="0.25">
      <c r="C26" s="33" t="str">
        <f t="shared" ref="C26:C44" si="2">IF(H26=1,"u","")</f>
        <v/>
      </c>
      <c r="D26" s="23" t="s">
        <v>284</v>
      </c>
      <c r="E26" s="33"/>
      <c r="F26" t="s">
        <v>285</v>
      </c>
      <c r="G26" t="s">
        <v>25</v>
      </c>
      <c r="H26">
        <f t="shared" si="0"/>
        <v>4</v>
      </c>
      <c r="I26" s="4">
        <v>1644200</v>
      </c>
      <c r="J26" s="4">
        <v>7355790</v>
      </c>
      <c r="K26" s="4">
        <f t="shared" si="1"/>
        <v>8999990</v>
      </c>
      <c r="L26" s="4"/>
      <c r="M26" s="22"/>
      <c r="N26" s="22"/>
      <c r="O26" s="22"/>
    </row>
    <row r="27" spans="3:15" x14ac:dyDescent="0.25">
      <c r="C27" s="33" t="str">
        <f t="shared" si="2"/>
        <v/>
      </c>
      <c r="D27" s="23" t="s">
        <v>395</v>
      </c>
      <c r="E27" s="33"/>
      <c r="F27" t="s">
        <v>193</v>
      </c>
      <c r="G27" t="s">
        <v>25</v>
      </c>
      <c r="H27">
        <f t="shared" si="0"/>
        <v>5</v>
      </c>
      <c r="I27" s="4">
        <v>1246400</v>
      </c>
      <c r="J27" s="4">
        <v>7904750</v>
      </c>
      <c r="K27" s="4">
        <f t="shared" si="1"/>
        <v>9151150</v>
      </c>
      <c r="L27" s="4"/>
      <c r="M27" s="22"/>
      <c r="N27" s="22"/>
      <c r="O27" s="22"/>
    </row>
    <row r="28" spans="3:15" x14ac:dyDescent="0.25">
      <c r="C28" s="33" t="str">
        <f t="shared" si="2"/>
        <v/>
      </c>
      <c r="D28" s="23" t="s">
        <v>134</v>
      </c>
      <c r="E28" s="33"/>
      <c r="F28" t="s">
        <v>135</v>
      </c>
      <c r="G28" t="s">
        <v>25</v>
      </c>
      <c r="H28">
        <f t="shared" si="0"/>
        <v>6</v>
      </c>
      <c r="I28" s="4">
        <v>1860730</v>
      </c>
      <c r="J28" s="4">
        <v>7334505</v>
      </c>
      <c r="K28" s="4">
        <f t="shared" si="1"/>
        <v>9195235</v>
      </c>
      <c r="L28" s="4"/>
      <c r="M28" s="22"/>
      <c r="N28" s="22"/>
      <c r="O28" s="22"/>
    </row>
    <row r="29" spans="3:15" x14ac:dyDescent="0.25">
      <c r="C29" s="33" t="str">
        <f t="shared" si="2"/>
        <v/>
      </c>
      <c r="D29" s="23" t="s">
        <v>396</v>
      </c>
      <c r="E29" s="33"/>
      <c r="F29" t="s">
        <v>397</v>
      </c>
      <c r="G29" t="s">
        <v>25</v>
      </c>
      <c r="H29">
        <f t="shared" si="0"/>
        <v>7</v>
      </c>
      <c r="I29" s="4">
        <v>2035500</v>
      </c>
      <c r="J29" s="4">
        <v>7235000</v>
      </c>
      <c r="K29" s="4">
        <f t="shared" si="1"/>
        <v>9270500</v>
      </c>
      <c r="L29" s="4"/>
      <c r="M29" s="22"/>
      <c r="N29" s="22"/>
      <c r="O29" s="22"/>
    </row>
    <row r="30" spans="3:15" x14ac:dyDescent="0.25">
      <c r="C30" s="33" t="str">
        <f t="shared" si="2"/>
        <v/>
      </c>
      <c r="D30" s="23" t="s">
        <v>398</v>
      </c>
      <c r="E30" s="33"/>
      <c r="F30" t="s">
        <v>147</v>
      </c>
      <c r="G30" t="s">
        <v>93</v>
      </c>
      <c r="H30">
        <f t="shared" si="0"/>
        <v>8</v>
      </c>
      <c r="I30" s="4">
        <v>3300750</v>
      </c>
      <c r="J30" s="4">
        <v>6587375</v>
      </c>
      <c r="K30" s="4">
        <f t="shared" si="1"/>
        <v>9888125</v>
      </c>
      <c r="L30" s="4"/>
      <c r="M30" s="22"/>
      <c r="N30" s="22"/>
      <c r="O30" s="22"/>
    </row>
    <row r="31" spans="3:15" x14ac:dyDescent="0.25">
      <c r="C31" s="33" t="str">
        <f t="shared" si="2"/>
        <v/>
      </c>
      <c r="D31" s="23" t="s">
        <v>399</v>
      </c>
      <c r="E31" s="33"/>
      <c r="F31" t="s">
        <v>302</v>
      </c>
      <c r="G31" t="s">
        <v>25</v>
      </c>
      <c r="H31">
        <f t="shared" si="0"/>
        <v>9</v>
      </c>
      <c r="I31" s="4">
        <v>2117350</v>
      </c>
      <c r="J31" s="4">
        <v>7800000</v>
      </c>
      <c r="K31" s="4">
        <f t="shared" si="1"/>
        <v>9917350</v>
      </c>
      <c r="L31" s="4"/>
      <c r="M31" s="22"/>
      <c r="N31" s="22"/>
      <c r="O31" s="22"/>
    </row>
    <row r="32" spans="3:15" x14ac:dyDescent="0.25">
      <c r="C32" s="33" t="str">
        <f t="shared" si="2"/>
        <v/>
      </c>
      <c r="D32" s="23" t="s">
        <v>400</v>
      </c>
      <c r="E32" s="33"/>
      <c r="F32" t="s">
        <v>305</v>
      </c>
      <c r="G32" t="s">
        <v>25</v>
      </c>
      <c r="H32">
        <f t="shared" si="0"/>
        <v>10</v>
      </c>
      <c r="I32" s="4">
        <v>1960280</v>
      </c>
      <c r="J32" s="4">
        <v>8036420</v>
      </c>
      <c r="K32" s="4">
        <f t="shared" si="1"/>
        <v>9996700</v>
      </c>
      <c r="L32" s="4"/>
      <c r="M32" s="22"/>
      <c r="N32" s="22"/>
      <c r="O32" s="22"/>
    </row>
    <row r="33" spans="3:15" x14ac:dyDescent="0.25">
      <c r="C33" s="33" t="str">
        <f t="shared" si="2"/>
        <v/>
      </c>
      <c r="D33" s="23" t="s">
        <v>291</v>
      </c>
      <c r="E33" s="33"/>
      <c r="F33" t="s">
        <v>292</v>
      </c>
      <c r="G33" t="s">
        <v>25</v>
      </c>
      <c r="H33">
        <f t="shared" si="0"/>
        <v>11</v>
      </c>
      <c r="I33" s="4">
        <v>2045245</v>
      </c>
      <c r="J33" s="4">
        <v>8091468</v>
      </c>
      <c r="K33" s="4">
        <f t="shared" si="1"/>
        <v>10136713</v>
      </c>
      <c r="L33" s="4"/>
      <c r="M33" s="22"/>
      <c r="N33" s="22"/>
      <c r="O33" s="22"/>
    </row>
    <row r="34" spans="3:15" x14ac:dyDescent="0.25">
      <c r="C34" s="33" t="str">
        <f t="shared" si="2"/>
        <v/>
      </c>
      <c r="D34" s="23" t="s">
        <v>401</v>
      </c>
      <c r="E34" s="33"/>
      <c r="F34" t="s">
        <v>147</v>
      </c>
      <c r="G34" t="s">
        <v>93</v>
      </c>
      <c r="H34">
        <f t="shared" si="0"/>
        <v>12</v>
      </c>
      <c r="I34" s="4">
        <v>2521290</v>
      </c>
      <c r="J34" s="4">
        <v>11819016</v>
      </c>
      <c r="K34" s="4">
        <f t="shared" si="1"/>
        <v>14340306</v>
      </c>
      <c r="M34" s="21"/>
      <c r="N34" s="21"/>
      <c r="O34" s="21"/>
    </row>
    <row r="35" spans="3:15" x14ac:dyDescent="0.25">
      <c r="C35" s="33" t="str">
        <f t="shared" si="2"/>
        <v/>
      </c>
      <c r="D35" s="23"/>
      <c r="E35" s="33" t="str">
        <f t="shared" ref="E35:E44" si="3">IF(H35=1,"t","")</f>
        <v/>
      </c>
      <c r="K35" s="4"/>
      <c r="M35" s="21"/>
      <c r="N35" s="21"/>
      <c r="O35" s="21"/>
    </row>
    <row r="36" spans="3:15" x14ac:dyDescent="0.25">
      <c r="C36" s="33" t="str">
        <f t="shared" si="2"/>
        <v/>
      </c>
      <c r="D36" s="23"/>
      <c r="E36" s="33" t="str">
        <f t="shared" si="3"/>
        <v/>
      </c>
      <c r="K36" s="4"/>
      <c r="M36" s="21"/>
      <c r="N36" s="21"/>
      <c r="O36" s="21"/>
    </row>
    <row r="37" spans="3:15" x14ac:dyDescent="0.25">
      <c r="C37" s="33" t="str">
        <f t="shared" si="2"/>
        <v/>
      </c>
      <c r="D37" s="23"/>
      <c r="E37" s="33" t="str">
        <f t="shared" si="3"/>
        <v/>
      </c>
      <c r="K37" s="4"/>
      <c r="M37" s="21"/>
      <c r="N37" s="21"/>
      <c r="O37" s="21"/>
    </row>
    <row r="38" spans="3:15" x14ac:dyDescent="0.25">
      <c r="C38" s="33" t="str">
        <f t="shared" si="2"/>
        <v/>
      </c>
      <c r="D38" s="23"/>
      <c r="E38" s="33" t="str">
        <f t="shared" si="3"/>
        <v/>
      </c>
      <c r="K38" s="4"/>
      <c r="M38" s="21"/>
      <c r="N38" s="21"/>
      <c r="O38" s="21"/>
    </row>
    <row r="39" spans="3:15" x14ac:dyDescent="0.25">
      <c r="C39" s="33" t="str">
        <f t="shared" si="2"/>
        <v/>
      </c>
      <c r="D39" s="23"/>
      <c r="E39" s="33" t="str">
        <f t="shared" si="3"/>
        <v/>
      </c>
      <c r="K39" s="4"/>
      <c r="M39" s="21"/>
      <c r="N39" s="21"/>
      <c r="O39" s="21"/>
    </row>
    <row r="40" spans="3:15" x14ac:dyDescent="0.25">
      <c r="C40" s="33" t="str">
        <f t="shared" si="2"/>
        <v/>
      </c>
      <c r="D40" s="23"/>
      <c r="E40" s="33" t="str">
        <f t="shared" si="3"/>
        <v/>
      </c>
      <c r="K40" s="4"/>
      <c r="M40" s="21"/>
      <c r="N40" s="21"/>
      <c r="O40" s="21"/>
    </row>
    <row r="41" spans="3:15" x14ac:dyDescent="0.25">
      <c r="C41" s="33" t="str">
        <f t="shared" si="2"/>
        <v/>
      </c>
      <c r="D41" s="23"/>
      <c r="E41" s="33" t="str">
        <f t="shared" si="3"/>
        <v/>
      </c>
      <c r="K41" s="4"/>
      <c r="M41" s="21"/>
      <c r="N41" s="21"/>
      <c r="O41" s="21"/>
    </row>
    <row r="42" spans="3:15" x14ac:dyDescent="0.25">
      <c r="C42" s="33" t="str">
        <f t="shared" si="2"/>
        <v/>
      </c>
      <c r="D42" s="23"/>
      <c r="E42" s="33" t="str">
        <f t="shared" si="3"/>
        <v/>
      </c>
      <c r="K42" s="4"/>
      <c r="M42" s="21"/>
      <c r="N42" s="21"/>
      <c r="O42" s="21"/>
    </row>
    <row r="43" spans="3:15" x14ac:dyDescent="0.25">
      <c r="C43" s="33" t="str">
        <f t="shared" si="2"/>
        <v/>
      </c>
      <c r="D43" s="23"/>
      <c r="E43" s="33" t="str">
        <f t="shared" si="3"/>
        <v/>
      </c>
      <c r="K43" s="4"/>
      <c r="M43" s="21"/>
      <c r="N43" s="21"/>
      <c r="O43" s="21"/>
    </row>
    <row r="44" spans="3:15" x14ac:dyDescent="0.25">
      <c r="C44" s="33" t="str">
        <f t="shared" si="2"/>
        <v/>
      </c>
      <c r="D44" s="23"/>
      <c r="E44" s="33" t="str">
        <f t="shared" si="3"/>
        <v/>
      </c>
      <c r="K44" s="4"/>
      <c r="M44" s="21"/>
      <c r="N44" s="21"/>
      <c r="O44" s="21"/>
    </row>
    <row r="45" spans="3:15" ht="6" customHeight="1" x14ac:dyDescent="0.25">
      <c r="C45" s="9"/>
      <c r="D45" s="9"/>
      <c r="E45" s="9"/>
      <c r="F45" s="9"/>
      <c r="G45" s="9"/>
      <c r="H45" s="9"/>
      <c r="I45" s="9"/>
      <c r="J45" s="9"/>
      <c r="K45" s="9"/>
      <c r="L45" s="9"/>
      <c r="M45" s="21"/>
      <c r="N45" s="21"/>
      <c r="O45" s="21"/>
    </row>
    <row r="46" spans="3:15" ht="6" customHeight="1" x14ac:dyDescent="0.25">
      <c r="M46" s="21"/>
      <c r="N46" s="21"/>
      <c r="O46" s="21"/>
    </row>
    <row r="47" spans="3:15" x14ac:dyDescent="0.25">
      <c r="C47" s="15" t="s">
        <v>79</v>
      </c>
      <c r="M47" s="21"/>
      <c r="N47" s="21"/>
      <c r="O47" s="21"/>
    </row>
    <row r="48" spans="3:15" x14ac:dyDescent="0.25">
      <c r="C48" s="15" t="s">
        <v>78</v>
      </c>
    </row>
  </sheetData>
  <mergeCells count="1">
    <mergeCell ref="G13:H13"/>
  </mergeCells>
  <conditionalFormatting sqref="I9">
    <cfRule type="containsText" dxfId="107" priority="19" operator="containsText" text="FAIL">
      <formula>NOT(ISERROR(SEARCH("FAIL",I9)))</formula>
    </cfRule>
  </conditionalFormatting>
  <conditionalFormatting sqref="I9">
    <cfRule type="containsText" dxfId="106" priority="18" operator="containsText" text="GOOD">
      <formula>NOT(ISERROR(SEARCH("GOOD",I9)))</formula>
    </cfRule>
  </conditionalFormatting>
  <conditionalFormatting sqref="I9">
    <cfRule type="containsText" dxfId="105" priority="17" operator="containsText" text="FAIL">
      <formula>NOT(ISERROR(SEARCH("FAIL",I9)))</formula>
    </cfRule>
  </conditionalFormatting>
  <conditionalFormatting sqref="I9">
    <cfRule type="containsText" dxfId="104" priority="16" operator="containsText" text="GOOD">
      <formula>NOT(ISERROR(SEARCH("GOOD",I9)))</formula>
    </cfRule>
  </conditionalFormatting>
  <conditionalFormatting sqref="I9">
    <cfRule type="containsText" dxfId="103" priority="15" operator="containsText" text="FAIL">
      <formula>NOT(ISERROR(SEARCH("FAIL",I9)))</formula>
    </cfRule>
  </conditionalFormatting>
  <conditionalFormatting sqref="I9">
    <cfRule type="containsText" dxfId="102" priority="14" operator="containsText" text="GOOD">
      <formula>NOT(ISERROR(SEARCH("GOOD",I9)))</formula>
    </cfRule>
  </conditionalFormatting>
  <conditionalFormatting sqref="F11">
    <cfRule type="containsText" dxfId="101" priority="13" operator="containsText" text="FAIL">
      <formula>NOT(ISERROR(SEARCH("FAIL",F11)))</formula>
    </cfRule>
  </conditionalFormatting>
  <conditionalFormatting sqref="F11">
    <cfRule type="containsText" dxfId="100" priority="12" operator="containsText" text="GOOD">
      <formula>NOT(ISERROR(SEARCH("GOOD",F11)))</formula>
    </cfRule>
  </conditionalFormatting>
  <conditionalFormatting sqref="I9">
    <cfRule type="containsText" dxfId="99" priority="11" operator="containsText" text="FAIL">
      <formula>NOT(ISERROR(SEARCH("FAIL",I9)))</formula>
    </cfRule>
  </conditionalFormatting>
  <conditionalFormatting sqref="I9">
    <cfRule type="containsText" dxfId="98" priority="10" operator="containsText" text="GOOD">
      <formula>NOT(ISERROR(SEARCH("GOOD",I9)))</formula>
    </cfRule>
  </conditionalFormatting>
  <conditionalFormatting sqref="F11">
    <cfRule type="containsText" dxfId="97" priority="9" operator="containsText" text="FAIL">
      <formula>NOT(ISERROR(SEARCH("FAIL",F11)))</formula>
    </cfRule>
  </conditionalFormatting>
  <conditionalFormatting sqref="F11">
    <cfRule type="containsText" dxfId="96" priority="8" operator="containsText" text="GOOD">
      <formula>NOT(ISERROR(SEARCH("GOOD",F11)))</formula>
    </cfRule>
  </conditionalFormatting>
  <conditionalFormatting sqref="D25">
    <cfRule type="expression" dxfId="95" priority="7" stopIfTrue="1">
      <formula>IF($H$25=1,0)</formula>
    </cfRule>
  </conditionalFormatting>
  <conditionalFormatting sqref="D23:D44">
    <cfRule type="expression" dxfId="94" priority="6">
      <formula>H23=1</formula>
    </cfRule>
  </conditionalFormatting>
  <conditionalFormatting sqref="C23:C44">
    <cfRule type="expression" dxfId="93" priority="5">
      <formula>H23=1</formula>
    </cfRule>
  </conditionalFormatting>
  <conditionalFormatting sqref="E23:E44">
    <cfRule type="expression" dxfId="92" priority="4">
      <formula>H23=1</formula>
    </cfRule>
  </conditionalFormatting>
  <conditionalFormatting sqref="E23:E44">
    <cfRule type="expression" dxfId="91" priority="3">
      <formula>H23=1</formula>
    </cfRule>
  </conditionalFormatting>
  <conditionalFormatting sqref="F11">
    <cfRule type="containsText" dxfId="90" priority="2" operator="containsText" text="FAIL">
      <formula>NOT(ISERROR(SEARCH("FAIL",F11)))</formula>
    </cfRule>
  </conditionalFormatting>
  <conditionalFormatting sqref="F11">
    <cfRule type="containsText" dxfId="89" priority="1" operator="containsText" text="GOOD">
      <formula>NOT(ISERROR(SEARCH("GOOD",F11)))</formula>
    </cfRule>
  </conditionalFormatting>
  <pageMargins left="0.7" right="0.7" top="0.75" bottom="0.75" header="0.3" footer="0.3"/>
  <pageSetup orientation="portrait" r:id="rId1"/>
</worksheet>
</file>

<file path=xl/worksheets/sheet1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sheetPr codeName="Sheet88"/>
  <dimension ref="A2:O47"/>
  <sheetViews>
    <sheetView zoomScaleNormal="100" workbookViewId="0">
      <selection activeCell="L28" sqref="L28"/>
    </sheetView>
  </sheetViews>
  <sheetFormatPr defaultRowHeight="15" x14ac:dyDescent="0.25"/>
  <cols>
    <col min="1" max="2" width="4.42578125" customWidth="1"/>
    <col min="3" max="3" width="3" customWidth="1"/>
    <col min="4" max="4" width="24.85546875" customWidth="1"/>
    <col min="5" max="5" width="3" customWidth="1"/>
    <col min="6" max="6" width="15.7109375" customWidth="1"/>
    <col min="7" max="7" width="8.5703125" customWidth="1"/>
    <col min="8" max="8" width="5.85546875" customWidth="1"/>
    <col min="9" max="15" width="15.7109375" customWidth="1"/>
  </cols>
  <sheetData>
    <row r="2" spans="1:11" x14ac:dyDescent="0.25">
      <c r="C2" s="15" t="s">
        <v>32</v>
      </c>
      <c r="E2" s="15"/>
      <c r="F2" s="15"/>
      <c r="G2" s="15" t="s">
        <v>33</v>
      </c>
      <c r="H2" s="15"/>
      <c r="I2" s="15"/>
      <c r="J2" s="15"/>
      <c r="K2" s="15"/>
    </row>
    <row r="3" spans="1:11" ht="18.75" x14ac:dyDescent="0.3">
      <c r="C3" s="3" t="s">
        <v>26</v>
      </c>
      <c r="J3" s="8" t="s">
        <v>17</v>
      </c>
    </row>
    <row r="4" spans="1:11" x14ac:dyDescent="0.25">
      <c r="D4" s="2" t="s">
        <v>0</v>
      </c>
      <c r="E4" s="1"/>
      <c r="F4" t="s">
        <v>783</v>
      </c>
      <c r="I4" s="2" t="s">
        <v>4</v>
      </c>
      <c r="J4" t="s">
        <v>784</v>
      </c>
    </row>
    <row r="5" spans="1:11" x14ac:dyDescent="0.25">
      <c r="D5" s="2" t="s">
        <v>1</v>
      </c>
      <c r="F5" t="s">
        <v>785</v>
      </c>
    </row>
    <row r="6" spans="1:11" x14ac:dyDescent="0.25">
      <c r="D6" s="2" t="s">
        <v>2</v>
      </c>
      <c r="F6" s="6">
        <v>42703</v>
      </c>
      <c r="H6" s="11"/>
    </row>
    <row r="7" spans="1:11" x14ac:dyDescent="0.25">
      <c r="D7" s="2" t="s">
        <v>3</v>
      </c>
      <c r="F7" s="5">
        <v>1763000</v>
      </c>
      <c r="G7" s="2" t="s">
        <v>34</v>
      </c>
      <c r="H7" s="11"/>
    </row>
    <row r="8" spans="1:11" x14ac:dyDescent="0.25">
      <c r="D8" s="2" t="s">
        <v>18</v>
      </c>
      <c r="F8" s="5">
        <f>MIN(I23:I43)</f>
        <v>2233850</v>
      </c>
      <c r="H8" s="11"/>
    </row>
    <row r="9" spans="1:11" x14ac:dyDescent="0.25">
      <c r="D9" s="2" t="s">
        <v>67</v>
      </c>
      <c r="F9" s="4">
        <f>+F8-F7</f>
        <v>470850</v>
      </c>
      <c r="G9" s="16">
        <f>+F9/F7</f>
        <v>0.26707317073170733</v>
      </c>
      <c r="H9" s="12" t="s">
        <v>20</v>
      </c>
      <c r="I9" s="11" t="str">
        <f>(IF(G9&lt;-0.1,"FAIL",IF(G9&gt;0.05,"FAIL","GOOD")))</f>
        <v>FAIL</v>
      </c>
      <c r="J9" s="14" t="s">
        <v>72</v>
      </c>
    </row>
    <row r="10" spans="1:11" x14ac:dyDescent="0.25">
      <c r="D10" s="2" t="s">
        <v>68</v>
      </c>
      <c r="F10" s="4">
        <f>+F7-F12</f>
        <v>-731277.5</v>
      </c>
      <c r="H10" s="11"/>
    </row>
    <row r="11" spans="1:11" x14ac:dyDescent="0.25">
      <c r="A11" s="52"/>
      <c r="D11" s="2" t="s">
        <v>71</v>
      </c>
      <c r="F11" s="11" t="str">
        <f>(IF(F7&lt;J12,"FAIL",IF(F7&gt;J13,"FAIL","GOOD")))</f>
        <v>FAIL</v>
      </c>
      <c r="H11" s="11"/>
    </row>
    <row r="12" spans="1:11" x14ac:dyDescent="0.25">
      <c r="D12" s="2" t="s">
        <v>28</v>
      </c>
      <c r="F12" s="4">
        <f>SUM(I23:I43)/H12</f>
        <v>2494277.5</v>
      </c>
      <c r="G12" s="14"/>
      <c r="H12" s="11">
        <f>COUNT(I23:I43)</f>
        <v>2</v>
      </c>
      <c r="I12" s="1" t="s">
        <v>31</v>
      </c>
      <c r="J12" s="4">
        <f>+F8*0.9</f>
        <v>2010465</v>
      </c>
      <c r="K12" s="1" t="s">
        <v>69</v>
      </c>
    </row>
    <row r="13" spans="1:11" x14ac:dyDescent="0.25">
      <c r="D13" s="2" t="s">
        <v>29</v>
      </c>
      <c r="F13" s="4">
        <f>MAX(I23:I43)-MIN(I23:I43)</f>
        <v>520855</v>
      </c>
      <c r="G13" s="399">
        <f>MEDIAN(I23:I43)</f>
        <v>2494277.5</v>
      </c>
      <c r="H13" s="400"/>
      <c r="I13" s="1" t="s">
        <v>30</v>
      </c>
      <c r="J13" s="4">
        <f>+F12*1.1</f>
        <v>2743705.25</v>
      </c>
      <c r="K13" s="1" t="s">
        <v>70</v>
      </c>
    </row>
    <row r="14" spans="1:11" x14ac:dyDescent="0.25">
      <c r="H14" s="11"/>
    </row>
    <row r="15" spans="1:11" x14ac:dyDescent="0.25">
      <c r="D15" s="2" t="s">
        <v>8</v>
      </c>
      <c r="F15" s="4"/>
      <c r="G15" s="1" t="s">
        <v>9</v>
      </c>
      <c r="H15" s="11"/>
      <c r="I15" t="s">
        <v>15</v>
      </c>
      <c r="J15" s="7" t="e">
        <f>+F16/F15</f>
        <v>#DIV/0!</v>
      </c>
    </row>
    <row r="16" spans="1:11" x14ac:dyDescent="0.25">
      <c r="F16" s="4"/>
      <c r="G16" s="1" t="s">
        <v>10</v>
      </c>
      <c r="H16" s="11"/>
      <c r="I16" t="s">
        <v>14</v>
      </c>
      <c r="J16" s="7" t="e">
        <f>+F17/F16</f>
        <v>#DIV/0!</v>
      </c>
    </row>
    <row r="17" spans="3:15" x14ac:dyDescent="0.25">
      <c r="F17" s="4"/>
      <c r="G17" s="1" t="s">
        <v>11</v>
      </c>
      <c r="H17" s="11"/>
      <c r="I17" t="s">
        <v>13</v>
      </c>
      <c r="J17" s="7" t="e">
        <f>+F18/F17</f>
        <v>#DIV/0!</v>
      </c>
      <c r="M17" s="21"/>
      <c r="N17" s="21"/>
      <c r="O17" s="21"/>
    </row>
    <row r="18" spans="3:15" x14ac:dyDescent="0.25">
      <c r="F18" s="4"/>
      <c r="G18" s="1" t="s">
        <v>12</v>
      </c>
      <c r="H18" s="11"/>
      <c r="I18" t="s">
        <v>16</v>
      </c>
      <c r="J18" s="7" t="e">
        <f>+F8/F18</f>
        <v>#DIV/0!</v>
      </c>
      <c r="M18" s="21"/>
      <c r="N18" s="21"/>
      <c r="O18" s="21"/>
    </row>
    <row r="19" spans="3:15" x14ac:dyDescent="0.25">
      <c r="F19" s="2" t="s">
        <v>51</v>
      </c>
      <c r="G19">
        <v>0</v>
      </c>
      <c r="H19" s="11" t="s">
        <v>52</v>
      </c>
      <c r="I19" t="s">
        <v>41</v>
      </c>
      <c r="J19" s="7" t="e">
        <f>+F8/F15</f>
        <v>#DIV/0!</v>
      </c>
      <c r="M19" s="21"/>
      <c r="N19" s="21"/>
      <c r="O19" s="21"/>
    </row>
    <row r="20" spans="3:15" x14ac:dyDescent="0.25">
      <c r="H20" s="11"/>
      <c r="M20" s="21"/>
      <c r="N20" s="21"/>
      <c r="O20" s="21"/>
    </row>
    <row r="21" spans="3:15" x14ac:dyDescent="0.25">
      <c r="C21" s="9"/>
      <c r="D21" s="13" t="s">
        <v>21</v>
      </c>
      <c r="E21" s="9"/>
      <c r="F21" s="9" t="s">
        <v>22</v>
      </c>
      <c r="G21" s="9" t="s">
        <v>23</v>
      </c>
      <c r="H21" s="13" t="s">
        <v>27</v>
      </c>
      <c r="I21" s="10" t="s">
        <v>24</v>
      </c>
      <c r="J21" s="9"/>
      <c r="K21" s="9"/>
      <c r="L21" s="9"/>
      <c r="M21" s="21"/>
      <c r="N21" s="21"/>
      <c r="O21" s="21"/>
    </row>
    <row r="22" spans="3:15" ht="6" customHeight="1" x14ac:dyDescent="0.25">
      <c r="M22" s="21"/>
      <c r="N22" s="21"/>
      <c r="O22" s="21"/>
    </row>
    <row r="23" spans="3:15" x14ac:dyDescent="0.25">
      <c r="C23" s="33" t="str">
        <f>IF(H23=1,"u","")</f>
        <v>u</v>
      </c>
      <c r="D23" s="11" t="s">
        <v>786</v>
      </c>
      <c r="E23" s="33"/>
      <c r="F23" t="s">
        <v>787</v>
      </c>
      <c r="G23" t="s">
        <v>93</v>
      </c>
      <c r="H23">
        <f>RANK(I23,I$23:I$43,1)</f>
        <v>1</v>
      </c>
      <c r="I23" s="4">
        <v>2233850</v>
      </c>
      <c r="J23" s="4"/>
      <c r="K23" s="4"/>
      <c r="L23" s="4"/>
      <c r="M23" s="22"/>
      <c r="N23" s="22"/>
      <c r="O23" s="22"/>
    </row>
    <row r="24" spans="3:15" x14ac:dyDescent="0.25">
      <c r="C24" s="33" t="str">
        <f>IF(H24=1,"u","")</f>
        <v/>
      </c>
      <c r="D24" s="11" t="s">
        <v>788</v>
      </c>
      <c r="E24" s="33"/>
      <c r="F24" t="s">
        <v>115</v>
      </c>
      <c r="G24" t="s">
        <v>25</v>
      </c>
      <c r="H24">
        <f>RANK(I24,I$23:I$43,1)</f>
        <v>2</v>
      </c>
      <c r="I24" s="4">
        <v>2754705</v>
      </c>
      <c r="J24" s="4"/>
      <c r="K24" s="4"/>
      <c r="L24" s="4"/>
      <c r="M24" s="22"/>
      <c r="N24" s="22"/>
      <c r="O24" s="22"/>
    </row>
    <row r="25" spans="3:15" x14ac:dyDescent="0.25">
      <c r="C25" s="33" t="str">
        <f>IF(H25=1,"u","")</f>
        <v/>
      </c>
      <c r="D25" s="11"/>
      <c r="E25" s="33"/>
      <c r="I25" s="4"/>
      <c r="J25" s="4"/>
      <c r="K25" s="4"/>
      <c r="L25" s="4"/>
      <c r="M25" s="22"/>
      <c r="N25" s="22"/>
      <c r="O25" s="22"/>
    </row>
    <row r="26" spans="3:15" x14ac:dyDescent="0.25">
      <c r="C26" s="33" t="str">
        <f t="shared" ref="C26:C43" si="0">IF(H26=1,"u","")</f>
        <v/>
      </c>
      <c r="D26" s="11"/>
      <c r="E26" s="33"/>
      <c r="I26" s="4"/>
      <c r="J26" s="4"/>
      <c r="K26" s="4"/>
      <c r="L26" s="4"/>
      <c r="M26" s="22"/>
      <c r="N26" s="22"/>
      <c r="O26" s="22"/>
    </row>
    <row r="27" spans="3:15" x14ac:dyDescent="0.25">
      <c r="C27" s="33" t="str">
        <f t="shared" si="0"/>
        <v/>
      </c>
      <c r="D27" s="11"/>
      <c r="E27" s="33"/>
      <c r="I27" s="4"/>
      <c r="J27" s="4"/>
      <c r="K27" s="4"/>
      <c r="L27" s="4"/>
      <c r="M27" s="22"/>
      <c r="N27" s="22"/>
      <c r="O27" s="22"/>
    </row>
    <row r="28" spans="3:15" x14ac:dyDescent="0.25">
      <c r="C28" s="33" t="str">
        <f t="shared" si="0"/>
        <v/>
      </c>
      <c r="D28" s="11"/>
      <c r="E28" s="33"/>
      <c r="I28" s="4"/>
      <c r="J28" s="4"/>
      <c r="K28" s="4"/>
      <c r="L28" s="4"/>
      <c r="M28" s="22"/>
      <c r="N28" s="22"/>
      <c r="O28" s="22"/>
    </row>
    <row r="29" spans="3:15" x14ac:dyDescent="0.25">
      <c r="C29" s="33" t="str">
        <f t="shared" si="0"/>
        <v/>
      </c>
      <c r="D29" s="11"/>
      <c r="E29" s="33"/>
      <c r="I29" s="4"/>
      <c r="J29" s="4"/>
      <c r="K29" s="4"/>
      <c r="L29" s="4"/>
      <c r="M29" s="22"/>
      <c r="N29" s="22"/>
      <c r="O29" s="22"/>
    </row>
    <row r="30" spans="3:15" x14ac:dyDescent="0.25">
      <c r="C30" s="33" t="str">
        <f t="shared" si="0"/>
        <v/>
      </c>
      <c r="D30" s="11"/>
      <c r="E30" s="33"/>
      <c r="I30" s="4"/>
      <c r="J30" s="4"/>
      <c r="K30" s="4"/>
      <c r="L30" s="4"/>
      <c r="M30" s="22"/>
      <c r="N30" s="22"/>
      <c r="O30" s="22"/>
    </row>
    <row r="31" spans="3:15" x14ac:dyDescent="0.25">
      <c r="C31" s="33" t="str">
        <f t="shared" si="0"/>
        <v/>
      </c>
      <c r="D31" s="11"/>
      <c r="E31" s="33"/>
      <c r="I31" s="4"/>
      <c r="J31" s="4"/>
      <c r="K31" s="4"/>
      <c r="L31" s="4"/>
      <c r="M31" s="22"/>
      <c r="N31" s="22"/>
      <c r="O31" s="22"/>
    </row>
    <row r="32" spans="3:15" x14ac:dyDescent="0.25">
      <c r="C32" s="33" t="str">
        <f t="shared" si="0"/>
        <v/>
      </c>
      <c r="D32" s="11"/>
      <c r="E32" s="33"/>
      <c r="I32" s="4"/>
      <c r="J32" s="4"/>
      <c r="K32" s="4"/>
      <c r="L32" s="4"/>
      <c r="M32" s="22"/>
      <c r="N32" s="22"/>
      <c r="O32" s="22"/>
    </row>
    <row r="33" spans="3:15" x14ac:dyDescent="0.25">
      <c r="C33" s="33" t="str">
        <f t="shared" si="0"/>
        <v/>
      </c>
      <c r="D33" s="11"/>
      <c r="E33" s="33"/>
      <c r="I33" s="4"/>
      <c r="M33" s="21"/>
      <c r="N33" s="21"/>
      <c r="O33" s="21"/>
    </row>
    <row r="34" spans="3:15" x14ac:dyDescent="0.25">
      <c r="C34" s="33" t="str">
        <f t="shared" si="0"/>
        <v/>
      </c>
      <c r="D34" s="11"/>
      <c r="E34" s="33" t="str">
        <f t="shared" ref="E34:E43" si="1">IF(H34=1,"t","")</f>
        <v/>
      </c>
      <c r="M34" s="21"/>
      <c r="N34" s="21"/>
      <c r="O34" s="21"/>
    </row>
    <row r="35" spans="3:15" x14ac:dyDescent="0.25">
      <c r="C35" s="33" t="str">
        <f t="shared" si="0"/>
        <v/>
      </c>
      <c r="D35" s="11"/>
      <c r="E35" s="33" t="str">
        <f t="shared" si="1"/>
        <v/>
      </c>
      <c r="M35" s="21"/>
      <c r="N35" s="21"/>
      <c r="O35" s="21"/>
    </row>
    <row r="36" spans="3:15" x14ac:dyDescent="0.25">
      <c r="C36" s="33" t="str">
        <f t="shared" si="0"/>
        <v/>
      </c>
      <c r="D36" s="11"/>
      <c r="E36" s="33" t="str">
        <f t="shared" si="1"/>
        <v/>
      </c>
      <c r="M36" s="21"/>
      <c r="N36" s="21"/>
      <c r="O36" s="21"/>
    </row>
    <row r="37" spans="3:15" x14ac:dyDescent="0.25">
      <c r="C37" s="33" t="str">
        <f t="shared" si="0"/>
        <v/>
      </c>
      <c r="D37" s="11"/>
      <c r="E37" s="33" t="str">
        <f t="shared" si="1"/>
        <v/>
      </c>
      <c r="M37" s="21"/>
      <c r="N37" s="21"/>
      <c r="O37" s="21"/>
    </row>
    <row r="38" spans="3:15" x14ac:dyDescent="0.25">
      <c r="C38" s="33" t="str">
        <f t="shared" si="0"/>
        <v/>
      </c>
      <c r="D38" s="11"/>
      <c r="E38" s="33" t="str">
        <f t="shared" si="1"/>
        <v/>
      </c>
      <c r="M38" s="21"/>
      <c r="N38" s="21"/>
      <c r="O38" s="21"/>
    </row>
    <row r="39" spans="3:15" x14ac:dyDescent="0.25">
      <c r="C39" s="33" t="str">
        <f t="shared" si="0"/>
        <v/>
      </c>
      <c r="D39" s="11"/>
      <c r="E39" s="33" t="str">
        <f t="shared" si="1"/>
        <v/>
      </c>
      <c r="M39" s="21"/>
      <c r="N39" s="21"/>
      <c r="O39" s="21"/>
    </row>
    <row r="40" spans="3:15" x14ac:dyDescent="0.25">
      <c r="C40" s="33" t="str">
        <f t="shared" si="0"/>
        <v/>
      </c>
      <c r="D40" s="11"/>
      <c r="E40" s="33" t="str">
        <f t="shared" si="1"/>
        <v/>
      </c>
      <c r="M40" s="21"/>
      <c r="N40" s="21"/>
      <c r="O40" s="21"/>
    </row>
    <row r="41" spans="3:15" x14ac:dyDescent="0.25">
      <c r="C41" s="33" t="str">
        <f t="shared" si="0"/>
        <v/>
      </c>
      <c r="D41" s="11"/>
      <c r="E41" s="33" t="str">
        <f t="shared" si="1"/>
        <v/>
      </c>
      <c r="M41" s="21"/>
      <c r="N41" s="21"/>
      <c r="O41" s="21"/>
    </row>
    <row r="42" spans="3:15" x14ac:dyDescent="0.25">
      <c r="C42" s="33" t="str">
        <f t="shared" si="0"/>
        <v/>
      </c>
      <c r="D42" s="11"/>
      <c r="E42" s="33" t="str">
        <f t="shared" si="1"/>
        <v/>
      </c>
      <c r="M42" s="21"/>
      <c r="N42" s="21"/>
      <c r="O42" s="21"/>
    </row>
    <row r="43" spans="3:15" x14ac:dyDescent="0.25">
      <c r="C43" s="33" t="str">
        <f t="shared" si="0"/>
        <v/>
      </c>
      <c r="D43" s="11"/>
      <c r="E43" s="33" t="str">
        <f t="shared" si="1"/>
        <v/>
      </c>
      <c r="M43" s="21"/>
      <c r="N43" s="21"/>
      <c r="O43" s="21"/>
    </row>
    <row r="44" spans="3:15" ht="6" customHeight="1" x14ac:dyDescent="0.25">
      <c r="C44" s="9"/>
      <c r="D44" s="9"/>
      <c r="E44" s="9"/>
      <c r="F44" s="9"/>
      <c r="G44" s="9"/>
      <c r="H44" s="9"/>
      <c r="I44" s="9"/>
      <c r="J44" s="9"/>
      <c r="K44" s="9"/>
      <c r="L44" s="9"/>
      <c r="M44" s="21"/>
      <c r="N44" s="21"/>
      <c r="O44" s="21"/>
    </row>
    <row r="45" spans="3:15" ht="6" customHeight="1" x14ac:dyDescent="0.25">
      <c r="M45" s="21"/>
      <c r="N45" s="21"/>
      <c r="O45" s="21"/>
    </row>
    <row r="46" spans="3:15" x14ac:dyDescent="0.25">
      <c r="C46" s="15" t="s">
        <v>79</v>
      </c>
      <c r="M46" s="21"/>
      <c r="N46" s="21"/>
      <c r="O46" s="21"/>
    </row>
    <row r="47" spans="3:15" x14ac:dyDescent="0.25">
      <c r="C47" s="15" t="s">
        <v>78</v>
      </c>
    </row>
  </sheetData>
  <mergeCells count="1">
    <mergeCell ref="G13:H13"/>
  </mergeCells>
  <conditionalFormatting sqref="I9">
    <cfRule type="containsText" dxfId="1088" priority="13" operator="containsText" text="FAIL">
      <formula>NOT(ISERROR(SEARCH("FAIL",I9)))</formula>
    </cfRule>
  </conditionalFormatting>
  <conditionalFormatting sqref="I9">
    <cfRule type="containsText" dxfId="1087" priority="12" operator="containsText" text="GOOD">
      <formula>NOT(ISERROR(SEARCH("GOOD",I9)))</formula>
    </cfRule>
  </conditionalFormatting>
  <conditionalFormatting sqref="F11">
    <cfRule type="containsText" dxfId="1086" priority="11" operator="containsText" text="FAIL">
      <formula>NOT(ISERROR(SEARCH("FAIL",F11)))</formula>
    </cfRule>
  </conditionalFormatting>
  <conditionalFormatting sqref="F11">
    <cfRule type="containsText" dxfId="1085" priority="10" operator="containsText" text="GOOD">
      <formula>NOT(ISERROR(SEARCH("GOOD",F11)))</formula>
    </cfRule>
  </conditionalFormatting>
  <conditionalFormatting sqref="D25">
    <cfRule type="expression" dxfId="1084" priority="9" stopIfTrue="1">
      <formula>IF($H$25=1,0)</formula>
    </cfRule>
  </conditionalFormatting>
  <conditionalFormatting sqref="D23:D26 D29:D43">
    <cfRule type="expression" dxfId="1083" priority="8">
      <formula>H23=1</formula>
    </cfRule>
  </conditionalFormatting>
  <conditionalFormatting sqref="C23:C26 C29:C43">
    <cfRule type="expression" dxfId="1082" priority="7">
      <formula>H23=1</formula>
    </cfRule>
  </conditionalFormatting>
  <conditionalFormatting sqref="E23:E26 E29:E43">
    <cfRule type="expression" dxfId="1081" priority="6">
      <formula>H23=1</formula>
    </cfRule>
  </conditionalFormatting>
  <conditionalFormatting sqref="F11">
    <cfRule type="containsText" dxfId="1080" priority="5" operator="containsText" text="FAIL">
      <formula>NOT(ISERROR(SEARCH("FAIL",F11)))</formula>
    </cfRule>
  </conditionalFormatting>
  <conditionalFormatting sqref="F11">
    <cfRule type="containsText" dxfId="1079" priority="4" operator="containsText" text="GOOD">
      <formula>NOT(ISERROR(SEARCH("GOOD",F11)))</formula>
    </cfRule>
  </conditionalFormatting>
  <conditionalFormatting sqref="D27:D28">
    <cfRule type="expression" dxfId="1078" priority="3">
      <formula>H27=1</formula>
    </cfRule>
  </conditionalFormatting>
  <conditionalFormatting sqref="C27:C28">
    <cfRule type="expression" dxfId="1077" priority="2">
      <formula>H27=1</formula>
    </cfRule>
  </conditionalFormatting>
  <conditionalFormatting sqref="E27:E28">
    <cfRule type="expression" dxfId="1076" priority="1">
      <formula>H27=1</formula>
    </cfRule>
  </conditionalFormatting>
  <pageMargins left="0.7" right="0.7" top="0.75" bottom="0.75" header="0.3" footer="0.3"/>
  <pageSetup scale="68" orientation="portrait" r:id="rId1"/>
</worksheet>
</file>

<file path=xl/worksheets/sheet1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A00-000000000000}">
  <sheetPr codeName="Sheet156"/>
  <dimension ref="A2:O47"/>
  <sheetViews>
    <sheetView workbookViewId="0">
      <selection activeCell="D24" sqref="D24"/>
    </sheetView>
  </sheetViews>
  <sheetFormatPr defaultRowHeight="15" x14ac:dyDescent="0.25"/>
  <cols>
    <col min="1" max="2" width="4.42578125" customWidth="1"/>
    <col min="3" max="3" width="3" customWidth="1"/>
    <col min="4" max="4" width="24.85546875" customWidth="1"/>
    <col min="5" max="5" width="3" customWidth="1"/>
    <col min="6" max="6" width="15.7109375" customWidth="1"/>
    <col min="7" max="7" width="8.5703125" customWidth="1"/>
    <col min="8" max="8" width="5.85546875" customWidth="1"/>
    <col min="9" max="15" width="15.7109375" customWidth="1"/>
  </cols>
  <sheetData>
    <row r="2" spans="1:11" x14ac:dyDescent="0.25">
      <c r="C2" s="15" t="s">
        <v>32</v>
      </c>
      <c r="E2" s="15"/>
      <c r="F2" s="15"/>
      <c r="G2" s="15" t="s">
        <v>33</v>
      </c>
      <c r="H2" s="15"/>
      <c r="I2" s="15"/>
      <c r="J2" s="15"/>
      <c r="K2" s="15"/>
    </row>
    <row r="3" spans="1:11" ht="18.75" x14ac:dyDescent="0.3">
      <c r="C3" s="3" t="s">
        <v>26</v>
      </c>
      <c r="J3" s="8" t="s">
        <v>17</v>
      </c>
    </row>
    <row r="4" spans="1:11" x14ac:dyDescent="0.25">
      <c r="D4" s="2" t="s">
        <v>0</v>
      </c>
      <c r="E4" s="1"/>
      <c r="F4" t="s">
        <v>313</v>
      </c>
      <c r="I4" s="2" t="s">
        <v>4</v>
      </c>
    </row>
    <row r="5" spans="1:11" x14ac:dyDescent="0.25">
      <c r="D5" s="2" t="s">
        <v>1</v>
      </c>
      <c r="F5" t="s">
        <v>314</v>
      </c>
    </row>
    <row r="6" spans="1:11" x14ac:dyDescent="0.25">
      <c r="D6" s="2" t="s">
        <v>2</v>
      </c>
      <c r="F6" s="6">
        <v>42143</v>
      </c>
      <c r="H6" s="11"/>
    </row>
    <row r="7" spans="1:11" x14ac:dyDescent="0.25">
      <c r="D7" s="2" t="s">
        <v>3</v>
      </c>
      <c r="F7" s="5">
        <v>1263000</v>
      </c>
      <c r="G7" s="2" t="s">
        <v>34</v>
      </c>
      <c r="H7" s="11"/>
    </row>
    <row r="8" spans="1:11" x14ac:dyDescent="0.25">
      <c r="D8" s="2" t="s">
        <v>18</v>
      </c>
      <c r="F8" s="5">
        <f>MIN(I23:I43)</f>
        <v>930000</v>
      </c>
      <c r="H8" s="11"/>
    </row>
    <row r="9" spans="1:11" x14ac:dyDescent="0.25">
      <c r="D9" s="2" t="s">
        <v>67</v>
      </c>
      <c r="F9" s="4">
        <f>+F8-F7</f>
        <v>-333000</v>
      </c>
      <c r="G9" s="16">
        <f>+F9/F7</f>
        <v>-0.26365795724465557</v>
      </c>
      <c r="H9" s="12" t="s">
        <v>20</v>
      </c>
      <c r="I9" s="11" t="str">
        <f>(IF(G9&lt;-0.1,"FAIL",IF(G9&gt;0.05,"FAIL","GOOD")))</f>
        <v>FAIL</v>
      </c>
      <c r="J9" s="14" t="s">
        <v>72</v>
      </c>
    </row>
    <row r="10" spans="1:11" x14ac:dyDescent="0.25">
      <c r="D10" s="2" t="s">
        <v>68</v>
      </c>
      <c r="F10" s="4">
        <f>+F7-F12</f>
        <v>333000</v>
      </c>
      <c r="H10" s="11"/>
    </row>
    <row r="11" spans="1:11" x14ac:dyDescent="0.25">
      <c r="A11" s="30"/>
      <c r="D11" s="2" t="s">
        <v>71</v>
      </c>
      <c r="F11" s="11" t="str">
        <f>(IF(F7&lt;J12,"FAIL",IF(F7&gt;J13,"FAIL","GOOD")))</f>
        <v>FAIL</v>
      </c>
      <c r="H11" s="11"/>
    </row>
    <row r="12" spans="1:11" x14ac:dyDescent="0.25">
      <c r="D12" s="2" t="s">
        <v>28</v>
      </c>
      <c r="F12" s="4">
        <f>SUM(I23:I43)/H12</f>
        <v>930000</v>
      </c>
      <c r="G12" s="14"/>
      <c r="H12" s="11">
        <f>COUNT(I23:I43)</f>
        <v>1</v>
      </c>
      <c r="I12" s="1" t="s">
        <v>31</v>
      </c>
      <c r="J12" s="4">
        <f>+F8*0.9</f>
        <v>837000</v>
      </c>
      <c r="K12" s="1" t="s">
        <v>69</v>
      </c>
    </row>
    <row r="13" spans="1:11" x14ac:dyDescent="0.25">
      <c r="D13" s="2" t="s">
        <v>29</v>
      </c>
      <c r="F13" s="4">
        <f>MAX(I23:I43)-MIN(I23:I43)</f>
        <v>0</v>
      </c>
      <c r="G13" s="399">
        <f>MEDIAN(I23:I43)</f>
        <v>930000</v>
      </c>
      <c r="H13" s="400"/>
      <c r="I13" s="1" t="s">
        <v>30</v>
      </c>
      <c r="J13" s="4">
        <f>+F12*1.1</f>
        <v>1023000.0000000001</v>
      </c>
      <c r="K13" s="1" t="s">
        <v>70</v>
      </c>
    </row>
    <row r="14" spans="1:11" x14ac:dyDescent="0.25">
      <c r="H14" s="11"/>
    </row>
    <row r="15" spans="1:11" x14ac:dyDescent="0.25">
      <c r="D15" s="2" t="s">
        <v>8</v>
      </c>
      <c r="F15" s="4"/>
      <c r="G15" s="1" t="s">
        <v>9</v>
      </c>
      <c r="H15" s="11"/>
      <c r="I15" t="s">
        <v>15</v>
      </c>
      <c r="J15" s="7" t="e">
        <f>+F16/F15</f>
        <v>#DIV/0!</v>
      </c>
    </row>
    <row r="16" spans="1:11" x14ac:dyDescent="0.25">
      <c r="F16" s="4"/>
      <c r="G16" s="1" t="s">
        <v>10</v>
      </c>
      <c r="H16" s="11"/>
      <c r="I16" t="s">
        <v>14</v>
      </c>
      <c r="J16" s="7" t="e">
        <f>+F17/F16</f>
        <v>#DIV/0!</v>
      </c>
    </row>
    <row r="17" spans="3:15" x14ac:dyDescent="0.25">
      <c r="F17" s="4"/>
      <c r="G17" s="1" t="s">
        <v>11</v>
      </c>
      <c r="H17" s="11"/>
      <c r="I17" t="s">
        <v>13</v>
      </c>
      <c r="J17" s="7" t="e">
        <f>+F18/F17</f>
        <v>#DIV/0!</v>
      </c>
      <c r="M17" s="21"/>
      <c r="N17" s="21"/>
      <c r="O17" s="21"/>
    </row>
    <row r="18" spans="3:15" x14ac:dyDescent="0.25">
      <c r="F18" s="4"/>
      <c r="G18" s="1" t="s">
        <v>12</v>
      </c>
      <c r="H18" s="11"/>
      <c r="I18" t="s">
        <v>16</v>
      </c>
      <c r="J18" s="7" t="e">
        <f>+F8/F18</f>
        <v>#DIV/0!</v>
      </c>
      <c r="M18" s="21"/>
      <c r="N18" s="21"/>
      <c r="O18" s="21"/>
    </row>
    <row r="19" spans="3:15" x14ac:dyDescent="0.25">
      <c r="F19" s="2" t="s">
        <v>51</v>
      </c>
      <c r="G19">
        <v>0</v>
      </c>
      <c r="H19" s="11" t="s">
        <v>52</v>
      </c>
      <c r="I19" t="s">
        <v>41</v>
      </c>
      <c r="J19" s="7" t="e">
        <f>+F8/F15</f>
        <v>#DIV/0!</v>
      </c>
      <c r="M19" s="21"/>
      <c r="N19" s="21"/>
      <c r="O19" s="21"/>
    </row>
    <row r="20" spans="3:15" x14ac:dyDescent="0.25">
      <c r="H20" s="11"/>
      <c r="M20" s="21"/>
      <c r="N20" s="21"/>
      <c r="O20" s="21"/>
    </row>
    <row r="21" spans="3:15" x14ac:dyDescent="0.25">
      <c r="C21" s="9"/>
      <c r="D21" s="13" t="s">
        <v>21</v>
      </c>
      <c r="E21" s="9"/>
      <c r="F21" s="9" t="s">
        <v>22</v>
      </c>
      <c r="G21" s="9" t="s">
        <v>23</v>
      </c>
      <c r="H21" s="13" t="s">
        <v>27</v>
      </c>
      <c r="I21" s="10" t="s">
        <v>24</v>
      </c>
      <c r="J21" s="9"/>
      <c r="K21" s="9"/>
      <c r="L21" s="9"/>
      <c r="M21" s="21"/>
      <c r="N21" s="21"/>
      <c r="O21" s="21"/>
    </row>
    <row r="22" spans="3:15" ht="6" customHeight="1" x14ac:dyDescent="0.25">
      <c r="M22" s="21"/>
      <c r="N22" s="21"/>
      <c r="O22" s="21"/>
    </row>
    <row r="23" spans="3:15" x14ac:dyDescent="0.25">
      <c r="C23" s="33" t="str">
        <f>IF(H23=1,"u","")</f>
        <v>u</v>
      </c>
      <c r="D23" s="23" t="s">
        <v>87</v>
      </c>
      <c r="E23" s="33"/>
      <c r="F23" t="s">
        <v>88</v>
      </c>
      <c r="G23" t="s">
        <v>25</v>
      </c>
      <c r="H23">
        <f>RANK(I23,I$23:I$43,1)</f>
        <v>1</v>
      </c>
      <c r="I23" s="4">
        <v>930000</v>
      </c>
      <c r="J23" s="4"/>
      <c r="K23" s="4"/>
      <c r="L23" s="4"/>
      <c r="M23" s="22"/>
      <c r="N23" s="22"/>
      <c r="O23" s="22"/>
    </row>
    <row r="24" spans="3:15" x14ac:dyDescent="0.25">
      <c r="C24" s="33"/>
      <c r="D24" s="23"/>
      <c r="E24" s="33"/>
      <c r="I24" s="4"/>
      <c r="J24" s="4"/>
      <c r="K24" s="4"/>
      <c r="L24" s="4"/>
      <c r="M24" s="22"/>
      <c r="N24" s="22"/>
      <c r="O24" s="22"/>
    </row>
    <row r="25" spans="3:15" x14ac:dyDescent="0.25">
      <c r="C25" s="33"/>
      <c r="D25" s="23"/>
      <c r="E25" s="33"/>
      <c r="I25" s="4"/>
      <c r="J25" s="4"/>
      <c r="K25" s="4"/>
      <c r="L25" s="4"/>
      <c r="M25" s="22"/>
      <c r="N25" s="22"/>
      <c r="O25" s="22"/>
    </row>
    <row r="26" spans="3:15" x14ac:dyDescent="0.25">
      <c r="C26" s="33"/>
      <c r="D26" s="23"/>
      <c r="E26" s="33"/>
      <c r="I26" s="4"/>
      <c r="J26" s="4"/>
      <c r="K26" s="4"/>
      <c r="L26" s="4"/>
      <c r="M26" s="22"/>
      <c r="N26" s="22"/>
      <c r="O26" s="22"/>
    </row>
    <row r="27" spans="3:15" x14ac:dyDescent="0.25">
      <c r="C27" s="33" t="str">
        <f t="shared" ref="C27:C43" si="0">IF(H27=1,"u","")</f>
        <v/>
      </c>
      <c r="D27" s="23"/>
      <c r="E27" s="33" t="str">
        <f t="shared" ref="E27:E43" si="1">IF(H27=1,"t","")</f>
        <v/>
      </c>
      <c r="I27" s="4"/>
      <c r="J27" s="4"/>
      <c r="K27" s="4"/>
      <c r="L27" s="4"/>
      <c r="M27" s="22"/>
      <c r="N27" s="22"/>
      <c r="O27" s="22"/>
    </row>
    <row r="28" spans="3:15" x14ac:dyDescent="0.25">
      <c r="C28" s="33" t="str">
        <f t="shared" si="0"/>
        <v/>
      </c>
      <c r="D28" s="23"/>
      <c r="E28" s="33" t="str">
        <f t="shared" si="1"/>
        <v/>
      </c>
      <c r="I28" s="4"/>
      <c r="J28" s="4"/>
      <c r="K28" s="4"/>
      <c r="L28" s="4"/>
      <c r="M28" s="22"/>
      <c r="N28" s="22"/>
      <c r="O28" s="22"/>
    </row>
    <row r="29" spans="3:15" x14ac:dyDescent="0.25">
      <c r="C29" s="33" t="str">
        <f t="shared" si="0"/>
        <v/>
      </c>
      <c r="D29" s="23"/>
      <c r="E29" s="33" t="str">
        <f t="shared" si="1"/>
        <v/>
      </c>
      <c r="I29" s="4"/>
      <c r="J29" s="4"/>
      <c r="K29" s="4"/>
      <c r="L29" s="4"/>
      <c r="M29" s="22"/>
      <c r="N29" s="22"/>
      <c r="O29" s="22"/>
    </row>
    <row r="30" spans="3:15" x14ac:dyDescent="0.25">
      <c r="C30" s="33" t="str">
        <f t="shared" si="0"/>
        <v/>
      </c>
      <c r="D30" s="11"/>
      <c r="E30" s="33" t="str">
        <f t="shared" si="1"/>
        <v/>
      </c>
      <c r="I30" s="4"/>
      <c r="J30" s="4"/>
      <c r="K30" s="4"/>
      <c r="L30" s="4"/>
      <c r="M30" s="22"/>
      <c r="N30" s="22"/>
      <c r="O30" s="22"/>
    </row>
    <row r="31" spans="3:15" x14ac:dyDescent="0.25">
      <c r="C31" s="33" t="str">
        <f t="shared" si="0"/>
        <v/>
      </c>
      <c r="D31" s="11"/>
      <c r="E31" s="33" t="str">
        <f t="shared" si="1"/>
        <v/>
      </c>
      <c r="I31" s="4"/>
      <c r="J31" s="4"/>
      <c r="K31" s="4"/>
      <c r="L31" s="4"/>
      <c r="M31" s="22"/>
      <c r="N31" s="22"/>
      <c r="O31" s="22"/>
    </row>
    <row r="32" spans="3:15" x14ac:dyDescent="0.25">
      <c r="C32" s="33" t="str">
        <f t="shared" si="0"/>
        <v/>
      </c>
      <c r="D32" s="11"/>
      <c r="E32" s="33" t="str">
        <f t="shared" si="1"/>
        <v/>
      </c>
      <c r="I32" s="4"/>
      <c r="J32" s="4"/>
      <c r="K32" s="4"/>
      <c r="L32" s="4"/>
      <c r="M32" s="22"/>
      <c r="N32" s="22"/>
      <c r="O32" s="22"/>
    </row>
    <row r="33" spans="3:15" x14ac:dyDescent="0.25">
      <c r="C33" s="33" t="str">
        <f t="shared" si="0"/>
        <v/>
      </c>
      <c r="D33" s="11"/>
      <c r="E33" s="33" t="str">
        <f t="shared" si="1"/>
        <v/>
      </c>
      <c r="M33" s="21"/>
      <c r="N33" s="21"/>
      <c r="O33" s="21"/>
    </row>
    <row r="34" spans="3:15" x14ac:dyDescent="0.25">
      <c r="C34" s="33" t="str">
        <f t="shared" si="0"/>
        <v/>
      </c>
      <c r="D34" s="11"/>
      <c r="E34" s="33" t="str">
        <f t="shared" si="1"/>
        <v/>
      </c>
      <c r="M34" s="21"/>
      <c r="N34" s="21"/>
      <c r="O34" s="21"/>
    </row>
    <row r="35" spans="3:15" x14ac:dyDescent="0.25">
      <c r="C35" s="33" t="str">
        <f t="shared" si="0"/>
        <v/>
      </c>
      <c r="D35" s="11"/>
      <c r="E35" s="33" t="str">
        <f t="shared" si="1"/>
        <v/>
      </c>
      <c r="M35" s="21"/>
      <c r="N35" s="21"/>
      <c r="O35" s="21"/>
    </row>
    <row r="36" spans="3:15" x14ac:dyDescent="0.25">
      <c r="C36" s="33" t="str">
        <f t="shared" si="0"/>
        <v/>
      </c>
      <c r="D36" s="11"/>
      <c r="E36" s="33" t="str">
        <f t="shared" si="1"/>
        <v/>
      </c>
      <c r="M36" s="21"/>
      <c r="N36" s="21"/>
      <c r="O36" s="21"/>
    </row>
    <row r="37" spans="3:15" x14ac:dyDescent="0.25">
      <c r="C37" s="33" t="str">
        <f t="shared" si="0"/>
        <v/>
      </c>
      <c r="D37" s="11"/>
      <c r="E37" s="33" t="str">
        <f t="shared" si="1"/>
        <v/>
      </c>
      <c r="M37" s="21"/>
      <c r="N37" s="21"/>
      <c r="O37" s="21"/>
    </row>
    <row r="38" spans="3:15" x14ac:dyDescent="0.25">
      <c r="C38" s="33" t="str">
        <f t="shared" si="0"/>
        <v/>
      </c>
      <c r="D38" s="11"/>
      <c r="E38" s="33" t="str">
        <f t="shared" si="1"/>
        <v/>
      </c>
      <c r="M38" s="21"/>
      <c r="N38" s="21"/>
      <c r="O38" s="21"/>
    </row>
    <row r="39" spans="3:15" x14ac:dyDescent="0.25">
      <c r="C39" s="33" t="str">
        <f t="shared" si="0"/>
        <v/>
      </c>
      <c r="D39" s="11"/>
      <c r="E39" s="33" t="str">
        <f t="shared" si="1"/>
        <v/>
      </c>
      <c r="M39" s="21"/>
      <c r="N39" s="21"/>
      <c r="O39" s="21"/>
    </row>
    <row r="40" spans="3:15" x14ac:dyDescent="0.25">
      <c r="C40" s="33" t="str">
        <f t="shared" si="0"/>
        <v/>
      </c>
      <c r="D40" s="11"/>
      <c r="E40" s="33" t="str">
        <f t="shared" si="1"/>
        <v/>
      </c>
      <c r="M40" s="21"/>
      <c r="N40" s="21"/>
      <c r="O40" s="21"/>
    </row>
    <row r="41" spans="3:15" x14ac:dyDescent="0.25">
      <c r="C41" s="33" t="str">
        <f t="shared" si="0"/>
        <v/>
      </c>
      <c r="D41" s="11"/>
      <c r="E41" s="33" t="str">
        <f t="shared" si="1"/>
        <v/>
      </c>
      <c r="M41" s="21"/>
      <c r="N41" s="21"/>
      <c r="O41" s="21"/>
    </row>
    <row r="42" spans="3:15" x14ac:dyDescent="0.25">
      <c r="C42" s="33" t="str">
        <f t="shared" si="0"/>
        <v/>
      </c>
      <c r="D42" s="11"/>
      <c r="E42" s="33" t="str">
        <f t="shared" si="1"/>
        <v/>
      </c>
      <c r="M42" s="21"/>
      <c r="N42" s="21"/>
      <c r="O42" s="21"/>
    </row>
    <row r="43" spans="3:15" x14ac:dyDescent="0.25">
      <c r="C43" s="33" t="str">
        <f t="shared" si="0"/>
        <v/>
      </c>
      <c r="D43" s="11"/>
      <c r="E43" s="33" t="str">
        <f t="shared" si="1"/>
        <v/>
      </c>
      <c r="M43" s="21"/>
      <c r="N43" s="21"/>
      <c r="O43" s="21"/>
    </row>
    <row r="44" spans="3:15" ht="6" customHeight="1" x14ac:dyDescent="0.25">
      <c r="C44" s="9"/>
      <c r="D44" s="9"/>
      <c r="E44" s="9"/>
      <c r="F44" s="9"/>
      <c r="G44" s="9"/>
      <c r="H44" s="9"/>
      <c r="I44" s="9"/>
      <c r="J44" s="9"/>
      <c r="K44" s="9"/>
      <c r="L44" s="9"/>
      <c r="M44" s="21"/>
      <c r="N44" s="21"/>
      <c r="O44" s="21"/>
    </row>
    <row r="45" spans="3:15" ht="6" customHeight="1" x14ac:dyDescent="0.25">
      <c r="M45" s="21"/>
      <c r="N45" s="21"/>
      <c r="O45" s="21"/>
    </row>
    <row r="46" spans="3:15" x14ac:dyDescent="0.25">
      <c r="C46" s="15" t="s">
        <v>79</v>
      </c>
      <c r="M46" s="21"/>
      <c r="N46" s="21"/>
      <c r="O46" s="21"/>
    </row>
    <row r="47" spans="3:15" x14ac:dyDescent="0.25">
      <c r="C47" s="15" t="s">
        <v>78</v>
      </c>
    </row>
  </sheetData>
  <mergeCells count="1">
    <mergeCell ref="G13:H13"/>
  </mergeCells>
  <conditionalFormatting sqref="I9">
    <cfRule type="containsText" dxfId="234" priority="10" operator="containsText" text="FAIL">
      <formula>NOT(ISERROR(SEARCH("FAIL",I9)))</formula>
    </cfRule>
  </conditionalFormatting>
  <conditionalFormatting sqref="I9">
    <cfRule type="containsText" dxfId="233" priority="9" operator="containsText" text="GOOD">
      <formula>NOT(ISERROR(SEARCH("GOOD",I9)))</formula>
    </cfRule>
  </conditionalFormatting>
  <conditionalFormatting sqref="F11">
    <cfRule type="containsText" dxfId="232" priority="8" operator="containsText" text="FAIL">
      <formula>NOT(ISERROR(SEARCH("FAIL",F11)))</formula>
    </cfRule>
  </conditionalFormatting>
  <conditionalFormatting sqref="F11">
    <cfRule type="containsText" dxfId="231" priority="7" operator="containsText" text="GOOD">
      <formula>NOT(ISERROR(SEARCH("GOOD",F11)))</formula>
    </cfRule>
  </conditionalFormatting>
  <conditionalFormatting sqref="D25">
    <cfRule type="expression" dxfId="230" priority="6" stopIfTrue="1">
      <formula>IF($H$25=1,0)</formula>
    </cfRule>
  </conditionalFormatting>
  <conditionalFormatting sqref="D23:D43">
    <cfRule type="expression" dxfId="229" priority="5">
      <formula>H23=1</formula>
    </cfRule>
  </conditionalFormatting>
  <conditionalFormatting sqref="C23:C43">
    <cfRule type="expression" dxfId="228" priority="4">
      <formula>H23=1</formula>
    </cfRule>
  </conditionalFormatting>
  <conditionalFormatting sqref="E23:E43">
    <cfRule type="expression" dxfId="227" priority="3">
      <formula>H23=1</formula>
    </cfRule>
  </conditionalFormatting>
  <conditionalFormatting sqref="F11">
    <cfRule type="containsText" dxfId="226" priority="2" operator="containsText" text="FAIL">
      <formula>NOT(ISERROR(SEARCH("FAIL",F11)))</formula>
    </cfRule>
  </conditionalFormatting>
  <conditionalFormatting sqref="F11">
    <cfRule type="containsText" dxfId="225" priority="1" operator="containsText" text="GOOD">
      <formula>NOT(ISERROR(SEARCH("GOOD",F11)))</formula>
    </cfRule>
  </conditionalFormatting>
  <pageMargins left="0.7" right="0.7" top="0.75" bottom="0.75" header="0.3" footer="0.3"/>
  <pageSetup orientation="portrait" r:id="rId1"/>
</worksheet>
</file>

<file path=xl/worksheets/sheet1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400-000000000000}">
  <sheetPr codeName="Sheet118"/>
  <dimension ref="A2:O47"/>
  <sheetViews>
    <sheetView zoomScaleNormal="100" workbookViewId="0">
      <selection activeCell="K7" sqref="K7"/>
    </sheetView>
  </sheetViews>
  <sheetFormatPr defaultRowHeight="15" x14ac:dyDescent="0.25"/>
  <cols>
    <col min="1" max="2" width="4.42578125" customWidth="1"/>
    <col min="3" max="3" width="3" customWidth="1"/>
    <col min="4" max="4" width="24.85546875" customWidth="1"/>
    <col min="5" max="5" width="3" customWidth="1"/>
    <col min="6" max="6" width="15.7109375" customWidth="1"/>
    <col min="7" max="7" width="8.5703125" customWidth="1"/>
    <col min="8" max="8" width="5.85546875" customWidth="1"/>
    <col min="9" max="15" width="15.7109375" customWidth="1"/>
  </cols>
  <sheetData>
    <row r="2" spans="1:11" x14ac:dyDescent="0.25">
      <c r="C2" s="15" t="s">
        <v>32</v>
      </c>
      <c r="E2" s="15"/>
      <c r="F2" s="15"/>
      <c r="G2" s="15" t="s">
        <v>33</v>
      </c>
      <c r="H2" s="15"/>
      <c r="I2" s="15"/>
      <c r="J2" s="15"/>
      <c r="K2" s="15"/>
    </row>
    <row r="3" spans="1:11" ht="18.75" x14ac:dyDescent="0.3">
      <c r="C3" s="3" t="s">
        <v>26</v>
      </c>
      <c r="J3" s="8" t="s">
        <v>17</v>
      </c>
    </row>
    <row r="4" spans="1:11" x14ac:dyDescent="0.25">
      <c r="D4" s="2" t="s">
        <v>0</v>
      </c>
      <c r="E4" s="1"/>
      <c r="F4" t="s">
        <v>590</v>
      </c>
      <c r="I4" s="2" t="s">
        <v>4</v>
      </c>
      <c r="J4" t="s">
        <v>494</v>
      </c>
    </row>
    <row r="5" spans="1:11" x14ac:dyDescent="0.25">
      <c r="D5" s="2" t="s">
        <v>1</v>
      </c>
      <c r="F5" t="s">
        <v>591</v>
      </c>
    </row>
    <row r="6" spans="1:11" x14ac:dyDescent="0.25">
      <c r="D6" s="2" t="s">
        <v>2</v>
      </c>
      <c r="F6" s="6">
        <v>42465</v>
      </c>
      <c r="H6" s="11"/>
    </row>
    <row r="7" spans="1:11" x14ac:dyDescent="0.25">
      <c r="D7" s="2" t="s">
        <v>3</v>
      </c>
      <c r="F7" s="5">
        <v>1300000</v>
      </c>
      <c r="G7" s="2" t="s">
        <v>34</v>
      </c>
      <c r="H7" s="11"/>
    </row>
    <row r="8" spans="1:11" x14ac:dyDescent="0.25">
      <c r="D8" s="2" t="s">
        <v>18</v>
      </c>
      <c r="F8" s="5">
        <f>MIN(I23:I43)</f>
        <v>1334000</v>
      </c>
      <c r="H8" s="11"/>
    </row>
    <row r="9" spans="1:11" x14ac:dyDescent="0.25">
      <c r="D9" s="2" t="s">
        <v>67</v>
      </c>
      <c r="F9" s="4">
        <f>+F8-F7</f>
        <v>34000</v>
      </c>
      <c r="G9" s="16">
        <f>+F9/F7</f>
        <v>2.6153846153846153E-2</v>
      </c>
      <c r="H9" s="12" t="s">
        <v>20</v>
      </c>
      <c r="I9" s="11" t="str">
        <f>(IF(G9&lt;-0.1,"FAIL",IF(G9&gt;0.05,"FAIL","GOOD")))</f>
        <v>GOOD</v>
      </c>
      <c r="J9" s="14" t="s">
        <v>72</v>
      </c>
    </row>
    <row r="10" spans="1:11" x14ac:dyDescent="0.25">
      <c r="D10" s="2" t="s">
        <v>68</v>
      </c>
      <c r="F10" s="4">
        <f>+F7-F12</f>
        <v>-750240.66666666674</v>
      </c>
      <c r="H10" s="11"/>
    </row>
    <row r="11" spans="1:11" x14ac:dyDescent="0.25">
      <c r="A11" s="52"/>
      <c r="D11" s="2" t="s">
        <v>71</v>
      </c>
      <c r="F11" s="11" t="str">
        <f>(IF(F7&lt;J12,"FAIL",IF(F7&gt;J13,"FAIL","GOOD")))</f>
        <v>GOOD</v>
      </c>
      <c r="H11" s="11"/>
    </row>
    <row r="12" spans="1:11" x14ac:dyDescent="0.25">
      <c r="D12" s="2" t="s">
        <v>28</v>
      </c>
      <c r="F12" s="4">
        <f>SUM(I23:I43)/H12</f>
        <v>2050240.6666666667</v>
      </c>
      <c r="G12" s="14"/>
      <c r="H12" s="11">
        <f>COUNT(I23:I43)</f>
        <v>6</v>
      </c>
      <c r="I12" s="1" t="s">
        <v>31</v>
      </c>
      <c r="J12" s="4">
        <f>+F8*0.9</f>
        <v>1200600</v>
      </c>
      <c r="K12" s="1" t="s">
        <v>69</v>
      </c>
    </row>
    <row r="13" spans="1:11" x14ac:dyDescent="0.25">
      <c r="D13" s="2" t="s">
        <v>29</v>
      </c>
      <c r="F13" s="4">
        <f>MAX(I23:I43)-MIN(I23:I43)</f>
        <v>1366000</v>
      </c>
      <c r="G13" s="399">
        <f>MEDIAN(I23:I43)</f>
        <v>2211500</v>
      </c>
      <c r="H13" s="400"/>
      <c r="I13" s="1" t="s">
        <v>30</v>
      </c>
      <c r="J13" s="4">
        <f>+F12*1.1</f>
        <v>2255264.7333333334</v>
      </c>
      <c r="K13" s="1" t="s">
        <v>70</v>
      </c>
    </row>
    <row r="14" spans="1:11" x14ac:dyDescent="0.25">
      <c r="H14" s="11"/>
    </row>
    <row r="15" spans="1:11" x14ac:dyDescent="0.25">
      <c r="D15" s="2" t="s">
        <v>8</v>
      </c>
      <c r="F15" s="4"/>
      <c r="G15" s="1" t="s">
        <v>9</v>
      </c>
      <c r="H15" s="11"/>
      <c r="I15" t="s">
        <v>15</v>
      </c>
      <c r="J15" s="7" t="e">
        <f>+F16/F15</f>
        <v>#DIV/0!</v>
      </c>
    </row>
    <row r="16" spans="1:11" x14ac:dyDescent="0.25">
      <c r="F16" s="4"/>
      <c r="G16" s="1" t="s">
        <v>10</v>
      </c>
      <c r="H16" s="11"/>
      <c r="I16" t="s">
        <v>14</v>
      </c>
      <c r="J16" s="7" t="e">
        <f>+F17/F16</f>
        <v>#DIV/0!</v>
      </c>
    </row>
    <row r="17" spans="3:15" x14ac:dyDescent="0.25">
      <c r="F17" s="4"/>
      <c r="G17" s="1" t="s">
        <v>11</v>
      </c>
      <c r="H17" s="11"/>
      <c r="I17" t="s">
        <v>13</v>
      </c>
      <c r="J17" s="7" t="e">
        <f>+F18/F17</f>
        <v>#DIV/0!</v>
      </c>
      <c r="M17" s="21"/>
      <c r="N17" s="21"/>
      <c r="O17" s="21"/>
    </row>
    <row r="18" spans="3:15" x14ac:dyDescent="0.25">
      <c r="F18" s="4"/>
      <c r="G18" s="1" t="s">
        <v>12</v>
      </c>
      <c r="H18" s="11"/>
      <c r="I18" t="s">
        <v>16</v>
      </c>
      <c r="J18" s="7" t="e">
        <f>+F8/F18</f>
        <v>#DIV/0!</v>
      </c>
      <c r="M18" s="21"/>
      <c r="N18" s="21"/>
      <c r="O18" s="21"/>
    </row>
    <row r="19" spans="3:15" x14ac:dyDescent="0.25">
      <c r="F19" s="2" t="s">
        <v>51</v>
      </c>
      <c r="G19">
        <v>0</v>
      </c>
      <c r="H19" s="11" t="s">
        <v>52</v>
      </c>
      <c r="I19" t="s">
        <v>41</v>
      </c>
      <c r="J19" s="7" t="e">
        <f>+F8/F15</f>
        <v>#DIV/0!</v>
      </c>
      <c r="M19" s="21"/>
      <c r="N19" s="21"/>
      <c r="O19" s="21"/>
    </row>
    <row r="20" spans="3:15" x14ac:dyDescent="0.25">
      <c r="H20" s="11"/>
      <c r="M20" s="21"/>
      <c r="N20" s="21"/>
      <c r="O20" s="21"/>
    </row>
    <row r="21" spans="3:15" x14ac:dyDescent="0.25">
      <c r="C21" s="9"/>
      <c r="D21" s="13" t="s">
        <v>21</v>
      </c>
      <c r="E21" s="9"/>
      <c r="F21" s="9" t="s">
        <v>22</v>
      </c>
      <c r="G21" s="9" t="s">
        <v>23</v>
      </c>
      <c r="H21" s="13" t="s">
        <v>27</v>
      </c>
      <c r="I21" s="10" t="s">
        <v>24</v>
      </c>
      <c r="J21" s="9"/>
      <c r="K21" s="9"/>
      <c r="L21" s="9"/>
      <c r="M21" s="21"/>
      <c r="N21" s="21"/>
      <c r="O21" s="21"/>
    </row>
    <row r="22" spans="3:15" ht="6" customHeight="1" x14ac:dyDescent="0.25">
      <c r="M22" s="21"/>
      <c r="N22" s="21"/>
      <c r="O22" s="21"/>
    </row>
    <row r="23" spans="3:15" x14ac:dyDescent="0.25">
      <c r="C23" s="33" t="str">
        <f>IF(H23=1,"u","")</f>
        <v/>
      </c>
      <c r="D23" s="11" t="s">
        <v>592</v>
      </c>
      <c r="E23" s="33"/>
      <c r="F23" t="s">
        <v>88</v>
      </c>
      <c r="G23" t="s">
        <v>25</v>
      </c>
      <c r="H23">
        <f t="shared" ref="H23:H28" si="0">RANK(I23,I$23:I$43,1)</f>
        <v>6</v>
      </c>
      <c r="I23" s="4">
        <v>2700000</v>
      </c>
      <c r="J23" s="4"/>
      <c r="K23" s="4"/>
      <c r="L23" s="4"/>
      <c r="M23" s="22"/>
      <c r="N23" s="22"/>
      <c r="O23" s="22"/>
    </row>
    <row r="24" spans="3:15" x14ac:dyDescent="0.25">
      <c r="C24" s="33" t="str">
        <f>IF(H24=1,"u","")</f>
        <v/>
      </c>
      <c r="D24" s="11" t="s">
        <v>593</v>
      </c>
      <c r="E24" s="33"/>
      <c r="F24" t="s">
        <v>594</v>
      </c>
      <c r="G24" t="s">
        <v>25</v>
      </c>
      <c r="H24">
        <f t="shared" si="0"/>
        <v>3</v>
      </c>
      <c r="I24" s="4">
        <v>2149000</v>
      </c>
      <c r="J24" s="4"/>
      <c r="K24" s="4"/>
      <c r="L24" s="4"/>
      <c r="M24" s="22"/>
      <c r="N24" s="22"/>
      <c r="O24" s="22"/>
    </row>
    <row r="25" spans="3:15" x14ac:dyDescent="0.25">
      <c r="C25" s="33" t="str">
        <f>IF(H25=1,"u","")</f>
        <v>u</v>
      </c>
      <c r="D25" s="11" t="s">
        <v>430</v>
      </c>
      <c r="E25" s="33"/>
      <c r="F25" t="s">
        <v>186</v>
      </c>
      <c r="G25" t="s">
        <v>25</v>
      </c>
      <c r="H25">
        <f t="shared" si="0"/>
        <v>1</v>
      </c>
      <c r="I25" s="4">
        <v>1334000</v>
      </c>
      <c r="J25" s="4"/>
      <c r="K25" s="4"/>
      <c r="L25" s="4"/>
      <c r="M25" s="22"/>
      <c r="N25" s="22"/>
      <c r="O25" s="22"/>
    </row>
    <row r="26" spans="3:15" x14ac:dyDescent="0.25">
      <c r="C26" s="33" t="str">
        <f t="shared" ref="C26:C43" si="1">IF(H26=1,"u","")</f>
        <v/>
      </c>
      <c r="D26" s="11" t="s">
        <v>595</v>
      </c>
      <c r="E26" s="33"/>
      <c r="F26" t="s">
        <v>596</v>
      </c>
      <c r="G26" t="s">
        <v>93</v>
      </c>
      <c r="H26">
        <f t="shared" si="0"/>
        <v>5</v>
      </c>
      <c r="I26" s="4">
        <v>2400000</v>
      </c>
      <c r="J26" s="4"/>
      <c r="K26" s="4"/>
      <c r="L26" s="4"/>
      <c r="M26" s="22"/>
      <c r="N26" s="22"/>
      <c r="O26" s="22"/>
    </row>
    <row r="27" spans="3:15" x14ac:dyDescent="0.25">
      <c r="C27" s="33" t="str">
        <f t="shared" si="1"/>
        <v/>
      </c>
      <c r="D27" s="11" t="s">
        <v>347</v>
      </c>
      <c r="E27" s="33" t="str">
        <f t="shared" ref="E27:E43" si="2">IF(H27=1,"t","")</f>
        <v/>
      </c>
      <c r="F27" t="s">
        <v>147</v>
      </c>
      <c r="G27" t="s">
        <v>93</v>
      </c>
      <c r="H27">
        <f t="shared" si="0"/>
        <v>2</v>
      </c>
      <c r="I27" s="4">
        <v>1444444</v>
      </c>
      <c r="J27" s="4"/>
      <c r="K27" s="4"/>
      <c r="L27" s="4"/>
      <c r="M27" s="22"/>
      <c r="N27" s="22"/>
      <c r="O27" s="22"/>
    </row>
    <row r="28" spans="3:15" x14ac:dyDescent="0.25">
      <c r="C28" s="33" t="str">
        <f t="shared" si="1"/>
        <v/>
      </c>
      <c r="D28" s="11" t="s">
        <v>597</v>
      </c>
      <c r="E28" s="33" t="str">
        <f t="shared" si="2"/>
        <v/>
      </c>
      <c r="F28" t="s">
        <v>598</v>
      </c>
      <c r="G28" t="s">
        <v>93</v>
      </c>
      <c r="H28">
        <f t="shared" si="0"/>
        <v>4</v>
      </c>
      <c r="I28" s="4">
        <v>2274000</v>
      </c>
      <c r="J28" s="4"/>
      <c r="K28" s="4"/>
      <c r="L28" s="4"/>
      <c r="M28" s="22"/>
      <c r="N28" s="22"/>
      <c r="O28" s="22"/>
    </row>
    <row r="29" spans="3:15" x14ac:dyDescent="0.25">
      <c r="C29" s="33" t="str">
        <f t="shared" si="1"/>
        <v/>
      </c>
      <c r="D29" s="11"/>
      <c r="E29" s="33" t="str">
        <f t="shared" si="2"/>
        <v/>
      </c>
      <c r="I29" s="4"/>
      <c r="J29" s="4"/>
      <c r="K29" s="4"/>
      <c r="L29" s="4"/>
      <c r="M29" s="22"/>
      <c r="N29" s="22"/>
      <c r="O29" s="22"/>
    </row>
    <row r="30" spans="3:15" x14ac:dyDescent="0.25">
      <c r="C30" s="33" t="str">
        <f t="shared" si="1"/>
        <v/>
      </c>
      <c r="D30" s="11"/>
      <c r="E30" s="33" t="str">
        <f t="shared" si="2"/>
        <v/>
      </c>
      <c r="I30" s="4"/>
      <c r="J30" s="4"/>
      <c r="K30" s="4"/>
      <c r="L30" s="4"/>
      <c r="M30" s="22"/>
      <c r="N30" s="22"/>
      <c r="O30" s="22"/>
    </row>
    <row r="31" spans="3:15" x14ac:dyDescent="0.25">
      <c r="C31" s="33" t="str">
        <f t="shared" si="1"/>
        <v/>
      </c>
      <c r="D31" s="11"/>
      <c r="E31" s="33" t="str">
        <f t="shared" si="2"/>
        <v/>
      </c>
      <c r="I31" s="4"/>
      <c r="J31" s="4"/>
      <c r="K31" s="4"/>
      <c r="L31" s="4"/>
      <c r="M31" s="22"/>
      <c r="N31" s="22"/>
      <c r="O31" s="22"/>
    </row>
    <row r="32" spans="3:15" x14ac:dyDescent="0.25">
      <c r="C32" s="33" t="str">
        <f t="shared" si="1"/>
        <v/>
      </c>
      <c r="D32" s="11"/>
      <c r="E32" s="33" t="str">
        <f t="shared" si="2"/>
        <v/>
      </c>
      <c r="I32" s="4"/>
      <c r="J32" s="4"/>
      <c r="K32" s="4"/>
      <c r="L32" s="4"/>
      <c r="M32" s="22"/>
      <c r="N32" s="22"/>
      <c r="O32" s="22"/>
    </row>
    <row r="33" spans="3:15" x14ac:dyDescent="0.25">
      <c r="C33" s="33" t="str">
        <f t="shared" si="1"/>
        <v/>
      </c>
      <c r="D33" s="11"/>
      <c r="E33" s="33" t="str">
        <f t="shared" si="2"/>
        <v/>
      </c>
      <c r="M33" s="21"/>
      <c r="N33" s="21"/>
      <c r="O33" s="21"/>
    </row>
    <row r="34" spans="3:15" x14ac:dyDescent="0.25">
      <c r="C34" s="33" t="str">
        <f t="shared" si="1"/>
        <v/>
      </c>
      <c r="D34" s="11"/>
      <c r="E34" s="33" t="str">
        <f t="shared" si="2"/>
        <v/>
      </c>
      <c r="M34" s="21"/>
      <c r="N34" s="21"/>
      <c r="O34" s="21"/>
    </row>
    <row r="35" spans="3:15" x14ac:dyDescent="0.25">
      <c r="C35" s="33" t="str">
        <f t="shared" si="1"/>
        <v/>
      </c>
      <c r="D35" s="11"/>
      <c r="E35" s="33" t="str">
        <f t="shared" si="2"/>
        <v/>
      </c>
      <c r="M35" s="21"/>
      <c r="N35" s="21"/>
      <c r="O35" s="21"/>
    </row>
    <row r="36" spans="3:15" x14ac:dyDescent="0.25">
      <c r="C36" s="33" t="str">
        <f t="shared" si="1"/>
        <v/>
      </c>
      <c r="D36" s="11"/>
      <c r="E36" s="33" t="str">
        <f t="shared" si="2"/>
        <v/>
      </c>
      <c r="M36" s="21"/>
      <c r="N36" s="21"/>
      <c r="O36" s="21"/>
    </row>
    <row r="37" spans="3:15" x14ac:dyDescent="0.25">
      <c r="C37" s="33" t="str">
        <f t="shared" si="1"/>
        <v/>
      </c>
      <c r="D37" s="11"/>
      <c r="E37" s="33" t="str">
        <f t="shared" si="2"/>
        <v/>
      </c>
      <c r="M37" s="21"/>
      <c r="N37" s="21"/>
      <c r="O37" s="21"/>
    </row>
    <row r="38" spans="3:15" x14ac:dyDescent="0.25">
      <c r="C38" s="33" t="str">
        <f t="shared" si="1"/>
        <v/>
      </c>
      <c r="D38" s="11"/>
      <c r="E38" s="33" t="str">
        <f t="shared" si="2"/>
        <v/>
      </c>
      <c r="M38" s="21"/>
      <c r="N38" s="21"/>
      <c r="O38" s="21"/>
    </row>
    <row r="39" spans="3:15" x14ac:dyDescent="0.25">
      <c r="C39" s="33" t="str">
        <f t="shared" si="1"/>
        <v/>
      </c>
      <c r="D39" s="11"/>
      <c r="E39" s="33" t="str">
        <f t="shared" si="2"/>
        <v/>
      </c>
      <c r="M39" s="21"/>
      <c r="N39" s="21"/>
      <c r="O39" s="21"/>
    </row>
    <row r="40" spans="3:15" x14ac:dyDescent="0.25">
      <c r="C40" s="33" t="str">
        <f t="shared" si="1"/>
        <v/>
      </c>
      <c r="D40" s="11"/>
      <c r="E40" s="33" t="str">
        <f t="shared" si="2"/>
        <v/>
      </c>
      <c r="M40" s="21"/>
      <c r="N40" s="21"/>
      <c r="O40" s="21"/>
    </row>
    <row r="41" spans="3:15" x14ac:dyDescent="0.25">
      <c r="C41" s="33" t="str">
        <f t="shared" si="1"/>
        <v/>
      </c>
      <c r="D41" s="11"/>
      <c r="E41" s="33" t="str">
        <f t="shared" si="2"/>
        <v/>
      </c>
      <c r="M41" s="21"/>
      <c r="N41" s="21"/>
      <c r="O41" s="21"/>
    </row>
    <row r="42" spans="3:15" x14ac:dyDescent="0.25">
      <c r="C42" s="33" t="str">
        <f t="shared" si="1"/>
        <v/>
      </c>
      <c r="D42" s="11"/>
      <c r="E42" s="33" t="str">
        <f t="shared" si="2"/>
        <v/>
      </c>
      <c r="M42" s="21"/>
      <c r="N42" s="21"/>
      <c r="O42" s="21"/>
    </row>
    <row r="43" spans="3:15" x14ac:dyDescent="0.25">
      <c r="C43" s="33" t="str">
        <f t="shared" si="1"/>
        <v/>
      </c>
      <c r="D43" s="11"/>
      <c r="E43" s="33" t="str">
        <f t="shared" si="2"/>
        <v/>
      </c>
      <c r="M43" s="21"/>
      <c r="N43" s="21"/>
      <c r="O43" s="21"/>
    </row>
    <row r="44" spans="3:15" ht="6" customHeight="1" x14ac:dyDescent="0.25">
      <c r="C44" s="9"/>
      <c r="D44" s="9"/>
      <c r="E44" s="9"/>
      <c r="F44" s="9"/>
      <c r="G44" s="9"/>
      <c r="H44" s="9"/>
      <c r="I44" s="9"/>
      <c r="J44" s="9"/>
      <c r="K44" s="9"/>
      <c r="L44" s="9"/>
      <c r="M44" s="21"/>
      <c r="N44" s="21"/>
      <c r="O44" s="21"/>
    </row>
    <row r="45" spans="3:15" ht="6" customHeight="1" x14ac:dyDescent="0.25">
      <c r="M45" s="21"/>
      <c r="N45" s="21"/>
      <c r="O45" s="21"/>
    </row>
    <row r="46" spans="3:15" x14ac:dyDescent="0.25">
      <c r="C46" s="15" t="s">
        <v>79</v>
      </c>
      <c r="M46" s="21"/>
      <c r="N46" s="21"/>
      <c r="O46" s="21"/>
    </row>
    <row r="47" spans="3:15" x14ac:dyDescent="0.25">
      <c r="C47" s="15" t="s">
        <v>78</v>
      </c>
    </row>
  </sheetData>
  <mergeCells count="1">
    <mergeCell ref="G13:H13"/>
  </mergeCells>
  <conditionalFormatting sqref="I9">
    <cfRule type="containsText" dxfId="699" priority="10" operator="containsText" text="FAIL">
      <formula>NOT(ISERROR(SEARCH("FAIL",I9)))</formula>
    </cfRule>
  </conditionalFormatting>
  <conditionalFormatting sqref="I9">
    <cfRule type="containsText" dxfId="698" priority="9" operator="containsText" text="GOOD">
      <formula>NOT(ISERROR(SEARCH("GOOD",I9)))</formula>
    </cfRule>
  </conditionalFormatting>
  <conditionalFormatting sqref="F11">
    <cfRule type="containsText" dxfId="697" priority="8" operator="containsText" text="FAIL">
      <formula>NOT(ISERROR(SEARCH("FAIL",F11)))</formula>
    </cfRule>
  </conditionalFormatting>
  <conditionalFormatting sqref="F11">
    <cfRule type="containsText" dxfId="696" priority="7" operator="containsText" text="GOOD">
      <formula>NOT(ISERROR(SEARCH("GOOD",F11)))</formula>
    </cfRule>
  </conditionalFormatting>
  <conditionalFormatting sqref="D25">
    <cfRule type="expression" dxfId="695" priority="6" stopIfTrue="1">
      <formula>IF($H$25=1,0)</formula>
    </cfRule>
  </conditionalFormatting>
  <conditionalFormatting sqref="D23:D43">
    <cfRule type="expression" dxfId="694" priority="5">
      <formula>H23=1</formula>
    </cfRule>
  </conditionalFormatting>
  <conditionalFormatting sqref="C23:C43">
    <cfRule type="expression" dxfId="693" priority="4">
      <formula>H23=1</formula>
    </cfRule>
  </conditionalFormatting>
  <conditionalFormatting sqref="E23:E43">
    <cfRule type="expression" dxfId="692" priority="3">
      <formula>H23=1</formula>
    </cfRule>
  </conditionalFormatting>
  <conditionalFormatting sqref="F11">
    <cfRule type="containsText" dxfId="691" priority="2" operator="containsText" text="FAIL">
      <formula>NOT(ISERROR(SEARCH("FAIL",F11)))</formula>
    </cfRule>
  </conditionalFormatting>
  <conditionalFormatting sqref="F11">
    <cfRule type="containsText" dxfId="690" priority="1" operator="containsText" text="GOOD">
      <formula>NOT(ISERROR(SEARCH("GOOD",F11)))</formula>
    </cfRule>
  </conditionalFormatting>
  <pageMargins left="0.7" right="0.7" top="0.75" bottom="0.75" header="0.3" footer="0.3"/>
  <pageSetup scale="68" orientation="portrait" r:id="rId1"/>
</worksheet>
</file>

<file path=xl/worksheets/sheet1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sheetPr codeName="Sheet70"/>
  <dimension ref="A2:O46"/>
  <sheetViews>
    <sheetView topLeftCell="A10" workbookViewId="0">
      <selection activeCell="K37" sqref="K37"/>
    </sheetView>
  </sheetViews>
  <sheetFormatPr defaultRowHeight="15" x14ac:dyDescent="0.25"/>
  <cols>
    <col min="1" max="2" width="4.42578125" customWidth="1"/>
    <col min="3" max="3" width="3" customWidth="1"/>
    <col min="4" max="4" width="24.7109375" customWidth="1"/>
    <col min="5" max="5" width="3" customWidth="1"/>
    <col min="6" max="6" width="15.7109375" customWidth="1"/>
    <col min="7" max="7" width="8.5703125" customWidth="1"/>
    <col min="8" max="8" width="5.85546875" customWidth="1"/>
    <col min="9" max="15" width="15.7109375" customWidth="1"/>
  </cols>
  <sheetData>
    <row r="2" spans="1:11" x14ac:dyDescent="0.25">
      <c r="C2" s="15" t="s">
        <v>32</v>
      </c>
      <c r="E2" s="15"/>
      <c r="F2" s="15"/>
      <c r="G2" s="15" t="s">
        <v>33</v>
      </c>
      <c r="H2" s="15"/>
      <c r="I2" s="15"/>
      <c r="J2" s="15"/>
      <c r="K2" s="15"/>
    </row>
    <row r="3" spans="1:11" ht="18.75" x14ac:dyDescent="0.3">
      <c r="C3" s="3" t="s">
        <v>26</v>
      </c>
      <c r="J3" s="8" t="s">
        <v>47</v>
      </c>
    </row>
    <row r="4" spans="1:11" x14ac:dyDescent="0.25">
      <c r="D4" s="2" t="s">
        <v>0</v>
      </c>
      <c r="E4" s="1"/>
      <c r="F4" t="s">
        <v>916</v>
      </c>
      <c r="I4" s="2" t="s">
        <v>4</v>
      </c>
      <c r="J4" t="s">
        <v>616</v>
      </c>
    </row>
    <row r="5" spans="1:11" x14ac:dyDescent="0.25">
      <c r="D5" s="2" t="s">
        <v>1</v>
      </c>
      <c r="F5" t="s">
        <v>917</v>
      </c>
    </row>
    <row r="6" spans="1:11" x14ac:dyDescent="0.25">
      <c r="D6" s="2" t="s">
        <v>2</v>
      </c>
      <c r="F6" s="6">
        <v>42780</v>
      </c>
      <c r="H6" s="11"/>
    </row>
    <row r="7" spans="1:11" x14ac:dyDescent="0.25">
      <c r="D7" s="2" t="s">
        <v>3</v>
      </c>
      <c r="F7" s="5">
        <f>+I7+J7</f>
        <v>2580000</v>
      </c>
      <c r="G7" s="2" t="s">
        <v>34</v>
      </c>
      <c r="H7" s="11"/>
      <c r="I7" s="19">
        <v>106000</v>
      </c>
      <c r="J7" s="19">
        <v>2474000</v>
      </c>
    </row>
    <row r="8" spans="1:11" x14ac:dyDescent="0.25">
      <c r="D8" s="2" t="s">
        <v>18</v>
      </c>
      <c r="F8" s="5">
        <f>MIN(K23:K42)</f>
        <v>1386000</v>
      </c>
      <c r="H8" s="11"/>
      <c r="I8" s="18" t="s">
        <v>43</v>
      </c>
      <c r="J8" s="18" t="s">
        <v>44</v>
      </c>
    </row>
    <row r="9" spans="1:11" x14ac:dyDescent="0.25">
      <c r="D9" s="2" t="s">
        <v>19</v>
      </c>
      <c r="F9" s="4">
        <f>+F8-F7</f>
        <v>-1194000</v>
      </c>
      <c r="G9" s="16">
        <f>+F9/F7</f>
        <v>-0.46279069767441861</v>
      </c>
      <c r="H9" s="12" t="s">
        <v>20</v>
      </c>
      <c r="I9" s="11" t="str">
        <f>(IF(G9&lt;-0.1,"FAIL",IF(G9&gt;0.05,"FAIL","GOOD")))</f>
        <v>FAIL</v>
      </c>
      <c r="J9" s="14" t="s">
        <v>72</v>
      </c>
    </row>
    <row r="10" spans="1:11" x14ac:dyDescent="0.25">
      <c r="D10" s="2" t="s">
        <v>68</v>
      </c>
      <c r="F10" s="4">
        <f>+F7-F12</f>
        <v>215042.75</v>
      </c>
      <c r="H10" s="11"/>
    </row>
    <row r="11" spans="1:11" x14ac:dyDescent="0.25">
      <c r="A11" s="30"/>
      <c r="D11" s="2" t="s">
        <v>71</v>
      </c>
      <c r="F11" s="11" t="str">
        <f>(IF(F7&lt;J12,"FAIL",IF(F7&gt;J13,"FAIL","GOOD")))</f>
        <v>GOOD</v>
      </c>
      <c r="H11" s="11"/>
    </row>
    <row r="12" spans="1:11" x14ac:dyDescent="0.25">
      <c r="D12" s="2" t="s">
        <v>28</v>
      </c>
      <c r="F12" s="4">
        <f>SUM(K23:K42)/H12</f>
        <v>2364957.25</v>
      </c>
      <c r="G12" s="14"/>
      <c r="H12" s="11">
        <f>COUNT(K23:K42)</f>
        <v>16</v>
      </c>
      <c r="I12" s="1" t="s">
        <v>31</v>
      </c>
      <c r="J12" s="4">
        <f>+F8*0.9</f>
        <v>1247400</v>
      </c>
      <c r="K12" s="1" t="s">
        <v>69</v>
      </c>
    </row>
    <row r="13" spans="1:11" x14ac:dyDescent="0.25">
      <c r="D13" s="2" t="s">
        <v>29</v>
      </c>
      <c r="F13" s="4">
        <f>MAX(K23:K42)-MIN(K23:K42)</f>
        <v>1898000</v>
      </c>
      <c r="G13" s="399">
        <f>MEDIAN(K23:K42)</f>
        <v>2339981.5</v>
      </c>
      <c r="H13" s="400"/>
      <c r="I13" s="1" t="s">
        <v>30</v>
      </c>
      <c r="J13" s="4">
        <f>+F12*1.1</f>
        <v>2601452.9750000001</v>
      </c>
      <c r="K13" s="1" t="s">
        <v>70</v>
      </c>
    </row>
    <row r="14" spans="1:11" x14ac:dyDescent="0.25">
      <c r="H14" s="11"/>
    </row>
    <row r="15" spans="1:11" x14ac:dyDescent="0.25">
      <c r="D15" s="2" t="s">
        <v>8</v>
      </c>
      <c r="F15" s="4">
        <v>30000000</v>
      </c>
      <c r="G15" s="1" t="s">
        <v>9</v>
      </c>
      <c r="H15" s="11"/>
      <c r="I15" t="s">
        <v>15</v>
      </c>
      <c r="J15" s="7">
        <f>+F16/F15</f>
        <v>0.93333333333333335</v>
      </c>
    </row>
    <row r="16" spans="1:11" x14ac:dyDescent="0.25">
      <c r="F16" s="4">
        <v>28000000</v>
      </c>
      <c r="G16" s="1" t="s">
        <v>10</v>
      </c>
      <c r="H16" s="11"/>
      <c r="I16" t="s">
        <v>14</v>
      </c>
      <c r="J16" s="7">
        <f>+F17/F16</f>
        <v>1.0535714285714286</v>
      </c>
    </row>
    <row r="17" spans="3:15" x14ac:dyDescent="0.25">
      <c r="F17" s="4">
        <v>29500000</v>
      </c>
      <c r="G17" s="1" t="s">
        <v>11</v>
      </c>
      <c r="H17" s="11"/>
      <c r="I17" t="s">
        <v>13</v>
      </c>
      <c r="J17" s="7">
        <f>+F18/F17</f>
        <v>8.7457627118644063E-2</v>
      </c>
    </row>
    <row r="18" spans="3:15" x14ac:dyDescent="0.25">
      <c r="F18" s="4">
        <f>+F7</f>
        <v>2580000</v>
      </c>
      <c r="G18" s="1" t="s">
        <v>12</v>
      </c>
      <c r="H18" s="11"/>
      <c r="I18" t="s">
        <v>16</v>
      </c>
      <c r="J18" s="7">
        <f>+F8/F18</f>
        <v>0.53720930232558139</v>
      </c>
    </row>
    <row r="19" spans="3:15" x14ac:dyDescent="0.25">
      <c r="F19" s="2" t="s">
        <v>51</v>
      </c>
      <c r="G19">
        <v>0</v>
      </c>
      <c r="H19" s="11" t="s">
        <v>52</v>
      </c>
      <c r="I19" t="s">
        <v>41</v>
      </c>
      <c r="J19" s="7">
        <f>+F8/F15</f>
        <v>4.6199999999999998E-2</v>
      </c>
    </row>
    <row r="20" spans="3:15" x14ac:dyDescent="0.25">
      <c r="H20" s="11"/>
      <c r="M20" s="21"/>
      <c r="N20" s="21"/>
      <c r="O20" s="21"/>
    </row>
    <row r="21" spans="3:15" x14ac:dyDescent="0.25">
      <c r="C21" s="9"/>
      <c r="D21" s="13" t="s">
        <v>21</v>
      </c>
      <c r="E21" s="9"/>
      <c r="F21" s="9" t="s">
        <v>22</v>
      </c>
      <c r="G21" s="9" t="s">
        <v>23</v>
      </c>
      <c r="H21" s="13" t="s">
        <v>27</v>
      </c>
      <c r="I21" s="10" t="s">
        <v>38</v>
      </c>
      <c r="J21" s="10" t="s">
        <v>37</v>
      </c>
      <c r="K21" s="10" t="s">
        <v>39</v>
      </c>
      <c r="L21" s="9"/>
      <c r="M21" s="21"/>
      <c r="N21" s="21"/>
      <c r="O21" s="21"/>
    </row>
    <row r="22" spans="3:15" ht="6" customHeight="1" x14ac:dyDescent="0.25">
      <c r="M22" s="21"/>
      <c r="N22" s="21"/>
      <c r="O22" s="21"/>
    </row>
    <row r="23" spans="3:15" x14ac:dyDescent="0.25">
      <c r="C23" s="33" t="str">
        <f>IF(H23=1,"u","")</f>
        <v/>
      </c>
      <c r="D23" s="11" t="s">
        <v>541</v>
      </c>
      <c r="E23" s="33"/>
      <c r="F23" t="s">
        <v>159</v>
      </c>
      <c r="G23" t="s">
        <v>93</v>
      </c>
      <c r="H23">
        <f t="shared" ref="H23:H38" si="0">RANK(K23,K$23:K$42,1)</f>
        <v>16</v>
      </c>
      <c r="I23" s="4">
        <v>134000</v>
      </c>
      <c r="J23" s="4">
        <v>3150000</v>
      </c>
      <c r="K23" s="4">
        <f>+J23+I23</f>
        <v>3284000</v>
      </c>
      <c r="L23" s="4"/>
      <c r="M23" s="22"/>
      <c r="N23" s="22"/>
      <c r="O23" s="22"/>
    </row>
    <row r="24" spans="3:15" x14ac:dyDescent="0.25">
      <c r="C24" s="33" t="str">
        <f>IF(H24=1,"u","")</f>
        <v/>
      </c>
      <c r="D24" s="11" t="s">
        <v>908</v>
      </c>
      <c r="E24" s="33"/>
      <c r="F24" t="s">
        <v>918</v>
      </c>
      <c r="G24" t="s">
        <v>25</v>
      </c>
      <c r="H24">
        <f t="shared" si="0"/>
        <v>8</v>
      </c>
      <c r="I24" s="4">
        <v>134000</v>
      </c>
      <c r="J24" s="4">
        <v>2163285</v>
      </c>
      <c r="K24" s="4">
        <f t="shared" ref="K24:K38" si="1">+J24+I24</f>
        <v>2297285</v>
      </c>
      <c r="L24" s="4"/>
      <c r="M24" s="22"/>
      <c r="N24" s="22"/>
      <c r="O24" s="22"/>
    </row>
    <row r="25" spans="3:15" x14ac:dyDescent="0.25">
      <c r="C25" s="33" t="str">
        <f>IF(H25=1,"u","")</f>
        <v/>
      </c>
      <c r="D25" s="11" t="s">
        <v>733</v>
      </c>
      <c r="E25" s="33"/>
      <c r="F25" t="s">
        <v>120</v>
      </c>
      <c r="G25" t="s">
        <v>25</v>
      </c>
      <c r="H25">
        <f t="shared" si="0"/>
        <v>4</v>
      </c>
      <c r="I25" s="4">
        <v>126000</v>
      </c>
      <c r="J25" s="4">
        <v>1635111</v>
      </c>
      <c r="K25" s="4">
        <f t="shared" si="1"/>
        <v>1761111</v>
      </c>
      <c r="L25" s="4"/>
      <c r="M25" s="22"/>
      <c r="N25" s="22"/>
      <c r="O25" s="22"/>
    </row>
    <row r="26" spans="3:15" x14ac:dyDescent="0.25">
      <c r="C26" s="33" t="str">
        <f t="shared" ref="C26:C42" si="2">IF(H26=1,"u","")</f>
        <v/>
      </c>
      <c r="D26" s="11" t="s">
        <v>564</v>
      </c>
      <c r="E26" s="33"/>
      <c r="F26" t="s">
        <v>558</v>
      </c>
      <c r="G26" t="s">
        <v>25</v>
      </c>
      <c r="H26">
        <f t="shared" si="0"/>
        <v>9</v>
      </c>
      <c r="I26" s="4">
        <v>67200</v>
      </c>
      <c r="J26" s="4">
        <v>2315478</v>
      </c>
      <c r="K26" s="4">
        <f t="shared" si="1"/>
        <v>2382678</v>
      </c>
      <c r="L26" s="4"/>
      <c r="M26" s="22"/>
      <c r="N26" s="22"/>
      <c r="O26" s="22"/>
    </row>
    <row r="27" spans="3:15" x14ac:dyDescent="0.25">
      <c r="C27" s="33" t="str">
        <f t="shared" si="2"/>
        <v/>
      </c>
      <c r="D27" s="11" t="s">
        <v>919</v>
      </c>
      <c r="E27" s="33"/>
      <c r="F27" t="s">
        <v>920</v>
      </c>
      <c r="G27" t="s">
        <v>25</v>
      </c>
      <c r="H27">
        <f t="shared" si="0"/>
        <v>2</v>
      </c>
      <c r="I27" s="4">
        <v>92400</v>
      </c>
      <c r="J27" s="4">
        <v>1615000</v>
      </c>
      <c r="K27" s="4">
        <f t="shared" si="1"/>
        <v>1707400</v>
      </c>
      <c r="L27" s="4"/>
      <c r="M27" s="22"/>
      <c r="N27" s="22"/>
      <c r="O27" s="22"/>
    </row>
    <row r="28" spans="3:15" x14ac:dyDescent="0.25">
      <c r="C28" s="33" t="str">
        <f t="shared" si="2"/>
        <v>u</v>
      </c>
      <c r="D28" s="11" t="s">
        <v>921</v>
      </c>
      <c r="E28" s="33"/>
      <c r="F28" t="s">
        <v>113</v>
      </c>
      <c r="G28" t="s">
        <v>25</v>
      </c>
      <c r="H28">
        <f t="shared" si="0"/>
        <v>1</v>
      </c>
      <c r="I28" s="4">
        <v>285600</v>
      </c>
      <c r="J28" s="4">
        <v>1100400</v>
      </c>
      <c r="K28" s="4">
        <f t="shared" si="1"/>
        <v>1386000</v>
      </c>
      <c r="L28" s="4"/>
      <c r="M28" s="22"/>
      <c r="N28" s="22"/>
      <c r="O28" s="22"/>
    </row>
    <row r="29" spans="3:15" x14ac:dyDescent="0.25">
      <c r="C29" s="33" t="str">
        <f t="shared" si="2"/>
        <v/>
      </c>
      <c r="D29" s="11" t="s">
        <v>922</v>
      </c>
      <c r="E29" s="33"/>
      <c r="F29" t="s">
        <v>923</v>
      </c>
      <c r="G29" t="s">
        <v>25</v>
      </c>
      <c r="H29">
        <f t="shared" si="0"/>
        <v>10</v>
      </c>
      <c r="I29" s="4">
        <v>84000</v>
      </c>
      <c r="J29" s="4">
        <v>2580000</v>
      </c>
      <c r="K29" s="4">
        <f t="shared" si="1"/>
        <v>2664000</v>
      </c>
      <c r="L29" s="4"/>
      <c r="M29" s="22"/>
      <c r="N29" s="22"/>
      <c r="O29" s="22"/>
    </row>
    <row r="30" spans="3:15" x14ac:dyDescent="0.25">
      <c r="C30" s="33" t="str">
        <f t="shared" si="2"/>
        <v/>
      </c>
      <c r="D30" s="11" t="s">
        <v>924</v>
      </c>
      <c r="E30" s="33"/>
      <c r="F30" t="s">
        <v>865</v>
      </c>
      <c r="G30" t="s">
        <v>25</v>
      </c>
      <c r="H30">
        <f t="shared" si="0"/>
        <v>15</v>
      </c>
      <c r="I30" s="4">
        <v>91459</v>
      </c>
      <c r="J30" s="4">
        <v>3137986</v>
      </c>
      <c r="K30" s="4">
        <f t="shared" si="1"/>
        <v>3229445</v>
      </c>
      <c r="L30" s="4"/>
      <c r="M30" s="22"/>
      <c r="N30" s="22"/>
      <c r="O30" s="22"/>
    </row>
    <row r="31" spans="3:15" x14ac:dyDescent="0.25">
      <c r="C31" s="33" t="str">
        <f t="shared" si="2"/>
        <v/>
      </c>
      <c r="D31" s="11" t="s">
        <v>925</v>
      </c>
      <c r="E31" s="33"/>
      <c r="F31" t="s">
        <v>899</v>
      </c>
      <c r="G31" t="s">
        <v>25</v>
      </c>
      <c r="H31">
        <f t="shared" si="0"/>
        <v>12</v>
      </c>
      <c r="I31" s="4">
        <v>106932</v>
      </c>
      <c r="J31" s="4">
        <v>2652690</v>
      </c>
      <c r="K31" s="4">
        <f t="shared" si="1"/>
        <v>2759622</v>
      </c>
      <c r="L31" s="4"/>
      <c r="M31" s="22"/>
      <c r="N31" s="22"/>
      <c r="O31" s="22"/>
    </row>
    <row r="32" spans="3:15" x14ac:dyDescent="0.25">
      <c r="C32" s="33" t="str">
        <f t="shared" si="2"/>
        <v/>
      </c>
      <c r="D32" s="11" t="s">
        <v>679</v>
      </c>
      <c r="E32" s="33"/>
      <c r="F32" t="s">
        <v>899</v>
      </c>
      <c r="G32" t="s">
        <v>25</v>
      </c>
      <c r="H32">
        <f t="shared" si="0"/>
        <v>3</v>
      </c>
      <c r="I32" s="4">
        <v>87360</v>
      </c>
      <c r="J32" s="4">
        <v>1659640</v>
      </c>
      <c r="K32" s="4">
        <f t="shared" si="1"/>
        <v>1747000</v>
      </c>
      <c r="L32" s="4"/>
      <c r="M32" s="22"/>
      <c r="N32" s="22"/>
      <c r="O32" s="22"/>
    </row>
    <row r="33" spans="3:15" x14ac:dyDescent="0.25">
      <c r="C33" s="33" t="str">
        <f t="shared" si="2"/>
        <v/>
      </c>
      <c r="D33" s="11" t="s">
        <v>904</v>
      </c>
      <c r="E33" s="33"/>
      <c r="F33" t="s">
        <v>905</v>
      </c>
      <c r="G33" t="s">
        <v>25</v>
      </c>
      <c r="H33">
        <f t="shared" si="0"/>
        <v>5</v>
      </c>
      <c r="I33" s="4">
        <v>100800</v>
      </c>
      <c r="J33" s="4">
        <v>1696997</v>
      </c>
      <c r="K33" s="4">
        <f t="shared" si="1"/>
        <v>1797797</v>
      </c>
      <c r="M33" s="21"/>
      <c r="N33" s="21"/>
      <c r="O33" s="21"/>
    </row>
    <row r="34" spans="3:15" x14ac:dyDescent="0.25">
      <c r="C34" s="33" t="str">
        <f t="shared" si="2"/>
        <v/>
      </c>
      <c r="D34" s="11" t="s">
        <v>926</v>
      </c>
      <c r="E34" s="33"/>
      <c r="F34" t="s">
        <v>127</v>
      </c>
      <c r="G34" t="s">
        <v>25</v>
      </c>
      <c r="H34">
        <f t="shared" si="0"/>
        <v>11</v>
      </c>
      <c r="I34" s="4">
        <v>117600</v>
      </c>
      <c r="J34" s="4">
        <v>2561102</v>
      </c>
      <c r="K34" s="4">
        <f t="shared" si="1"/>
        <v>2678702</v>
      </c>
      <c r="M34" s="21"/>
      <c r="N34" s="21"/>
      <c r="O34" s="21"/>
    </row>
    <row r="35" spans="3:15" x14ac:dyDescent="0.25">
      <c r="C35" s="33" t="str">
        <f t="shared" si="2"/>
        <v/>
      </c>
      <c r="D35" s="11" t="s">
        <v>687</v>
      </c>
      <c r="E35" s="33"/>
      <c r="F35" t="s">
        <v>201</v>
      </c>
      <c r="G35" t="s">
        <v>25</v>
      </c>
      <c r="H35">
        <f t="shared" si="0"/>
        <v>14</v>
      </c>
      <c r="I35" s="4">
        <v>199920</v>
      </c>
      <c r="J35" s="4">
        <v>2873000</v>
      </c>
      <c r="K35" s="4">
        <f t="shared" si="1"/>
        <v>3072920</v>
      </c>
      <c r="M35" s="21"/>
      <c r="N35" s="21"/>
      <c r="O35" s="21"/>
    </row>
    <row r="36" spans="3:15" x14ac:dyDescent="0.25">
      <c r="C36" s="33" t="str">
        <f t="shared" si="2"/>
        <v/>
      </c>
      <c r="D36" s="11" t="s">
        <v>927</v>
      </c>
      <c r="E36" s="33"/>
      <c r="F36" t="s">
        <v>928</v>
      </c>
      <c r="G36" t="s">
        <v>25</v>
      </c>
      <c r="H36">
        <f t="shared" si="0"/>
        <v>7</v>
      </c>
      <c r="I36" s="4">
        <v>114240</v>
      </c>
      <c r="J36" s="4">
        <v>2076625</v>
      </c>
      <c r="K36" s="4">
        <f t="shared" si="1"/>
        <v>2190865</v>
      </c>
      <c r="M36" s="21"/>
      <c r="N36" s="21"/>
      <c r="O36" s="21"/>
    </row>
    <row r="37" spans="3:15" x14ac:dyDescent="0.25">
      <c r="C37" s="33" t="str">
        <f t="shared" si="2"/>
        <v/>
      </c>
      <c r="D37" s="11" t="s">
        <v>929</v>
      </c>
      <c r="E37" s="33"/>
      <c r="F37" t="s">
        <v>930</v>
      </c>
      <c r="G37" t="s">
        <v>25</v>
      </c>
      <c r="H37">
        <f t="shared" si="0"/>
        <v>6</v>
      </c>
      <c r="I37" s="4">
        <v>103320</v>
      </c>
      <c r="J37" s="4">
        <v>2017461</v>
      </c>
      <c r="K37" s="4">
        <f t="shared" si="1"/>
        <v>2120781</v>
      </c>
      <c r="M37" s="21"/>
      <c r="N37" s="21"/>
      <c r="O37" s="21"/>
    </row>
    <row r="38" spans="3:15" x14ac:dyDescent="0.25">
      <c r="C38" s="33" t="str">
        <f t="shared" si="2"/>
        <v/>
      </c>
      <c r="D38" s="11" t="s">
        <v>931</v>
      </c>
      <c r="E38" s="33"/>
      <c r="F38" t="s">
        <v>131</v>
      </c>
      <c r="G38" t="s">
        <v>25</v>
      </c>
      <c r="H38">
        <f t="shared" si="0"/>
        <v>13</v>
      </c>
      <c r="I38" s="4">
        <v>126000</v>
      </c>
      <c r="J38" s="4">
        <v>2633710</v>
      </c>
      <c r="K38" s="4">
        <f t="shared" si="1"/>
        <v>2759710</v>
      </c>
      <c r="M38" s="21"/>
      <c r="N38" s="21"/>
      <c r="O38" s="21"/>
    </row>
    <row r="39" spans="3:15" x14ac:dyDescent="0.25">
      <c r="C39" s="33" t="str">
        <f t="shared" si="2"/>
        <v/>
      </c>
      <c r="D39" s="11"/>
      <c r="E39" s="33" t="str">
        <f>IF(H39=1,"t","")</f>
        <v/>
      </c>
      <c r="K39" s="4"/>
      <c r="M39" s="21"/>
      <c r="N39" s="21"/>
      <c r="O39" s="21"/>
    </row>
    <row r="40" spans="3:15" x14ac:dyDescent="0.25">
      <c r="C40" s="33" t="str">
        <f t="shared" si="2"/>
        <v/>
      </c>
      <c r="D40" s="11"/>
      <c r="E40" s="33" t="str">
        <f>IF(H40=1,"t","")</f>
        <v/>
      </c>
      <c r="K40" s="4"/>
      <c r="M40" s="21"/>
      <c r="N40" s="21"/>
      <c r="O40" s="21"/>
    </row>
    <row r="41" spans="3:15" x14ac:dyDescent="0.25">
      <c r="C41" s="33" t="str">
        <f t="shared" si="2"/>
        <v/>
      </c>
      <c r="D41" s="11"/>
      <c r="E41" s="33" t="str">
        <f>IF(H41=1,"t","")</f>
        <v/>
      </c>
      <c r="K41" s="4"/>
      <c r="M41" s="21"/>
      <c r="N41" s="21"/>
      <c r="O41" s="21"/>
    </row>
    <row r="42" spans="3:15" x14ac:dyDescent="0.25">
      <c r="C42" s="33" t="str">
        <f t="shared" si="2"/>
        <v/>
      </c>
      <c r="D42" s="11"/>
      <c r="E42" s="33" t="str">
        <f>IF(H42=1,"t","")</f>
        <v/>
      </c>
      <c r="K42" s="4"/>
      <c r="M42" s="21"/>
      <c r="N42" s="21"/>
      <c r="O42" s="21"/>
    </row>
    <row r="43" spans="3:15" ht="6" customHeight="1" x14ac:dyDescent="0.25">
      <c r="C43" s="9"/>
      <c r="D43" s="9"/>
      <c r="E43" s="9"/>
      <c r="F43" s="9"/>
      <c r="G43" s="9"/>
      <c r="H43" s="9"/>
      <c r="I43" s="9"/>
      <c r="J43" s="9"/>
      <c r="K43" s="9"/>
      <c r="L43" s="9"/>
      <c r="M43" s="21"/>
      <c r="N43" s="21"/>
      <c r="O43" s="21"/>
    </row>
    <row r="44" spans="3:15" ht="6" customHeight="1" x14ac:dyDescent="0.25">
      <c r="M44" s="21"/>
      <c r="N44" s="21"/>
      <c r="O44" s="21"/>
    </row>
    <row r="45" spans="3:15" x14ac:dyDescent="0.25">
      <c r="C45" s="15" t="s">
        <v>79</v>
      </c>
      <c r="M45" s="21"/>
      <c r="N45" s="21"/>
      <c r="O45" s="21"/>
    </row>
    <row r="46" spans="3:15" x14ac:dyDescent="0.25">
      <c r="C46" s="15" t="s">
        <v>78</v>
      </c>
    </row>
  </sheetData>
  <mergeCells count="1">
    <mergeCell ref="G13:H13"/>
  </mergeCells>
  <conditionalFormatting sqref="I9">
    <cfRule type="containsText" dxfId="1365" priority="27" operator="containsText" text="FAIL">
      <formula>NOT(ISERROR(SEARCH("FAIL",I9)))</formula>
    </cfRule>
  </conditionalFormatting>
  <conditionalFormatting sqref="I9">
    <cfRule type="containsText" dxfId="1364" priority="26" operator="containsText" text="GOOD">
      <formula>NOT(ISERROR(SEARCH("GOOD",I9)))</formula>
    </cfRule>
  </conditionalFormatting>
  <conditionalFormatting sqref="I9">
    <cfRule type="containsText" dxfId="1363" priority="25" operator="containsText" text="FAIL">
      <formula>NOT(ISERROR(SEARCH("FAIL",I9)))</formula>
    </cfRule>
  </conditionalFormatting>
  <conditionalFormatting sqref="I9">
    <cfRule type="containsText" dxfId="1362" priority="24" operator="containsText" text="GOOD">
      <formula>NOT(ISERROR(SEARCH("GOOD",I9)))</formula>
    </cfRule>
  </conditionalFormatting>
  <conditionalFormatting sqref="I9">
    <cfRule type="containsText" dxfId="1361" priority="23" operator="containsText" text="FAIL">
      <formula>NOT(ISERROR(SEARCH("FAIL",I9)))</formula>
    </cfRule>
  </conditionalFormatting>
  <conditionalFormatting sqref="I9">
    <cfRule type="containsText" dxfId="1360" priority="22" operator="containsText" text="GOOD">
      <formula>NOT(ISERROR(SEARCH("GOOD",I9)))</formula>
    </cfRule>
  </conditionalFormatting>
  <conditionalFormatting sqref="F11">
    <cfRule type="containsText" dxfId="1359" priority="21" operator="containsText" text="FAIL">
      <formula>NOT(ISERROR(SEARCH("FAIL",F11)))</formula>
    </cfRule>
  </conditionalFormatting>
  <conditionalFormatting sqref="F11">
    <cfRule type="containsText" dxfId="1358" priority="20" operator="containsText" text="GOOD">
      <formula>NOT(ISERROR(SEARCH("GOOD",F11)))</formula>
    </cfRule>
  </conditionalFormatting>
  <conditionalFormatting sqref="I9">
    <cfRule type="containsText" dxfId="1357" priority="19" operator="containsText" text="FAIL">
      <formula>NOT(ISERROR(SEARCH("FAIL",I9)))</formula>
    </cfRule>
  </conditionalFormatting>
  <conditionalFormatting sqref="I9">
    <cfRule type="containsText" dxfId="1356" priority="18" operator="containsText" text="GOOD">
      <formula>NOT(ISERROR(SEARCH("GOOD",I9)))</formula>
    </cfRule>
  </conditionalFormatting>
  <conditionalFormatting sqref="F11">
    <cfRule type="containsText" dxfId="1355" priority="17" operator="containsText" text="FAIL">
      <formula>NOT(ISERROR(SEARCH("FAIL",F11)))</formula>
    </cfRule>
  </conditionalFormatting>
  <conditionalFormatting sqref="F11">
    <cfRule type="containsText" dxfId="1354" priority="16" operator="containsText" text="GOOD">
      <formula>NOT(ISERROR(SEARCH("GOOD",F11)))</formula>
    </cfRule>
  </conditionalFormatting>
  <conditionalFormatting sqref="D25">
    <cfRule type="expression" dxfId="1353" priority="15" stopIfTrue="1">
      <formula>IF($H$25=1,0)</formula>
    </cfRule>
  </conditionalFormatting>
  <conditionalFormatting sqref="D23:D33 D39:D42">
    <cfRule type="expression" dxfId="1352" priority="14">
      <formula>H23=1</formula>
    </cfRule>
  </conditionalFormatting>
  <conditionalFormatting sqref="C23:C33 C39:C42">
    <cfRule type="expression" dxfId="1351" priority="13">
      <formula>H23=1</formula>
    </cfRule>
  </conditionalFormatting>
  <conditionalFormatting sqref="E23:E33 E39:E42">
    <cfRule type="expression" dxfId="1350" priority="12">
      <formula>H23=1</formula>
    </cfRule>
  </conditionalFormatting>
  <conditionalFormatting sqref="E23:E33">
    <cfRule type="expression" dxfId="1349" priority="11">
      <formula>H23=1</formula>
    </cfRule>
  </conditionalFormatting>
  <conditionalFormatting sqref="F11">
    <cfRule type="containsText" dxfId="1348" priority="10" operator="containsText" text="FAIL">
      <formula>NOT(ISERROR(SEARCH("FAIL",F11)))</formula>
    </cfRule>
  </conditionalFormatting>
  <conditionalFormatting sqref="F11">
    <cfRule type="containsText" dxfId="1347" priority="9" operator="containsText" text="GOOD">
      <formula>NOT(ISERROR(SEARCH("GOOD",F11)))</formula>
    </cfRule>
  </conditionalFormatting>
  <conditionalFormatting sqref="D34:D37">
    <cfRule type="expression" dxfId="1346" priority="8">
      <formula>H34=1</formula>
    </cfRule>
  </conditionalFormatting>
  <conditionalFormatting sqref="C34:C37">
    <cfRule type="expression" dxfId="1345" priority="7">
      <formula>H34=1</formula>
    </cfRule>
  </conditionalFormatting>
  <conditionalFormatting sqref="E34:E37">
    <cfRule type="expression" dxfId="1344" priority="6">
      <formula>H34=1</formula>
    </cfRule>
  </conditionalFormatting>
  <conditionalFormatting sqref="E34:E37">
    <cfRule type="expression" dxfId="1343" priority="5">
      <formula>H34=1</formula>
    </cfRule>
  </conditionalFormatting>
  <conditionalFormatting sqref="D38">
    <cfRule type="expression" dxfId="1342" priority="4">
      <formula>H38=1</formula>
    </cfRule>
  </conditionalFormatting>
  <conditionalFormatting sqref="C38">
    <cfRule type="expression" dxfId="1341" priority="3">
      <formula>H38=1</formula>
    </cfRule>
  </conditionalFormatting>
  <conditionalFormatting sqref="E38">
    <cfRule type="expression" dxfId="1340" priority="2">
      <formula>H38=1</formula>
    </cfRule>
  </conditionalFormatting>
  <conditionalFormatting sqref="E38">
    <cfRule type="expression" dxfId="1339" priority="1">
      <formula>H38=1</formula>
    </cfRule>
  </conditionalFormatting>
  <pageMargins left="0.7" right="0.7" top="0.75" bottom="0.75" header="0.3" footer="0.3"/>
  <pageSetup orientation="portrait" r:id="rId1"/>
</worksheet>
</file>

<file path=xl/worksheets/sheet1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sheetPr codeName="Sheet60"/>
  <dimension ref="A2:O56"/>
  <sheetViews>
    <sheetView zoomScaleNormal="100" workbookViewId="0">
      <selection activeCell="N23" sqref="N23"/>
    </sheetView>
  </sheetViews>
  <sheetFormatPr defaultRowHeight="15" x14ac:dyDescent="0.25"/>
  <cols>
    <col min="1" max="2" width="4.42578125" customWidth="1"/>
    <col min="3" max="3" width="3" customWidth="1"/>
    <col min="4" max="4" width="24.7109375" customWidth="1"/>
    <col min="5" max="5" width="3" customWidth="1"/>
    <col min="6" max="6" width="15.7109375" customWidth="1"/>
    <col min="7" max="7" width="8.5703125" customWidth="1"/>
    <col min="8" max="8" width="5.85546875" customWidth="1"/>
    <col min="9" max="15" width="15.7109375" customWidth="1"/>
  </cols>
  <sheetData>
    <row r="2" spans="1:11" x14ac:dyDescent="0.25">
      <c r="C2" s="15" t="s">
        <v>32</v>
      </c>
      <c r="E2" s="15"/>
      <c r="F2" s="15"/>
      <c r="G2" s="15" t="s">
        <v>33</v>
      </c>
      <c r="H2" s="15"/>
      <c r="I2" s="15"/>
      <c r="J2" s="15"/>
      <c r="K2" s="15"/>
    </row>
    <row r="3" spans="1:11" ht="18.75" x14ac:dyDescent="0.3">
      <c r="C3" s="3" t="s">
        <v>26</v>
      </c>
      <c r="J3" s="8" t="s">
        <v>47</v>
      </c>
    </row>
    <row r="4" spans="1:11" x14ac:dyDescent="0.25">
      <c r="D4" s="2" t="s">
        <v>0</v>
      </c>
      <c r="E4" s="1"/>
      <c r="F4" t="s">
        <v>986</v>
      </c>
      <c r="I4" s="2" t="s">
        <v>4</v>
      </c>
      <c r="J4" t="s">
        <v>616</v>
      </c>
    </row>
    <row r="5" spans="1:11" x14ac:dyDescent="0.25">
      <c r="D5" s="2" t="s">
        <v>1</v>
      </c>
      <c r="F5" t="s">
        <v>982</v>
      </c>
    </row>
    <row r="6" spans="1:11" x14ac:dyDescent="0.25">
      <c r="D6" s="2" t="s">
        <v>2</v>
      </c>
      <c r="F6" s="6">
        <v>42845</v>
      </c>
      <c r="H6" s="11"/>
    </row>
    <row r="7" spans="1:11" x14ac:dyDescent="0.25">
      <c r="D7" s="2" t="s">
        <v>3</v>
      </c>
      <c r="F7" s="5">
        <f>+I7+J7</f>
        <v>12630000</v>
      </c>
      <c r="G7" s="2" t="s">
        <v>190</v>
      </c>
      <c r="H7" s="11"/>
      <c r="I7" s="19">
        <v>4265000</v>
      </c>
      <c r="J7" s="19">
        <v>8365000</v>
      </c>
    </row>
    <row r="8" spans="1:11" x14ac:dyDescent="0.25">
      <c r="D8" s="2" t="s">
        <v>18</v>
      </c>
      <c r="F8" s="5">
        <f>MIN(K23:K43)</f>
        <v>10849023</v>
      </c>
      <c r="H8" s="11"/>
      <c r="I8" s="18" t="s">
        <v>43</v>
      </c>
      <c r="J8" s="18" t="s">
        <v>44</v>
      </c>
    </row>
    <row r="9" spans="1:11" x14ac:dyDescent="0.25">
      <c r="D9" s="2" t="s">
        <v>19</v>
      </c>
      <c r="F9" s="4">
        <f>+F8-F7</f>
        <v>-1780977</v>
      </c>
      <c r="G9" s="16">
        <f>+F9/F7</f>
        <v>-0.14101163895486934</v>
      </c>
      <c r="H9" s="12" t="s">
        <v>20</v>
      </c>
      <c r="I9" s="11" t="str">
        <f>(IF(G9&lt;-0.1,"FAIL",IF(G9&gt;0.05,"FAIL","GOOD")))</f>
        <v>FAIL</v>
      </c>
      <c r="J9" s="14" t="s">
        <v>72</v>
      </c>
    </row>
    <row r="10" spans="1:11" x14ac:dyDescent="0.25">
      <c r="D10" s="2" t="s">
        <v>68</v>
      </c>
      <c r="F10" s="4">
        <f>+F7-F12</f>
        <v>-794511.5</v>
      </c>
      <c r="H10" s="11"/>
    </row>
    <row r="11" spans="1:11" x14ac:dyDescent="0.25">
      <c r="A11" s="30"/>
      <c r="D11" s="2" t="s">
        <v>71</v>
      </c>
      <c r="F11" s="11" t="str">
        <f>(IF(F7&lt;J12,"FAIL",IF(F7&gt;J13,"FAIL","GOOD")))</f>
        <v>GOOD</v>
      </c>
      <c r="H11" s="11"/>
    </row>
    <row r="12" spans="1:11" x14ac:dyDescent="0.25">
      <c r="D12" s="2" t="s">
        <v>28</v>
      </c>
      <c r="F12" s="4">
        <f>SUM(K23:K43)/H12</f>
        <v>13424511.5</v>
      </c>
      <c r="G12" s="14"/>
      <c r="H12" s="11">
        <f>COUNT(K23:K43)</f>
        <v>2</v>
      </c>
      <c r="I12" s="1" t="s">
        <v>31</v>
      </c>
      <c r="J12" s="4">
        <f>+F8*0.9</f>
        <v>9764120.7000000011</v>
      </c>
      <c r="K12" s="1" t="s">
        <v>69</v>
      </c>
    </row>
    <row r="13" spans="1:11" x14ac:dyDescent="0.25">
      <c r="D13" s="2" t="s">
        <v>29</v>
      </c>
      <c r="F13" s="4">
        <f>MAX(K23:K43)-MIN(K23:K43)</f>
        <v>5150977</v>
      </c>
      <c r="G13" s="399">
        <f>MEDIAN(K23:K43)</f>
        <v>13424511.5</v>
      </c>
      <c r="H13" s="400"/>
      <c r="I13" s="1" t="s">
        <v>30</v>
      </c>
      <c r="J13" s="4">
        <f>+F12*1.1</f>
        <v>14766962.65</v>
      </c>
      <c r="K13" s="1" t="s">
        <v>70</v>
      </c>
    </row>
    <row r="14" spans="1:11" x14ac:dyDescent="0.25">
      <c r="H14" s="11"/>
    </row>
    <row r="15" spans="1:11" hidden="1" x14ac:dyDescent="0.25">
      <c r="D15" s="2" t="s">
        <v>8</v>
      </c>
      <c r="F15" s="4">
        <v>30000000</v>
      </c>
      <c r="G15" s="1" t="s">
        <v>9</v>
      </c>
      <c r="H15" s="11"/>
      <c r="I15" t="s">
        <v>15</v>
      </c>
      <c r="J15" s="7">
        <f>+F16/F15</f>
        <v>0.93333333333333335</v>
      </c>
    </row>
    <row r="16" spans="1:11" hidden="1" x14ac:dyDescent="0.25">
      <c r="F16" s="4">
        <v>28000000</v>
      </c>
      <c r="G16" s="1" t="s">
        <v>10</v>
      </c>
      <c r="H16" s="11"/>
      <c r="I16" t="s">
        <v>14</v>
      </c>
      <c r="J16" s="7">
        <f>+F17/F16</f>
        <v>1.0535714285714286</v>
      </c>
    </row>
    <row r="17" spans="3:15" hidden="1" x14ac:dyDescent="0.25">
      <c r="F17" s="4">
        <v>29500000</v>
      </c>
      <c r="G17" s="1" t="s">
        <v>11</v>
      </c>
      <c r="H17" s="11"/>
      <c r="I17" t="s">
        <v>13</v>
      </c>
      <c r="J17" s="7">
        <f>+F18/F17</f>
        <v>0.42813559322033901</v>
      </c>
    </row>
    <row r="18" spans="3:15" hidden="1" x14ac:dyDescent="0.25">
      <c r="F18" s="4">
        <f>+F7</f>
        <v>12630000</v>
      </c>
      <c r="G18" s="1" t="s">
        <v>12</v>
      </c>
      <c r="H18" s="11"/>
      <c r="I18" t="s">
        <v>16</v>
      </c>
      <c r="J18" s="7">
        <f>+F8/F18</f>
        <v>0.85898836104513066</v>
      </c>
    </row>
    <row r="19" spans="3:15" hidden="1" x14ac:dyDescent="0.25">
      <c r="F19" s="2" t="s">
        <v>51</v>
      </c>
      <c r="G19">
        <v>0</v>
      </c>
      <c r="H19" s="11" t="s">
        <v>52</v>
      </c>
      <c r="I19" t="s">
        <v>41</v>
      </c>
      <c r="J19" s="7">
        <f>+F8/F15</f>
        <v>0.36163410000000001</v>
      </c>
    </row>
    <row r="20" spans="3:15" x14ac:dyDescent="0.25">
      <c r="H20" s="11"/>
      <c r="M20" s="21"/>
      <c r="N20" s="21"/>
      <c r="O20" s="21"/>
    </row>
    <row r="21" spans="3:15" x14ac:dyDescent="0.25">
      <c r="C21" s="9"/>
      <c r="D21" s="13" t="s">
        <v>21</v>
      </c>
      <c r="E21" s="9"/>
      <c r="F21" s="9" t="s">
        <v>22</v>
      </c>
      <c r="G21" s="9" t="s">
        <v>23</v>
      </c>
      <c r="H21" s="13" t="s">
        <v>27</v>
      </c>
      <c r="I21" s="10" t="s">
        <v>38</v>
      </c>
      <c r="J21" s="10" t="s">
        <v>37</v>
      </c>
      <c r="K21" s="10" t="s">
        <v>39</v>
      </c>
      <c r="L21" s="9"/>
      <c r="M21" s="21"/>
      <c r="N21" s="21"/>
      <c r="O21" s="21"/>
    </row>
    <row r="22" spans="3:15" ht="6" customHeight="1" x14ac:dyDescent="0.25">
      <c r="M22" s="21"/>
      <c r="N22" s="21"/>
      <c r="O22" s="21"/>
    </row>
    <row r="23" spans="3:15" x14ac:dyDescent="0.25">
      <c r="C23" s="33" t="str">
        <f>IF(H23=1,"u","")</f>
        <v>u</v>
      </c>
      <c r="D23" s="11" t="s">
        <v>605</v>
      </c>
      <c r="E23" s="33"/>
      <c r="F23" t="s">
        <v>120</v>
      </c>
      <c r="G23" t="s">
        <v>25</v>
      </c>
      <c r="H23">
        <f>RANK(K23,K$23:K$43,1)</f>
        <v>1</v>
      </c>
      <c r="I23" s="4">
        <v>4076695</v>
      </c>
      <c r="J23" s="4">
        <v>6772328</v>
      </c>
      <c r="K23" s="4">
        <f>+J23+I23</f>
        <v>10849023</v>
      </c>
      <c r="L23" s="4"/>
      <c r="M23" s="22"/>
      <c r="N23" s="22"/>
      <c r="O23" s="22"/>
    </row>
    <row r="24" spans="3:15" x14ac:dyDescent="0.25">
      <c r="C24" s="33" t="str">
        <f>IF(H24=1,"u","")</f>
        <v/>
      </c>
      <c r="D24" s="11" t="s">
        <v>489</v>
      </c>
      <c r="E24" s="33"/>
      <c r="F24" t="s">
        <v>490</v>
      </c>
      <c r="G24" t="s">
        <v>25</v>
      </c>
      <c r="H24">
        <f>RANK(K24,K$23:K$43,1)</f>
        <v>2</v>
      </c>
      <c r="I24" s="4">
        <v>4047186</v>
      </c>
      <c r="J24" s="4">
        <v>11952814</v>
      </c>
      <c r="K24" s="4">
        <f>+J24+I24</f>
        <v>16000000</v>
      </c>
      <c r="L24" s="4"/>
      <c r="M24" s="22"/>
      <c r="N24" s="22"/>
      <c r="O24" s="22"/>
    </row>
    <row r="25" spans="3:15" x14ac:dyDescent="0.25">
      <c r="C25" s="33" t="str">
        <f>IF(H25=1,"u","")</f>
        <v/>
      </c>
      <c r="D25" s="11"/>
      <c r="E25" s="33"/>
      <c r="I25" s="4"/>
      <c r="J25" s="4"/>
      <c r="K25" s="4"/>
      <c r="L25" s="4"/>
      <c r="M25" s="22"/>
      <c r="N25" s="22"/>
      <c r="O25" s="22"/>
    </row>
    <row r="26" spans="3:15" x14ac:dyDescent="0.25">
      <c r="C26" s="33" t="str">
        <f t="shared" ref="C26:C43" si="0">IF(H26=1,"u","")</f>
        <v/>
      </c>
      <c r="D26" s="11"/>
      <c r="E26" s="33"/>
      <c r="I26" s="4"/>
      <c r="J26" s="4"/>
      <c r="K26" s="4"/>
      <c r="L26" s="4"/>
      <c r="M26" s="22"/>
      <c r="N26" s="22"/>
      <c r="O26" s="22"/>
    </row>
    <row r="27" spans="3:15" x14ac:dyDescent="0.25">
      <c r="C27" s="33" t="str">
        <f t="shared" si="0"/>
        <v/>
      </c>
      <c r="D27" s="11"/>
      <c r="E27" s="33"/>
      <c r="I27" s="4"/>
      <c r="J27" s="4"/>
      <c r="K27" s="4"/>
      <c r="L27" s="4"/>
      <c r="M27" s="22"/>
      <c r="N27" s="22"/>
      <c r="O27" s="22"/>
    </row>
    <row r="28" spans="3:15" x14ac:dyDescent="0.25">
      <c r="C28" s="33" t="str">
        <f t="shared" si="0"/>
        <v/>
      </c>
      <c r="D28" s="11"/>
      <c r="E28" s="33"/>
      <c r="I28" s="4"/>
      <c r="J28" s="4"/>
      <c r="K28" s="4"/>
      <c r="L28" s="4"/>
      <c r="M28" s="22"/>
      <c r="N28" s="22"/>
      <c r="O28" s="22"/>
    </row>
    <row r="29" spans="3:15" x14ac:dyDescent="0.25">
      <c r="C29" s="33" t="str">
        <f t="shared" si="0"/>
        <v/>
      </c>
      <c r="D29" s="11"/>
      <c r="E29" s="33"/>
      <c r="I29" s="4"/>
      <c r="J29" s="4"/>
      <c r="K29" s="4"/>
      <c r="L29" s="4"/>
      <c r="M29" s="22"/>
      <c r="N29" s="22"/>
      <c r="O29" s="22"/>
    </row>
    <row r="30" spans="3:15" x14ac:dyDescent="0.25">
      <c r="C30" s="33" t="str">
        <f t="shared" si="0"/>
        <v/>
      </c>
      <c r="D30" s="11"/>
      <c r="E30" s="33"/>
      <c r="I30" s="4"/>
      <c r="J30" s="4"/>
      <c r="K30" s="4"/>
      <c r="L30" s="4"/>
      <c r="M30" s="22"/>
      <c r="N30" s="22"/>
      <c r="O30" s="22"/>
    </row>
    <row r="31" spans="3:15" x14ac:dyDescent="0.25">
      <c r="C31" s="33" t="str">
        <f t="shared" si="0"/>
        <v/>
      </c>
      <c r="D31" s="11"/>
      <c r="E31" s="33"/>
      <c r="I31" s="4"/>
      <c r="J31" s="4"/>
      <c r="K31" s="4"/>
      <c r="L31" s="4"/>
      <c r="M31" s="22"/>
      <c r="N31" s="22"/>
      <c r="O31" s="22"/>
    </row>
    <row r="32" spans="3:15" x14ac:dyDescent="0.25">
      <c r="C32" s="33" t="str">
        <f t="shared" si="0"/>
        <v/>
      </c>
      <c r="D32" s="11"/>
      <c r="E32" s="33"/>
      <c r="I32" s="4"/>
      <c r="J32" s="4"/>
      <c r="K32" s="4"/>
      <c r="L32" s="4"/>
      <c r="M32" s="22"/>
      <c r="N32" s="22"/>
      <c r="O32" s="22"/>
    </row>
    <row r="33" spans="3:15" x14ac:dyDescent="0.25">
      <c r="C33" s="33" t="str">
        <f t="shared" si="0"/>
        <v/>
      </c>
      <c r="D33" s="11"/>
      <c r="E33" s="33"/>
      <c r="I33" s="4"/>
      <c r="J33" s="4"/>
      <c r="K33" s="4"/>
      <c r="M33" s="21"/>
      <c r="N33" s="21"/>
      <c r="O33" s="21"/>
    </row>
    <row r="34" spans="3:15" x14ac:dyDescent="0.25">
      <c r="C34" s="33" t="str">
        <f t="shared" si="0"/>
        <v/>
      </c>
      <c r="D34" s="11"/>
      <c r="E34" s="33"/>
      <c r="I34" s="4"/>
      <c r="J34" s="4"/>
      <c r="K34" s="4"/>
      <c r="M34" s="21"/>
      <c r="N34" s="21"/>
      <c r="O34" s="21"/>
    </row>
    <row r="35" spans="3:15" x14ac:dyDescent="0.25">
      <c r="C35" s="33" t="str">
        <f t="shared" si="0"/>
        <v/>
      </c>
      <c r="D35" s="11"/>
      <c r="E35" s="33"/>
      <c r="I35" s="4"/>
      <c r="J35" s="4"/>
      <c r="K35" s="4"/>
      <c r="M35" s="21"/>
      <c r="N35" s="21"/>
      <c r="O35" s="21"/>
    </row>
    <row r="36" spans="3:15" x14ac:dyDescent="0.25">
      <c r="C36" s="33" t="str">
        <f t="shared" si="0"/>
        <v/>
      </c>
      <c r="D36" s="11"/>
      <c r="E36" s="33"/>
      <c r="I36" s="4"/>
      <c r="J36" s="4"/>
      <c r="K36" s="4"/>
      <c r="M36" s="21"/>
      <c r="N36" s="21"/>
      <c r="O36" s="21"/>
    </row>
    <row r="37" spans="3:15" x14ac:dyDescent="0.25">
      <c r="C37" s="33" t="str">
        <f t="shared" si="0"/>
        <v/>
      </c>
      <c r="D37" s="11"/>
      <c r="E37" s="33"/>
      <c r="I37" s="4"/>
      <c r="J37" s="4"/>
      <c r="K37" s="4"/>
      <c r="M37" s="21"/>
      <c r="N37" s="21"/>
      <c r="O37" s="21"/>
    </row>
    <row r="38" spans="3:15" x14ac:dyDescent="0.25">
      <c r="C38" s="33" t="str">
        <f t="shared" si="0"/>
        <v/>
      </c>
      <c r="D38" s="11"/>
      <c r="E38" s="33"/>
      <c r="I38" s="4"/>
      <c r="J38" s="4"/>
      <c r="K38" s="4"/>
      <c r="M38" s="21"/>
      <c r="N38" s="21"/>
      <c r="O38" s="21"/>
    </row>
    <row r="39" spans="3:15" x14ac:dyDescent="0.25">
      <c r="C39" s="33" t="str">
        <f t="shared" si="0"/>
        <v/>
      </c>
      <c r="D39" s="11"/>
      <c r="E39" s="33" t="str">
        <f>IF(H39=1,"t","")</f>
        <v/>
      </c>
      <c r="K39" s="4"/>
      <c r="M39" s="21"/>
      <c r="N39" s="21"/>
      <c r="O39" s="21"/>
    </row>
    <row r="40" spans="3:15" x14ac:dyDescent="0.25">
      <c r="C40" s="33" t="str">
        <f t="shared" si="0"/>
        <v/>
      </c>
      <c r="D40" s="11"/>
      <c r="E40" s="33" t="str">
        <f>IF(H40=1,"t","")</f>
        <v/>
      </c>
      <c r="K40" s="4"/>
      <c r="M40" s="21"/>
      <c r="N40" s="21"/>
      <c r="O40" s="21"/>
    </row>
    <row r="41" spans="3:15" x14ac:dyDescent="0.25">
      <c r="C41" s="33" t="str">
        <f t="shared" si="0"/>
        <v/>
      </c>
      <c r="D41" s="11"/>
      <c r="E41" s="33" t="str">
        <f>IF(H41=1,"t","")</f>
        <v/>
      </c>
      <c r="K41" s="4"/>
      <c r="M41" s="21"/>
      <c r="N41" s="21"/>
      <c r="O41" s="21"/>
    </row>
    <row r="42" spans="3:15" x14ac:dyDescent="0.25">
      <c r="C42" s="33" t="str">
        <f t="shared" si="0"/>
        <v/>
      </c>
      <c r="D42" s="11"/>
      <c r="E42" s="33" t="str">
        <f>IF(H42=1,"t","")</f>
        <v/>
      </c>
      <c r="K42" s="4"/>
      <c r="M42" s="21"/>
      <c r="N42" s="21"/>
      <c r="O42" s="21"/>
    </row>
    <row r="43" spans="3:15" x14ac:dyDescent="0.25">
      <c r="C43" s="33" t="str">
        <f t="shared" si="0"/>
        <v/>
      </c>
      <c r="D43" s="11"/>
      <c r="E43" s="33" t="str">
        <f>IF(H43=1,"t","")</f>
        <v/>
      </c>
      <c r="K43" s="4"/>
      <c r="M43" s="21"/>
      <c r="N43" s="21"/>
      <c r="O43" s="21"/>
    </row>
    <row r="44" spans="3:15" ht="6" customHeight="1" x14ac:dyDescent="0.25">
      <c r="C44" s="9"/>
      <c r="D44" s="9"/>
      <c r="E44" s="9"/>
      <c r="F44" s="9"/>
      <c r="G44" s="9"/>
      <c r="H44" s="9"/>
      <c r="I44" s="9"/>
      <c r="J44" s="9"/>
      <c r="K44" s="9"/>
      <c r="L44" s="9"/>
      <c r="M44" s="21"/>
      <c r="N44" s="21"/>
      <c r="O44" s="21"/>
    </row>
    <row r="45" spans="3:15" ht="6" customHeight="1" x14ac:dyDescent="0.25">
      <c r="M45" s="21"/>
      <c r="N45" s="21"/>
      <c r="O45" s="21"/>
    </row>
    <row r="46" spans="3:15" x14ac:dyDescent="0.25">
      <c r="C46" s="15" t="s">
        <v>79</v>
      </c>
      <c r="M46" s="21"/>
      <c r="N46" s="21"/>
      <c r="O46" s="21"/>
    </row>
    <row r="47" spans="3:15" x14ac:dyDescent="0.25">
      <c r="C47" s="15" t="s">
        <v>78</v>
      </c>
    </row>
    <row r="49" spans="3:10" x14ac:dyDescent="0.25">
      <c r="C49" s="31" t="s">
        <v>948</v>
      </c>
      <c r="D49" s="31"/>
      <c r="H49" t="s">
        <v>949</v>
      </c>
      <c r="I49" t="s">
        <v>784</v>
      </c>
      <c r="J49" s="6">
        <v>42802</v>
      </c>
    </row>
    <row r="50" spans="3:10" ht="6" customHeight="1" x14ac:dyDescent="0.25"/>
    <row r="51" spans="3:10" x14ac:dyDescent="0.25">
      <c r="D51" s="93" t="s">
        <v>950</v>
      </c>
    </row>
    <row r="52" spans="3:10" x14ac:dyDescent="0.25">
      <c r="D52" s="93" t="s">
        <v>951</v>
      </c>
    </row>
    <row r="53" spans="3:10" x14ac:dyDescent="0.25">
      <c r="D53" s="93" t="s">
        <v>952</v>
      </c>
    </row>
    <row r="54" spans="3:10" x14ac:dyDescent="0.25">
      <c r="D54" s="93" t="s">
        <v>953</v>
      </c>
    </row>
    <row r="55" spans="3:10" x14ac:dyDescent="0.25">
      <c r="D55" s="93" t="s">
        <v>954</v>
      </c>
    </row>
    <row r="56" spans="3:10" x14ac:dyDescent="0.25">
      <c r="D56" s="93" t="s">
        <v>955</v>
      </c>
    </row>
  </sheetData>
  <mergeCells count="1">
    <mergeCell ref="G13:H13"/>
  </mergeCells>
  <conditionalFormatting sqref="I9">
    <cfRule type="containsText" dxfId="1571" priority="32" operator="containsText" text="FAIL">
      <formula>NOT(ISERROR(SEARCH("FAIL",I9)))</formula>
    </cfRule>
  </conditionalFormatting>
  <conditionalFormatting sqref="I9">
    <cfRule type="containsText" dxfId="1570" priority="31" operator="containsText" text="GOOD">
      <formula>NOT(ISERROR(SEARCH("GOOD",I9)))</formula>
    </cfRule>
  </conditionalFormatting>
  <conditionalFormatting sqref="I9">
    <cfRule type="containsText" dxfId="1569" priority="30" operator="containsText" text="FAIL">
      <formula>NOT(ISERROR(SEARCH("FAIL",I9)))</formula>
    </cfRule>
  </conditionalFormatting>
  <conditionalFormatting sqref="I9">
    <cfRule type="containsText" dxfId="1568" priority="29" operator="containsText" text="GOOD">
      <formula>NOT(ISERROR(SEARCH("GOOD",I9)))</formula>
    </cfRule>
  </conditionalFormatting>
  <conditionalFormatting sqref="I9">
    <cfRule type="containsText" dxfId="1567" priority="28" operator="containsText" text="FAIL">
      <formula>NOT(ISERROR(SEARCH("FAIL",I9)))</formula>
    </cfRule>
  </conditionalFormatting>
  <conditionalFormatting sqref="I9">
    <cfRule type="containsText" dxfId="1566" priority="27" operator="containsText" text="GOOD">
      <formula>NOT(ISERROR(SEARCH("GOOD",I9)))</formula>
    </cfRule>
  </conditionalFormatting>
  <conditionalFormatting sqref="F11">
    <cfRule type="containsText" dxfId="1565" priority="26" operator="containsText" text="FAIL">
      <formula>NOT(ISERROR(SEARCH("FAIL",F11)))</formula>
    </cfRule>
  </conditionalFormatting>
  <conditionalFormatting sqref="F11">
    <cfRule type="containsText" dxfId="1564" priority="25" operator="containsText" text="GOOD">
      <formula>NOT(ISERROR(SEARCH("GOOD",F11)))</formula>
    </cfRule>
  </conditionalFormatting>
  <conditionalFormatting sqref="I9">
    <cfRule type="containsText" dxfId="1563" priority="24" operator="containsText" text="FAIL">
      <formula>NOT(ISERROR(SEARCH("FAIL",I9)))</formula>
    </cfRule>
  </conditionalFormatting>
  <conditionalFormatting sqref="I9">
    <cfRule type="containsText" dxfId="1562" priority="23" operator="containsText" text="GOOD">
      <formula>NOT(ISERROR(SEARCH("GOOD",I9)))</formula>
    </cfRule>
  </conditionalFormatting>
  <conditionalFormatting sqref="F11">
    <cfRule type="containsText" dxfId="1561" priority="22" operator="containsText" text="FAIL">
      <formula>NOT(ISERROR(SEARCH("FAIL",F11)))</formula>
    </cfRule>
  </conditionalFormatting>
  <conditionalFormatting sqref="F11">
    <cfRule type="containsText" dxfId="1560" priority="21" operator="containsText" text="GOOD">
      <formula>NOT(ISERROR(SEARCH("GOOD",F11)))</formula>
    </cfRule>
  </conditionalFormatting>
  <conditionalFormatting sqref="D25">
    <cfRule type="expression" dxfId="1559" priority="20" stopIfTrue="1">
      <formula>IF($H$25=1,0)</formula>
    </cfRule>
  </conditionalFormatting>
  <conditionalFormatting sqref="D23 D39:D43 D25:D33">
    <cfRule type="expression" dxfId="1558" priority="19">
      <formula>H23=1</formula>
    </cfRule>
  </conditionalFormatting>
  <conditionalFormatting sqref="C23 C39:C43 C25:C33">
    <cfRule type="expression" dxfId="1557" priority="18">
      <formula>H23=1</formula>
    </cfRule>
  </conditionalFormatting>
  <conditionalFormatting sqref="E23 E39:E43 E25:E33">
    <cfRule type="expression" dxfId="1556" priority="17">
      <formula>H23=1</formula>
    </cfRule>
  </conditionalFormatting>
  <conditionalFormatting sqref="E23 E39:E43 E25:E33">
    <cfRule type="expression" dxfId="1555" priority="16">
      <formula>H23=1</formula>
    </cfRule>
  </conditionalFormatting>
  <conditionalFormatting sqref="F11">
    <cfRule type="containsText" dxfId="1554" priority="15" operator="containsText" text="FAIL">
      <formula>NOT(ISERROR(SEARCH("FAIL",F11)))</formula>
    </cfRule>
  </conditionalFormatting>
  <conditionalFormatting sqref="F11">
    <cfRule type="containsText" dxfId="1553" priority="14" operator="containsText" text="GOOD">
      <formula>NOT(ISERROR(SEARCH("GOOD",F11)))</formula>
    </cfRule>
  </conditionalFormatting>
  <conditionalFormatting sqref="D34:D37">
    <cfRule type="expression" dxfId="1552" priority="13">
      <formula>H34=1</formula>
    </cfRule>
  </conditionalFormatting>
  <conditionalFormatting sqref="C34:C37">
    <cfRule type="expression" dxfId="1551" priority="12">
      <formula>H34=1</formula>
    </cfRule>
  </conditionalFormatting>
  <conditionalFormatting sqref="E34:E37">
    <cfRule type="expression" dxfId="1550" priority="11">
      <formula>H34=1</formula>
    </cfRule>
  </conditionalFormatting>
  <conditionalFormatting sqref="E34:E37">
    <cfRule type="expression" dxfId="1549" priority="10">
      <formula>H34=1</formula>
    </cfRule>
  </conditionalFormatting>
  <conditionalFormatting sqref="D38">
    <cfRule type="expression" dxfId="1548" priority="9">
      <formula>H38=1</formula>
    </cfRule>
  </conditionalFormatting>
  <conditionalFormatting sqref="C38">
    <cfRule type="expression" dxfId="1547" priority="8">
      <formula>H38=1</formula>
    </cfRule>
  </conditionalFormatting>
  <conditionalFormatting sqref="E38">
    <cfRule type="expression" dxfId="1546" priority="7">
      <formula>H38=1</formula>
    </cfRule>
  </conditionalFormatting>
  <conditionalFormatting sqref="E38">
    <cfRule type="expression" dxfId="1545" priority="6">
      <formula>H38=1</formula>
    </cfRule>
  </conditionalFormatting>
  <conditionalFormatting sqref="E24">
    <cfRule type="expression" dxfId="1544" priority="1">
      <formula>H24=1</formula>
    </cfRule>
  </conditionalFormatting>
  <conditionalFormatting sqref="D24">
    <cfRule type="expression" dxfId="1543" priority="5" stopIfTrue="1">
      <formula>IF($H$25=1,0)</formula>
    </cfRule>
  </conditionalFormatting>
  <conditionalFormatting sqref="D24">
    <cfRule type="expression" dxfId="1542" priority="4">
      <formula>H24=1</formula>
    </cfRule>
  </conditionalFormatting>
  <conditionalFormatting sqref="C24">
    <cfRule type="expression" dxfId="1541" priority="3">
      <formula>H24=1</formula>
    </cfRule>
  </conditionalFormatting>
  <conditionalFormatting sqref="E24">
    <cfRule type="expression" dxfId="1540" priority="2">
      <formula>H24=1</formula>
    </cfRule>
  </conditionalFormatting>
  <pageMargins left="0.7" right="0.7" top="0.75" bottom="0.75" header="0.3" footer="0.3"/>
  <pageSetup scale="68" orientation="portrait" r:id="rId1"/>
</worksheet>
</file>

<file path=xl/worksheets/sheet1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6"/>
  <dimension ref="A2:P47"/>
  <sheetViews>
    <sheetView zoomScaleNormal="100" workbookViewId="0">
      <selection activeCell="H26" sqref="H26"/>
    </sheetView>
  </sheetViews>
  <sheetFormatPr defaultRowHeight="15" x14ac:dyDescent="0.25"/>
  <cols>
    <col min="1" max="2" width="4.42578125" customWidth="1"/>
    <col min="3" max="3" width="3" customWidth="1"/>
    <col min="4" max="4" width="24.85546875" customWidth="1"/>
    <col min="5" max="5" width="3" customWidth="1"/>
    <col min="6" max="6" width="15.7109375" customWidth="1"/>
    <col min="7" max="7" width="8.5703125" customWidth="1"/>
    <col min="8" max="8" width="5.85546875" customWidth="1"/>
    <col min="9" max="15" width="15.7109375" customWidth="1"/>
  </cols>
  <sheetData>
    <row r="2" spans="1:16" x14ac:dyDescent="0.25">
      <c r="C2" s="15" t="s">
        <v>32</v>
      </c>
      <c r="E2" s="15"/>
      <c r="F2" s="15"/>
      <c r="G2" s="15" t="s">
        <v>33</v>
      </c>
      <c r="H2" s="15"/>
      <c r="I2" s="15"/>
      <c r="J2" s="15"/>
      <c r="K2" s="15"/>
    </row>
    <row r="3" spans="1:16" ht="18.75" x14ac:dyDescent="0.3">
      <c r="C3" s="3" t="s">
        <v>26</v>
      </c>
      <c r="J3" s="8" t="s">
        <v>17</v>
      </c>
      <c r="P3" s="100"/>
    </row>
    <row r="4" spans="1:16" x14ac:dyDescent="0.25">
      <c r="D4" s="2" t="s">
        <v>0</v>
      </c>
      <c r="E4" s="1"/>
      <c r="F4" t="s">
        <v>1150</v>
      </c>
      <c r="I4" s="2" t="s">
        <v>4</v>
      </c>
      <c r="J4" t="s">
        <v>784</v>
      </c>
    </row>
    <row r="5" spans="1:16" x14ac:dyDescent="0.25">
      <c r="D5" s="2" t="s">
        <v>1</v>
      </c>
      <c r="F5" t="s">
        <v>1151</v>
      </c>
    </row>
    <row r="6" spans="1:16" x14ac:dyDescent="0.25">
      <c r="D6" s="2" t="s">
        <v>2</v>
      </c>
      <c r="F6" s="6">
        <v>43083</v>
      </c>
      <c r="H6" s="11"/>
    </row>
    <row r="7" spans="1:16" x14ac:dyDescent="0.25">
      <c r="D7" s="2" t="s">
        <v>3</v>
      </c>
      <c r="F7" s="5">
        <v>979000</v>
      </c>
      <c r="G7" s="2" t="s">
        <v>693</v>
      </c>
      <c r="H7" s="11"/>
    </row>
    <row r="8" spans="1:16" x14ac:dyDescent="0.25">
      <c r="D8" s="2" t="s">
        <v>18</v>
      </c>
      <c r="F8" s="5">
        <f>MIN(I23:I43)</f>
        <v>1168000</v>
      </c>
      <c r="H8" s="11"/>
    </row>
    <row r="9" spans="1:16" x14ac:dyDescent="0.25">
      <c r="D9" s="2" t="s">
        <v>67</v>
      </c>
      <c r="F9" s="4">
        <f>+F8-F7</f>
        <v>189000</v>
      </c>
      <c r="G9" s="16">
        <f>+F9/F7</f>
        <v>0.1930541368743616</v>
      </c>
      <c r="H9" s="12" t="s">
        <v>20</v>
      </c>
      <c r="I9" s="11" t="str">
        <f>(IF(G9&lt;-0.1,"FAIL",IF(G9&gt;0.05,"FAIL","GOOD")))</f>
        <v>FAIL</v>
      </c>
      <c r="J9" s="14" t="s">
        <v>72</v>
      </c>
    </row>
    <row r="10" spans="1:16" x14ac:dyDescent="0.25">
      <c r="D10" s="2" t="s">
        <v>68</v>
      </c>
      <c r="F10" s="4">
        <f>+F7-F12</f>
        <v>-473000</v>
      </c>
      <c r="H10" s="11"/>
    </row>
    <row r="11" spans="1:16" x14ac:dyDescent="0.25">
      <c r="A11" s="52"/>
      <c r="D11" s="2" t="s">
        <v>71</v>
      </c>
      <c r="F11" s="11" t="str">
        <f>(IF(F7&lt;J12,"FAIL",IF(F7&gt;J13,"FAIL","GOOD")))</f>
        <v>FAIL</v>
      </c>
      <c r="H11" s="11"/>
    </row>
    <row r="12" spans="1:16" x14ac:dyDescent="0.25">
      <c r="D12" s="2" t="s">
        <v>28</v>
      </c>
      <c r="F12" s="4">
        <f>SUM(I23:I43)/H12</f>
        <v>1452000</v>
      </c>
      <c r="G12" s="14"/>
      <c r="H12" s="11">
        <f>COUNT(I23:I43)</f>
        <v>2</v>
      </c>
      <c r="I12" s="1" t="s">
        <v>31</v>
      </c>
      <c r="J12" s="4">
        <f>+F8*0.9</f>
        <v>1051200</v>
      </c>
      <c r="K12" s="1" t="s">
        <v>69</v>
      </c>
    </row>
    <row r="13" spans="1:16" x14ac:dyDescent="0.25">
      <c r="D13" s="2" t="s">
        <v>29</v>
      </c>
      <c r="F13" s="4">
        <f>MAX(I23:I43)-MIN(I23:I43)</f>
        <v>568000</v>
      </c>
      <c r="G13" s="399">
        <f>MEDIAN(I23:I43)</f>
        <v>1452000</v>
      </c>
      <c r="H13" s="400"/>
      <c r="I13" s="1" t="s">
        <v>30</v>
      </c>
      <c r="J13" s="4">
        <f>+F12*1.1</f>
        <v>1597200.0000000002</v>
      </c>
      <c r="K13" s="1" t="s">
        <v>70</v>
      </c>
    </row>
    <row r="14" spans="1:16" x14ac:dyDescent="0.25">
      <c r="H14" s="11"/>
    </row>
    <row r="15" spans="1:16" x14ac:dyDescent="0.25">
      <c r="D15" s="2" t="s">
        <v>8</v>
      </c>
      <c r="F15" s="4"/>
      <c r="G15" s="1" t="s">
        <v>9</v>
      </c>
      <c r="H15" s="11"/>
      <c r="I15" t="s">
        <v>15</v>
      </c>
      <c r="J15" s="7" t="e">
        <f>+F16/F15</f>
        <v>#DIV/0!</v>
      </c>
    </row>
    <row r="16" spans="1:16" x14ac:dyDescent="0.25">
      <c r="F16" s="4"/>
      <c r="G16" s="1" t="s">
        <v>10</v>
      </c>
      <c r="H16" s="11"/>
      <c r="I16" t="s">
        <v>14</v>
      </c>
      <c r="J16" s="7" t="e">
        <f>+F17/F16</f>
        <v>#DIV/0!</v>
      </c>
    </row>
    <row r="17" spans="3:15" x14ac:dyDescent="0.25">
      <c r="F17" s="4"/>
      <c r="G17" s="1" t="s">
        <v>11</v>
      </c>
      <c r="H17" s="11"/>
      <c r="I17" t="s">
        <v>13</v>
      </c>
      <c r="J17" s="7" t="e">
        <f>+F18/F17</f>
        <v>#DIV/0!</v>
      </c>
      <c r="M17" s="21"/>
      <c r="N17" s="21"/>
      <c r="O17" s="21"/>
    </row>
    <row r="18" spans="3:15" x14ac:dyDescent="0.25">
      <c r="F18" s="4"/>
      <c r="G18" s="1" t="s">
        <v>12</v>
      </c>
      <c r="H18" s="11"/>
      <c r="I18" t="s">
        <v>16</v>
      </c>
      <c r="J18" s="7" t="e">
        <f>+F8/F18</f>
        <v>#DIV/0!</v>
      </c>
      <c r="M18" s="21"/>
      <c r="N18" s="21"/>
      <c r="O18" s="21"/>
    </row>
    <row r="19" spans="3:15" x14ac:dyDescent="0.25">
      <c r="F19" s="2" t="s">
        <v>51</v>
      </c>
      <c r="G19">
        <v>0</v>
      </c>
      <c r="H19" s="11" t="s">
        <v>52</v>
      </c>
      <c r="I19" t="s">
        <v>41</v>
      </c>
      <c r="J19" s="7" t="e">
        <f>+F8/F15</f>
        <v>#DIV/0!</v>
      </c>
      <c r="M19" s="21"/>
      <c r="N19" s="21"/>
      <c r="O19" s="21"/>
    </row>
    <row r="20" spans="3:15" x14ac:dyDescent="0.25">
      <c r="H20" s="11"/>
      <c r="M20" s="21"/>
      <c r="N20" s="21"/>
      <c r="O20" s="21"/>
    </row>
    <row r="21" spans="3:15" x14ac:dyDescent="0.25">
      <c r="C21" s="9"/>
      <c r="D21" s="13" t="s">
        <v>21</v>
      </c>
      <c r="E21" s="9"/>
      <c r="F21" s="9" t="s">
        <v>22</v>
      </c>
      <c r="G21" s="9" t="s">
        <v>23</v>
      </c>
      <c r="H21" s="13" t="s">
        <v>27</v>
      </c>
      <c r="I21" s="10" t="s">
        <v>24</v>
      </c>
      <c r="J21" s="9"/>
      <c r="K21" s="9"/>
      <c r="L21" s="9"/>
      <c r="M21" s="21"/>
      <c r="N21" s="21"/>
      <c r="O21" s="21"/>
    </row>
    <row r="22" spans="3:15" ht="6" customHeight="1" x14ac:dyDescent="0.25">
      <c r="M22" s="21"/>
      <c r="N22" s="21"/>
      <c r="O22" s="21"/>
    </row>
    <row r="23" spans="3:15" x14ac:dyDescent="0.25">
      <c r="C23" s="33" t="str">
        <f>IF(H23=1,"u","")</f>
        <v>u</v>
      </c>
      <c r="D23" s="11" t="s">
        <v>429</v>
      </c>
      <c r="E23" s="33"/>
      <c r="F23" t="s">
        <v>131</v>
      </c>
      <c r="G23" t="s">
        <v>25</v>
      </c>
      <c r="H23">
        <f>RANK(I23,I$23:I$43,1)</f>
        <v>1</v>
      </c>
      <c r="I23" s="4">
        <v>1168000</v>
      </c>
      <c r="J23" s="4"/>
      <c r="K23" s="4"/>
      <c r="L23" s="4"/>
      <c r="M23" s="22"/>
      <c r="N23" s="22"/>
      <c r="O23" s="22"/>
    </row>
    <row r="24" spans="3:15" x14ac:dyDescent="0.25">
      <c r="C24" s="33" t="str">
        <f>IF(H24=1,"u","")</f>
        <v/>
      </c>
      <c r="D24" s="11" t="s">
        <v>1152</v>
      </c>
      <c r="E24" s="33"/>
      <c r="F24" t="s">
        <v>92</v>
      </c>
      <c r="G24" t="s">
        <v>93</v>
      </c>
      <c r="H24">
        <f>RANK(I24,I$23:I$43,1)</f>
        <v>2</v>
      </c>
      <c r="I24" s="4">
        <v>1736000</v>
      </c>
      <c r="J24" s="4"/>
      <c r="K24" s="4"/>
      <c r="L24" s="4"/>
      <c r="M24" s="22"/>
      <c r="N24" s="22"/>
      <c r="O24" s="22"/>
    </row>
    <row r="25" spans="3:15" x14ac:dyDescent="0.25">
      <c r="C25" s="33" t="str">
        <f>IF(H25=1,"u","")</f>
        <v/>
      </c>
      <c r="D25" s="11"/>
      <c r="E25" s="33"/>
      <c r="I25" s="4"/>
      <c r="J25" s="4"/>
      <c r="K25" s="4"/>
      <c r="L25" s="4"/>
      <c r="M25" s="22"/>
      <c r="N25" s="22"/>
      <c r="O25" s="22"/>
    </row>
    <row r="26" spans="3:15" x14ac:dyDescent="0.25">
      <c r="C26" s="33"/>
      <c r="D26" s="11"/>
      <c r="E26" s="33"/>
      <c r="I26" s="4"/>
      <c r="J26" s="4"/>
      <c r="K26" s="4"/>
      <c r="L26" s="4"/>
      <c r="M26" s="22"/>
      <c r="N26" s="22"/>
      <c r="O26" s="22"/>
    </row>
    <row r="27" spans="3:15" x14ac:dyDescent="0.25">
      <c r="C27" s="33"/>
      <c r="D27" s="11"/>
      <c r="E27" s="33"/>
      <c r="I27" s="4"/>
      <c r="J27" s="4"/>
      <c r="K27" s="4"/>
      <c r="L27" s="4"/>
      <c r="M27" s="22"/>
      <c r="N27" s="22"/>
      <c r="O27" s="22"/>
    </row>
    <row r="28" spans="3:15" x14ac:dyDescent="0.25">
      <c r="C28" s="33"/>
      <c r="D28" s="11"/>
      <c r="E28" s="33"/>
      <c r="I28" s="4"/>
      <c r="J28" s="4"/>
      <c r="K28" s="4"/>
      <c r="L28" s="4"/>
      <c r="M28" s="22"/>
      <c r="N28" s="22"/>
      <c r="O28" s="22"/>
    </row>
    <row r="29" spans="3:15" x14ac:dyDescent="0.25">
      <c r="C29" s="33" t="str">
        <f t="shared" ref="C29:C43" si="0">IF(H29=1,"u","")</f>
        <v/>
      </c>
      <c r="D29" s="11"/>
      <c r="E29" s="33"/>
      <c r="I29" s="4"/>
      <c r="J29" s="4"/>
      <c r="K29" s="4"/>
      <c r="L29" s="4"/>
      <c r="M29" s="22"/>
      <c r="N29" s="22"/>
      <c r="O29" s="22"/>
    </row>
    <row r="30" spans="3:15" x14ac:dyDescent="0.25">
      <c r="C30" s="33" t="str">
        <f t="shared" si="0"/>
        <v/>
      </c>
      <c r="D30" s="11"/>
      <c r="E30" s="33"/>
      <c r="I30" s="4"/>
      <c r="J30" s="4"/>
      <c r="K30" s="4"/>
      <c r="L30" s="4"/>
      <c r="M30" s="22"/>
      <c r="N30" s="22"/>
      <c r="O30" s="22"/>
    </row>
    <row r="31" spans="3:15" x14ac:dyDescent="0.25">
      <c r="C31" s="33" t="str">
        <f t="shared" si="0"/>
        <v/>
      </c>
      <c r="D31" s="11"/>
      <c r="E31" s="33"/>
      <c r="I31" s="4"/>
      <c r="J31" s="4"/>
      <c r="K31" s="4"/>
      <c r="L31" s="4"/>
      <c r="M31" s="22"/>
      <c r="N31" s="22"/>
      <c r="O31" s="22"/>
    </row>
    <row r="32" spans="3:15" x14ac:dyDescent="0.25">
      <c r="C32" s="33" t="str">
        <f t="shared" si="0"/>
        <v/>
      </c>
      <c r="D32" s="11"/>
      <c r="E32" s="33"/>
      <c r="I32" s="4"/>
      <c r="J32" s="4"/>
      <c r="K32" s="4"/>
      <c r="L32" s="4"/>
      <c r="M32" s="22"/>
      <c r="N32" s="22"/>
      <c r="O32" s="22"/>
    </row>
    <row r="33" spans="3:15" x14ac:dyDescent="0.25">
      <c r="C33" s="33" t="str">
        <f t="shared" si="0"/>
        <v/>
      </c>
      <c r="D33" s="11"/>
      <c r="E33" s="33"/>
      <c r="I33" s="4"/>
      <c r="M33" s="21"/>
      <c r="N33" s="21"/>
      <c r="O33" s="21"/>
    </row>
    <row r="34" spans="3:15" x14ac:dyDescent="0.25">
      <c r="C34" s="33" t="str">
        <f t="shared" si="0"/>
        <v/>
      </c>
      <c r="D34" s="11"/>
      <c r="E34" s="33"/>
      <c r="I34" s="4"/>
      <c r="M34" s="21"/>
      <c r="N34" s="21"/>
      <c r="O34" s="21"/>
    </row>
    <row r="35" spans="3:15" x14ac:dyDescent="0.25">
      <c r="C35" s="33" t="str">
        <f t="shared" si="0"/>
        <v/>
      </c>
      <c r="D35" s="11"/>
      <c r="E35" s="33"/>
      <c r="I35" s="4"/>
      <c r="M35" s="21"/>
      <c r="N35" s="21"/>
      <c r="O35" s="21"/>
    </row>
    <row r="36" spans="3:15" x14ac:dyDescent="0.25">
      <c r="C36" s="33" t="str">
        <f t="shared" si="0"/>
        <v/>
      </c>
      <c r="D36" s="11"/>
      <c r="E36" s="33" t="str">
        <f t="shared" ref="E36:E43" si="1">IF(H36=1,"t","")</f>
        <v/>
      </c>
      <c r="M36" s="21"/>
      <c r="N36" s="21"/>
      <c r="O36" s="21"/>
    </row>
    <row r="37" spans="3:15" x14ac:dyDescent="0.25">
      <c r="C37" s="33" t="str">
        <f t="shared" si="0"/>
        <v/>
      </c>
      <c r="D37" s="11"/>
      <c r="E37" s="33" t="str">
        <f t="shared" si="1"/>
        <v/>
      </c>
      <c r="M37" s="21"/>
      <c r="N37" s="21"/>
      <c r="O37" s="21"/>
    </row>
    <row r="38" spans="3:15" x14ac:dyDescent="0.25">
      <c r="C38" s="33" t="str">
        <f t="shared" si="0"/>
        <v/>
      </c>
      <c r="D38" s="11"/>
      <c r="E38" s="33" t="str">
        <f t="shared" si="1"/>
        <v/>
      </c>
      <c r="M38" s="21"/>
      <c r="N38" s="21"/>
      <c r="O38" s="21"/>
    </row>
    <row r="39" spans="3:15" x14ac:dyDescent="0.25">
      <c r="C39" s="33" t="str">
        <f t="shared" si="0"/>
        <v/>
      </c>
      <c r="D39" s="11"/>
      <c r="E39" s="33" t="str">
        <f t="shared" si="1"/>
        <v/>
      </c>
      <c r="M39" s="21"/>
      <c r="N39" s="21"/>
      <c r="O39" s="21"/>
    </row>
    <row r="40" spans="3:15" x14ac:dyDescent="0.25">
      <c r="C40" s="33" t="str">
        <f t="shared" si="0"/>
        <v/>
      </c>
      <c r="D40" s="11"/>
      <c r="E40" s="33" t="str">
        <f t="shared" si="1"/>
        <v/>
      </c>
      <c r="M40" s="21"/>
      <c r="N40" s="21"/>
      <c r="O40" s="21"/>
    </row>
    <row r="41" spans="3:15" x14ac:dyDescent="0.25">
      <c r="C41" s="33" t="str">
        <f t="shared" si="0"/>
        <v/>
      </c>
      <c r="D41" s="11"/>
      <c r="E41" s="33" t="str">
        <f t="shared" si="1"/>
        <v/>
      </c>
      <c r="M41" s="21"/>
      <c r="N41" s="21"/>
      <c r="O41" s="21"/>
    </row>
    <row r="42" spans="3:15" x14ac:dyDescent="0.25">
      <c r="C42" s="33" t="str">
        <f t="shared" si="0"/>
        <v/>
      </c>
      <c r="D42" s="11"/>
      <c r="E42" s="33" t="str">
        <f t="shared" si="1"/>
        <v/>
      </c>
      <c r="M42" s="21"/>
      <c r="N42" s="21"/>
      <c r="O42" s="21"/>
    </row>
    <row r="43" spans="3:15" x14ac:dyDescent="0.25">
      <c r="C43" s="33" t="str">
        <f t="shared" si="0"/>
        <v/>
      </c>
      <c r="D43" s="11"/>
      <c r="E43" s="33" t="str">
        <f t="shared" si="1"/>
        <v/>
      </c>
      <c r="M43" s="21"/>
      <c r="N43" s="21"/>
      <c r="O43" s="21"/>
    </row>
    <row r="44" spans="3:15" ht="6" customHeight="1" x14ac:dyDescent="0.25">
      <c r="C44" s="9"/>
      <c r="D44" s="9"/>
      <c r="E44" s="9"/>
      <c r="F44" s="9"/>
      <c r="G44" s="9"/>
      <c r="H44" s="9"/>
      <c r="I44" s="9"/>
      <c r="J44" s="9"/>
      <c r="K44" s="9"/>
      <c r="L44" s="9"/>
      <c r="M44" s="21"/>
      <c r="N44" s="21"/>
      <c r="O44" s="21"/>
    </row>
    <row r="45" spans="3:15" ht="6" customHeight="1" x14ac:dyDescent="0.25">
      <c r="M45" s="21"/>
      <c r="N45" s="21"/>
      <c r="O45" s="21"/>
    </row>
    <row r="46" spans="3:15" x14ac:dyDescent="0.25">
      <c r="C46" s="15" t="s">
        <v>79</v>
      </c>
      <c r="M46" s="21"/>
      <c r="N46" s="21"/>
      <c r="O46" s="21"/>
    </row>
    <row r="47" spans="3:15" x14ac:dyDescent="0.25">
      <c r="C47" s="15" t="s">
        <v>78</v>
      </c>
    </row>
  </sheetData>
  <mergeCells count="1">
    <mergeCell ref="G13:H13"/>
  </mergeCells>
  <conditionalFormatting sqref="I9">
    <cfRule type="containsText" dxfId="2427" priority="18" operator="containsText" text="FAIL">
      <formula>NOT(ISERROR(SEARCH("FAIL",I9)))</formula>
    </cfRule>
  </conditionalFormatting>
  <conditionalFormatting sqref="I9">
    <cfRule type="containsText" dxfId="2426" priority="17" operator="containsText" text="GOOD">
      <formula>NOT(ISERROR(SEARCH("GOOD",I9)))</formula>
    </cfRule>
  </conditionalFormatting>
  <conditionalFormatting sqref="F11">
    <cfRule type="containsText" dxfId="2425" priority="16" operator="containsText" text="FAIL">
      <formula>NOT(ISERROR(SEARCH("FAIL",F11)))</formula>
    </cfRule>
  </conditionalFormatting>
  <conditionalFormatting sqref="F11">
    <cfRule type="containsText" dxfId="2424" priority="15" operator="containsText" text="GOOD">
      <formula>NOT(ISERROR(SEARCH("GOOD",F11)))</formula>
    </cfRule>
  </conditionalFormatting>
  <conditionalFormatting sqref="D25">
    <cfRule type="expression" dxfId="2423" priority="14" stopIfTrue="1">
      <formula>IF($H$25=1,0)</formula>
    </cfRule>
  </conditionalFormatting>
  <conditionalFormatting sqref="D23 D29:D43 D25">
    <cfRule type="expression" dxfId="2422" priority="13">
      <formula>H23=1</formula>
    </cfRule>
  </conditionalFormatting>
  <conditionalFormatting sqref="C23:C26 C29:C43">
    <cfRule type="expression" dxfId="2421" priority="12">
      <formula>H23=1</formula>
    </cfRule>
  </conditionalFormatting>
  <conditionalFormatting sqref="E23 E29:E43 E25">
    <cfRule type="expression" dxfId="2420" priority="11">
      <formula>H23=1</formula>
    </cfRule>
  </conditionalFormatting>
  <conditionalFormatting sqref="F11">
    <cfRule type="containsText" dxfId="2419" priority="10" operator="containsText" text="FAIL">
      <formula>NOT(ISERROR(SEARCH("FAIL",F11)))</formula>
    </cfRule>
  </conditionalFormatting>
  <conditionalFormatting sqref="F11">
    <cfRule type="containsText" dxfId="2418" priority="9" operator="containsText" text="GOOD">
      <formula>NOT(ISERROR(SEARCH("GOOD",F11)))</formula>
    </cfRule>
  </conditionalFormatting>
  <conditionalFormatting sqref="D27:D28">
    <cfRule type="expression" dxfId="2417" priority="8">
      <formula>H27=1</formula>
    </cfRule>
  </conditionalFormatting>
  <conditionalFormatting sqref="C27:C28">
    <cfRule type="expression" dxfId="2416" priority="7">
      <formula>H27=1</formula>
    </cfRule>
  </conditionalFormatting>
  <conditionalFormatting sqref="E27:E28">
    <cfRule type="expression" dxfId="2415" priority="6">
      <formula>H27=1</formula>
    </cfRule>
  </conditionalFormatting>
  <conditionalFormatting sqref="D24">
    <cfRule type="expression" dxfId="2414" priority="5" stopIfTrue="1">
      <formula>IF($H$25=1,0)</formula>
    </cfRule>
  </conditionalFormatting>
  <conditionalFormatting sqref="D24">
    <cfRule type="expression" dxfId="2413" priority="4">
      <formula>H24=1</formula>
    </cfRule>
  </conditionalFormatting>
  <conditionalFormatting sqref="E24">
    <cfRule type="expression" dxfId="2412" priority="3">
      <formula>H24=1</formula>
    </cfRule>
  </conditionalFormatting>
  <conditionalFormatting sqref="D26">
    <cfRule type="expression" dxfId="2411" priority="2">
      <formula>H26=1</formula>
    </cfRule>
  </conditionalFormatting>
  <conditionalFormatting sqref="E26">
    <cfRule type="expression" dxfId="2410" priority="1">
      <formula>H26=1</formula>
    </cfRule>
  </conditionalFormatting>
  <pageMargins left="0.7" right="0.7" top="0.75" bottom="0.75" header="0.3" footer="0.3"/>
  <pageSetup scale="68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3"/>
  <dimension ref="A2:P47"/>
  <sheetViews>
    <sheetView zoomScaleNormal="100" workbookViewId="0">
      <selection activeCell="K2" sqref="K2"/>
    </sheetView>
  </sheetViews>
  <sheetFormatPr defaultRowHeight="15" x14ac:dyDescent="0.25"/>
  <cols>
    <col min="1" max="2" width="4.42578125" customWidth="1"/>
    <col min="3" max="3" width="2.7109375" customWidth="1"/>
    <col min="4" max="4" width="24.7109375" customWidth="1"/>
    <col min="5" max="5" width="2.7109375" customWidth="1"/>
    <col min="6" max="6" width="15.7109375" customWidth="1"/>
    <col min="7" max="7" width="8.5703125" customWidth="1"/>
    <col min="8" max="8" width="5.85546875" customWidth="1"/>
    <col min="9" max="16" width="15.7109375" customWidth="1"/>
  </cols>
  <sheetData>
    <row r="2" spans="1:15" x14ac:dyDescent="0.25">
      <c r="C2" s="15" t="s">
        <v>32</v>
      </c>
      <c r="E2" s="15"/>
      <c r="F2" s="15"/>
      <c r="G2" s="15" t="s">
        <v>33</v>
      </c>
      <c r="H2" s="15"/>
      <c r="I2" s="15"/>
      <c r="J2" s="15"/>
      <c r="K2" s="15"/>
      <c r="L2" s="15"/>
    </row>
    <row r="3" spans="1:15" ht="18.75" x14ac:dyDescent="0.3">
      <c r="C3" s="3" t="s">
        <v>26</v>
      </c>
      <c r="J3" s="8" t="s">
        <v>48</v>
      </c>
    </row>
    <row r="4" spans="1:15" x14ac:dyDescent="0.25">
      <c r="C4" s="1"/>
      <c r="D4" s="2" t="s">
        <v>0</v>
      </c>
      <c r="E4" s="1"/>
      <c r="F4" t="s">
        <v>1127</v>
      </c>
      <c r="I4" s="2" t="s">
        <v>4</v>
      </c>
      <c r="J4" t="s">
        <v>447</v>
      </c>
    </row>
    <row r="5" spans="1:15" x14ac:dyDescent="0.25">
      <c r="D5" s="2" t="s">
        <v>1</v>
      </c>
      <c r="F5" t="s">
        <v>1128</v>
      </c>
    </row>
    <row r="6" spans="1:15" x14ac:dyDescent="0.25">
      <c r="D6" s="2" t="s">
        <v>2</v>
      </c>
      <c r="F6" s="6">
        <v>43053</v>
      </c>
      <c r="H6" s="11"/>
    </row>
    <row r="7" spans="1:15" x14ac:dyDescent="0.25">
      <c r="D7" s="2" t="s">
        <v>3</v>
      </c>
      <c r="F7" s="5">
        <f>+L7+K7+J7+I7+(M7*K7)-3000</f>
        <v>17250000</v>
      </c>
      <c r="G7" s="2" t="s">
        <v>756</v>
      </c>
      <c r="H7" s="11"/>
      <c r="I7" s="19">
        <v>0</v>
      </c>
      <c r="J7" s="19">
        <v>14700000</v>
      </c>
      <c r="K7" s="19">
        <v>2220000</v>
      </c>
      <c r="L7" s="19">
        <v>0</v>
      </c>
      <c r="M7" s="20">
        <v>0.15</v>
      </c>
    </row>
    <row r="8" spans="1:15" x14ac:dyDescent="0.25">
      <c r="D8" s="2" t="s">
        <v>18</v>
      </c>
      <c r="F8" s="5">
        <f>MIN(M23:M43)</f>
        <v>22616488</v>
      </c>
      <c r="H8" s="11"/>
      <c r="I8" s="18" t="s">
        <v>43</v>
      </c>
      <c r="J8" s="18" t="s">
        <v>44</v>
      </c>
      <c r="K8" s="18" t="s">
        <v>49</v>
      </c>
      <c r="L8" s="18" t="s">
        <v>934</v>
      </c>
      <c r="M8" s="18" t="s">
        <v>50</v>
      </c>
    </row>
    <row r="9" spans="1:15" x14ac:dyDescent="0.25">
      <c r="D9" s="2" t="s">
        <v>19</v>
      </c>
      <c r="F9" s="4">
        <f>+F8-F7</f>
        <v>5366488</v>
      </c>
      <c r="G9" s="16">
        <f>+F9/F7</f>
        <v>0.3111007536231884</v>
      </c>
      <c r="H9" s="12" t="s">
        <v>20</v>
      </c>
      <c r="I9" s="11" t="str">
        <f>(IF(G9&lt;-0.1,"FAIL",IF(G9&gt;0.05,"FAIL","GOOD")))</f>
        <v>FAIL</v>
      </c>
      <c r="J9" s="14" t="s">
        <v>72</v>
      </c>
    </row>
    <row r="10" spans="1:15" x14ac:dyDescent="0.25">
      <c r="D10" s="2" t="s">
        <v>68</v>
      </c>
      <c r="F10" s="4">
        <f>+F7-F12</f>
        <v>-11211824.5</v>
      </c>
      <c r="H10" s="11"/>
      <c r="K10" s="31"/>
      <c r="L10" s="31"/>
      <c r="O10" t="e">
        <f>LOOKUP(1,D23:D43)</f>
        <v>#N/A</v>
      </c>
    </row>
    <row r="11" spans="1:15" x14ac:dyDescent="0.25">
      <c r="A11" s="30"/>
      <c r="D11" s="2" t="s">
        <v>71</v>
      </c>
      <c r="F11" s="11" t="str">
        <f>(IF(F7&lt;J12,"FAIL",IF(F7&gt;J13,"FAIL","GOOD")))</f>
        <v>FAIL</v>
      </c>
      <c r="H11" s="11"/>
      <c r="M11" s="31"/>
      <c r="O11" t="e">
        <f>MATCH(1,D23:H43,0)</f>
        <v>#N/A</v>
      </c>
    </row>
    <row r="12" spans="1:15" x14ac:dyDescent="0.25">
      <c r="D12" s="2" t="s">
        <v>28</v>
      </c>
      <c r="F12" s="4">
        <f>SUM(M23:M43)/H12</f>
        <v>28461824.5</v>
      </c>
      <c r="G12" s="14"/>
      <c r="H12" s="11">
        <f>COUNT(M23:M43)</f>
        <v>4</v>
      </c>
      <c r="I12" s="1" t="s">
        <v>31</v>
      </c>
      <c r="J12" s="4">
        <f>+F8*0.9</f>
        <v>20354839.199999999</v>
      </c>
      <c r="K12" s="1" t="s">
        <v>69</v>
      </c>
      <c r="L12" s="1"/>
      <c r="O12" t="str">
        <f>INDEX(D23:D43,MATCH(1,H23:H43,0))</f>
        <v>Railroad Constr</v>
      </c>
    </row>
    <row r="13" spans="1:15" x14ac:dyDescent="0.25">
      <c r="D13" s="2" t="s">
        <v>29</v>
      </c>
      <c r="F13" s="4">
        <f>MAX(M23:M43)-MIN(M23:M43)</f>
        <v>14378722</v>
      </c>
      <c r="G13" s="399">
        <f>MEDIAN(M23:M43)</f>
        <v>27117800</v>
      </c>
      <c r="H13" s="400"/>
      <c r="I13" s="1" t="s">
        <v>30</v>
      </c>
      <c r="J13" s="4">
        <f>+F12*1.1</f>
        <v>31308006.950000003</v>
      </c>
      <c r="K13" s="1" t="s">
        <v>70</v>
      </c>
      <c r="L13" s="1"/>
    </row>
    <row r="14" spans="1:15" x14ac:dyDescent="0.25">
      <c r="H14" s="11"/>
    </row>
    <row r="15" spans="1:15" x14ac:dyDescent="0.25">
      <c r="D15" s="2" t="s">
        <v>8</v>
      </c>
      <c r="F15" s="4"/>
      <c r="G15" s="1" t="s">
        <v>9</v>
      </c>
      <c r="H15" s="11"/>
      <c r="I15" t="s">
        <v>15</v>
      </c>
      <c r="J15" s="7" t="e">
        <f>+F16/F15</f>
        <v>#DIV/0!</v>
      </c>
    </row>
    <row r="16" spans="1:15" x14ac:dyDescent="0.25">
      <c r="F16" s="4"/>
      <c r="G16" s="1" t="s">
        <v>10</v>
      </c>
      <c r="H16" s="11"/>
      <c r="I16" t="s">
        <v>14</v>
      </c>
      <c r="J16" s="7" t="e">
        <f>+F17/F16</f>
        <v>#DIV/0!</v>
      </c>
    </row>
    <row r="17" spans="3:16" x14ac:dyDescent="0.25">
      <c r="F17" s="4"/>
      <c r="G17" s="1" t="s">
        <v>11</v>
      </c>
      <c r="H17" s="11"/>
      <c r="I17" t="s">
        <v>13</v>
      </c>
      <c r="J17" s="7" t="e">
        <f>+F18/F17</f>
        <v>#DIV/0!</v>
      </c>
    </row>
    <row r="18" spans="3:16" x14ac:dyDescent="0.25">
      <c r="F18" s="4"/>
      <c r="G18" s="1" t="s">
        <v>12</v>
      </c>
      <c r="H18" s="11"/>
      <c r="I18" t="s">
        <v>16</v>
      </c>
      <c r="J18" s="7" t="e">
        <f>+F8/F18</f>
        <v>#DIV/0!</v>
      </c>
    </row>
    <row r="19" spans="3:16" x14ac:dyDescent="0.25">
      <c r="F19" s="2" t="s">
        <v>51</v>
      </c>
      <c r="G19">
        <v>0</v>
      </c>
      <c r="H19" s="11" t="s">
        <v>52</v>
      </c>
      <c r="I19" t="s">
        <v>41</v>
      </c>
      <c r="J19" s="7" t="e">
        <f>+F8/F15</f>
        <v>#DIV/0!</v>
      </c>
    </row>
    <row r="20" spans="3:16" x14ac:dyDescent="0.25">
      <c r="H20" s="11"/>
    </row>
    <row r="21" spans="3:16" x14ac:dyDescent="0.25">
      <c r="C21" s="9"/>
      <c r="D21" s="13" t="s">
        <v>21</v>
      </c>
      <c r="E21" s="9"/>
      <c r="F21" s="9" t="s">
        <v>22</v>
      </c>
      <c r="G21" s="9" t="s">
        <v>23</v>
      </c>
      <c r="H21" s="13" t="s">
        <v>27</v>
      </c>
      <c r="I21" s="10" t="s">
        <v>38</v>
      </c>
      <c r="J21" s="10" t="s">
        <v>37</v>
      </c>
      <c r="K21" s="17" t="s">
        <v>795</v>
      </c>
      <c r="L21" s="17" t="s">
        <v>42</v>
      </c>
      <c r="M21" s="10" t="s">
        <v>39</v>
      </c>
      <c r="N21" s="21"/>
      <c r="O21" s="21"/>
      <c r="P21" s="21"/>
    </row>
    <row r="22" spans="3:16" ht="6" customHeight="1" x14ac:dyDescent="0.25">
      <c r="N22" s="21"/>
      <c r="O22" s="21"/>
      <c r="P22" s="21"/>
    </row>
    <row r="23" spans="3:16" x14ac:dyDescent="0.25">
      <c r="C23" s="33" t="str">
        <f>IF(H23=1,"u","")</f>
        <v/>
      </c>
      <c r="D23" s="11" t="s">
        <v>1112</v>
      </c>
      <c r="E23" s="33"/>
      <c r="F23" t="s">
        <v>1113</v>
      </c>
      <c r="G23" t="s">
        <v>93</v>
      </c>
      <c r="H23">
        <f>RANK(M23,M$23:M$43,1)</f>
        <v>2</v>
      </c>
      <c r="I23" s="4">
        <v>0</v>
      </c>
      <c r="J23" s="4">
        <v>23256000</v>
      </c>
      <c r="K23" s="4">
        <v>0</v>
      </c>
      <c r="L23" s="7">
        <v>0.35</v>
      </c>
      <c r="M23" s="4">
        <f>+K23+I23+J23+(L23*K$7)+$K$7</f>
        <v>26253000</v>
      </c>
      <c r="N23" s="22"/>
      <c r="O23" s="22">
        <f>+L23*$K$7</f>
        <v>777000</v>
      </c>
      <c r="P23" s="22"/>
    </row>
    <row r="24" spans="3:16" x14ac:dyDescent="0.25">
      <c r="C24" s="33" t="str">
        <f>IF(H24=1,"u","")</f>
        <v/>
      </c>
      <c r="D24" s="11" t="s">
        <v>506</v>
      </c>
      <c r="E24" s="33"/>
      <c r="F24" t="s">
        <v>40</v>
      </c>
      <c r="G24" t="s">
        <v>25</v>
      </c>
      <c r="H24">
        <f>RANK(M24,M$23:M$43,1)</f>
        <v>3</v>
      </c>
      <c r="I24" s="4">
        <v>0</v>
      </c>
      <c r="J24" s="4">
        <v>25141000</v>
      </c>
      <c r="K24" s="4">
        <v>0</v>
      </c>
      <c r="L24" s="7">
        <v>0.28000000000000003</v>
      </c>
      <c r="M24" s="4">
        <f>+K24+I24+J24+(L24*K$7)+$K$7</f>
        <v>27982600</v>
      </c>
      <c r="N24" s="22"/>
      <c r="O24" s="22">
        <f>+L24*$K$7</f>
        <v>621600.00000000012</v>
      </c>
      <c r="P24" s="22"/>
    </row>
    <row r="25" spans="3:16" x14ac:dyDescent="0.25">
      <c r="C25" s="33" t="str">
        <f>IF(H25=1,"u","")</f>
        <v>u</v>
      </c>
      <c r="D25" s="11" t="s">
        <v>1017</v>
      </c>
      <c r="E25" s="33"/>
      <c r="F25" t="s">
        <v>201</v>
      </c>
      <c r="G25" t="s">
        <v>25</v>
      </c>
      <c r="H25">
        <f>RANK(M25,M$23:M$43,1)</f>
        <v>1</v>
      </c>
      <c r="I25" s="4">
        <v>0</v>
      </c>
      <c r="J25" s="4">
        <v>19952488</v>
      </c>
      <c r="K25" s="4">
        <v>0</v>
      </c>
      <c r="L25" s="7">
        <v>0.2</v>
      </c>
      <c r="M25" s="4">
        <f>+K25+I25+J25+(L25*K$7)+$K$7</f>
        <v>22616488</v>
      </c>
      <c r="N25" s="22"/>
      <c r="O25" s="22">
        <f>+L25*$K$7</f>
        <v>444000</v>
      </c>
      <c r="P25" s="22"/>
    </row>
    <row r="26" spans="3:16" x14ac:dyDescent="0.25">
      <c r="C26" s="33" t="str">
        <f t="shared" ref="C26:C43" si="0">IF(H26=1,"u","")</f>
        <v/>
      </c>
      <c r="D26" s="11" t="s">
        <v>491</v>
      </c>
      <c r="E26" s="33"/>
      <c r="F26" t="s">
        <v>203</v>
      </c>
      <c r="G26" t="s">
        <v>204</v>
      </c>
      <c r="H26">
        <f>RANK(M26,M$23:M$43,1)</f>
        <v>4</v>
      </c>
      <c r="I26" s="4">
        <v>0</v>
      </c>
      <c r="J26" s="4">
        <v>34686410</v>
      </c>
      <c r="K26" s="4">
        <v>0</v>
      </c>
      <c r="L26" s="7">
        <v>0.04</v>
      </c>
      <c r="M26" s="4">
        <f>+K26+I26+J26+(L26*K$7)+$K$7</f>
        <v>36995210</v>
      </c>
      <c r="N26" s="22"/>
      <c r="O26" s="22">
        <f>+L26*$K$7</f>
        <v>88800</v>
      </c>
      <c r="P26" s="22"/>
    </row>
    <row r="27" spans="3:16" x14ac:dyDescent="0.25">
      <c r="C27" s="33" t="str">
        <f t="shared" si="0"/>
        <v/>
      </c>
      <c r="D27" s="11"/>
      <c r="E27" s="33"/>
      <c r="I27" s="4"/>
      <c r="J27" s="4"/>
      <c r="K27" s="4"/>
      <c r="L27" s="7"/>
      <c r="M27" s="4"/>
      <c r="N27" s="22"/>
      <c r="O27" s="22"/>
      <c r="P27" s="22"/>
    </row>
    <row r="28" spans="3:16" x14ac:dyDescent="0.25">
      <c r="C28" s="33"/>
      <c r="D28" s="11"/>
      <c r="E28" s="33"/>
      <c r="I28" s="4"/>
      <c r="J28" s="4"/>
      <c r="K28" s="7"/>
      <c r="L28" s="7"/>
      <c r="M28" s="4"/>
      <c r="N28" s="22"/>
      <c r="O28" s="22"/>
      <c r="P28" s="22"/>
    </row>
    <row r="29" spans="3:16" x14ac:dyDescent="0.25">
      <c r="C29" s="33"/>
      <c r="D29" s="11"/>
      <c r="E29" s="33"/>
      <c r="I29" s="4"/>
      <c r="J29" s="4"/>
      <c r="K29" s="7"/>
      <c r="L29" s="7"/>
      <c r="M29" s="4"/>
      <c r="N29" s="22"/>
      <c r="O29" s="22"/>
      <c r="P29" s="22"/>
    </row>
    <row r="30" spans="3:16" x14ac:dyDescent="0.25">
      <c r="C30" s="33" t="str">
        <f t="shared" si="0"/>
        <v/>
      </c>
      <c r="D30" s="11"/>
      <c r="E30" s="33" t="str">
        <f t="shared" ref="E30:E43" si="1">IF(H30=1,"t","")</f>
        <v/>
      </c>
      <c r="I30" s="4"/>
      <c r="J30" s="4"/>
      <c r="K30" s="7"/>
      <c r="L30" s="7"/>
      <c r="M30" s="4"/>
      <c r="N30" s="22"/>
      <c r="O30" s="22"/>
      <c r="P30" s="22"/>
    </row>
    <row r="31" spans="3:16" x14ac:dyDescent="0.25">
      <c r="C31" s="33" t="str">
        <f t="shared" si="0"/>
        <v/>
      </c>
      <c r="D31" s="11"/>
      <c r="E31" s="33" t="str">
        <f t="shared" si="1"/>
        <v/>
      </c>
      <c r="I31" s="4"/>
      <c r="J31" s="4"/>
      <c r="K31" s="7"/>
      <c r="L31" s="7"/>
      <c r="M31" s="4"/>
      <c r="N31" s="22"/>
      <c r="O31" s="22"/>
      <c r="P31" s="22"/>
    </row>
    <row r="32" spans="3:16" x14ac:dyDescent="0.25">
      <c r="C32" s="33" t="str">
        <f t="shared" si="0"/>
        <v/>
      </c>
      <c r="D32" s="11"/>
      <c r="E32" s="33" t="str">
        <f t="shared" si="1"/>
        <v/>
      </c>
      <c r="I32" s="4"/>
      <c r="J32" s="4"/>
      <c r="K32" s="7"/>
      <c r="L32" s="7"/>
      <c r="M32" s="4"/>
      <c r="N32" s="22"/>
      <c r="O32" s="22"/>
      <c r="P32" s="22"/>
    </row>
    <row r="33" spans="3:16" x14ac:dyDescent="0.25">
      <c r="C33" s="33" t="str">
        <f t="shared" si="0"/>
        <v/>
      </c>
      <c r="D33" s="11"/>
      <c r="E33" s="33" t="str">
        <f t="shared" si="1"/>
        <v/>
      </c>
      <c r="I33" s="4"/>
      <c r="J33" s="4"/>
      <c r="K33" s="7"/>
      <c r="L33" s="7"/>
      <c r="M33" s="4"/>
      <c r="N33" s="21"/>
      <c r="O33" s="21"/>
      <c r="P33" s="21"/>
    </row>
    <row r="34" spans="3:16" x14ac:dyDescent="0.25">
      <c r="C34" s="33" t="str">
        <f t="shared" si="0"/>
        <v/>
      </c>
      <c r="D34" s="11"/>
      <c r="E34" s="33" t="str">
        <f t="shared" si="1"/>
        <v/>
      </c>
      <c r="K34" s="7"/>
      <c r="L34" s="7"/>
      <c r="N34" s="21"/>
      <c r="O34" s="21"/>
      <c r="P34" s="21"/>
    </row>
    <row r="35" spans="3:16" x14ac:dyDescent="0.25">
      <c r="C35" s="33" t="str">
        <f t="shared" si="0"/>
        <v/>
      </c>
      <c r="D35" s="11"/>
      <c r="E35" s="33" t="str">
        <f t="shared" si="1"/>
        <v/>
      </c>
      <c r="K35" s="7"/>
      <c r="L35" s="7"/>
      <c r="N35" s="21"/>
      <c r="O35" s="21"/>
      <c r="P35" s="21"/>
    </row>
    <row r="36" spans="3:16" x14ac:dyDescent="0.25">
      <c r="C36" s="33" t="str">
        <f t="shared" si="0"/>
        <v/>
      </c>
      <c r="D36" s="11"/>
      <c r="E36" s="33" t="str">
        <f t="shared" si="1"/>
        <v/>
      </c>
      <c r="K36" s="7"/>
      <c r="L36" s="7"/>
      <c r="N36" s="21"/>
      <c r="O36" s="21"/>
      <c r="P36" s="21"/>
    </row>
    <row r="37" spans="3:16" x14ac:dyDescent="0.25">
      <c r="C37" s="33" t="str">
        <f t="shared" si="0"/>
        <v/>
      </c>
      <c r="D37" s="11"/>
      <c r="E37" s="33" t="str">
        <f t="shared" si="1"/>
        <v/>
      </c>
      <c r="K37" s="7"/>
      <c r="L37" s="7"/>
      <c r="N37" s="21"/>
      <c r="O37" s="21"/>
      <c r="P37" s="21"/>
    </row>
    <row r="38" spans="3:16" x14ac:dyDescent="0.25">
      <c r="C38" s="33" t="str">
        <f t="shared" si="0"/>
        <v/>
      </c>
      <c r="D38" s="11"/>
      <c r="E38" s="33" t="str">
        <f t="shared" si="1"/>
        <v/>
      </c>
      <c r="K38" s="7"/>
      <c r="L38" s="7"/>
      <c r="N38" s="21"/>
      <c r="O38" s="21"/>
      <c r="P38" s="21"/>
    </row>
    <row r="39" spans="3:16" x14ac:dyDescent="0.25">
      <c r="C39" s="33" t="str">
        <f t="shared" si="0"/>
        <v/>
      </c>
      <c r="D39" s="11"/>
      <c r="E39" s="33" t="str">
        <f t="shared" si="1"/>
        <v/>
      </c>
      <c r="K39" s="7"/>
      <c r="L39" s="7"/>
      <c r="N39" s="21"/>
      <c r="O39" s="21"/>
      <c r="P39" s="21"/>
    </row>
    <row r="40" spans="3:16" x14ac:dyDescent="0.25">
      <c r="C40" s="33" t="str">
        <f t="shared" si="0"/>
        <v/>
      </c>
      <c r="D40" s="11"/>
      <c r="E40" s="33" t="str">
        <f t="shared" si="1"/>
        <v/>
      </c>
      <c r="K40" s="7"/>
      <c r="L40" s="7"/>
      <c r="N40" s="21"/>
      <c r="O40" s="21"/>
      <c r="P40" s="21"/>
    </row>
    <row r="41" spans="3:16" x14ac:dyDescent="0.25">
      <c r="C41" s="33" t="str">
        <f t="shared" si="0"/>
        <v/>
      </c>
      <c r="D41" s="11"/>
      <c r="E41" s="33" t="str">
        <f t="shared" si="1"/>
        <v/>
      </c>
      <c r="K41" s="7"/>
      <c r="L41" s="7"/>
      <c r="N41" s="21"/>
      <c r="O41" s="21"/>
      <c r="P41" s="21"/>
    </row>
    <row r="42" spans="3:16" x14ac:dyDescent="0.25">
      <c r="C42" s="33" t="str">
        <f t="shared" si="0"/>
        <v/>
      </c>
      <c r="D42" s="11"/>
      <c r="E42" s="33" t="str">
        <f t="shared" si="1"/>
        <v/>
      </c>
      <c r="K42" s="7"/>
      <c r="L42" s="7"/>
      <c r="N42" s="21"/>
      <c r="O42" s="21"/>
      <c r="P42" s="21"/>
    </row>
    <row r="43" spans="3:16" x14ac:dyDescent="0.25">
      <c r="C43" s="33" t="str">
        <f t="shared" si="0"/>
        <v/>
      </c>
      <c r="D43" s="11"/>
      <c r="E43" s="33" t="str">
        <f t="shared" si="1"/>
        <v/>
      </c>
      <c r="K43" s="7"/>
      <c r="L43" s="7"/>
      <c r="N43" s="21"/>
      <c r="O43" s="21"/>
      <c r="P43" s="21"/>
    </row>
    <row r="44" spans="3:16" ht="6" customHeight="1" x14ac:dyDescent="0.25"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21"/>
      <c r="O44" s="21"/>
      <c r="P44" s="21"/>
    </row>
    <row r="45" spans="3:16" ht="6" customHeight="1" x14ac:dyDescent="0.25">
      <c r="N45" s="21"/>
      <c r="O45" s="21"/>
      <c r="P45" s="21"/>
    </row>
    <row r="46" spans="3:16" x14ac:dyDescent="0.25">
      <c r="C46" s="15" t="s">
        <v>79</v>
      </c>
      <c r="N46" s="21"/>
      <c r="O46" s="21"/>
      <c r="P46" s="21"/>
    </row>
    <row r="47" spans="3:16" x14ac:dyDescent="0.25">
      <c r="C47" s="15" t="s">
        <v>78</v>
      </c>
      <c r="N47" s="21"/>
      <c r="O47" s="21"/>
      <c r="P47" s="21"/>
    </row>
  </sheetData>
  <mergeCells count="1">
    <mergeCell ref="G13:H13"/>
  </mergeCells>
  <conditionalFormatting sqref="I9 F11">
    <cfRule type="containsText" dxfId="2269" priority="8" operator="containsText" text="FAIL">
      <formula>NOT(ISERROR(SEARCH("FAIL",F9)))</formula>
    </cfRule>
  </conditionalFormatting>
  <conditionalFormatting sqref="I9 F11">
    <cfRule type="containsText" dxfId="2268" priority="7" operator="containsText" text="GOOD">
      <formula>NOT(ISERROR(SEARCH("GOOD",F9)))</formula>
    </cfRule>
  </conditionalFormatting>
  <conditionalFormatting sqref="I9">
    <cfRule type="containsText" dxfId="2267" priority="6" operator="containsText" text="FAIL">
      <formula>NOT(ISERROR(SEARCH("FAIL",I9)))</formula>
    </cfRule>
  </conditionalFormatting>
  <conditionalFormatting sqref="I9">
    <cfRule type="containsText" dxfId="2266" priority="5" operator="containsText" text="GOOD">
      <formula>NOT(ISERROR(SEARCH("GOOD",I9)))</formula>
    </cfRule>
  </conditionalFormatting>
  <conditionalFormatting sqref="D25">
    <cfRule type="expression" dxfId="2265" priority="4" stopIfTrue="1">
      <formula>IF($H$25=1,0)</formula>
    </cfRule>
  </conditionalFormatting>
  <conditionalFormatting sqref="D23:D43">
    <cfRule type="expression" dxfId="2264" priority="3">
      <formula>H23=1</formula>
    </cfRule>
  </conditionalFormatting>
  <conditionalFormatting sqref="C23:C43">
    <cfRule type="expression" dxfId="2263" priority="2">
      <formula>H23=1</formula>
    </cfRule>
  </conditionalFormatting>
  <conditionalFormatting sqref="E23:E43">
    <cfRule type="expression" dxfId="2262" priority="1">
      <formula>H23=1</formula>
    </cfRule>
  </conditionalFormatting>
  <pageMargins left="0.7" right="0.7" top="0.75" bottom="0.75" header="0.3" footer="0.3"/>
  <pageSetup scale="77" orientation="landscape" r:id="rId1"/>
</worksheet>
</file>

<file path=xl/worksheets/sheet1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C00-000000000000}">
  <sheetPr codeName="Sheet158"/>
  <dimension ref="A2:O47"/>
  <sheetViews>
    <sheetView topLeftCell="A7" workbookViewId="0">
      <selection activeCell="I31" sqref="I31"/>
    </sheetView>
  </sheetViews>
  <sheetFormatPr defaultRowHeight="15" x14ac:dyDescent="0.25"/>
  <cols>
    <col min="1" max="2" width="4.42578125" customWidth="1"/>
    <col min="3" max="3" width="3" customWidth="1"/>
    <col min="4" max="4" width="24.85546875" customWidth="1"/>
    <col min="5" max="5" width="3" customWidth="1"/>
    <col min="6" max="6" width="15.7109375" customWidth="1"/>
    <col min="7" max="7" width="8.5703125" customWidth="1"/>
    <col min="8" max="8" width="5.85546875" customWidth="1"/>
    <col min="9" max="15" width="15.7109375" customWidth="1"/>
  </cols>
  <sheetData>
    <row r="2" spans="1:11" x14ac:dyDescent="0.25">
      <c r="C2" s="15" t="s">
        <v>32</v>
      </c>
      <c r="E2" s="15"/>
      <c r="F2" s="15"/>
      <c r="G2" s="15" t="s">
        <v>33</v>
      </c>
      <c r="H2" s="15"/>
      <c r="I2" s="15"/>
      <c r="J2" s="15"/>
      <c r="K2" s="15"/>
    </row>
    <row r="3" spans="1:11" ht="18.75" x14ac:dyDescent="0.3">
      <c r="C3" s="3" t="s">
        <v>26</v>
      </c>
      <c r="J3" s="8" t="s">
        <v>17</v>
      </c>
    </row>
    <row r="4" spans="1:11" x14ac:dyDescent="0.25">
      <c r="D4" s="2" t="s">
        <v>0</v>
      </c>
      <c r="E4" s="1"/>
      <c r="F4" t="s">
        <v>315</v>
      </c>
      <c r="I4" s="2" t="s">
        <v>4</v>
      </c>
    </row>
    <row r="5" spans="1:11" x14ac:dyDescent="0.25">
      <c r="D5" s="2" t="s">
        <v>1</v>
      </c>
      <c r="F5" t="s">
        <v>316</v>
      </c>
    </row>
    <row r="6" spans="1:11" x14ac:dyDescent="0.25">
      <c r="D6" s="2" t="s">
        <v>2</v>
      </c>
      <c r="F6" s="6">
        <v>42115</v>
      </c>
      <c r="H6" s="11"/>
    </row>
    <row r="7" spans="1:11" x14ac:dyDescent="0.25">
      <c r="D7" s="2" t="s">
        <v>3</v>
      </c>
      <c r="F7" s="5">
        <v>735000</v>
      </c>
      <c r="G7" s="2" t="s">
        <v>34</v>
      </c>
      <c r="H7" s="11"/>
    </row>
    <row r="8" spans="1:11" x14ac:dyDescent="0.25">
      <c r="D8" s="2" t="s">
        <v>18</v>
      </c>
      <c r="F8" s="5">
        <f>MIN(I23:I43)</f>
        <v>512568</v>
      </c>
      <c r="H8" s="11"/>
    </row>
    <row r="9" spans="1:11" x14ac:dyDescent="0.25">
      <c r="D9" s="2" t="s">
        <v>67</v>
      </c>
      <c r="F9" s="4">
        <f>+F8-F7</f>
        <v>-222432</v>
      </c>
      <c r="G9" s="16">
        <f>+F9/F7</f>
        <v>-0.30262857142857141</v>
      </c>
      <c r="H9" s="12" t="s">
        <v>20</v>
      </c>
      <c r="I9" s="11" t="str">
        <f>(IF(G9&lt;-0.1,"FAIL",IF(G9&gt;0.05,"FAIL","GOOD")))</f>
        <v>FAIL</v>
      </c>
      <c r="J9" s="14" t="s">
        <v>72</v>
      </c>
    </row>
    <row r="10" spans="1:11" x14ac:dyDescent="0.25">
      <c r="D10" s="2" t="s">
        <v>68</v>
      </c>
      <c r="F10" s="4">
        <f>+F7-F12</f>
        <v>-58823.2733333332</v>
      </c>
      <c r="H10" s="11"/>
    </row>
    <row r="11" spans="1:11" x14ac:dyDescent="0.25">
      <c r="A11" s="30"/>
      <c r="D11" s="2" t="s">
        <v>71</v>
      </c>
      <c r="F11" s="11" t="str">
        <f>(IF(F7&lt;J12,"FAIL",IF(F7&gt;J13,"FAIL","GOOD")))</f>
        <v>GOOD</v>
      </c>
      <c r="H11" s="11"/>
    </row>
    <row r="12" spans="1:11" x14ac:dyDescent="0.25">
      <c r="D12" s="2" t="s">
        <v>28</v>
      </c>
      <c r="F12" s="4">
        <f>SUM(I23:I43)/H12</f>
        <v>793823.2733333332</v>
      </c>
      <c r="G12" s="14"/>
      <c r="H12" s="11">
        <f>COUNT(I23:I43)</f>
        <v>9</v>
      </c>
      <c r="I12" s="1" t="s">
        <v>31</v>
      </c>
      <c r="J12" s="4">
        <f>+F8*0.9</f>
        <v>461311.2</v>
      </c>
      <c r="K12" s="1" t="s">
        <v>69</v>
      </c>
    </row>
    <row r="13" spans="1:11" x14ac:dyDescent="0.25">
      <c r="D13" s="2" t="s">
        <v>29</v>
      </c>
      <c r="F13" s="4">
        <f>MAX(I23:I43)-MIN(I23:I43)</f>
        <v>684417</v>
      </c>
      <c r="G13" s="399">
        <f>MEDIAN(I23:I43)</f>
        <v>789232</v>
      </c>
      <c r="H13" s="400"/>
      <c r="I13" s="1" t="s">
        <v>30</v>
      </c>
      <c r="J13" s="4">
        <f>+F12*1.1</f>
        <v>873205.60066666664</v>
      </c>
      <c r="K13" s="1" t="s">
        <v>70</v>
      </c>
    </row>
    <row r="14" spans="1:11" x14ac:dyDescent="0.25">
      <c r="H14" s="11"/>
    </row>
    <row r="15" spans="1:11" x14ac:dyDescent="0.25">
      <c r="D15" s="2" t="s">
        <v>8</v>
      </c>
      <c r="F15" s="4"/>
      <c r="G15" s="1" t="s">
        <v>9</v>
      </c>
      <c r="H15" s="11"/>
      <c r="I15" t="s">
        <v>15</v>
      </c>
      <c r="J15" s="7" t="e">
        <f>+F16/F15</f>
        <v>#DIV/0!</v>
      </c>
    </row>
    <row r="16" spans="1:11" x14ac:dyDescent="0.25">
      <c r="F16" s="4"/>
      <c r="G16" s="1" t="s">
        <v>10</v>
      </c>
      <c r="H16" s="11"/>
      <c r="I16" t="s">
        <v>14</v>
      </c>
      <c r="J16" s="7" t="e">
        <f>+F17/F16</f>
        <v>#DIV/0!</v>
      </c>
    </row>
    <row r="17" spans="3:15" x14ac:dyDescent="0.25">
      <c r="F17" s="4"/>
      <c r="G17" s="1" t="s">
        <v>11</v>
      </c>
      <c r="H17" s="11"/>
      <c r="I17" t="s">
        <v>13</v>
      </c>
      <c r="J17" s="7" t="e">
        <f>+F18/F17</f>
        <v>#DIV/0!</v>
      </c>
      <c r="M17" s="21"/>
      <c r="N17" s="21"/>
      <c r="O17" s="21"/>
    </row>
    <row r="18" spans="3:15" x14ac:dyDescent="0.25">
      <c r="F18" s="4"/>
      <c r="G18" s="1" t="s">
        <v>12</v>
      </c>
      <c r="H18" s="11"/>
      <c r="I18" t="s">
        <v>16</v>
      </c>
      <c r="J18" s="7" t="e">
        <f>+F8/F18</f>
        <v>#DIV/0!</v>
      </c>
      <c r="M18" s="21"/>
      <c r="N18" s="21"/>
      <c r="O18" s="21"/>
    </row>
    <row r="19" spans="3:15" x14ac:dyDescent="0.25">
      <c r="F19" s="2" t="s">
        <v>51</v>
      </c>
      <c r="G19">
        <v>0</v>
      </c>
      <c r="H19" s="11" t="s">
        <v>52</v>
      </c>
      <c r="I19" t="s">
        <v>41</v>
      </c>
      <c r="J19" s="7" t="e">
        <f>+F8/F15</f>
        <v>#DIV/0!</v>
      </c>
      <c r="M19" s="21"/>
      <c r="N19" s="21"/>
      <c r="O19" s="21"/>
    </row>
    <row r="20" spans="3:15" x14ac:dyDescent="0.25">
      <c r="H20" s="11"/>
      <c r="M20" s="21"/>
      <c r="N20" s="21"/>
      <c r="O20" s="21"/>
    </row>
    <row r="21" spans="3:15" x14ac:dyDescent="0.25">
      <c r="C21" s="9"/>
      <c r="D21" s="13" t="s">
        <v>21</v>
      </c>
      <c r="E21" s="9"/>
      <c r="F21" s="9" t="s">
        <v>22</v>
      </c>
      <c r="G21" s="9" t="s">
        <v>23</v>
      </c>
      <c r="H21" s="13" t="s">
        <v>27</v>
      </c>
      <c r="I21" s="10" t="s">
        <v>24</v>
      </c>
      <c r="J21" s="9"/>
      <c r="K21" s="9"/>
      <c r="L21" s="9"/>
      <c r="M21" s="21"/>
      <c r="N21" s="21"/>
      <c r="O21" s="21"/>
    </row>
    <row r="22" spans="3:15" ht="6" customHeight="1" x14ac:dyDescent="0.25">
      <c r="M22" s="21"/>
      <c r="N22" s="21"/>
      <c r="O22" s="21"/>
    </row>
    <row r="23" spans="3:15" x14ac:dyDescent="0.25">
      <c r="C23" s="33" t="str">
        <f>IF(H23=1,"u","")</f>
        <v>u</v>
      </c>
      <c r="D23" s="23" t="s">
        <v>317</v>
      </c>
      <c r="E23" s="33"/>
      <c r="F23" t="s">
        <v>320</v>
      </c>
      <c r="G23" t="s">
        <v>321</v>
      </c>
      <c r="H23">
        <f>RANK(I23,I$23:I$43,1)</f>
        <v>1</v>
      </c>
      <c r="I23" s="4">
        <v>512568</v>
      </c>
      <c r="J23" s="4"/>
      <c r="K23" s="4"/>
      <c r="L23" s="4"/>
      <c r="M23" s="22"/>
      <c r="N23" s="22"/>
      <c r="O23" s="22"/>
    </row>
    <row r="24" spans="3:15" x14ac:dyDescent="0.25">
      <c r="C24" s="33" t="str">
        <f>IF(H24=1,"u","")</f>
        <v/>
      </c>
      <c r="D24" s="23" t="s">
        <v>318</v>
      </c>
      <c r="E24" s="33"/>
      <c r="F24" t="s">
        <v>319</v>
      </c>
      <c r="G24" t="s">
        <v>93</v>
      </c>
      <c r="H24">
        <f t="shared" ref="H24:H31" si="0">RANK(I24,I$23:I$43,1)</f>
        <v>2</v>
      </c>
      <c r="I24" s="4">
        <v>537725.67000000004</v>
      </c>
      <c r="J24" s="4"/>
      <c r="K24" s="4"/>
      <c r="L24" s="4"/>
      <c r="M24" s="22"/>
      <c r="N24" s="22"/>
      <c r="O24" s="22"/>
    </row>
    <row r="25" spans="3:15" x14ac:dyDescent="0.25">
      <c r="C25" s="33" t="str">
        <f>IF(H25=1,"u","")</f>
        <v/>
      </c>
      <c r="D25" s="23" t="s">
        <v>322</v>
      </c>
      <c r="E25" s="33"/>
      <c r="F25" t="s">
        <v>323</v>
      </c>
      <c r="G25" t="s">
        <v>25</v>
      </c>
      <c r="H25">
        <f t="shared" si="0"/>
        <v>3</v>
      </c>
      <c r="I25" s="4">
        <v>699999</v>
      </c>
      <c r="J25" s="4"/>
      <c r="K25" s="4"/>
      <c r="L25" s="4"/>
      <c r="M25" s="22"/>
      <c r="N25" s="22"/>
      <c r="O25" s="22"/>
    </row>
    <row r="26" spans="3:15" x14ac:dyDescent="0.25">
      <c r="C26" s="33" t="str">
        <f t="shared" ref="C26:C43" si="1">IF(H26=1,"u","")</f>
        <v/>
      </c>
      <c r="D26" s="23" t="s">
        <v>238</v>
      </c>
      <c r="E26" s="33"/>
      <c r="F26" t="s">
        <v>139</v>
      </c>
      <c r="G26" t="s">
        <v>25</v>
      </c>
      <c r="H26">
        <f t="shared" si="0"/>
        <v>4</v>
      </c>
      <c r="I26" s="4">
        <v>716977</v>
      </c>
      <c r="J26" s="4"/>
      <c r="K26" s="4"/>
      <c r="L26" s="4"/>
      <c r="M26" s="22"/>
      <c r="N26" s="22"/>
      <c r="O26" s="22"/>
    </row>
    <row r="27" spans="3:15" x14ac:dyDescent="0.25">
      <c r="C27" s="33" t="str">
        <f t="shared" si="1"/>
        <v/>
      </c>
      <c r="D27" s="23" t="s">
        <v>324</v>
      </c>
      <c r="E27" s="33" t="str">
        <f t="shared" ref="E27:E43" si="2">IF(H27=1,"t","")</f>
        <v/>
      </c>
      <c r="F27" t="s">
        <v>325</v>
      </c>
      <c r="G27" t="s">
        <v>93</v>
      </c>
      <c r="H27">
        <f t="shared" si="0"/>
        <v>5</v>
      </c>
      <c r="I27" s="4">
        <v>789232</v>
      </c>
      <c r="J27" s="4"/>
      <c r="K27" s="4"/>
      <c r="L27" s="4"/>
      <c r="M27" s="22"/>
      <c r="N27" s="22"/>
      <c r="O27" s="22"/>
    </row>
    <row r="28" spans="3:15" x14ac:dyDescent="0.25">
      <c r="C28" s="33" t="str">
        <f t="shared" si="1"/>
        <v/>
      </c>
      <c r="D28" s="23" t="s">
        <v>326</v>
      </c>
      <c r="E28" s="33" t="str">
        <f t="shared" si="2"/>
        <v/>
      </c>
      <c r="F28" t="s">
        <v>327</v>
      </c>
      <c r="G28" t="s">
        <v>25</v>
      </c>
      <c r="H28">
        <f t="shared" si="0"/>
        <v>6</v>
      </c>
      <c r="I28" s="4">
        <v>829538.19</v>
      </c>
      <c r="J28" s="4"/>
      <c r="K28" s="4"/>
      <c r="L28" s="4"/>
      <c r="M28" s="22"/>
      <c r="N28" s="22"/>
      <c r="O28" s="22"/>
    </row>
    <row r="29" spans="3:15" x14ac:dyDescent="0.25">
      <c r="C29" s="33" t="str">
        <f t="shared" si="1"/>
        <v/>
      </c>
      <c r="D29" s="23" t="s">
        <v>328</v>
      </c>
      <c r="E29" s="33" t="str">
        <f t="shared" si="2"/>
        <v/>
      </c>
      <c r="F29" t="s">
        <v>131</v>
      </c>
      <c r="G29" t="s">
        <v>25</v>
      </c>
      <c r="H29">
        <f t="shared" si="0"/>
        <v>7</v>
      </c>
      <c r="I29" s="4">
        <v>880000</v>
      </c>
      <c r="J29" s="4"/>
      <c r="K29" s="4"/>
      <c r="L29" s="4"/>
      <c r="M29" s="22"/>
      <c r="N29" s="22"/>
      <c r="O29" s="22"/>
    </row>
    <row r="30" spans="3:15" x14ac:dyDescent="0.25">
      <c r="C30" s="33" t="str">
        <f t="shared" si="1"/>
        <v/>
      </c>
      <c r="D30" s="23" t="s">
        <v>329</v>
      </c>
      <c r="E30" s="33" t="str">
        <f t="shared" si="2"/>
        <v/>
      </c>
      <c r="F30" t="s">
        <v>330</v>
      </c>
      <c r="G30" t="s">
        <v>25</v>
      </c>
      <c r="H30">
        <f t="shared" si="0"/>
        <v>8</v>
      </c>
      <c r="I30" s="4">
        <v>981384.6</v>
      </c>
      <c r="J30" s="4"/>
      <c r="K30" s="4"/>
      <c r="L30" s="4"/>
      <c r="M30" s="22"/>
      <c r="N30" s="22"/>
      <c r="O30" s="22"/>
    </row>
    <row r="31" spans="3:15" x14ac:dyDescent="0.25">
      <c r="C31" s="33" t="str">
        <f t="shared" si="1"/>
        <v/>
      </c>
      <c r="D31" s="23" t="s">
        <v>331</v>
      </c>
      <c r="E31" s="33" t="str">
        <f t="shared" si="2"/>
        <v/>
      </c>
      <c r="F31" t="s">
        <v>332</v>
      </c>
      <c r="G31" t="s">
        <v>333</v>
      </c>
      <c r="H31">
        <f t="shared" si="0"/>
        <v>9</v>
      </c>
      <c r="I31" s="4">
        <v>1196985</v>
      </c>
      <c r="J31" s="4"/>
      <c r="K31" s="4"/>
      <c r="L31" s="4"/>
      <c r="M31" s="22"/>
      <c r="N31" s="22"/>
      <c r="O31" s="22"/>
    </row>
    <row r="32" spans="3:15" x14ac:dyDescent="0.25">
      <c r="C32" s="33"/>
      <c r="D32" s="23"/>
      <c r="E32" s="33"/>
      <c r="I32" s="4"/>
      <c r="J32" s="4"/>
      <c r="K32" s="4"/>
      <c r="L32" s="4"/>
      <c r="M32" s="22"/>
      <c r="N32" s="22"/>
      <c r="O32" s="22"/>
    </row>
    <row r="33" spans="3:15" x14ac:dyDescent="0.25">
      <c r="C33" s="33"/>
      <c r="D33" s="23"/>
      <c r="E33" s="33"/>
      <c r="M33" s="21"/>
      <c r="N33" s="21"/>
      <c r="O33" s="21"/>
    </row>
    <row r="34" spans="3:15" x14ac:dyDescent="0.25">
      <c r="C34" s="33" t="str">
        <f t="shared" si="1"/>
        <v/>
      </c>
      <c r="D34" s="23"/>
      <c r="E34" s="33" t="str">
        <f t="shared" si="2"/>
        <v/>
      </c>
      <c r="M34" s="21"/>
      <c r="N34" s="21"/>
      <c r="O34" s="21"/>
    </row>
    <row r="35" spans="3:15" x14ac:dyDescent="0.25">
      <c r="C35" s="33" t="str">
        <f t="shared" si="1"/>
        <v/>
      </c>
      <c r="D35" s="23"/>
      <c r="E35" s="33" t="str">
        <f t="shared" si="2"/>
        <v/>
      </c>
      <c r="M35" s="21"/>
      <c r="N35" s="21"/>
      <c r="O35" s="21"/>
    </row>
    <row r="36" spans="3:15" x14ac:dyDescent="0.25">
      <c r="C36" s="33" t="str">
        <f t="shared" si="1"/>
        <v/>
      </c>
      <c r="D36" s="23"/>
      <c r="E36" s="33" t="str">
        <f t="shared" si="2"/>
        <v/>
      </c>
      <c r="M36" s="21"/>
      <c r="N36" s="21"/>
      <c r="O36" s="21"/>
    </row>
    <row r="37" spans="3:15" x14ac:dyDescent="0.25">
      <c r="C37" s="33" t="str">
        <f t="shared" si="1"/>
        <v/>
      </c>
      <c r="D37" s="23"/>
      <c r="E37" s="33" t="str">
        <f t="shared" si="2"/>
        <v/>
      </c>
      <c r="M37" s="21"/>
      <c r="N37" s="21"/>
      <c r="O37" s="21"/>
    </row>
    <row r="38" spans="3:15" x14ac:dyDescent="0.25">
      <c r="C38" s="33" t="str">
        <f t="shared" si="1"/>
        <v/>
      </c>
      <c r="D38" s="23"/>
      <c r="E38" s="33" t="str">
        <f t="shared" si="2"/>
        <v/>
      </c>
      <c r="M38" s="21"/>
      <c r="N38" s="21"/>
      <c r="O38" s="21"/>
    </row>
    <row r="39" spans="3:15" x14ac:dyDescent="0.25">
      <c r="C39" s="33" t="str">
        <f t="shared" si="1"/>
        <v/>
      </c>
      <c r="D39" s="23"/>
      <c r="E39" s="33" t="str">
        <f t="shared" si="2"/>
        <v/>
      </c>
      <c r="M39" s="21"/>
      <c r="N39" s="21"/>
      <c r="O39" s="21"/>
    </row>
    <row r="40" spans="3:15" x14ac:dyDescent="0.25">
      <c r="C40" s="33" t="str">
        <f t="shared" si="1"/>
        <v/>
      </c>
      <c r="D40" s="23"/>
      <c r="E40" s="33" t="str">
        <f t="shared" si="2"/>
        <v/>
      </c>
      <c r="M40" s="21"/>
      <c r="N40" s="21"/>
      <c r="O40" s="21"/>
    </row>
    <row r="41" spans="3:15" x14ac:dyDescent="0.25">
      <c r="C41" s="33" t="str">
        <f t="shared" si="1"/>
        <v/>
      </c>
      <c r="D41" s="23"/>
      <c r="E41" s="33" t="str">
        <f t="shared" si="2"/>
        <v/>
      </c>
      <c r="M41" s="21"/>
      <c r="N41" s="21"/>
      <c r="O41" s="21"/>
    </row>
    <row r="42" spans="3:15" x14ac:dyDescent="0.25">
      <c r="C42" s="33" t="str">
        <f t="shared" si="1"/>
        <v/>
      </c>
      <c r="D42" s="11"/>
      <c r="E42" s="33" t="str">
        <f t="shared" si="2"/>
        <v/>
      </c>
      <c r="M42" s="21"/>
      <c r="N42" s="21"/>
      <c r="O42" s="21"/>
    </row>
    <row r="43" spans="3:15" x14ac:dyDescent="0.25">
      <c r="C43" s="33" t="str">
        <f t="shared" si="1"/>
        <v/>
      </c>
      <c r="D43" s="11"/>
      <c r="E43" s="33" t="str">
        <f t="shared" si="2"/>
        <v/>
      </c>
      <c r="M43" s="21"/>
      <c r="N43" s="21"/>
      <c r="O43" s="21"/>
    </row>
    <row r="44" spans="3:15" ht="6" customHeight="1" x14ac:dyDescent="0.25">
      <c r="C44" s="9"/>
      <c r="D44" s="9"/>
      <c r="E44" s="9"/>
      <c r="F44" s="9"/>
      <c r="G44" s="9"/>
      <c r="H44" s="9"/>
      <c r="I44" s="9"/>
      <c r="J44" s="9"/>
      <c r="K44" s="9"/>
      <c r="L44" s="9"/>
      <c r="M44" s="21"/>
      <c r="N44" s="21"/>
      <c r="O44" s="21"/>
    </row>
    <row r="45" spans="3:15" ht="6" customHeight="1" x14ac:dyDescent="0.25">
      <c r="M45" s="21"/>
      <c r="N45" s="21"/>
      <c r="O45" s="21"/>
    </row>
    <row r="46" spans="3:15" x14ac:dyDescent="0.25">
      <c r="C46" s="15" t="s">
        <v>79</v>
      </c>
      <c r="M46" s="21"/>
      <c r="N46" s="21"/>
      <c r="O46" s="21"/>
    </row>
    <row r="47" spans="3:15" x14ac:dyDescent="0.25">
      <c r="C47" s="15" t="s">
        <v>78</v>
      </c>
    </row>
  </sheetData>
  <mergeCells count="1">
    <mergeCell ref="G13:H13"/>
  </mergeCells>
  <conditionalFormatting sqref="I9">
    <cfRule type="containsText" dxfId="214" priority="10" operator="containsText" text="FAIL">
      <formula>NOT(ISERROR(SEARCH("FAIL",I9)))</formula>
    </cfRule>
  </conditionalFormatting>
  <conditionalFormatting sqref="I9">
    <cfRule type="containsText" dxfId="213" priority="9" operator="containsText" text="GOOD">
      <formula>NOT(ISERROR(SEARCH("GOOD",I9)))</formula>
    </cfRule>
  </conditionalFormatting>
  <conditionalFormatting sqref="F11">
    <cfRule type="containsText" dxfId="212" priority="8" operator="containsText" text="FAIL">
      <formula>NOT(ISERROR(SEARCH("FAIL",F11)))</formula>
    </cfRule>
  </conditionalFormatting>
  <conditionalFormatting sqref="F11">
    <cfRule type="containsText" dxfId="211" priority="7" operator="containsText" text="GOOD">
      <formula>NOT(ISERROR(SEARCH("GOOD",F11)))</formula>
    </cfRule>
  </conditionalFormatting>
  <conditionalFormatting sqref="D25">
    <cfRule type="expression" dxfId="210" priority="6" stopIfTrue="1">
      <formula>IF($H$25=1,0)</formula>
    </cfRule>
  </conditionalFormatting>
  <conditionalFormatting sqref="D23:D43">
    <cfRule type="expression" dxfId="209" priority="5">
      <formula>H23=1</formula>
    </cfRule>
  </conditionalFormatting>
  <conditionalFormatting sqref="C23:C43">
    <cfRule type="expression" dxfId="208" priority="4">
      <formula>H23=1</formula>
    </cfRule>
  </conditionalFormatting>
  <conditionalFormatting sqref="E23:E43">
    <cfRule type="expression" dxfId="207" priority="3">
      <formula>H23=1</formula>
    </cfRule>
  </conditionalFormatting>
  <conditionalFormatting sqref="F11">
    <cfRule type="containsText" dxfId="206" priority="2" operator="containsText" text="FAIL">
      <formula>NOT(ISERROR(SEARCH("FAIL",F11)))</formula>
    </cfRule>
  </conditionalFormatting>
  <conditionalFormatting sqref="F11">
    <cfRule type="containsText" dxfId="205" priority="1" operator="containsText" text="GOOD">
      <formula>NOT(ISERROR(SEARCH("GOOD",F11)))</formula>
    </cfRule>
  </conditionalFormatting>
  <pageMargins left="0.7" right="0.7" top="0.75" bottom="0.75" header="0.3" footer="0.3"/>
  <pageSetup orientation="portrait" r:id="rId1"/>
</worksheet>
</file>

<file path=xl/worksheets/sheet1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C00-000000000000}">
  <sheetPr codeName="Sheet174"/>
  <dimension ref="C3:J18"/>
  <sheetViews>
    <sheetView workbookViewId="0">
      <selection activeCell="J19" sqref="J19"/>
    </sheetView>
  </sheetViews>
  <sheetFormatPr defaultRowHeight="15" x14ac:dyDescent="0.25"/>
  <cols>
    <col min="10" max="10" width="18.5703125" bestFit="1" customWidth="1"/>
  </cols>
  <sheetData>
    <row r="3" spans="3:10" x14ac:dyDescent="0.25">
      <c r="I3" t="s">
        <v>64</v>
      </c>
    </row>
    <row r="4" spans="3:10" x14ac:dyDescent="0.25">
      <c r="I4" s="1" t="s">
        <v>66</v>
      </c>
    </row>
    <row r="5" spans="3:10" x14ac:dyDescent="0.25">
      <c r="C5">
        <v>-25</v>
      </c>
      <c r="F5" t="str">
        <f t="shared" ref="F5:F17" si="0">(IF(C5&lt;-10,"FAIL",IF(C5&gt;10,"FAIL","GOOD")))</f>
        <v>FAIL</v>
      </c>
      <c r="I5" s="1" t="s">
        <v>65</v>
      </c>
    </row>
    <row r="6" spans="3:10" x14ac:dyDescent="0.25">
      <c r="C6">
        <v>-15</v>
      </c>
      <c r="F6" t="str">
        <f t="shared" si="0"/>
        <v>FAIL</v>
      </c>
    </row>
    <row r="7" spans="3:10" x14ac:dyDescent="0.25">
      <c r="C7">
        <v>-10.01</v>
      </c>
      <c r="F7" t="str">
        <f t="shared" si="0"/>
        <v>FAIL</v>
      </c>
    </row>
    <row r="8" spans="3:10" x14ac:dyDescent="0.25">
      <c r="C8">
        <v>-10</v>
      </c>
      <c r="F8" t="str">
        <f t="shared" si="0"/>
        <v>GOOD</v>
      </c>
    </row>
    <row r="9" spans="3:10" x14ac:dyDescent="0.25">
      <c r="C9">
        <v>-9.99</v>
      </c>
      <c r="F9" t="str">
        <f t="shared" si="0"/>
        <v>GOOD</v>
      </c>
    </row>
    <row r="10" spans="3:10" x14ac:dyDescent="0.25">
      <c r="C10">
        <v>-1</v>
      </c>
      <c r="F10" t="str">
        <f t="shared" si="0"/>
        <v>GOOD</v>
      </c>
    </row>
    <row r="11" spans="3:10" x14ac:dyDescent="0.25">
      <c r="C11">
        <v>0</v>
      </c>
      <c r="F11" t="str">
        <f t="shared" si="0"/>
        <v>GOOD</v>
      </c>
      <c r="J11" s="32" t="s">
        <v>73</v>
      </c>
    </row>
    <row r="12" spans="3:10" x14ac:dyDescent="0.25">
      <c r="C12">
        <v>1</v>
      </c>
      <c r="F12" t="str">
        <f t="shared" si="0"/>
        <v>GOOD</v>
      </c>
      <c r="J12" s="32" t="s">
        <v>74</v>
      </c>
    </row>
    <row r="13" spans="3:10" x14ac:dyDescent="0.25">
      <c r="C13">
        <v>9.99</v>
      </c>
      <c r="F13" t="str">
        <f t="shared" si="0"/>
        <v>GOOD</v>
      </c>
      <c r="J13" s="32">
        <v>123456789</v>
      </c>
    </row>
    <row r="14" spans="3:10" x14ac:dyDescent="0.25">
      <c r="C14">
        <v>10</v>
      </c>
      <c r="F14" t="str">
        <f t="shared" si="0"/>
        <v>GOOD</v>
      </c>
      <c r="J14" s="32" t="s">
        <v>75</v>
      </c>
    </row>
    <row r="15" spans="3:10" x14ac:dyDescent="0.25">
      <c r="C15">
        <v>10.01</v>
      </c>
      <c r="F15" t="str">
        <f t="shared" si="0"/>
        <v>FAIL</v>
      </c>
      <c r="J15" s="32" t="s">
        <v>76</v>
      </c>
    </row>
    <row r="16" spans="3:10" x14ac:dyDescent="0.25">
      <c r="C16">
        <v>15</v>
      </c>
      <c r="F16" t="str">
        <f t="shared" si="0"/>
        <v>FAIL</v>
      </c>
      <c r="J16" s="32" t="s">
        <v>77</v>
      </c>
    </row>
    <row r="17" spans="3:10" x14ac:dyDescent="0.25">
      <c r="C17">
        <v>25</v>
      </c>
      <c r="F17" t="str">
        <f t="shared" si="0"/>
        <v>FAIL</v>
      </c>
      <c r="J17" s="32"/>
    </row>
    <row r="18" spans="3:10" x14ac:dyDescent="0.25">
      <c r="J18" s="32"/>
    </row>
  </sheetData>
  <conditionalFormatting sqref="F11:F28">
    <cfRule type="containsText" dxfId="3" priority="4" operator="containsText" text="FAIL">
      <formula>NOT(ISERROR(SEARCH("FAIL",F11)))</formula>
    </cfRule>
  </conditionalFormatting>
  <conditionalFormatting sqref="F11:F28">
    <cfRule type="containsText" dxfId="2" priority="3" operator="containsText" text="GOOD">
      <formula>NOT(ISERROR(SEARCH("GOOD",F11)))</formula>
    </cfRule>
  </conditionalFormatting>
  <conditionalFormatting sqref="F5:F10">
    <cfRule type="containsText" dxfId="1" priority="2" operator="containsText" text="FAIL">
      <formula>NOT(ISERROR(SEARCH("FAIL",F5)))</formula>
    </cfRule>
  </conditionalFormatting>
  <conditionalFormatting sqref="F5:F10">
    <cfRule type="containsText" dxfId="0" priority="1" operator="containsText" text="GOOD">
      <formula>NOT(ISERROR(SEARCH("GOOD",F5)))</formula>
    </cfRule>
  </conditionalFormatting>
  <hyperlinks>
    <hyperlink ref="J14" r:id="rId1" xr:uid="{00000000-0004-0000-AC00-000000000000}"/>
  </hyperlinks>
  <pageMargins left="0.7" right="0.7" top="0.75" bottom="0.75" header="0.3" footer="0.3"/>
  <pageSetup orientation="portrait" r:id="rId2"/>
  <drawing r:id="rId3"/>
  <legacyDrawing r:id="rId4"/>
  <oleObjects>
    <mc:AlternateContent xmlns:mc="http://schemas.openxmlformats.org/markup-compatibility/2006">
      <mc:Choice Requires="x14">
        <oleObject progId="MSPhotoEd.3" shapeId="2049" r:id="rId5">
          <objectPr defaultSize="0" autoPict="0" r:id="rId6">
            <anchor moveWithCells="1">
              <from>
                <xdr:col>3</xdr:col>
                <xdr:colOff>104775</xdr:colOff>
                <xdr:row>21</xdr:row>
                <xdr:rowOff>9525</xdr:rowOff>
              </from>
              <to>
                <xdr:col>7</xdr:col>
                <xdr:colOff>304800</xdr:colOff>
                <xdr:row>23</xdr:row>
                <xdr:rowOff>28575</xdr:rowOff>
              </to>
            </anchor>
          </objectPr>
        </oleObject>
      </mc:Choice>
      <mc:Fallback>
        <oleObject progId="MSPhotoEd.3" shapeId="2049" r:id="rId5"/>
      </mc:Fallback>
    </mc:AlternateContent>
  </oleObjects>
</worksheet>
</file>

<file path=xl/worksheets/sheet1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200-000000000000}">
  <sheetPr codeName="Sheet132"/>
  <dimension ref="A2:O47"/>
  <sheetViews>
    <sheetView workbookViewId="0">
      <selection activeCell="L18" sqref="L18"/>
    </sheetView>
  </sheetViews>
  <sheetFormatPr defaultRowHeight="15" x14ac:dyDescent="0.25"/>
  <cols>
    <col min="1" max="2" width="4.42578125" customWidth="1"/>
    <col min="3" max="3" width="3" customWidth="1"/>
    <col min="4" max="4" width="24.85546875" customWidth="1"/>
    <col min="5" max="5" width="3" customWidth="1"/>
    <col min="6" max="6" width="15.7109375" customWidth="1"/>
    <col min="7" max="7" width="8.5703125" customWidth="1"/>
    <col min="8" max="8" width="5.85546875" customWidth="1"/>
    <col min="9" max="15" width="15.7109375" customWidth="1"/>
  </cols>
  <sheetData>
    <row r="2" spans="1:11" x14ac:dyDescent="0.25">
      <c r="C2" s="15" t="s">
        <v>32</v>
      </c>
      <c r="E2" s="15"/>
      <c r="F2" s="15"/>
      <c r="G2" s="15" t="s">
        <v>33</v>
      </c>
      <c r="H2" s="15"/>
      <c r="I2" s="15"/>
      <c r="J2" s="15"/>
      <c r="K2" s="15"/>
    </row>
    <row r="3" spans="1:11" ht="18.75" x14ac:dyDescent="0.3">
      <c r="C3" s="3" t="s">
        <v>26</v>
      </c>
      <c r="J3" s="8" t="s">
        <v>17</v>
      </c>
    </row>
    <row r="4" spans="1:11" x14ac:dyDescent="0.25">
      <c r="D4" s="2" t="s">
        <v>0</v>
      </c>
      <c r="E4" s="1"/>
      <c r="F4" t="s">
        <v>425</v>
      </c>
      <c r="I4" s="2" t="s">
        <v>4</v>
      </c>
    </row>
    <row r="5" spans="1:11" x14ac:dyDescent="0.25">
      <c r="D5" s="2" t="s">
        <v>1</v>
      </c>
      <c r="F5" t="s">
        <v>426</v>
      </c>
    </row>
    <row r="6" spans="1:11" x14ac:dyDescent="0.25">
      <c r="D6" s="2" t="s">
        <v>2</v>
      </c>
      <c r="F6" s="6">
        <v>42338</v>
      </c>
      <c r="H6" s="11"/>
    </row>
    <row r="7" spans="1:11" x14ac:dyDescent="0.25">
      <c r="D7" s="2" t="s">
        <v>3</v>
      </c>
      <c r="F7" s="5">
        <v>1200000</v>
      </c>
      <c r="G7" s="2" t="s">
        <v>34</v>
      </c>
      <c r="H7" s="11"/>
    </row>
    <row r="8" spans="1:11" x14ac:dyDescent="0.25">
      <c r="D8" s="2" t="s">
        <v>18</v>
      </c>
      <c r="F8" s="5">
        <f>MIN(I23:I43)</f>
        <v>1222222</v>
      </c>
      <c r="H8" s="11"/>
    </row>
    <row r="9" spans="1:11" x14ac:dyDescent="0.25">
      <c r="D9" s="2" t="s">
        <v>67</v>
      </c>
      <c r="F9" s="4">
        <f>+F8-F7</f>
        <v>22222</v>
      </c>
      <c r="G9" s="16">
        <f>+F9/F7</f>
        <v>1.8518333333333335E-2</v>
      </c>
      <c r="H9" s="12" t="s">
        <v>20</v>
      </c>
      <c r="I9" s="11" t="str">
        <f>(IF(G9&lt;-0.1,"FAIL",IF(G9&gt;0.05,"FAIL","GOOD")))</f>
        <v>GOOD</v>
      </c>
      <c r="J9" s="14" t="s">
        <v>72</v>
      </c>
    </row>
    <row r="10" spans="1:11" x14ac:dyDescent="0.25">
      <c r="D10" s="2" t="s">
        <v>68</v>
      </c>
      <c r="F10" s="4">
        <f>+F7-F12</f>
        <v>-669560.66666666674</v>
      </c>
      <c r="H10" s="11"/>
    </row>
    <row r="11" spans="1:11" x14ac:dyDescent="0.25">
      <c r="A11" s="30"/>
      <c r="D11" s="2" t="s">
        <v>71</v>
      </c>
      <c r="F11" s="11" t="str">
        <f>(IF(F7&lt;J12,"FAIL",IF(F7&gt;J13,"FAIL","GOOD")))</f>
        <v>GOOD</v>
      </c>
      <c r="H11" s="11"/>
    </row>
    <row r="12" spans="1:11" x14ac:dyDescent="0.25">
      <c r="D12" s="2" t="s">
        <v>28</v>
      </c>
      <c r="F12" s="4">
        <f>SUM(I23:I43)/H12</f>
        <v>1869560.6666666667</v>
      </c>
      <c r="G12" s="14"/>
      <c r="H12" s="11">
        <f>COUNT(I23:I43)</f>
        <v>6</v>
      </c>
      <c r="I12" s="1" t="s">
        <v>31</v>
      </c>
      <c r="J12" s="4">
        <f>+F8*0.9</f>
        <v>1099999.8</v>
      </c>
      <c r="K12" s="1" t="s">
        <v>69</v>
      </c>
    </row>
    <row r="13" spans="1:11" x14ac:dyDescent="0.25">
      <c r="D13" s="2" t="s">
        <v>29</v>
      </c>
      <c r="F13" s="4">
        <f>MAX(I23:I43)-MIN(I23:I43)</f>
        <v>1238778</v>
      </c>
      <c r="G13" s="399">
        <f>MEDIAN(I23:I43)</f>
        <v>1814500</v>
      </c>
      <c r="H13" s="400"/>
      <c r="I13" s="1" t="s">
        <v>30</v>
      </c>
      <c r="J13" s="4">
        <f>+F12*1.1</f>
        <v>2056516.7333333336</v>
      </c>
      <c r="K13" s="1" t="s">
        <v>70</v>
      </c>
    </row>
    <row r="14" spans="1:11" x14ac:dyDescent="0.25">
      <c r="H14" s="11"/>
    </row>
    <row r="15" spans="1:11" x14ac:dyDescent="0.25">
      <c r="D15" s="2" t="s">
        <v>8</v>
      </c>
      <c r="F15" s="4"/>
      <c r="G15" s="1" t="s">
        <v>9</v>
      </c>
      <c r="H15" s="11"/>
      <c r="I15" t="s">
        <v>15</v>
      </c>
      <c r="J15" s="7" t="e">
        <f>+F16/F15</f>
        <v>#DIV/0!</v>
      </c>
    </row>
    <row r="16" spans="1:11" x14ac:dyDescent="0.25">
      <c r="F16" s="4"/>
      <c r="G16" s="1" t="s">
        <v>10</v>
      </c>
      <c r="H16" s="11"/>
      <c r="I16" t="s">
        <v>14</v>
      </c>
      <c r="J16" s="7" t="e">
        <f>+F17/F16</f>
        <v>#DIV/0!</v>
      </c>
    </row>
    <row r="17" spans="3:15" x14ac:dyDescent="0.25">
      <c r="F17" s="4"/>
      <c r="G17" s="1" t="s">
        <v>11</v>
      </c>
      <c r="H17" s="11"/>
      <c r="I17" t="s">
        <v>13</v>
      </c>
      <c r="J17" s="7" t="e">
        <f>+F18/F17</f>
        <v>#DIV/0!</v>
      </c>
      <c r="M17" s="21"/>
      <c r="N17" s="21"/>
      <c r="O17" s="21"/>
    </row>
    <row r="18" spans="3:15" x14ac:dyDescent="0.25">
      <c r="F18" s="4"/>
      <c r="G18" s="1" t="s">
        <v>12</v>
      </c>
      <c r="H18" s="11"/>
      <c r="I18" t="s">
        <v>16</v>
      </c>
      <c r="J18" s="7" t="e">
        <f>+F8/F18</f>
        <v>#DIV/0!</v>
      </c>
      <c r="M18" s="21"/>
      <c r="N18" s="21"/>
      <c r="O18" s="21"/>
    </row>
    <row r="19" spans="3:15" x14ac:dyDescent="0.25">
      <c r="F19" s="2" t="s">
        <v>51</v>
      </c>
      <c r="G19">
        <v>0</v>
      </c>
      <c r="H19" s="11" t="s">
        <v>52</v>
      </c>
      <c r="I19" t="s">
        <v>41</v>
      </c>
      <c r="J19" s="7" t="e">
        <f>+F8/F15</f>
        <v>#DIV/0!</v>
      </c>
      <c r="M19" s="21"/>
      <c r="N19" s="21"/>
      <c r="O19" s="21"/>
    </row>
    <row r="20" spans="3:15" x14ac:dyDescent="0.25">
      <c r="H20" s="11"/>
      <c r="M20" s="21"/>
      <c r="N20" s="21"/>
      <c r="O20" s="21"/>
    </row>
    <row r="21" spans="3:15" x14ac:dyDescent="0.25">
      <c r="C21" s="9"/>
      <c r="D21" s="13" t="s">
        <v>21</v>
      </c>
      <c r="E21" s="9"/>
      <c r="F21" s="9" t="s">
        <v>22</v>
      </c>
      <c r="G21" s="9" t="s">
        <v>23</v>
      </c>
      <c r="H21" s="13" t="s">
        <v>27</v>
      </c>
      <c r="I21" s="10" t="s">
        <v>24</v>
      </c>
      <c r="J21" s="9"/>
      <c r="K21" s="9"/>
      <c r="L21" s="9"/>
      <c r="M21" s="21"/>
      <c r="N21" s="21"/>
      <c r="O21" s="21"/>
    </row>
    <row r="22" spans="3:15" ht="6" customHeight="1" x14ac:dyDescent="0.25">
      <c r="M22" s="21"/>
      <c r="N22" s="21"/>
      <c r="O22" s="21"/>
    </row>
    <row r="23" spans="3:15" x14ac:dyDescent="0.25">
      <c r="C23" s="33" t="str">
        <f>IF(H23=1,"u","")</f>
        <v/>
      </c>
      <c r="D23" s="11" t="s">
        <v>427</v>
      </c>
      <c r="E23" s="33"/>
      <c r="F23" t="s">
        <v>428</v>
      </c>
      <c r="G23" t="s">
        <v>93</v>
      </c>
      <c r="H23">
        <f t="shared" ref="H23:H28" si="0">RANK(I23,I$23:I$43,1)</f>
        <v>5</v>
      </c>
      <c r="I23" s="4">
        <v>2417142</v>
      </c>
      <c r="J23" s="4"/>
      <c r="K23" s="4"/>
      <c r="L23" s="4"/>
      <c r="M23" s="22"/>
      <c r="N23" s="22"/>
      <c r="O23" s="22"/>
    </row>
    <row r="24" spans="3:15" x14ac:dyDescent="0.25">
      <c r="C24" s="33" t="str">
        <f>IF(H24=1,"u","")</f>
        <v/>
      </c>
      <c r="D24" s="11" t="s">
        <v>429</v>
      </c>
      <c r="E24" s="33"/>
      <c r="F24" t="s">
        <v>131</v>
      </c>
      <c r="G24" t="s">
        <v>25</v>
      </c>
      <c r="H24">
        <f t="shared" si="0"/>
        <v>6</v>
      </c>
      <c r="I24" s="4">
        <v>2461000</v>
      </c>
      <c r="J24" s="4"/>
      <c r="K24" s="4"/>
      <c r="L24" s="4"/>
      <c r="M24" s="22"/>
      <c r="N24" s="22"/>
      <c r="O24" s="22"/>
    </row>
    <row r="25" spans="3:15" x14ac:dyDescent="0.25">
      <c r="C25" s="33" t="str">
        <f>IF(H25=1,"u","")</f>
        <v>u</v>
      </c>
      <c r="D25" s="11" t="s">
        <v>347</v>
      </c>
      <c r="E25" s="33"/>
      <c r="F25" t="s">
        <v>147</v>
      </c>
      <c r="G25" t="s">
        <v>93</v>
      </c>
      <c r="H25">
        <f t="shared" si="0"/>
        <v>1</v>
      </c>
      <c r="I25" s="4">
        <v>1222222</v>
      </c>
      <c r="J25" s="4"/>
      <c r="K25" s="4"/>
      <c r="L25" s="4"/>
      <c r="M25" s="22"/>
      <c r="N25" s="22"/>
      <c r="O25" s="22"/>
    </row>
    <row r="26" spans="3:15" x14ac:dyDescent="0.25">
      <c r="C26" s="33" t="str">
        <f t="shared" ref="C26:C43" si="1">IF(H26=1,"u","")</f>
        <v/>
      </c>
      <c r="D26" s="11" t="s">
        <v>430</v>
      </c>
      <c r="E26" s="33"/>
      <c r="F26" t="s">
        <v>186</v>
      </c>
      <c r="G26" t="s">
        <v>25</v>
      </c>
      <c r="H26">
        <f t="shared" si="0"/>
        <v>3</v>
      </c>
      <c r="I26" s="4">
        <v>1713000</v>
      </c>
      <c r="J26" s="4"/>
      <c r="K26" s="4"/>
      <c r="L26" s="4"/>
      <c r="M26" s="22"/>
      <c r="N26" s="22"/>
      <c r="O26" s="22"/>
    </row>
    <row r="27" spans="3:15" x14ac:dyDescent="0.25">
      <c r="C27" s="33" t="str">
        <f t="shared" si="1"/>
        <v/>
      </c>
      <c r="D27" s="11" t="s">
        <v>431</v>
      </c>
      <c r="E27" s="33" t="str">
        <f t="shared" ref="E27:E43" si="2">IF(H27=1,"t","")</f>
        <v/>
      </c>
      <c r="F27" t="s">
        <v>432</v>
      </c>
      <c r="G27" t="s">
        <v>93</v>
      </c>
      <c r="H27">
        <f t="shared" si="0"/>
        <v>2</v>
      </c>
      <c r="I27" s="4">
        <v>1488000</v>
      </c>
      <c r="J27" s="4"/>
      <c r="K27" s="4"/>
      <c r="L27" s="4"/>
      <c r="M27" s="22"/>
      <c r="N27" s="22"/>
      <c r="O27" s="22"/>
    </row>
    <row r="28" spans="3:15" x14ac:dyDescent="0.25">
      <c r="C28" s="33" t="str">
        <f t="shared" si="1"/>
        <v/>
      </c>
      <c r="D28" s="11" t="s">
        <v>433</v>
      </c>
      <c r="E28" s="33" t="str">
        <f t="shared" si="2"/>
        <v/>
      </c>
      <c r="F28" t="s">
        <v>92</v>
      </c>
      <c r="G28" t="s">
        <v>93</v>
      </c>
      <c r="H28">
        <f t="shared" si="0"/>
        <v>4</v>
      </c>
      <c r="I28" s="4">
        <v>1916000</v>
      </c>
      <c r="J28" s="4"/>
      <c r="K28" s="4"/>
      <c r="L28" s="4"/>
      <c r="M28" s="22"/>
      <c r="N28" s="22"/>
      <c r="O28" s="22"/>
    </row>
    <row r="29" spans="3:15" x14ac:dyDescent="0.25">
      <c r="C29" s="33" t="str">
        <f t="shared" si="1"/>
        <v/>
      </c>
      <c r="D29" s="11"/>
      <c r="E29" s="33" t="str">
        <f t="shared" si="2"/>
        <v/>
      </c>
      <c r="I29" s="4"/>
      <c r="J29" s="4"/>
      <c r="K29" s="4"/>
      <c r="L29" s="4"/>
      <c r="M29" s="22"/>
      <c r="N29" s="22"/>
      <c r="O29" s="22"/>
    </row>
    <row r="30" spans="3:15" x14ac:dyDescent="0.25">
      <c r="C30" s="33" t="str">
        <f t="shared" si="1"/>
        <v/>
      </c>
      <c r="D30" s="11"/>
      <c r="E30" s="33" t="str">
        <f t="shared" si="2"/>
        <v/>
      </c>
      <c r="I30" s="4"/>
      <c r="J30" s="4"/>
      <c r="K30" s="4"/>
      <c r="L30" s="4"/>
      <c r="M30" s="22"/>
      <c r="N30" s="22"/>
      <c r="O30" s="22"/>
    </row>
    <row r="31" spans="3:15" x14ac:dyDescent="0.25">
      <c r="C31" s="33" t="str">
        <f t="shared" si="1"/>
        <v/>
      </c>
      <c r="D31" s="11"/>
      <c r="E31" s="33" t="str">
        <f t="shared" si="2"/>
        <v/>
      </c>
      <c r="I31" s="4"/>
      <c r="J31" s="4"/>
      <c r="K31" s="4"/>
      <c r="L31" s="4"/>
      <c r="M31" s="22"/>
      <c r="N31" s="22"/>
      <c r="O31" s="22"/>
    </row>
    <row r="32" spans="3:15" x14ac:dyDescent="0.25">
      <c r="C32" s="33" t="str">
        <f t="shared" si="1"/>
        <v/>
      </c>
      <c r="D32" s="11"/>
      <c r="E32" s="33" t="str">
        <f t="shared" si="2"/>
        <v/>
      </c>
      <c r="I32" s="4"/>
      <c r="J32" s="4"/>
      <c r="K32" s="4"/>
      <c r="L32" s="4"/>
      <c r="M32" s="22"/>
      <c r="N32" s="22"/>
      <c r="O32" s="22"/>
    </row>
    <row r="33" spans="3:15" x14ac:dyDescent="0.25">
      <c r="C33" s="33" t="str">
        <f t="shared" si="1"/>
        <v/>
      </c>
      <c r="D33" s="11"/>
      <c r="E33" s="33" t="str">
        <f t="shared" si="2"/>
        <v/>
      </c>
      <c r="M33" s="21"/>
      <c r="N33" s="21"/>
      <c r="O33" s="21"/>
    </row>
    <row r="34" spans="3:15" x14ac:dyDescent="0.25">
      <c r="C34" s="33" t="str">
        <f t="shared" si="1"/>
        <v/>
      </c>
      <c r="D34" s="11"/>
      <c r="E34" s="33" t="str">
        <f t="shared" si="2"/>
        <v/>
      </c>
      <c r="M34" s="21"/>
      <c r="N34" s="21"/>
      <c r="O34" s="21"/>
    </row>
    <row r="35" spans="3:15" x14ac:dyDescent="0.25">
      <c r="C35" s="33" t="str">
        <f t="shared" si="1"/>
        <v/>
      </c>
      <c r="D35" s="11"/>
      <c r="E35" s="33" t="str">
        <f t="shared" si="2"/>
        <v/>
      </c>
      <c r="M35" s="21"/>
      <c r="N35" s="21"/>
      <c r="O35" s="21"/>
    </row>
    <row r="36" spans="3:15" x14ac:dyDescent="0.25">
      <c r="C36" s="33" t="str">
        <f t="shared" si="1"/>
        <v/>
      </c>
      <c r="D36" s="11"/>
      <c r="E36" s="33" t="str">
        <f t="shared" si="2"/>
        <v/>
      </c>
      <c r="M36" s="21"/>
      <c r="N36" s="21"/>
      <c r="O36" s="21"/>
    </row>
    <row r="37" spans="3:15" x14ac:dyDescent="0.25">
      <c r="C37" s="33" t="str">
        <f t="shared" si="1"/>
        <v/>
      </c>
      <c r="D37" s="11"/>
      <c r="E37" s="33" t="str">
        <f t="shared" si="2"/>
        <v/>
      </c>
      <c r="M37" s="21"/>
      <c r="N37" s="21"/>
      <c r="O37" s="21"/>
    </row>
    <row r="38" spans="3:15" x14ac:dyDescent="0.25">
      <c r="C38" s="33" t="str">
        <f t="shared" si="1"/>
        <v/>
      </c>
      <c r="D38" s="11"/>
      <c r="E38" s="33" t="str">
        <f t="shared" si="2"/>
        <v/>
      </c>
      <c r="M38" s="21"/>
      <c r="N38" s="21"/>
      <c r="O38" s="21"/>
    </row>
    <row r="39" spans="3:15" x14ac:dyDescent="0.25">
      <c r="C39" s="33" t="str">
        <f t="shared" si="1"/>
        <v/>
      </c>
      <c r="D39" s="11"/>
      <c r="E39" s="33" t="str">
        <f t="shared" si="2"/>
        <v/>
      </c>
      <c r="M39" s="21"/>
      <c r="N39" s="21"/>
      <c r="O39" s="21"/>
    </row>
    <row r="40" spans="3:15" x14ac:dyDescent="0.25">
      <c r="C40" s="33" t="str">
        <f t="shared" si="1"/>
        <v/>
      </c>
      <c r="D40" s="11"/>
      <c r="E40" s="33" t="str">
        <f t="shared" si="2"/>
        <v/>
      </c>
      <c r="M40" s="21"/>
      <c r="N40" s="21"/>
      <c r="O40" s="21"/>
    </row>
    <row r="41" spans="3:15" x14ac:dyDescent="0.25">
      <c r="C41" s="33" t="str">
        <f t="shared" si="1"/>
        <v/>
      </c>
      <c r="D41" s="11"/>
      <c r="E41" s="33" t="str">
        <f t="shared" si="2"/>
        <v/>
      </c>
      <c r="M41" s="21"/>
      <c r="N41" s="21"/>
      <c r="O41" s="21"/>
    </row>
    <row r="42" spans="3:15" x14ac:dyDescent="0.25">
      <c r="C42" s="33" t="str">
        <f t="shared" si="1"/>
        <v/>
      </c>
      <c r="D42" s="11"/>
      <c r="E42" s="33" t="str">
        <f t="shared" si="2"/>
        <v/>
      </c>
      <c r="M42" s="21"/>
      <c r="N42" s="21"/>
      <c r="O42" s="21"/>
    </row>
    <row r="43" spans="3:15" x14ac:dyDescent="0.25">
      <c r="C43" s="33" t="str">
        <f t="shared" si="1"/>
        <v/>
      </c>
      <c r="D43" s="11"/>
      <c r="E43" s="33" t="str">
        <f t="shared" si="2"/>
        <v/>
      </c>
      <c r="M43" s="21"/>
      <c r="N43" s="21"/>
      <c r="O43" s="21"/>
    </row>
    <row r="44" spans="3:15" ht="6" customHeight="1" x14ac:dyDescent="0.25">
      <c r="C44" s="9"/>
      <c r="D44" s="9"/>
      <c r="E44" s="9"/>
      <c r="F44" s="9"/>
      <c r="G44" s="9"/>
      <c r="H44" s="9"/>
      <c r="I44" s="9"/>
      <c r="J44" s="9"/>
      <c r="K44" s="9"/>
      <c r="L44" s="9"/>
      <c r="M44" s="21"/>
      <c r="N44" s="21"/>
      <c r="O44" s="21"/>
    </row>
    <row r="45" spans="3:15" ht="6" customHeight="1" x14ac:dyDescent="0.25">
      <c r="M45" s="21"/>
      <c r="N45" s="21"/>
      <c r="O45" s="21"/>
    </row>
    <row r="46" spans="3:15" x14ac:dyDescent="0.25">
      <c r="C46" s="15" t="s">
        <v>79</v>
      </c>
      <c r="M46" s="21"/>
      <c r="N46" s="21"/>
      <c r="O46" s="21"/>
    </row>
    <row r="47" spans="3:15" x14ac:dyDescent="0.25">
      <c r="C47" s="15" t="s">
        <v>78</v>
      </c>
    </row>
  </sheetData>
  <mergeCells count="1">
    <mergeCell ref="G13:H13"/>
  </mergeCells>
  <conditionalFormatting sqref="I9">
    <cfRule type="containsText" dxfId="507" priority="10" operator="containsText" text="FAIL">
      <formula>NOT(ISERROR(SEARCH("FAIL",I9)))</formula>
    </cfRule>
  </conditionalFormatting>
  <conditionalFormatting sqref="I9">
    <cfRule type="containsText" dxfId="506" priority="9" operator="containsText" text="GOOD">
      <formula>NOT(ISERROR(SEARCH("GOOD",I9)))</formula>
    </cfRule>
  </conditionalFormatting>
  <conditionalFormatting sqref="F11">
    <cfRule type="containsText" dxfId="505" priority="8" operator="containsText" text="FAIL">
      <formula>NOT(ISERROR(SEARCH("FAIL",F11)))</formula>
    </cfRule>
  </conditionalFormatting>
  <conditionalFormatting sqref="F11">
    <cfRule type="containsText" dxfId="504" priority="7" operator="containsText" text="GOOD">
      <formula>NOT(ISERROR(SEARCH("GOOD",F11)))</formula>
    </cfRule>
  </conditionalFormatting>
  <conditionalFormatting sqref="D25">
    <cfRule type="expression" dxfId="503" priority="6" stopIfTrue="1">
      <formula>IF($H$25=1,0)</formula>
    </cfRule>
  </conditionalFormatting>
  <conditionalFormatting sqref="D23:D43">
    <cfRule type="expression" dxfId="502" priority="5">
      <formula>H23=1</formula>
    </cfRule>
  </conditionalFormatting>
  <conditionalFormatting sqref="C23:C43">
    <cfRule type="expression" dxfId="501" priority="4">
      <formula>H23=1</formula>
    </cfRule>
  </conditionalFormatting>
  <conditionalFormatting sqref="E23:E43">
    <cfRule type="expression" dxfId="500" priority="3">
      <formula>H23=1</formula>
    </cfRule>
  </conditionalFormatting>
  <conditionalFormatting sqref="F11">
    <cfRule type="containsText" dxfId="499" priority="2" operator="containsText" text="FAIL">
      <formula>NOT(ISERROR(SEARCH("FAIL",F11)))</formula>
    </cfRule>
  </conditionalFormatting>
  <conditionalFormatting sqref="F11">
    <cfRule type="containsText" dxfId="498" priority="1" operator="containsText" text="GOOD">
      <formula>NOT(ISERROR(SEARCH("GOOD",F11)))</formula>
    </cfRule>
  </conditionalFormatting>
  <pageMargins left="0.7" right="0.7" top="0.75" bottom="0.75" header="0.3" footer="0.3"/>
  <pageSetup orientation="portrait" r:id="rId1"/>
</worksheet>
</file>

<file path=xl/worksheets/sheet1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D00-000000000000}">
  <sheetPr codeName="Sheet127"/>
  <dimension ref="A2:O47"/>
  <sheetViews>
    <sheetView view="pageBreakPreview" zoomScale="60" zoomScaleNormal="100" workbookViewId="0">
      <selection activeCell="F35" sqref="F35"/>
    </sheetView>
  </sheetViews>
  <sheetFormatPr defaultRowHeight="15" x14ac:dyDescent="0.25"/>
  <cols>
    <col min="1" max="2" width="4.42578125" customWidth="1"/>
    <col min="3" max="3" width="3" customWidth="1"/>
    <col min="4" max="4" width="24.85546875" customWidth="1"/>
    <col min="5" max="5" width="3" customWidth="1"/>
    <col min="6" max="6" width="15.7109375" customWidth="1"/>
    <col min="7" max="7" width="8.5703125" customWidth="1"/>
    <col min="8" max="8" width="5.85546875" customWidth="1"/>
    <col min="9" max="15" width="15.7109375" customWidth="1"/>
  </cols>
  <sheetData>
    <row r="2" spans="1:11" x14ac:dyDescent="0.25">
      <c r="C2" s="15" t="s">
        <v>32</v>
      </c>
      <c r="E2" s="15"/>
      <c r="F2" s="15"/>
      <c r="G2" s="15" t="s">
        <v>33</v>
      </c>
      <c r="H2" s="15"/>
      <c r="I2" s="15"/>
      <c r="J2" s="15"/>
      <c r="K2" s="15"/>
    </row>
    <row r="3" spans="1:11" ht="18.75" x14ac:dyDescent="0.3">
      <c r="C3" s="3" t="s">
        <v>26</v>
      </c>
      <c r="J3" s="8" t="s">
        <v>17</v>
      </c>
    </row>
    <row r="4" spans="1:11" x14ac:dyDescent="0.25">
      <c r="D4" s="2" t="s">
        <v>0</v>
      </c>
      <c r="E4" s="1"/>
      <c r="F4" t="s">
        <v>448</v>
      </c>
      <c r="I4" s="2" t="s">
        <v>4</v>
      </c>
      <c r="J4" t="s">
        <v>447</v>
      </c>
    </row>
    <row r="5" spans="1:11" x14ac:dyDescent="0.25">
      <c r="D5" s="2" t="s">
        <v>1</v>
      </c>
      <c r="F5" t="s">
        <v>449</v>
      </c>
    </row>
    <row r="6" spans="1:11" x14ac:dyDescent="0.25">
      <c r="D6" s="2" t="s">
        <v>2</v>
      </c>
      <c r="F6" s="6">
        <v>42388</v>
      </c>
      <c r="G6" s="51" t="s">
        <v>480</v>
      </c>
      <c r="H6" s="11"/>
    </row>
    <row r="7" spans="1:11" x14ac:dyDescent="0.25">
      <c r="D7" s="2" t="s">
        <v>3</v>
      </c>
      <c r="F7" s="5">
        <v>9000000</v>
      </c>
      <c r="G7" s="2" t="s">
        <v>190</v>
      </c>
      <c r="H7" s="11"/>
    </row>
    <row r="8" spans="1:11" x14ac:dyDescent="0.25">
      <c r="D8" s="2" t="s">
        <v>18</v>
      </c>
      <c r="F8" s="5">
        <f>MIN(I23:I43)</f>
        <v>8936000</v>
      </c>
      <c r="H8" s="11"/>
    </row>
    <row r="9" spans="1:11" x14ac:dyDescent="0.25">
      <c r="D9" s="2" t="s">
        <v>67</v>
      </c>
      <c r="F9" s="4">
        <f>+F8-F7</f>
        <v>-64000</v>
      </c>
      <c r="G9" s="16">
        <f>+F9/F7</f>
        <v>-7.1111111111111115E-3</v>
      </c>
      <c r="H9" s="12" t="s">
        <v>20</v>
      </c>
      <c r="I9" s="11" t="str">
        <f>(IF(G9&lt;-0.1,"FAIL",IF(G9&gt;0.05,"FAIL","GOOD")))</f>
        <v>GOOD</v>
      </c>
      <c r="J9" s="14" t="s">
        <v>72</v>
      </c>
    </row>
    <row r="10" spans="1:11" x14ac:dyDescent="0.25">
      <c r="D10" s="2" t="s">
        <v>68</v>
      </c>
      <c r="F10" s="4">
        <f>+F7-F12</f>
        <v>-1453304.333333334</v>
      </c>
      <c r="H10" s="11"/>
    </row>
    <row r="11" spans="1:11" x14ac:dyDescent="0.25">
      <c r="A11" s="30"/>
      <c r="D11" s="2" t="s">
        <v>71</v>
      </c>
      <c r="F11" s="11" t="str">
        <f>(IF(F7&lt;J12,"FAIL",IF(F7&gt;J13,"FAIL","GOOD")))</f>
        <v>GOOD</v>
      </c>
      <c r="H11" s="11"/>
    </row>
    <row r="12" spans="1:11" x14ac:dyDescent="0.25">
      <c r="D12" s="2" t="s">
        <v>28</v>
      </c>
      <c r="F12" s="4">
        <f>SUM(I23:I43)/H12</f>
        <v>10453304.333333334</v>
      </c>
      <c r="G12" s="14"/>
      <c r="H12" s="11">
        <f>COUNT(I23:I43)</f>
        <v>3</v>
      </c>
      <c r="I12" s="1" t="s">
        <v>31</v>
      </c>
      <c r="J12" s="4">
        <f>+F8*0.9</f>
        <v>8042400</v>
      </c>
      <c r="K12" s="1" t="s">
        <v>69</v>
      </c>
    </row>
    <row r="13" spans="1:11" x14ac:dyDescent="0.25">
      <c r="D13" s="2" t="s">
        <v>29</v>
      </c>
      <c r="F13" s="4">
        <f>MAX(I23:I43)-MIN(I23:I43)</f>
        <v>4286222</v>
      </c>
      <c r="G13" s="399">
        <f>MEDIAN(I23:I43)</f>
        <v>9201691</v>
      </c>
      <c r="H13" s="400"/>
      <c r="I13" s="1" t="s">
        <v>30</v>
      </c>
      <c r="J13" s="4">
        <f>+F12*1.1</f>
        <v>11498634.766666668</v>
      </c>
      <c r="K13" s="1" t="s">
        <v>70</v>
      </c>
    </row>
    <row r="14" spans="1:11" x14ac:dyDescent="0.25">
      <c r="H14" s="11"/>
    </row>
    <row r="15" spans="1:11" x14ac:dyDescent="0.25">
      <c r="D15" s="2" t="s">
        <v>8</v>
      </c>
      <c r="F15" s="4"/>
      <c r="G15" s="1" t="s">
        <v>9</v>
      </c>
      <c r="H15" s="11"/>
      <c r="I15" t="s">
        <v>15</v>
      </c>
      <c r="J15" s="7" t="e">
        <f>+F16/F15</f>
        <v>#DIV/0!</v>
      </c>
    </row>
    <row r="16" spans="1:11" x14ac:dyDescent="0.25">
      <c r="F16" s="4"/>
      <c r="G16" s="1" t="s">
        <v>10</v>
      </c>
      <c r="H16" s="11"/>
      <c r="I16" t="s">
        <v>14</v>
      </c>
      <c r="J16" s="7" t="e">
        <f>+F17/F16</f>
        <v>#DIV/0!</v>
      </c>
    </row>
    <row r="17" spans="3:15" x14ac:dyDescent="0.25">
      <c r="F17" s="4"/>
      <c r="G17" s="1" t="s">
        <v>11</v>
      </c>
      <c r="H17" s="11"/>
      <c r="I17" t="s">
        <v>13</v>
      </c>
      <c r="J17" s="7" t="e">
        <f>+F18/F17</f>
        <v>#DIV/0!</v>
      </c>
      <c r="M17" s="21"/>
      <c r="N17" s="21"/>
      <c r="O17" s="21"/>
    </row>
    <row r="18" spans="3:15" x14ac:dyDescent="0.25">
      <c r="F18" s="4"/>
      <c r="G18" s="1" t="s">
        <v>12</v>
      </c>
      <c r="H18" s="11"/>
      <c r="I18" t="s">
        <v>16</v>
      </c>
      <c r="J18" s="7" t="e">
        <f>+F8/F18</f>
        <v>#DIV/0!</v>
      </c>
      <c r="M18" s="21"/>
      <c r="N18" s="21"/>
      <c r="O18" s="21"/>
    </row>
    <row r="19" spans="3:15" x14ac:dyDescent="0.25">
      <c r="F19" s="2" t="s">
        <v>51</v>
      </c>
      <c r="G19">
        <v>0</v>
      </c>
      <c r="H19" s="11" t="s">
        <v>52</v>
      </c>
      <c r="I19" t="s">
        <v>41</v>
      </c>
      <c r="J19" s="7" t="e">
        <f>+F8/F15</f>
        <v>#DIV/0!</v>
      </c>
      <c r="M19" s="21"/>
      <c r="N19" s="21"/>
      <c r="O19" s="21"/>
    </row>
    <row r="20" spans="3:15" x14ac:dyDescent="0.25">
      <c r="H20" s="11"/>
      <c r="M20" s="21"/>
      <c r="N20" s="21"/>
      <c r="O20" s="21"/>
    </row>
    <row r="21" spans="3:15" x14ac:dyDescent="0.25">
      <c r="C21" s="9"/>
      <c r="D21" s="13" t="s">
        <v>21</v>
      </c>
      <c r="E21" s="9"/>
      <c r="F21" s="9" t="s">
        <v>22</v>
      </c>
      <c r="G21" s="9" t="s">
        <v>23</v>
      </c>
      <c r="H21" s="13" t="s">
        <v>27</v>
      </c>
      <c r="I21" s="10" t="s">
        <v>24</v>
      </c>
      <c r="J21" s="9"/>
      <c r="K21" s="9"/>
      <c r="L21" s="9"/>
      <c r="M21" s="21"/>
      <c r="N21" s="21"/>
      <c r="O21" s="21"/>
    </row>
    <row r="22" spans="3:15" ht="6" customHeight="1" x14ac:dyDescent="0.25">
      <c r="M22" s="21"/>
      <c r="N22" s="21"/>
      <c r="O22" s="21"/>
    </row>
    <row r="23" spans="3:15" x14ac:dyDescent="0.25">
      <c r="C23" s="33" t="str">
        <f>IF(H23=1,"u","")</f>
        <v>u</v>
      </c>
      <c r="D23" s="11" t="s">
        <v>450</v>
      </c>
      <c r="E23" s="33"/>
      <c r="F23" t="s">
        <v>451</v>
      </c>
      <c r="G23" t="s">
        <v>93</v>
      </c>
      <c r="H23">
        <f>RANK(I23,I$23:I$43,1)</f>
        <v>1</v>
      </c>
      <c r="I23" s="4">
        <v>8936000</v>
      </c>
      <c r="J23" s="4"/>
      <c r="K23" s="4"/>
      <c r="L23" s="4"/>
      <c r="M23" s="22"/>
      <c r="N23" s="22"/>
      <c r="O23" s="22"/>
    </row>
    <row r="24" spans="3:15" x14ac:dyDescent="0.25">
      <c r="C24" s="33" t="str">
        <f>IF(H24=1,"u","")</f>
        <v/>
      </c>
      <c r="D24" s="11" t="s">
        <v>452</v>
      </c>
      <c r="E24" s="33"/>
      <c r="F24" t="s">
        <v>100</v>
      </c>
      <c r="G24" t="s">
        <v>93</v>
      </c>
      <c r="H24">
        <f>RANK(I24,I$23:I$43,1)</f>
        <v>3</v>
      </c>
      <c r="I24" s="4">
        <v>13222222</v>
      </c>
      <c r="J24" s="4"/>
      <c r="K24" s="4"/>
      <c r="L24" s="4"/>
      <c r="M24" s="22"/>
      <c r="N24" s="22"/>
      <c r="O24" s="22"/>
    </row>
    <row r="25" spans="3:15" x14ac:dyDescent="0.25">
      <c r="C25" s="33" t="str">
        <f>IF(H25=1,"u","")</f>
        <v/>
      </c>
      <c r="D25" s="11" t="s">
        <v>453</v>
      </c>
      <c r="E25" s="33"/>
      <c r="F25" t="s">
        <v>181</v>
      </c>
      <c r="G25" t="s">
        <v>93</v>
      </c>
      <c r="H25">
        <f>RANK(I25,I$23:I$43,1)</f>
        <v>2</v>
      </c>
      <c r="I25" s="4">
        <v>9201691</v>
      </c>
      <c r="J25" s="4"/>
      <c r="K25" s="4"/>
      <c r="L25" s="4"/>
      <c r="M25" s="22"/>
      <c r="N25" s="22"/>
      <c r="O25" s="22"/>
    </row>
    <row r="26" spans="3:15" x14ac:dyDescent="0.25">
      <c r="C26" s="33"/>
      <c r="D26" s="11"/>
      <c r="E26" s="33"/>
      <c r="I26" s="4"/>
      <c r="J26" s="4"/>
      <c r="K26" s="4"/>
      <c r="L26" s="4"/>
      <c r="M26" s="22"/>
      <c r="N26" s="22"/>
      <c r="O26" s="22"/>
    </row>
    <row r="27" spans="3:15" x14ac:dyDescent="0.25">
      <c r="C27" s="33" t="str">
        <f t="shared" ref="C27:C43" si="0">IF(H27=1,"u","")</f>
        <v/>
      </c>
      <c r="D27" s="11"/>
      <c r="E27" s="33" t="str">
        <f t="shared" ref="E27:E43" si="1">IF(H27=1,"t","")</f>
        <v/>
      </c>
      <c r="I27" s="4"/>
      <c r="J27" s="4"/>
      <c r="K27" s="4"/>
      <c r="L27" s="4"/>
      <c r="M27" s="22"/>
      <c r="N27" s="22"/>
      <c r="O27" s="22"/>
    </row>
    <row r="28" spans="3:15" x14ac:dyDescent="0.25">
      <c r="C28" s="33" t="str">
        <f t="shared" si="0"/>
        <v/>
      </c>
      <c r="D28" s="11"/>
      <c r="E28" s="33" t="str">
        <f t="shared" si="1"/>
        <v/>
      </c>
      <c r="I28" s="4"/>
      <c r="J28" s="4"/>
      <c r="K28" s="4"/>
      <c r="L28" s="4"/>
      <c r="M28" s="22"/>
      <c r="N28" s="22"/>
      <c r="O28" s="22"/>
    </row>
    <row r="29" spans="3:15" x14ac:dyDescent="0.25">
      <c r="C29" s="33" t="str">
        <f t="shared" si="0"/>
        <v/>
      </c>
      <c r="D29" s="11"/>
      <c r="E29" s="33" t="str">
        <f t="shared" si="1"/>
        <v/>
      </c>
      <c r="I29" s="4"/>
      <c r="J29" s="4"/>
      <c r="K29" s="4"/>
      <c r="L29" s="4"/>
      <c r="M29" s="22"/>
      <c r="N29" s="22"/>
      <c r="O29" s="22"/>
    </row>
    <row r="30" spans="3:15" x14ac:dyDescent="0.25">
      <c r="C30" s="33" t="str">
        <f t="shared" si="0"/>
        <v/>
      </c>
      <c r="D30" s="11"/>
      <c r="E30" s="33" t="str">
        <f t="shared" si="1"/>
        <v/>
      </c>
      <c r="I30" s="4"/>
      <c r="J30" s="4"/>
      <c r="K30" s="4"/>
      <c r="L30" s="4"/>
      <c r="M30" s="22"/>
      <c r="N30" s="22"/>
      <c r="O30" s="22"/>
    </row>
    <row r="31" spans="3:15" x14ac:dyDescent="0.25">
      <c r="C31" s="33" t="str">
        <f t="shared" si="0"/>
        <v/>
      </c>
      <c r="D31" s="11"/>
      <c r="E31" s="33" t="str">
        <f t="shared" si="1"/>
        <v/>
      </c>
      <c r="I31" s="4"/>
      <c r="J31" s="4"/>
      <c r="K31" s="4"/>
      <c r="L31" s="4"/>
      <c r="M31" s="22"/>
      <c r="N31" s="22"/>
      <c r="O31" s="22"/>
    </row>
    <row r="32" spans="3:15" x14ac:dyDescent="0.25">
      <c r="C32" s="33" t="str">
        <f t="shared" si="0"/>
        <v/>
      </c>
      <c r="D32" s="11"/>
      <c r="E32" s="33" t="str">
        <f t="shared" si="1"/>
        <v/>
      </c>
      <c r="I32" s="4"/>
      <c r="J32" s="4"/>
      <c r="K32" s="4"/>
      <c r="L32" s="4"/>
      <c r="M32" s="22"/>
      <c r="N32" s="22"/>
      <c r="O32" s="22"/>
    </row>
    <row r="33" spans="3:15" x14ac:dyDescent="0.25">
      <c r="C33" s="33" t="str">
        <f t="shared" si="0"/>
        <v/>
      </c>
      <c r="D33" s="11"/>
      <c r="E33" s="33" t="str">
        <f t="shared" si="1"/>
        <v/>
      </c>
      <c r="M33" s="21"/>
      <c r="N33" s="21"/>
      <c r="O33" s="21"/>
    </row>
    <row r="34" spans="3:15" x14ac:dyDescent="0.25">
      <c r="C34" s="33" t="str">
        <f t="shared" si="0"/>
        <v/>
      </c>
      <c r="D34" s="11"/>
      <c r="E34" s="33" t="str">
        <f t="shared" si="1"/>
        <v/>
      </c>
      <c r="M34" s="21"/>
      <c r="N34" s="21"/>
      <c r="O34" s="21"/>
    </row>
    <row r="35" spans="3:15" x14ac:dyDescent="0.25">
      <c r="C35" s="33" t="str">
        <f t="shared" si="0"/>
        <v/>
      </c>
      <c r="D35" s="11"/>
      <c r="E35" s="33" t="str">
        <f t="shared" si="1"/>
        <v/>
      </c>
      <c r="M35" s="21"/>
      <c r="N35" s="21"/>
      <c r="O35" s="21"/>
    </row>
    <row r="36" spans="3:15" x14ac:dyDescent="0.25">
      <c r="C36" s="33" t="str">
        <f t="shared" si="0"/>
        <v/>
      </c>
      <c r="D36" s="11"/>
      <c r="E36" s="33" t="str">
        <f t="shared" si="1"/>
        <v/>
      </c>
      <c r="M36" s="21"/>
      <c r="N36" s="21"/>
      <c r="O36" s="21"/>
    </row>
    <row r="37" spans="3:15" x14ac:dyDescent="0.25">
      <c r="C37" s="33" t="str">
        <f t="shared" si="0"/>
        <v/>
      </c>
      <c r="D37" s="11"/>
      <c r="E37" s="33" t="str">
        <f t="shared" si="1"/>
        <v/>
      </c>
      <c r="M37" s="21"/>
      <c r="N37" s="21"/>
      <c r="O37" s="21"/>
    </row>
    <row r="38" spans="3:15" x14ac:dyDescent="0.25">
      <c r="C38" s="33" t="str">
        <f t="shared" si="0"/>
        <v/>
      </c>
      <c r="D38" s="11"/>
      <c r="E38" s="33" t="str">
        <f t="shared" si="1"/>
        <v/>
      </c>
      <c r="M38" s="21"/>
      <c r="N38" s="21"/>
      <c r="O38" s="21"/>
    </row>
    <row r="39" spans="3:15" x14ac:dyDescent="0.25">
      <c r="C39" s="33" t="str">
        <f t="shared" si="0"/>
        <v/>
      </c>
      <c r="D39" s="11"/>
      <c r="E39" s="33" t="str">
        <f t="shared" si="1"/>
        <v/>
      </c>
      <c r="M39" s="21"/>
      <c r="N39" s="21"/>
      <c r="O39" s="21"/>
    </row>
    <row r="40" spans="3:15" x14ac:dyDescent="0.25">
      <c r="C40" s="33" t="str">
        <f t="shared" si="0"/>
        <v/>
      </c>
      <c r="D40" s="11"/>
      <c r="E40" s="33" t="str">
        <f t="shared" si="1"/>
        <v/>
      </c>
      <c r="M40" s="21"/>
      <c r="N40" s="21"/>
      <c r="O40" s="21"/>
    </row>
    <row r="41" spans="3:15" x14ac:dyDescent="0.25">
      <c r="C41" s="33" t="str">
        <f t="shared" si="0"/>
        <v/>
      </c>
      <c r="D41" s="11"/>
      <c r="E41" s="33" t="str">
        <f t="shared" si="1"/>
        <v/>
      </c>
      <c r="M41" s="21"/>
      <c r="N41" s="21"/>
      <c r="O41" s="21"/>
    </row>
    <row r="42" spans="3:15" x14ac:dyDescent="0.25">
      <c r="C42" s="33" t="str">
        <f t="shared" si="0"/>
        <v/>
      </c>
      <c r="D42" s="11"/>
      <c r="E42" s="33" t="str">
        <f t="shared" si="1"/>
        <v/>
      </c>
      <c r="M42" s="21"/>
      <c r="N42" s="21"/>
      <c r="O42" s="21"/>
    </row>
    <row r="43" spans="3:15" x14ac:dyDescent="0.25">
      <c r="C43" s="33" t="str">
        <f t="shared" si="0"/>
        <v/>
      </c>
      <c r="D43" s="11"/>
      <c r="E43" s="33" t="str">
        <f t="shared" si="1"/>
        <v/>
      </c>
      <c r="M43" s="21"/>
      <c r="N43" s="21"/>
      <c r="O43" s="21"/>
    </row>
    <row r="44" spans="3:15" ht="6" customHeight="1" x14ac:dyDescent="0.25">
      <c r="C44" s="9"/>
      <c r="D44" s="9"/>
      <c r="E44" s="9"/>
      <c r="F44" s="9"/>
      <c r="G44" s="9"/>
      <c r="H44" s="9"/>
      <c r="I44" s="9"/>
      <c r="J44" s="9"/>
      <c r="K44" s="9"/>
      <c r="L44" s="9"/>
      <c r="M44" s="21"/>
      <c r="N44" s="21"/>
      <c r="O44" s="21"/>
    </row>
    <row r="45" spans="3:15" ht="6" customHeight="1" x14ac:dyDescent="0.25">
      <c r="M45" s="21"/>
      <c r="N45" s="21"/>
      <c r="O45" s="21"/>
    </row>
    <row r="46" spans="3:15" x14ac:dyDescent="0.25">
      <c r="C46" s="15" t="s">
        <v>79</v>
      </c>
      <c r="M46" s="21"/>
      <c r="N46" s="21"/>
      <c r="O46" s="21"/>
    </row>
    <row r="47" spans="3:15" x14ac:dyDescent="0.25">
      <c r="C47" s="15" t="s">
        <v>78</v>
      </c>
    </row>
  </sheetData>
  <mergeCells count="1">
    <mergeCell ref="G13:H13"/>
  </mergeCells>
  <conditionalFormatting sqref="I9">
    <cfRule type="containsText" dxfId="557" priority="10" operator="containsText" text="FAIL">
      <formula>NOT(ISERROR(SEARCH("FAIL",I9)))</formula>
    </cfRule>
  </conditionalFormatting>
  <conditionalFormatting sqref="I9">
    <cfRule type="containsText" dxfId="556" priority="9" operator="containsText" text="GOOD">
      <formula>NOT(ISERROR(SEARCH("GOOD",I9)))</formula>
    </cfRule>
  </conditionalFormatting>
  <conditionalFormatting sqref="F11">
    <cfRule type="containsText" dxfId="555" priority="8" operator="containsText" text="FAIL">
      <formula>NOT(ISERROR(SEARCH("FAIL",F11)))</formula>
    </cfRule>
  </conditionalFormatting>
  <conditionalFormatting sqref="F11">
    <cfRule type="containsText" dxfId="554" priority="7" operator="containsText" text="GOOD">
      <formula>NOT(ISERROR(SEARCH("GOOD",F11)))</formula>
    </cfRule>
  </conditionalFormatting>
  <conditionalFormatting sqref="D25">
    <cfRule type="expression" dxfId="553" priority="6" stopIfTrue="1">
      <formula>IF($H$25=1,0)</formula>
    </cfRule>
  </conditionalFormatting>
  <conditionalFormatting sqref="D23:D43">
    <cfRule type="expression" dxfId="552" priority="5">
      <formula>H23=1</formula>
    </cfRule>
  </conditionalFormatting>
  <conditionalFormatting sqref="C23:C43">
    <cfRule type="expression" dxfId="551" priority="4">
      <formula>H23=1</formula>
    </cfRule>
  </conditionalFormatting>
  <conditionalFormatting sqref="E23:E43">
    <cfRule type="expression" dxfId="550" priority="3">
      <formula>H23=1</formula>
    </cfRule>
  </conditionalFormatting>
  <conditionalFormatting sqref="F11">
    <cfRule type="containsText" dxfId="549" priority="2" operator="containsText" text="FAIL">
      <formula>NOT(ISERROR(SEARCH("FAIL",F11)))</formula>
    </cfRule>
  </conditionalFormatting>
  <conditionalFormatting sqref="F11">
    <cfRule type="containsText" dxfId="548" priority="1" operator="containsText" text="GOOD">
      <formula>NOT(ISERROR(SEARCH("GOOD",F11)))</formula>
    </cfRule>
  </conditionalFormatting>
  <pageMargins left="0.7" right="0.7" top="0.75" bottom="0.75" header="0.3" footer="0.3"/>
  <pageSetup scale="68" orientation="portrait" r:id="rId1"/>
</worksheet>
</file>

<file path=xl/worksheets/sheet1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F00-000000000000}">
  <sheetPr codeName="Sheet129">
    <tabColor rgb="FFFF0000"/>
  </sheetPr>
  <dimension ref="A2:O47"/>
  <sheetViews>
    <sheetView workbookViewId="0">
      <selection activeCell="K32" sqref="K32"/>
    </sheetView>
  </sheetViews>
  <sheetFormatPr defaultRowHeight="15" x14ac:dyDescent="0.25"/>
  <cols>
    <col min="1" max="2" width="4.42578125" customWidth="1"/>
    <col min="3" max="3" width="3" customWidth="1"/>
    <col min="4" max="4" width="24.85546875" customWidth="1"/>
    <col min="5" max="5" width="3" customWidth="1"/>
    <col min="6" max="6" width="15.7109375" customWidth="1"/>
    <col min="7" max="7" width="8.5703125" customWidth="1"/>
    <col min="8" max="8" width="5.85546875" customWidth="1"/>
    <col min="9" max="15" width="15.7109375" customWidth="1"/>
  </cols>
  <sheetData>
    <row r="2" spans="1:11" x14ac:dyDescent="0.25">
      <c r="C2" s="15" t="s">
        <v>32</v>
      </c>
      <c r="E2" s="15"/>
      <c r="F2" s="15"/>
      <c r="G2" s="15" t="s">
        <v>33</v>
      </c>
      <c r="H2" s="15"/>
      <c r="I2" s="15"/>
      <c r="J2" s="15"/>
      <c r="K2" s="15"/>
    </row>
    <row r="3" spans="1:11" ht="18.75" x14ac:dyDescent="0.3">
      <c r="C3" s="3" t="s">
        <v>26</v>
      </c>
      <c r="J3" s="8" t="s">
        <v>17</v>
      </c>
    </row>
    <row r="4" spans="1:11" x14ac:dyDescent="0.25">
      <c r="D4" s="2" t="s">
        <v>0</v>
      </c>
      <c r="E4" s="1"/>
      <c r="F4" t="s">
        <v>448</v>
      </c>
      <c r="I4" s="2" t="s">
        <v>4</v>
      </c>
      <c r="J4" t="s">
        <v>447</v>
      </c>
    </row>
    <row r="5" spans="1:11" x14ac:dyDescent="0.25">
      <c r="D5" s="2" t="s">
        <v>1</v>
      </c>
      <c r="F5" t="s">
        <v>449</v>
      </c>
    </row>
    <row r="6" spans="1:11" x14ac:dyDescent="0.25">
      <c r="D6" s="2" t="s">
        <v>2</v>
      </c>
      <c r="F6" s="6">
        <v>42374</v>
      </c>
      <c r="H6" s="11"/>
    </row>
    <row r="7" spans="1:11" x14ac:dyDescent="0.25">
      <c r="D7" s="2" t="s">
        <v>3</v>
      </c>
      <c r="F7" s="5">
        <v>9800000</v>
      </c>
      <c r="G7" s="2" t="s">
        <v>190</v>
      </c>
      <c r="H7" s="11"/>
    </row>
    <row r="8" spans="1:11" x14ac:dyDescent="0.25">
      <c r="D8" s="2" t="s">
        <v>18</v>
      </c>
      <c r="F8" s="5">
        <f>MIN(I23:I43)</f>
        <v>7991177</v>
      </c>
      <c r="H8" s="11"/>
    </row>
    <row r="9" spans="1:11" x14ac:dyDescent="0.25">
      <c r="D9" s="2" t="s">
        <v>67</v>
      </c>
      <c r="F9" s="4">
        <f>+F8-F7</f>
        <v>-1808823</v>
      </c>
      <c r="G9" s="16">
        <f>+F9/F7</f>
        <v>-0.18457377551020407</v>
      </c>
      <c r="H9" s="12" t="s">
        <v>20</v>
      </c>
      <c r="I9" s="11" t="str">
        <f>(IF(G9&lt;-0.1,"FAIL",IF(G9&gt;0.05,"FAIL","GOOD")))</f>
        <v>FAIL</v>
      </c>
      <c r="J9" s="14" t="s">
        <v>72</v>
      </c>
    </row>
    <row r="10" spans="1:11" x14ac:dyDescent="0.25">
      <c r="D10" s="2" t="s">
        <v>68</v>
      </c>
      <c r="F10" s="4">
        <f>+F7-F12</f>
        <v>-595725.66666666605</v>
      </c>
      <c r="H10" s="11"/>
    </row>
    <row r="11" spans="1:11" x14ac:dyDescent="0.25">
      <c r="A11" s="30"/>
      <c r="D11" s="2" t="s">
        <v>71</v>
      </c>
      <c r="F11" s="11" t="str">
        <f>(IF(F7&lt;J12,"FAIL",IF(F7&gt;J13,"FAIL","GOOD")))</f>
        <v>GOOD</v>
      </c>
      <c r="H11" s="11"/>
    </row>
    <row r="12" spans="1:11" x14ac:dyDescent="0.25">
      <c r="D12" s="2" t="s">
        <v>28</v>
      </c>
      <c r="F12" s="4">
        <f>SUM(I23:I43)/H12</f>
        <v>10395725.666666666</v>
      </c>
      <c r="G12" s="14"/>
      <c r="H12" s="11">
        <f>COUNT(I23:I43)</f>
        <v>3</v>
      </c>
      <c r="I12" s="1" t="s">
        <v>31</v>
      </c>
      <c r="J12" s="4">
        <f>+F8*0.9</f>
        <v>7192059.2999999998</v>
      </c>
      <c r="K12" s="1" t="s">
        <v>69</v>
      </c>
    </row>
    <row r="13" spans="1:11" x14ac:dyDescent="0.25">
      <c r="D13" s="2" t="s">
        <v>29</v>
      </c>
      <c r="F13" s="4">
        <f>MAX(I23:I43)-MIN(I23:I43)</f>
        <v>5854823</v>
      </c>
      <c r="G13" s="399">
        <f>MEDIAN(I23:I43)</f>
        <v>9350000</v>
      </c>
      <c r="H13" s="400"/>
      <c r="I13" s="1" t="s">
        <v>30</v>
      </c>
      <c r="J13" s="4">
        <f>+F12*1.1</f>
        <v>11435298.233333334</v>
      </c>
      <c r="K13" s="1" t="s">
        <v>70</v>
      </c>
    </row>
    <row r="14" spans="1:11" x14ac:dyDescent="0.25">
      <c r="H14" s="11"/>
    </row>
    <row r="15" spans="1:11" x14ac:dyDescent="0.25">
      <c r="D15" s="2" t="s">
        <v>8</v>
      </c>
      <c r="F15" s="4"/>
      <c r="G15" s="1" t="s">
        <v>9</v>
      </c>
      <c r="H15" s="11"/>
      <c r="I15" t="s">
        <v>15</v>
      </c>
      <c r="J15" s="7" t="e">
        <f>+F16/F15</f>
        <v>#DIV/0!</v>
      </c>
    </row>
    <row r="16" spans="1:11" x14ac:dyDescent="0.25">
      <c r="F16" s="4"/>
      <c r="G16" s="1" t="s">
        <v>10</v>
      </c>
      <c r="H16" s="11"/>
      <c r="I16" t="s">
        <v>14</v>
      </c>
      <c r="J16" s="7" t="e">
        <f>+F17/F16</f>
        <v>#DIV/0!</v>
      </c>
    </row>
    <row r="17" spans="3:15" x14ac:dyDescent="0.25">
      <c r="F17" s="4"/>
      <c r="G17" s="1" t="s">
        <v>11</v>
      </c>
      <c r="H17" s="11"/>
      <c r="I17" t="s">
        <v>13</v>
      </c>
      <c r="J17" s="7" t="e">
        <f>+F18/F17</f>
        <v>#DIV/0!</v>
      </c>
      <c r="M17" s="21"/>
      <c r="N17" s="21"/>
      <c r="O17" s="21"/>
    </row>
    <row r="18" spans="3:15" x14ac:dyDescent="0.25">
      <c r="F18" s="4"/>
      <c r="G18" s="1" t="s">
        <v>12</v>
      </c>
      <c r="H18" s="11"/>
      <c r="I18" t="s">
        <v>16</v>
      </c>
      <c r="J18" s="7" t="e">
        <f>+F8/F18</f>
        <v>#DIV/0!</v>
      </c>
      <c r="M18" s="21"/>
      <c r="N18" s="21"/>
      <c r="O18" s="21"/>
    </row>
    <row r="19" spans="3:15" x14ac:dyDescent="0.25">
      <c r="F19" s="2" t="s">
        <v>51</v>
      </c>
      <c r="G19">
        <v>0</v>
      </c>
      <c r="H19" s="11" t="s">
        <v>52</v>
      </c>
      <c r="I19" t="s">
        <v>41</v>
      </c>
      <c r="J19" s="7" t="e">
        <f>+F8/F15</f>
        <v>#DIV/0!</v>
      </c>
      <c r="M19" s="21"/>
      <c r="N19" s="21"/>
      <c r="O19" s="21"/>
    </row>
    <row r="20" spans="3:15" x14ac:dyDescent="0.25">
      <c r="H20" s="11"/>
      <c r="M20" s="21"/>
      <c r="N20" s="21"/>
      <c r="O20" s="21"/>
    </row>
    <row r="21" spans="3:15" x14ac:dyDescent="0.25">
      <c r="C21" s="9"/>
      <c r="D21" s="13" t="s">
        <v>21</v>
      </c>
      <c r="E21" s="9"/>
      <c r="F21" s="9" t="s">
        <v>22</v>
      </c>
      <c r="G21" s="9" t="s">
        <v>23</v>
      </c>
      <c r="H21" s="13" t="s">
        <v>27</v>
      </c>
      <c r="I21" s="10" t="s">
        <v>24</v>
      </c>
      <c r="J21" s="9"/>
      <c r="K21" s="9"/>
      <c r="L21" s="9"/>
      <c r="M21" s="21"/>
      <c r="N21" s="21"/>
      <c r="O21" s="21"/>
    </row>
    <row r="22" spans="3:15" ht="6" customHeight="1" x14ac:dyDescent="0.25">
      <c r="M22" s="21"/>
      <c r="N22" s="21"/>
      <c r="O22" s="21"/>
    </row>
    <row r="23" spans="3:15" x14ac:dyDescent="0.25">
      <c r="C23" s="33" t="str">
        <f>IF(H23=1,"u","")</f>
        <v/>
      </c>
      <c r="D23" s="11" t="s">
        <v>450</v>
      </c>
      <c r="E23" s="33"/>
      <c r="F23" t="s">
        <v>451</v>
      </c>
      <c r="G23" t="s">
        <v>93</v>
      </c>
      <c r="H23">
        <f>RANK(I23,I$23:I$43,1)</f>
        <v>2</v>
      </c>
      <c r="I23" s="4">
        <v>9350000</v>
      </c>
      <c r="J23" s="4"/>
      <c r="K23" s="4"/>
      <c r="L23" s="4"/>
      <c r="M23" s="22"/>
      <c r="N23" s="22"/>
      <c r="O23" s="22"/>
    </row>
    <row r="24" spans="3:15" x14ac:dyDescent="0.25">
      <c r="C24" s="33" t="str">
        <f>IF(H24=1,"u","")</f>
        <v/>
      </c>
      <c r="D24" s="11" t="s">
        <v>452</v>
      </c>
      <c r="E24" s="33"/>
      <c r="F24" t="s">
        <v>100</v>
      </c>
      <c r="G24" t="s">
        <v>93</v>
      </c>
      <c r="H24">
        <f>RANK(I24,I$23:I$43,1)</f>
        <v>3</v>
      </c>
      <c r="I24" s="4">
        <v>13846000</v>
      </c>
      <c r="J24" s="4"/>
      <c r="K24" s="4"/>
      <c r="L24" s="4"/>
      <c r="M24" s="22"/>
      <c r="N24" s="22"/>
      <c r="O24" s="22"/>
    </row>
    <row r="25" spans="3:15" x14ac:dyDescent="0.25">
      <c r="C25" s="33" t="str">
        <f>IF(H25=1,"u","")</f>
        <v>u</v>
      </c>
      <c r="D25" s="11" t="s">
        <v>453</v>
      </c>
      <c r="E25" s="33"/>
      <c r="F25" t="s">
        <v>181</v>
      </c>
      <c r="G25" t="s">
        <v>93</v>
      </c>
      <c r="H25">
        <f>RANK(I25,I$23:I$43,1)</f>
        <v>1</v>
      </c>
      <c r="I25" s="4">
        <v>7991177</v>
      </c>
      <c r="J25" s="4"/>
      <c r="K25" s="4"/>
      <c r="L25" s="4"/>
      <c r="M25" s="22"/>
      <c r="N25" s="22"/>
      <c r="O25" s="22"/>
    </row>
    <row r="26" spans="3:15" x14ac:dyDescent="0.25">
      <c r="C26" s="33"/>
      <c r="D26" s="11"/>
      <c r="E26" s="33"/>
      <c r="I26" s="4"/>
      <c r="J26" s="4"/>
      <c r="K26" s="4"/>
      <c r="L26" s="4"/>
      <c r="M26" s="22"/>
      <c r="N26" s="22"/>
      <c r="O26" s="22"/>
    </row>
    <row r="27" spans="3:15" x14ac:dyDescent="0.25">
      <c r="C27" s="33" t="str">
        <f t="shared" ref="C27:C43" si="0">IF(H27=1,"u","")</f>
        <v/>
      </c>
      <c r="D27" s="11"/>
      <c r="E27" s="33" t="str">
        <f t="shared" ref="E27:E43" si="1">IF(H27=1,"t","")</f>
        <v/>
      </c>
      <c r="I27" s="4"/>
      <c r="J27" s="4"/>
      <c r="K27" s="4"/>
      <c r="L27" s="4"/>
      <c r="M27" s="22"/>
      <c r="N27" s="22"/>
      <c r="O27" s="22"/>
    </row>
    <row r="28" spans="3:15" x14ac:dyDescent="0.25">
      <c r="C28" s="33" t="str">
        <f t="shared" si="0"/>
        <v/>
      </c>
      <c r="D28" s="11"/>
      <c r="E28" s="33" t="str">
        <f t="shared" si="1"/>
        <v/>
      </c>
      <c r="I28" s="4"/>
      <c r="J28" s="4"/>
      <c r="K28" s="4"/>
      <c r="L28" s="4"/>
      <c r="M28" s="22"/>
      <c r="N28" s="22"/>
      <c r="O28" s="22"/>
    </row>
    <row r="29" spans="3:15" x14ac:dyDescent="0.25">
      <c r="C29" s="33" t="str">
        <f t="shared" si="0"/>
        <v/>
      </c>
      <c r="D29" s="11"/>
      <c r="E29" s="33" t="str">
        <f t="shared" si="1"/>
        <v/>
      </c>
      <c r="I29" s="4"/>
      <c r="J29" s="4"/>
      <c r="K29" s="4"/>
      <c r="L29" s="4"/>
      <c r="M29" s="22"/>
      <c r="N29" s="22"/>
      <c r="O29" s="22"/>
    </row>
    <row r="30" spans="3:15" x14ac:dyDescent="0.25">
      <c r="C30" s="33" t="str">
        <f t="shared" si="0"/>
        <v/>
      </c>
      <c r="D30" s="11"/>
      <c r="E30" s="33" t="str">
        <f t="shared" si="1"/>
        <v/>
      </c>
      <c r="I30" s="4"/>
      <c r="J30" s="4"/>
      <c r="K30" s="4"/>
      <c r="L30" s="4"/>
      <c r="M30" s="22"/>
      <c r="N30" s="22"/>
      <c r="O30" s="22"/>
    </row>
    <row r="31" spans="3:15" x14ac:dyDescent="0.25">
      <c r="C31" s="33" t="str">
        <f t="shared" si="0"/>
        <v/>
      </c>
      <c r="D31" s="11"/>
      <c r="E31" s="33" t="str">
        <f t="shared" si="1"/>
        <v/>
      </c>
      <c r="I31" s="4"/>
      <c r="J31" s="4"/>
      <c r="K31" s="4"/>
      <c r="L31" s="4"/>
      <c r="M31" s="22"/>
      <c r="N31" s="22"/>
      <c r="O31" s="22"/>
    </row>
    <row r="32" spans="3:15" x14ac:dyDescent="0.25">
      <c r="C32" s="33" t="str">
        <f t="shared" si="0"/>
        <v/>
      </c>
      <c r="D32" s="11"/>
      <c r="E32" s="33" t="str">
        <f t="shared" si="1"/>
        <v/>
      </c>
      <c r="I32" s="4"/>
      <c r="J32" s="4"/>
      <c r="K32" s="4"/>
      <c r="L32" s="4"/>
      <c r="M32" s="22"/>
      <c r="N32" s="22"/>
      <c r="O32" s="22"/>
    </row>
    <row r="33" spans="3:15" x14ac:dyDescent="0.25">
      <c r="C33" s="33" t="str">
        <f t="shared" si="0"/>
        <v/>
      </c>
      <c r="D33" s="11"/>
      <c r="E33" s="33" t="str">
        <f t="shared" si="1"/>
        <v/>
      </c>
      <c r="M33" s="21"/>
      <c r="N33" s="21"/>
      <c r="O33" s="21"/>
    </row>
    <row r="34" spans="3:15" x14ac:dyDescent="0.25">
      <c r="C34" s="33" t="str">
        <f t="shared" si="0"/>
        <v/>
      </c>
      <c r="D34" s="11"/>
      <c r="E34" s="33" t="str">
        <f t="shared" si="1"/>
        <v/>
      </c>
      <c r="M34" s="21"/>
      <c r="N34" s="21"/>
      <c r="O34" s="21"/>
    </row>
    <row r="35" spans="3:15" x14ac:dyDescent="0.25">
      <c r="C35" s="33" t="str">
        <f t="shared" si="0"/>
        <v/>
      </c>
      <c r="D35" s="11"/>
      <c r="E35" s="33" t="str">
        <f t="shared" si="1"/>
        <v/>
      </c>
      <c r="M35" s="21"/>
      <c r="N35" s="21"/>
      <c r="O35" s="21"/>
    </row>
    <row r="36" spans="3:15" x14ac:dyDescent="0.25">
      <c r="C36" s="33" t="str">
        <f t="shared" si="0"/>
        <v/>
      </c>
      <c r="D36" s="11"/>
      <c r="E36" s="33" t="str">
        <f t="shared" si="1"/>
        <v/>
      </c>
      <c r="M36" s="21"/>
      <c r="N36" s="21"/>
      <c r="O36" s="21"/>
    </row>
    <row r="37" spans="3:15" x14ac:dyDescent="0.25">
      <c r="C37" s="33" t="str">
        <f t="shared" si="0"/>
        <v/>
      </c>
      <c r="D37" s="11"/>
      <c r="E37" s="33" t="str">
        <f t="shared" si="1"/>
        <v/>
      </c>
      <c r="M37" s="21"/>
      <c r="N37" s="21"/>
      <c r="O37" s="21"/>
    </row>
    <row r="38" spans="3:15" x14ac:dyDescent="0.25">
      <c r="C38" s="33" t="str">
        <f t="shared" si="0"/>
        <v/>
      </c>
      <c r="D38" s="11"/>
      <c r="E38" s="33" t="str">
        <f t="shared" si="1"/>
        <v/>
      </c>
      <c r="M38" s="21"/>
      <c r="N38" s="21"/>
      <c r="O38" s="21"/>
    </row>
    <row r="39" spans="3:15" x14ac:dyDescent="0.25">
      <c r="C39" s="33" t="str">
        <f t="shared" si="0"/>
        <v/>
      </c>
      <c r="D39" s="11"/>
      <c r="E39" s="33" t="str">
        <f t="shared" si="1"/>
        <v/>
      </c>
      <c r="M39" s="21"/>
      <c r="N39" s="21"/>
      <c r="O39" s="21"/>
    </row>
    <row r="40" spans="3:15" x14ac:dyDescent="0.25">
      <c r="C40" s="33" t="str">
        <f t="shared" si="0"/>
        <v/>
      </c>
      <c r="D40" s="11"/>
      <c r="E40" s="33" t="str">
        <f t="shared" si="1"/>
        <v/>
      </c>
      <c r="M40" s="21"/>
      <c r="N40" s="21"/>
      <c r="O40" s="21"/>
    </row>
    <row r="41" spans="3:15" x14ac:dyDescent="0.25">
      <c r="C41" s="33" t="str">
        <f t="shared" si="0"/>
        <v/>
      </c>
      <c r="D41" s="11"/>
      <c r="E41" s="33" t="str">
        <f t="shared" si="1"/>
        <v/>
      </c>
      <c r="M41" s="21"/>
      <c r="N41" s="21"/>
      <c r="O41" s="21"/>
    </row>
    <row r="42" spans="3:15" x14ac:dyDescent="0.25">
      <c r="C42" s="33" t="str">
        <f t="shared" si="0"/>
        <v/>
      </c>
      <c r="D42" s="11"/>
      <c r="E42" s="33" t="str">
        <f t="shared" si="1"/>
        <v/>
      </c>
      <c r="M42" s="21"/>
      <c r="N42" s="21"/>
      <c r="O42" s="21"/>
    </row>
    <row r="43" spans="3:15" x14ac:dyDescent="0.25">
      <c r="C43" s="33" t="str">
        <f t="shared" si="0"/>
        <v/>
      </c>
      <c r="D43" s="11"/>
      <c r="E43" s="33" t="str">
        <f t="shared" si="1"/>
        <v/>
      </c>
      <c r="M43" s="21"/>
      <c r="N43" s="21"/>
      <c r="O43" s="21"/>
    </row>
    <row r="44" spans="3:15" ht="6" customHeight="1" x14ac:dyDescent="0.25">
      <c r="C44" s="9"/>
      <c r="D44" s="9"/>
      <c r="E44" s="9"/>
      <c r="F44" s="9"/>
      <c r="G44" s="9"/>
      <c r="H44" s="9"/>
      <c r="I44" s="9"/>
      <c r="J44" s="9"/>
      <c r="K44" s="9"/>
      <c r="L44" s="9"/>
      <c r="M44" s="21"/>
      <c r="N44" s="21"/>
      <c r="O44" s="21"/>
    </row>
    <row r="45" spans="3:15" ht="6" customHeight="1" x14ac:dyDescent="0.25">
      <c r="M45" s="21"/>
      <c r="N45" s="21"/>
      <c r="O45" s="21"/>
    </row>
    <row r="46" spans="3:15" x14ac:dyDescent="0.25">
      <c r="C46" s="15" t="s">
        <v>79</v>
      </c>
      <c r="M46" s="21"/>
      <c r="N46" s="21"/>
      <c r="O46" s="21"/>
    </row>
    <row r="47" spans="3:15" x14ac:dyDescent="0.25">
      <c r="C47" s="15" t="s">
        <v>78</v>
      </c>
    </row>
  </sheetData>
  <mergeCells count="1">
    <mergeCell ref="G13:H13"/>
  </mergeCells>
  <conditionalFormatting sqref="I9">
    <cfRule type="containsText" dxfId="537" priority="10" operator="containsText" text="FAIL">
      <formula>NOT(ISERROR(SEARCH("FAIL",I9)))</formula>
    </cfRule>
  </conditionalFormatting>
  <conditionalFormatting sqref="I9">
    <cfRule type="containsText" dxfId="536" priority="9" operator="containsText" text="GOOD">
      <formula>NOT(ISERROR(SEARCH("GOOD",I9)))</formula>
    </cfRule>
  </conditionalFormatting>
  <conditionalFormatting sqref="F11">
    <cfRule type="containsText" dxfId="535" priority="8" operator="containsText" text="FAIL">
      <formula>NOT(ISERROR(SEARCH("FAIL",F11)))</formula>
    </cfRule>
  </conditionalFormatting>
  <conditionalFormatting sqref="F11">
    <cfRule type="containsText" dxfId="534" priority="7" operator="containsText" text="GOOD">
      <formula>NOT(ISERROR(SEARCH("GOOD",F11)))</formula>
    </cfRule>
  </conditionalFormatting>
  <conditionalFormatting sqref="D25">
    <cfRule type="expression" dxfId="533" priority="6" stopIfTrue="1">
      <formula>IF($H$25=1,0)</formula>
    </cfRule>
  </conditionalFormatting>
  <conditionalFormatting sqref="D23:D43">
    <cfRule type="expression" dxfId="532" priority="5">
      <formula>H23=1</formula>
    </cfRule>
  </conditionalFormatting>
  <conditionalFormatting sqref="C23:C43">
    <cfRule type="expression" dxfId="531" priority="4">
      <formula>H23=1</formula>
    </cfRule>
  </conditionalFormatting>
  <conditionalFormatting sqref="E23:E43">
    <cfRule type="expression" dxfId="530" priority="3">
      <formula>H23=1</formula>
    </cfRule>
  </conditionalFormatting>
  <conditionalFormatting sqref="F11">
    <cfRule type="containsText" dxfId="529" priority="2" operator="containsText" text="FAIL">
      <formula>NOT(ISERROR(SEARCH("FAIL",F11)))</formula>
    </cfRule>
  </conditionalFormatting>
  <conditionalFormatting sqref="F11">
    <cfRule type="containsText" dxfId="528" priority="1" operator="containsText" text="GOOD">
      <formula>NOT(ISERROR(SEARCH("GOOD",F11)))</formula>
    </cfRule>
  </conditionalFormatting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sheetPr codeName="Sheet64"/>
  <dimension ref="A2:O47"/>
  <sheetViews>
    <sheetView zoomScaleNormal="100" workbookViewId="0">
      <selection activeCell="I26" sqref="I26"/>
    </sheetView>
  </sheetViews>
  <sheetFormatPr defaultRowHeight="15" x14ac:dyDescent="0.25"/>
  <cols>
    <col min="1" max="2" width="4.42578125" customWidth="1"/>
    <col min="3" max="3" width="3" customWidth="1"/>
    <col min="4" max="4" width="24.85546875" customWidth="1"/>
    <col min="5" max="5" width="3" customWidth="1"/>
    <col min="6" max="6" width="15.7109375" customWidth="1"/>
    <col min="7" max="7" width="8.5703125" customWidth="1"/>
    <col min="8" max="8" width="5.85546875" customWidth="1"/>
    <col min="9" max="15" width="15.7109375" customWidth="1"/>
  </cols>
  <sheetData>
    <row r="2" spans="1:11" x14ac:dyDescent="0.25">
      <c r="C2" s="15" t="s">
        <v>32</v>
      </c>
      <c r="E2" s="15"/>
      <c r="F2" s="15"/>
      <c r="G2" s="15" t="s">
        <v>33</v>
      </c>
      <c r="H2" s="15"/>
      <c r="I2" s="15"/>
      <c r="J2" s="15"/>
      <c r="K2" s="15"/>
    </row>
    <row r="3" spans="1:11" ht="18.75" x14ac:dyDescent="0.3">
      <c r="C3" s="3" t="s">
        <v>26</v>
      </c>
      <c r="J3" s="8" t="s">
        <v>17</v>
      </c>
    </row>
    <row r="4" spans="1:11" x14ac:dyDescent="0.25">
      <c r="D4" s="2" t="s">
        <v>0</v>
      </c>
      <c r="E4" s="1"/>
      <c r="F4" t="s">
        <v>966</v>
      </c>
      <c r="I4" s="2" t="s">
        <v>4</v>
      </c>
      <c r="J4" t="s">
        <v>630</v>
      </c>
    </row>
    <row r="5" spans="1:11" x14ac:dyDescent="0.25">
      <c r="D5" s="2" t="s">
        <v>1</v>
      </c>
      <c r="F5" t="s">
        <v>967</v>
      </c>
    </row>
    <row r="6" spans="1:11" x14ac:dyDescent="0.25">
      <c r="D6" s="2" t="s">
        <v>2</v>
      </c>
      <c r="F6" s="6">
        <v>42823</v>
      </c>
      <c r="H6" s="11"/>
    </row>
    <row r="7" spans="1:11" x14ac:dyDescent="0.25">
      <c r="D7" s="2" t="s">
        <v>3</v>
      </c>
      <c r="F7" s="5">
        <v>3700000</v>
      </c>
      <c r="G7" s="2" t="s">
        <v>34</v>
      </c>
      <c r="H7" s="11"/>
    </row>
    <row r="8" spans="1:11" x14ac:dyDescent="0.25">
      <c r="D8" s="2" t="s">
        <v>18</v>
      </c>
      <c r="F8" s="5">
        <f>MIN(I23:I43)</f>
        <v>2490000</v>
      </c>
      <c r="H8" s="11"/>
    </row>
    <row r="9" spans="1:11" x14ac:dyDescent="0.25">
      <c r="D9" s="2" t="s">
        <v>67</v>
      </c>
      <c r="F9" s="4">
        <f>+F8-F7</f>
        <v>-1210000</v>
      </c>
      <c r="G9" s="16">
        <f>+F9/F7</f>
        <v>-0.32702702702702702</v>
      </c>
      <c r="H9" s="12" t="s">
        <v>20</v>
      </c>
      <c r="I9" s="11" t="str">
        <f>(IF(G9&lt;-0.1,"FAIL",IF(G9&gt;0.05,"FAIL","GOOD")))</f>
        <v>FAIL</v>
      </c>
      <c r="J9" s="14" t="s">
        <v>72</v>
      </c>
    </row>
    <row r="10" spans="1:11" x14ac:dyDescent="0.25">
      <c r="D10" s="2" t="s">
        <v>68</v>
      </c>
      <c r="F10" s="4">
        <f>+F7-F12</f>
        <v>-22260</v>
      </c>
      <c r="H10" s="11"/>
    </row>
    <row r="11" spans="1:11" x14ac:dyDescent="0.25">
      <c r="A11" s="52"/>
      <c r="D11" s="2" t="s">
        <v>71</v>
      </c>
      <c r="F11" s="11" t="str">
        <f>(IF(F7&lt;J12,"FAIL",IF(F7&gt;J13,"FAIL","GOOD")))</f>
        <v>GOOD</v>
      </c>
      <c r="H11" s="11"/>
    </row>
    <row r="12" spans="1:11" x14ac:dyDescent="0.25">
      <c r="D12" s="2" t="s">
        <v>28</v>
      </c>
      <c r="F12" s="4">
        <f>SUM(I23:I43)/H12</f>
        <v>3722260</v>
      </c>
      <c r="G12" s="14"/>
      <c r="H12" s="11">
        <f>COUNT(I23:I43)</f>
        <v>7</v>
      </c>
      <c r="I12" s="1" t="s">
        <v>31</v>
      </c>
      <c r="J12" s="4">
        <f>+F8*0.9</f>
        <v>2241000</v>
      </c>
      <c r="K12" s="1" t="s">
        <v>69</v>
      </c>
    </row>
    <row r="13" spans="1:11" x14ac:dyDescent="0.25">
      <c r="D13" s="2" t="s">
        <v>29</v>
      </c>
      <c r="F13" s="4">
        <f>MAX(I23:I43)-MIN(I23:I43)</f>
        <v>2671890</v>
      </c>
      <c r="G13" s="399">
        <f>MEDIAN(I23:I43)</f>
        <v>3807430</v>
      </c>
      <c r="H13" s="400"/>
      <c r="I13" s="1" t="s">
        <v>30</v>
      </c>
      <c r="J13" s="4">
        <f>+F12*1.1</f>
        <v>4094486.0000000005</v>
      </c>
      <c r="K13" s="1" t="s">
        <v>70</v>
      </c>
    </row>
    <row r="14" spans="1:11" x14ac:dyDescent="0.25">
      <c r="H14" s="11"/>
    </row>
    <row r="15" spans="1:11" x14ac:dyDescent="0.25">
      <c r="D15" s="2" t="s">
        <v>8</v>
      </c>
      <c r="F15" s="4"/>
      <c r="G15" s="1" t="s">
        <v>9</v>
      </c>
      <c r="H15" s="11"/>
      <c r="I15" t="s">
        <v>15</v>
      </c>
      <c r="J15" s="7" t="e">
        <f>+F16/F15</f>
        <v>#DIV/0!</v>
      </c>
    </row>
    <row r="16" spans="1:11" x14ac:dyDescent="0.25">
      <c r="F16" s="4"/>
      <c r="G16" s="1" t="s">
        <v>10</v>
      </c>
      <c r="H16" s="11"/>
      <c r="I16" t="s">
        <v>14</v>
      </c>
      <c r="J16" s="7" t="e">
        <f>+F17/F16</f>
        <v>#DIV/0!</v>
      </c>
    </row>
    <row r="17" spans="3:15" x14ac:dyDescent="0.25">
      <c r="F17" s="4"/>
      <c r="G17" s="1" t="s">
        <v>11</v>
      </c>
      <c r="H17" s="11"/>
      <c r="I17" t="s">
        <v>13</v>
      </c>
      <c r="J17" s="7" t="e">
        <f>+F18/F17</f>
        <v>#DIV/0!</v>
      </c>
      <c r="M17" s="21"/>
      <c r="N17" s="21"/>
      <c r="O17" s="21"/>
    </row>
    <row r="18" spans="3:15" x14ac:dyDescent="0.25">
      <c r="F18" s="4"/>
      <c r="G18" s="1" t="s">
        <v>12</v>
      </c>
      <c r="H18" s="11"/>
      <c r="I18" t="s">
        <v>16</v>
      </c>
      <c r="J18" s="7" t="e">
        <f>+F8/F18</f>
        <v>#DIV/0!</v>
      </c>
      <c r="M18" s="21"/>
      <c r="N18" s="21"/>
      <c r="O18" s="21"/>
    </row>
    <row r="19" spans="3:15" x14ac:dyDescent="0.25">
      <c r="F19" s="2" t="s">
        <v>51</v>
      </c>
      <c r="G19">
        <v>0</v>
      </c>
      <c r="H19" s="11" t="s">
        <v>52</v>
      </c>
      <c r="I19" t="s">
        <v>41</v>
      </c>
      <c r="J19" s="7" t="e">
        <f>+F8/F15</f>
        <v>#DIV/0!</v>
      </c>
      <c r="M19" s="21"/>
      <c r="N19" s="21"/>
      <c r="O19" s="21"/>
    </row>
    <row r="20" spans="3:15" x14ac:dyDescent="0.25">
      <c r="H20" s="11"/>
      <c r="M20" s="21"/>
      <c r="N20" s="21"/>
      <c r="O20" s="21"/>
    </row>
    <row r="21" spans="3:15" x14ac:dyDescent="0.25">
      <c r="C21" s="9"/>
      <c r="D21" s="13" t="s">
        <v>21</v>
      </c>
      <c r="E21" s="9"/>
      <c r="F21" s="9" t="s">
        <v>22</v>
      </c>
      <c r="G21" s="9" t="s">
        <v>23</v>
      </c>
      <c r="H21" s="13" t="s">
        <v>27</v>
      </c>
      <c r="I21" s="10" t="s">
        <v>24</v>
      </c>
      <c r="J21" s="9"/>
      <c r="K21" s="9"/>
      <c r="L21" s="9"/>
      <c r="M21" s="21"/>
      <c r="N21" s="21"/>
      <c r="O21" s="21"/>
    </row>
    <row r="22" spans="3:15" ht="6" customHeight="1" x14ac:dyDescent="0.25">
      <c r="M22" s="21"/>
      <c r="N22" s="21"/>
      <c r="O22" s="21"/>
    </row>
    <row r="23" spans="3:15" x14ac:dyDescent="0.25">
      <c r="C23" s="33" t="str">
        <f>IF(H23=1,"u","")</f>
        <v/>
      </c>
      <c r="D23" s="11" t="s">
        <v>968</v>
      </c>
      <c r="E23" s="33"/>
      <c r="F23" t="s">
        <v>203</v>
      </c>
      <c r="G23" t="s">
        <v>204</v>
      </c>
      <c r="H23">
        <f t="shared" ref="H23:H29" si="0">RANK(I23,I$23:I$43,1)</f>
        <v>7</v>
      </c>
      <c r="I23" s="4">
        <v>5161890</v>
      </c>
      <c r="J23" s="4"/>
      <c r="K23" s="4"/>
      <c r="L23" s="4"/>
      <c r="M23" s="22"/>
      <c r="N23" s="22"/>
      <c r="O23" s="22"/>
    </row>
    <row r="24" spans="3:15" x14ac:dyDescent="0.25">
      <c r="C24" s="33" t="str">
        <f>IF(H24=1,"u","")</f>
        <v/>
      </c>
      <c r="D24" s="11" t="s">
        <v>969</v>
      </c>
      <c r="E24" s="33"/>
      <c r="F24" t="s">
        <v>95</v>
      </c>
      <c r="G24" t="s">
        <v>93</v>
      </c>
      <c r="H24">
        <f t="shared" si="0"/>
        <v>2</v>
      </c>
      <c r="I24" s="4">
        <v>3185420</v>
      </c>
      <c r="J24" s="4"/>
      <c r="K24" s="4"/>
      <c r="L24" s="4"/>
      <c r="M24" s="22"/>
      <c r="N24" s="22"/>
      <c r="O24" s="22"/>
    </row>
    <row r="25" spans="3:15" x14ac:dyDescent="0.25">
      <c r="C25" s="33" t="str">
        <f>IF(H25=1,"u","")</f>
        <v/>
      </c>
      <c r="D25" s="11" t="s">
        <v>970</v>
      </c>
      <c r="E25" s="33"/>
      <c r="F25" t="s">
        <v>405</v>
      </c>
      <c r="G25" t="s">
        <v>93</v>
      </c>
      <c r="H25">
        <f t="shared" si="0"/>
        <v>6</v>
      </c>
      <c r="I25" s="4">
        <v>3998696</v>
      </c>
      <c r="J25" s="4"/>
      <c r="K25" s="4"/>
      <c r="L25" s="4"/>
      <c r="M25" s="22"/>
      <c r="N25" s="22"/>
      <c r="O25" s="22"/>
    </row>
    <row r="26" spans="3:15" x14ac:dyDescent="0.25">
      <c r="C26" s="33" t="str">
        <f t="shared" ref="C26:C43" si="1">IF(H26=1,"u","")</f>
        <v>u</v>
      </c>
      <c r="D26" s="11" t="s">
        <v>971</v>
      </c>
      <c r="E26" s="33"/>
      <c r="F26" t="s">
        <v>181</v>
      </c>
      <c r="G26" t="s">
        <v>93</v>
      </c>
      <c r="H26">
        <f t="shared" si="0"/>
        <v>1</v>
      </c>
      <c r="I26" s="4">
        <v>2490000</v>
      </c>
      <c r="J26" s="4"/>
      <c r="K26" s="4"/>
      <c r="L26" s="4"/>
      <c r="M26" s="22"/>
      <c r="N26" s="22"/>
      <c r="O26" s="22"/>
    </row>
    <row r="27" spans="3:15" x14ac:dyDescent="0.25">
      <c r="C27" s="33" t="str">
        <f t="shared" si="1"/>
        <v/>
      </c>
      <c r="D27" s="11" t="s">
        <v>499</v>
      </c>
      <c r="E27" s="33"/>
      <c r="F27" t="s">
        <v>100</v>
      </c>
      <c r="G27" t="s">
        <v>93</v>
      </c>
      <c r="H27">
        <f t="shared" si="0"/>
        <v>4</v>
      </c>
      <c r="I27" s="4">
        <v>3807430</v>
      </c>
      <c r="J27" s="4"/>
      <c r="K27" s="4"/>
      <c r="L27" s="4"/>
      <c r="M27" s="22"/>
      <c r="N27" s="22"/>
      <c r="O27" s="22"/>
    </row>
    <row r="28" spans="3:15" x14ac:dyDescent="0.25">
      <c r="C28" s="33" t="str">
        <f t="shared" si="1"/>
        <v/>
      </c>
      <c r="D28" s="11" t="s">
        <v>972</v>
      </c>
      <c r="E28" s="33"/>
      <c r="F28" t="s">
        <v>973</v>
      </c>
      <c r="G28" t="s">
        <v>93</v>
      </c>
      <c r="H28">
        <f t="shared" si="0"/>
        <v>3</v>
      </c>
      <c r="I28" s="4">
        <v>3537384</v>
      </c>
      <c r="J28" s="4"/>
      <c r="K28" s="4"/>
      <c r="L28" s="4"/>
      <c r="M28" s="22"/>
      <c r="N28" s="22"/>
      <c r="O28" s="22"/>
    </row>
    <row r="29" spans="3:15" x14ac:dyDescent="0.25">
      <c r="C29" s="33" t="str">
        <f t="shared" si="1"/>
        <v/>
      </c>
      <c r="D29" s="11" t="s">
        <v>974</v>
      </c>
      <c r="E29" s="33"/>
      <c r="F29" t="s">
        <v>143</v>
      </c>
      <c r="G29" t="s">
        <v>25</v>
      </c>
      <c r="H29">
        <f t="shared" si="0"/>
        <v>5</v>
      </c>
      <c r="I29" s="4">
        <v>3875000</v>
      </c>
      <c r="J29" s="4"/>
      <c r="K29" s="4"/>
      <c r="L29" s="4"/>
      <c r="M29" s="22"/>
      <c r="N29" s="22"/>
      <c r="O29" s="22"/>
    </row>
    <row r="30" spans="3:15" x14ac:dyDescent="0.25">
      <c r="C30" s="33" t="str">
        <f t="shared" si="1"/>
        <v/>
      </c>
      <c r="D30" s="11"/>
      <c r="E30" s="33"/>
      <c r="I30" s="4"/>
      <c r="J30" s="4"/>
      <c r="K30" s="4"/>
      <c r="L30" s="4"/>
      <c r="M30" s="22"/>
      <c r="N30" s="22"/>
      <c r="O30" s="22"/>
    </row>
    <row r="31" spans="3:15" x14ac:dyDescent="0.25">
      <c r="C31" s="33" t="str">
        <f t="shared" si="1"/>
        <v/>
      </c>
      <c r="D31" s="11"/>
      <c r="E31" s="33"/>
      <c r="I31" s="4"/>
      <c r="J31" s="4"/>
      <c r="K31" s="4"/>
      <c r="L31" s="4"/>
      <c r="M31" s="22"/>
      <c r="N31" s="22"/>
      <c r="O31" s="22"/>
    </row>
    <row r="32" spans="3:15" x14ac:dyDescent="0.25">
      <c r="C32" s="33" t="str">
        <f t="shared" si="1"/>
        <v/>
      </c>
      <c r="D32" s="11"/>
      <c r="E32" s="33"/>
      <c r="I32" s="4"/>
      <c r="J32" s="4"/>
      <c r="K32" s="4"/>
      <c r="L32" s="4"/>
      <c r="M32" s="22"/>
      <c r="N32" s="22"/>
      <c r="O32" s="22"/>
    </row>
    <row r="33" spans="3:15" x14ac:dyDescent="0.25">
      <c r="C33" s="33" t="str">
        <f t="shared" si="1"/>
        <v/>
      </c>
      <c r="D33" s="11"/>
      <c r="E33" s="33"/>
      <c r="I33" s="4"/>
      <c r="M33" s="21"/>
      <c r="N33" s="21"/>
      <c r="O33" s="21"/>
    </row>
    <row r="34" spans="3:15" x14ac:dyDescent="0.25">
      <c r="C34" s="33" t="str">
        <f t="shared" si="1"/>
        <v/>
      </c>
      <c r="D34" s="11"/>
      <c r="E34" s="33"/>
      <c r="I34" s="4"/>
      <c r="M34" s="21"/>
      <c r="N34" s="21"/>
      <c r="O34" s="21"/>
    </row>
    <row r="35" spans="3:15" x14ac:dyDescent="0.25">
      <c r="C35" s="33" t="str">
        <f t="shared" si="1"/>
        <v/>
      </c>
      <c r="D35" s="11"/>
      <c r="E35" s="33"/>
      <c r="I35" s="4"/>
      <c r="M35" s="21"/>
      <c r="N35" s="21"/>
      <c r="O35" s="21"/>
    </row>
    <row r="36" spans="3:15" x14ac:dyDescent="0.25">
      <c r="C36" s="33" t="str">
        <f t="shared" si="1"/>
        <v/>
      </c>
      <c r="D36" s="11"/>
      <c r="E36" s="33"/>
      <c r="I36" s="4"/>
      <c r="M36" s="21"/>
      <c r="N36" s="21"/>
      <c r="O36" s="21"/>
    </row>
    <row r="37" spans="3:15" x14ac:dyDescent="0.25">
      <c r="C37" s="33" t="str">
        <f t="shared" si="1"/>
        <v/>
      </c>
      <c r="D37" s="11"/>
      <c r="E37" s="33" t="str">
        <f t="shared" ref="E37:E43" si="2">IF(H37=1,"t","")</f>
        <v/>
      </c>
      <c r="M37" s="21"/>
      <c r="N37" s="21"/>
      <c r="O37" s="21"/>
    </row>
    <row r="38" spans="3:15" x14ac:dyDescent="0.25">
      <c r="C38" s="33" t="str">
        <f t="shared" si="1"/>
        <v/>
      </c>
      <c r="D38" s="11"/>
      <c r="E38" s="33" t="str">
        <f t="shared" si="2"/>
        <v/>
      </c>
      <c r="M38" s="21"/>
      <c r="N38" s="21"/>
      <c r="O38" s="21"/>
    </row>
    <row r="39" spans="3:15" x14ac:dyDescent="0.25">
      <c r="C39" s="33" t="str">
        <f t="shared" si="1"/>
        <v/>
      </c>
      <c r="D39" s="11"/>
      <c r="E39" s="33" t="str">
        <f t="shared" si="2"/>
        <v/>
      </c>
      <c r="M39" s="21"/>
      <c r="N39" s="21"/>
      <c r="O39" s="21"/>
    </row>
    <row r="40" spans="3:15" x14ac:dyDescent="0.25">
      <c r="C40" s="33" t="str">
        <f t="shared" si="1"/>
        <v/>
      </c>
      <c r="D40" s="11"/>
      <c r="E40" s="33" t="str">
        <f t="shared" si="2"/>
        <v/>
      </c>
      <c r="M40" s="21"/>
      <c r="N40" s="21"/>
      <c r="O40" s="21"/>
    </row>
    <row r="41" spans="3:15" x14ac:dyDescent="0.25">
      <c r="C41" s="33" t="str">
        <f t="shared" si="1"/>
        <v/>
      </c>
      <c r="D41" s="11"/>
      <c r="E41" s="33" t="str">
        <f t="shared" si="2"/>
        <v/>
      </c>
      <c r="M41" s="21"/>
      <c r="N41" s="21"/>
      <c r="O41" s="21"/>
    </row>
    <row r="42" spans="3:15" x14ac:dyDescent="0.25">
      <c r="C42" s="33" t="str">
        <f t="shared" si="1"/>
        <v/>
      </c>
      <c r="D42" s="11"/>
      <c r="E42" s="33" t="str">
        <f t="shared" si="2"/>
        <v/>
      </c>
      <c r="M42" s="21"/>
      <c r="N42" s="21"/>
      <c r="O42" s="21"/>
    </row>
    <row r="43" spans="3:15" x14ac:dyDescent="0.25">
      <c r="C43" s="33" t="str">
        <f t="shared" si="1"/>
        <v/>
      </c>
      <c r="D43" s="11"/>
      <c r="E43" s="33" t="str">
        <f t="shared" si="2"/>
        <v/>
      </c>
      <c r="M43" s="21"/>
      <c r="N43" s="21"/>
      <c r="O43" s="21"/>
    </row>
    <row r="44" spans="3:15" ht="6" customHeight="1" x14ac:dyDescent="0.25">
      <c r="C44" s="9"/>
      <c r="D44" s="9"/>
      <c r="E44" s="9"/>
      <c r="F44" s="9"/>
      <c r="G44" s="9"/>
      <c r="H44" s="9"/>
      <c r="I44" s="9"/>
      <c r="J44" s="9"/>
      <c r="K44" s="9"/>
      <c r="L44" s="9"/>
      <c r="M44" s="21"/>
      <c r="N44" s="21"/>
      <c r="O44" s="21"/>
    </row>
    <row r="45" spans="3:15" ht="6" customHeight="1" x14ac:dyDescent="0.25">
      <c r="M45" s="21"/>
      <c r="N45" s="21"/>
      <c r="O45" s="21"/>
    </row>
    <row r="46" spans="3:15" x14ac:dyDescent="0.25">
      <c r="C46" s="15" t="s">
        <v>79</v>
      </c>
      <c r="M46" s="21"/>
      <c r="N46" s="21"/>
      <c r="O46" s="21"/>
    </row>
    <row r="47" spans="3:15" x14ac:dyDescent="0.25">
      <c r="C47" s="15" t="s">
        <v>78</v>
      </c>
    </row>
  </sheetData>
  <mergeCells count="1">
    <mergeCell ref="G13:H13"/>
  </mergeCells>
  <conditionalFormatting sqref="I9">
    <cfRule type="containsText" dxfId="1468" priority="17" operator="containsText" text="FAIL">
      <formula>NOT(ISERROR(SEARCH("FAIL",I9)))</formula>
    </cfRule>
  </conditionalFormatting>
  <conditionalFormatting sqref="I9">
    <cfRule type="containsText" dxfId="1467" priority="16" operator="containsText" text="GOOD">
      <formula>NOT(ISERROR(SEARCH("GOOD",I9)))</formula>
    </cfRule>
  </conditionalFormatting>
  <conditionalFormatting sqref="F11">
    <cfRule type="containsText" dxfId="1466" priority="15" operator="containsText" text="FAIL">
      <formula>NOT(ISERROR(SEARCH("FAIL",F11)))</formula>
    </cfRule>
  </conditionalFormatting>
  <conditionalFormatting sqref="F11">
    <cfRule type="containsText" dxfId="1465" priority="14" operator="containsText" text="GOOD">
      <formula>NOT(ISERROR(SEARCH("GOOD",F11)))</formula>
    </cfRule>
  </conditionalFormatting>
  <conditionalFormatting sqref="D25">
    <cfRule type="expression" dxfId="1464" priority="13" stopIfTrue="1">
      <formula>IF($H$25=1,0)</formula>
    </cfRule>
  </conditionalFormatting>
  <conditionalFormatting sqref="D23:D25 D32:D43">
    <cfRule type="expression" dxfId="1463" priority="12">
      <formula>H23=1</formula>
    </cfRule>
  </conditionalFormatting>
  <conditionalFormatting sqref="C23:C26 C32:C43">
    <cfRule type="expression" dxfId="1462" priority="11">
      <formula>H23=1</formula>
    </cfRule>
  </conditionalFormatting>
  <conditionalFormatting sqref="E23:E26 E32:E43">
    <cfRule type="expression" dxfId="1461" priority="10">
      <formula>H23=1</formula>
    </cfRule>
  </conditionalFormatting>
  <conditionalFormatting sqref="F11">
    <cfRule type="containsText" dxfId="1460" priority="9" operator="containsText" text="FAIL">
      <formula>NOT(ISERROR(SEARCH("FAIL",F11)))</formula>
    </cfRule>
  </conditionalFormatting>
  <conditionalFormatting sqref="F11">
    <cfRule type="containsText" dxfId="1459" priority="8" operator="containsText" text="GOOD">
      <formula>NOT(ISERROR(SEARCH("GOOD",F11)))</formula>
    </cfRule>
  </conditionalFormatting>
  <conditionalFormatting sqref="D27:D28">
    <cfRule type="expression" dxfId="1458" priority="7">
      <formula>H27=1</formula>
    </cfRule>
  </conditionalFormatting>
  <conditionalFormatting sqref="C27:C28">
    <cfRule type="expression" dxfId="1457" priority="6">
      <formula>H27=1</formula>
    </cfRule>
  </conditionalFormatting>
  <conditionalFormatting sqref="E27:E28">
    <cfRule type="expression" dxfId="1456" priority="5">
      <formula>H27=1</formula>
    </cfRule>
  </conditionalFormatting>
  <conditionalFormatting sqref="D26">
    <cfRule type="expression" dxfId="1455" priority="4">
      <formula>H26=1</formula>
    </cfRule>
  </conditionalFormatting>
  <conditionalFormatting sqref="D29:D31">
    <cfRule type="expression" dxfId="1454" priority="3">
      <formula>H29=1</formula>
    </cfRule>
  </conditionalFormatting>
  <conditionalFormatting sqref="C29:C31">
    <cfRule type="expression" dxfId="1453" priority="2">
      <formula>H29=1</formula>
    </cfRule>
  </conditionalFormatting>
  <conditionalFormatting sqref="E29:E31">
    <cfRule type="expression" dxfId="1452" priority="1">
      <formula>H29=1</formula>
    </cfRule>
  </conditionalFormatting>
  <pageMargins left="0.7" right="0.7" top="0.75" bottom="0.75" header="0.3" footer="0.3"/>
  <pageSetup scale="68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A00-000000000000}">
  <sheetPr codeName="Sheet172">
    <tabColor rgb="FFFFFF00"/>
  </sheetPr>
  <dimension ref="A2:O47"/>
  <sheetViews>
    <sheetView workbookViewId="0">
      <selection activeCell="F7" sqref="F7"/>
    </sheetView>
  </sheetViews>
  <sheetFormatPr defaultRowHeight="15" x14ac:dyDescent="0.25"/>
  <cols>
    <col min="1" max="2" width="4.42578125" customWidth="1"/>
    <col min="3" max="3" width="3" customWidth="1"/>
    <col min="4" max="4" width="24.7109375" customWidth="1"/>
    <col min="5" max="5" width="3" customWidth="1"/>
    <col min="6" max="6" width="15.7109375" customWidth="1"/>
    <col min="7" max="7" width="8.5703125" customWidth="1"/>
    <col min="8" max="8" width="5.85546875" customWidth="1"/>
    <col min="9" max="15" width="15.7109375" customWidth="1"/>
  </cols>
  <sheetData>
    <row r="2" spans="1:11" x14ac:dyDescent="0.25">
      <c r="C2" s="15" t="s">
        <v>32</v>
      </c>
      <c r="E2" s="15"/>
      <c r="F2" s="15"/>
      <c r="G2" s="15" t="s">
        <v>33</v>
      </c>
      <c r="H2" s="15"/>
      <c r="I2" s="15"/>
      <c r="J2" s="15"/>
      <c r="K2" s="15"/>
    </row>
    <row r="3" spans="1:11" ht="18.75" x14ac:dyDescent="0.3">
      <c r="C3" s="3" t="s">
        <v>26</v>
      </c>
      <c r="J3" s="8" t="s">
        <v>47</v>
      </c>
    </row>
    <row r="4" spans="1:11" x14ac:dyDescent="0.25">
      <c r="D4" s="2" t="s">
        <v>0</v>
      </c>
      <c r="E4" s="1"/>
      <c r="I4" s="2" t="s">
        <v>4</v>
      </c>
    </row>
    <row r="5" spans="1:11" x14ac:dyDescent="0.25">
      <c r="D5" s="2" t="s">
        <v>1</v>
      </c>
    </row>
    <row r="6" spans="1:11" x14ac:dyDescent="0.25">
      <c r="D6" s="2" t="s">
        <v>2</v>
      </c>
      <c r="F6" s="6">
        <v>42523</v>
      </c>
      <c r="H6" s="11"/>
    </row>
    <row r="7" spans="1:11" x14ac:dyDescent="0.25">
      <c r="D7" s="2" t="s">
        <v>3</v>
      </c>
      <c r="F7" s="5">
        <f>+I7+J7</f>
        <v>0</v>
      </c>
      <c r="G7" s="2" t="s">
        <v>34</v>
      </c>
      <c r="H7" s="11"/>
      <c r="I7" s="19"/>
      <c r="J7" s="19"/>
    </row>
    <row r="8" spans="1:11" x14ac:dyDescent="0.25">
      <c r="D8" s="2" t="s">
        <v>18</v>
      </c>
      <c r="F8" s="5">
        <f>MIN(K23:K43)</f>
        <v>0</v>
      </c>
      <c r="H8" s="11"/>
      <c r="I8" s="18" t="s">
        <v>43</v>
      </c>
      <c r="J8" s="18" t="s">
        <v>44</v>
      </c>
    </row>
    <row r="9" spans="1:11" x14ac:dyDescent="0.25">
      <c r="D9" s="2" t="s">
        <v>19</v>
      </c>
      <c r="F9" s="4">
        <f>+F8-F7</f>
        <v>0</v>
      </c>
      <c r="G9" s="16" t="e">
        <f>+F9/F7</f>
        <v>#DIV/0!</v>
      </c>
      <c r="H9" s="12" t="s">
        <v>20</v>
      </c>
      <c r="I9" s="11" t="e">
        <f>(IF(G9&lt;-0.1,"FAIL",IF(G9&gt;0.05,"FAIL","GOOD")))</f>
        <v>#DIV/0!</v>
      </c>
      <c r="J9" s="14" t="s">
        <v>72</v>
      </c>
    </row>
    <row r="10" spans="1:11" x14ac:dyDescent="0.25">
      <c r="D10" s="2" t="s">
        <v>68</v>
      </c>
      <c r="F10" s="4">
        <f>+F7-F12</f>
        <v>0</v>
      </c>
      <c r="H10" s="11"/>
    </row>
    <row r="11" spans="1:11" x14ac:dyDescent="0.25">
      <c r="A11" s="30"/>
      <c r="D11" s="2" t="s">
        <v>71</v>
      </c>
      <c r="F11" s="11" t="str">
        <f>(IF(F7&lt;J12,"FAIL",IF(F7&gt;J13,"FAIL","GOOD")))</f>
        <v>GOOD</v>
      </c>
      <c r="H11" s="11"/>
    </row>
    <row r="12" spans="1:11" x14ac:dyDescent="0.25">
      <c r="D12" s="2" t="s">
        <v>28</v>
      </c>
      <c r="F12" s="4">
        <f>SUM(K23:K43)/H12</f>
        <v>0</v>
      </c>
      <c r="G12" s="14"/>
      <c r="H12" s="11">
        <f>COUNT(K23:K43)</f>
        <v>11</v>
      </c>
      <c r="I12" s="1" t="s">
        <v>31</v>
      </c>
      <c r="J12" s="4">
        <f>+F8*0.9</f>
        <v>0</v>
      </c>
      <c r="K12" s="1" t="s">
        <v>69</v>
      </c>
    </row>
    <row r="13" spans="1:11" x14ac:dyDescent="0.25">
      <c r="D13" s="2" t="s">
        <v>29</v>
      </c>
      <c r="F13" s="4">
        <f>MAX(K23:K43)-MIN(K23:K43)</f>
        <v>0</v>
      </c>
      <c r="G13" s="399">
        <f>MEDIAN(K23:K43)</f>
        <v>0</v>
      </c>
      <c r="H13" s="400"/>
      <c r="I13" s="1" t="s">
        <v>30</v>
      </c>
      <c r="J13" s="4">
        <f>+F12*1.1</f>
        <v>0</v>
      </c>
      <c r="K13" s="1" t="s">
        <v>70</v>
      </c>
    </row>
    <row r="14" spans="1:11" x14ac:dyDescent="0.25">
      <c r="H14" s="11"/>
    </row>
    <row r="15" spans="1:11" x14ac:dyDescent="0.25">
      <c r="D15" s="2" t="s">
        <v>8</v>
      </c>
      <c r="F15" s="4">
        <v>30000000</v>
      </c>
      <c r="G15" s="1" t="s">
        <v>9</v>
      </c>
      <c r="H15" s="11"/>
      <c r="I15" t="s">
        <v>15</v>
      </c>
      <c r="J15" s="7">
        <f>+F16/F15</f>
        <v>0.93333333333333335</v>
      </c>
    </row>
    <row r="16" spans="1:11" x14ac:dyDescent="0.25">
      <c r="F16" s="4">
        <v>28000000</v>
      </c>
      <c r="G16" s="1" t="s">
        <v>10</v>
      </c>
      <c r="H16" s="11"/>
      <c r="I16" t="s">
        <v>14</v>
      </c>
      <c r="J16" s="7">
        <f>+F17/F16</f>
        <v>1.0535714285714286</v>
      </c>
    </row>
    <row r="17" spans="3:15" x14ac:dyDescent="0.25">
      <c r="F17" s="4">
        <v>29500000</v>
      </c>
      <c r="G17" s="1" t="s">
        <v>11</v>
      </c>
      <c r="H17" s="11"/>
      <c r="I17" t="s">
        <v>13</v>
      </c>
      <c r="J17" s="7">
        <f>+F18/F17</f>
        <v>0</v>
      </c>
    </row>
    <row r="18" spans="3:15" x14ac:dyDescent="0.25">
      <c r="F18" s="4">
        <f>+F7</f>
        <v>0</v>
      </c>
      <c r="G18" s="1" t="s">
        <v>12</v>
      </c>
      <c r="H18" s="11"/>
      <c r="I18" t="s">
        <v>16</v>
      </c>
      <c r="J18" s="7" t="e">
        <f>+F8/F18</f>
        <v>#DIV/0!</v>
      </c>
    </row>
    <row r="19" spans="3:15" x14ac:dyDescent="0.25">
      <c r="F19" s="2" t="s">
        <v>51</v>
      </c>
      <c r="G19">
        <v>0</v>
      </c>
      <c r="H19" s="11" t="s">
        <v>52</v>
      </c>
      <c r="I19" t="s">
        <v>41</v>
      </c>
      <c r="J19" s="7">
        <f>+F8/F15</f>
        <v>0</v>
      </c>
    </row>
    <row r="20" spans="3:15" x14ac:dyDescent="0.25">
      <c r="H20" s="11"/>
      <c r="M20" s="21"/>
      <c r="N20" s="21"/>
      <c r="O20" s="21"/>
    </row>
    <row r="21" spans="3:15" x14ac:dyDescent="0.25">
      <c r="C21" s="9"/>
      <c r="D21" s="13" t="s">
        <v>21</v>
      </c>
      <c r="E21" s="9"/>
      <c r="F21" s="9" t="s">
        <v>22</v>
      </c>
      <c r="G21" s="9" t="s">
        <v>23</v>
      </c>
      <c r="H21" s="13" t="s">
        <v>27</v>
      </c>
      <c r="I21" s="10" t="s">
        <v>38</v>
      </c>
      <c r="J21" s="10" t="s">
        <v>37</v>
      </c>
      <c r="K21" s="10" t="s">
        <v>39</v>
      </c>
      <c r="L21" s="9"/>
      <c r="M21" s="21"/>
      <c r="N21" s="21"/>
      <c r="O21" s="21"/>
    </row>
    <row r="22" spans="3:15" ht="6" customHeight="1" x14ac:dyDescent="0.25">
      <c r="M22" s="21"/>
      <c r="N22" s="21"/>
      <c r="O22" s="21"/>
    </row>
    <row r="23" spans="3:15" x14ac:dyDescent="0.25">
      <c r="C23" s="33" t="str">
        <f>IF(H23=1,"u","")</f>
        <v>u</v>
      </c>
      <c r="D23" s="11"/>
      <c r="E23" s="33"/>
      <c r="H23">
        <f>RANK(K23,K$23:K$43,1)</f>
        <v>1</v>
      </c>
      <c r="I23" s="4"/>
      <c r="J23" s="4"/>
      <c r="K23" s="4">
        <f>+J23+I23</f>
        <v>0</v>
      </c>
      <c r="L23" s="4"/>
      <c r="M23" s="22"/>
      <c r="N23" s="22"/>
      <c r="O23" s="22"/>
    </row>
    <row r="24" spans="3:15" x14ac:dyDescent="0.25">
      <c r="C24" s="33" t="str">
        <f>IF(H24=1,"u","")</f>
        <v>u</v>
      </c>
      <c r="D24" s="11"/>
      <c r="E24" s="33"/>
      <c r="H24">
        <f t="shared" ref="H24:H33" si="0">RANK(K24,K$23:K$43,1)</f>
        <v>1</v>
      </c>
      <c r="I24" s="4"/>
      <c r="J24" s="4"/>
      <c r="K24" s="4">
        <f t="shared" ref="K24:K33" si="1">+J24+I24</f>
        <v>0</v>
      </c>
      <c r="L24" s="4"/>
      <c r="M24" s="22"/>
      <c r="N24" s="22"/>
      <c r="O24" s="22"/>
    </row>
    <row r="25" spans="3:15" x14ac:dyDescent="0.25">
      <c r="C25" s="33" t="str">
        <f>IF(H25=1,"u","")</f>
        <v>u</v>
      </c>
      <c r="D25" s="11"/>
      <c r="E25" s="33"/>
      <c r="H25">
        <f t="shared" si="0"/>
        <v>1</v>
      </c>
      <c r="I25" s="4"/>
      <c r="J25" s="4"/>
      <c r="K25" s="4">
        <f t="shared" si="1"/>
        <v>0</v>
      </c>
      <c r="L25" s="4"/>
      <c r="M25" s="22"/>
      <c r="N25" s="22"/>
      <c r="O25" s="22"/>
    </row>
    <row r="26" spans="3:15" x14ac:dyDescent="0.25">
      <c r="C26" s="33" t="str">
        <f t="shared" ref="C26:C43" si="2">IF(H26=1,"u","")</f>
        <v>u</v>
      </c>
      <c r="D26" s="11"/>
      <c r="E26" s="33"/>
      <c r="H26">
        <f t="shared" si="0"/>
        <v>1</v>
      </c>
      <c r="I26" s="4"/>
      <c r="J26" s="4"/>
      <c r="K26" s="4">
        <f t="shared" si="1"/>
        <v>0</v>
      </c>
      <c r="L26" s="4"/>
      <c r="M26" s="22"/>
      <c r="N26" s="22"/>
      <c r="O26" s="22"/>
    </row>
    <row r="27" spans="3:15" x14ac:dyDescent="0.25">
      <c r="C27" s="33" t="str">
        <f t="shared" si="2"/>
        <v>u</v>
      </c>
      <c r="D27" s="11"/>
      <c r="E27" s="33"/>
      <c r="H27">
        <f t="shared" si="0"/>
        <v>1</v>
      </c>
      <c r="I27" s="4"/>
      <c r="J27" s="4"/>
      <c r="K27" s="4">
        <f t="shared" si="1"/>
        <v>0</v>
      </c>
      <c r="L27" s="4"/>
      <c r="M27" s="22"/>
      <c r="N27" s="22"/>
      <c r="O27" s="22"/>
    </row>
    <row r="28" spans="3:15" x14ac:dyDescent="0.25">
      <c r="C28" s="33" t="str">
        <f t="shared" si="2"/>
        <v>u</v>
      </c>
      <c r="D28" s="11"/>
      <c r="E28" s="33"/>
      <c r="H28">
        <f t="shared" si="0"/>
        <v>1</v>
      </c>
      <c r="I28" s="4"/>
      <c r="J28" s="4"/>
      <c r="K28" s="4">
        <f t="shared" si="1"/>
        <v>0</v>
      </c>
      <c r="L28" s="4"/>
      <c r="M28" s="22"/>
      <c r="N28" s="22"/>
      <c r="O28" s="22"/>
    </row>
    <row r="29" spans="3:15" x14ac:dyDescent="0.25">
      <c r="C29" s="33" t="str">
        <f t="shared" si="2"/>
        <v>u</v>
      </c>
      <c r="D29" s="11"/>
      <c r="E29" s="33"/>
      <c r="H29">
        <f t="shared" si="0"/>
        <v>1</v>
      </c>
      <c r="I29" s="4"/>
      <c r="J29" s="4"/>
      <c r="K29" s="4">
        <f t="shared" si="1"/>
        <v>0</v>
      </c>
      <c r="L29" s="4"/>
      <c r="M29" s="22"/>
      <c r="N29" s="22"/>
      <c r="O29" s="22"/>
    </row>
    <row r="30" spans="3:15" x14ac:dyDescent="0.25">
      <c r="C30" s="33" t="str">
        <f t="shared" si="2"/>
        <v>u</v>
      </c>
      <c r="D30" s="11"/>
      <c r="E30" s="33"/>
      <c r="H30">
        <f t="shared" si="0"/>
        <v>1</v>
      </c>
      <c r="I30" s="4"/>
      <c r="J30" s="4"/>
      <c r="K30" s="4">
        <f t="shared" si="1"/>
        <v>0</v>
      </c>
      <c r="L30" s="4"/>
      <c r="M30" s="22"/>
      <c r="N30" s="22"/>
      <c r="O30" s="22"/>
    </row>
    <row r="31" spans="3:15" x14ac:dyDescent="0.25">
      <c r="C31" s="33" t="str">
        <f t="shared" si="2"/>
        <v>u</v>
      </c>
      <c r="D31" s="11"/>
      <c r="E31" s="33"/>
      <c r="H31">
        <f t="shared" si="0"/>
        <v>1</v>
      </c>
      <c r="I31" s="4"/>
      <c r="J31" s="4"/>
      <c r="K31" s="4">
        <f t="shared" si="1"/>
        <v>0</v>
      </c>
      <c r="L31" s="4"/>
      <c r="M31" s="22"/>
      <c r="N31" s="22"/>
      <c r="O31" s="22"/>
    </row>
    <row r="32" spans="3:15" x14ac:dyDescent="0.25">
      <c r="C32" s="33" t="str">
        <f t="shared" si="2"/>
        <v>u</v>
      </c>
      <c r="D32" s="11"/>
      <c r="E32" s="33"/>
      <c r="H32">
        <f t="shared" si="0"/>
        <v>1</v>
      </c>
      <c r="I32" s="4"/>
      <c r="J32" s="4"/>
      <c r="K32" s="4">
        <f t="shared" si="1"/>
        <v>0</v>
      </c>
      <c r="L32" s="4"/>
      <c r="M32" s="22"/>
      <c r="N32" s="22"/>
      <c r="O32" s="22"/>
    </row>
    <row r="33" spans="3:15" x14ac:dyDescent="0.25">
      <c r="C33" s="33" t="str">
        <f t="shared" si="2"/>
        <v>u</v>
      </c>
      <c r="D33" s="11"/>
      <c r="E33" s="33"/>
      <c r="H33">
        <f t="shared" si="0"/>
        <v>1</v>
      </c>
      <c r="I33" s="4"/>
      <c r="J33" s="4"/>
      <c r="K33" s="4">
        <f t="shared" si="1"/>
        <v>0</v>
      </c>
      <c r="M33" s="21"/>
      <c r="N33" s="21"/>
      <c r="O33" s="21"/>
    </row>
    <row r="34" spans="3:15" x14ac:dyDescent="0.25">
      <c r="C34" s="33" t="str">
        <f t="shared" si="2"/>
        <v/>
      </c>
      <c r="D34" s="11"/>
      <c r="E34" s="33" t="str">
        <f t="shared" ref="E34:E43" si="3">IF(H34=1,"t","")</f>
        <v/>
      </c>
      <c r="K34" s="4"/>
      <c r="M34" s="21"/>
      <c r="N34" s="21"/>
      <c r="O34" s="21"/>
    </row>
    <row r="35" spans="3:15" x14ac:dyDescent="0.25">
      <c r="C35" s="33" t="str">
        <f t="shared" si="2"/>
        <v/>
      </c>
      <c r="D35" s="11"/>
      <c r="E35" s="33" t="str">
        <f t="shared" si="3"/>
        <v/>
      </c>
      <c r="K35" s="4"/>
      <c r="M35" s="21"/>
      <c r="N35" s="21"/>
      <c r="O35" s="21"/>
    </row>
    <row r="36" spans="3:15" x14ac:dyDescent="0.25">
      <c r="C36" s="33" t="str">
        <f t="shared" si="2"/>
        <v/>
      </c>
      <c r="D36" s="11"/>
      <c r="E36" s="33" t="str">
        <f t="shared" si="3"/>
        <v/>
      </c>
      <c r="K36" s="4"/>
      <c r="M36" s="21"/>
      <c r="N36" s="21"/>
      <c r="O36" s="21"/>
    </row>
    <row r="37" spans="3:15" x14ac:dyDescent="0.25">
      <c r="C37" s="33" t="str">
        <f t="shared" si="2"/>
        <v/>
      </c>
      <c r="D37" s="11"/>
      <c r="E37" s="33" t="str">
        <f t="shared" si="3"/>
        <v/>
      </c>
      <c r="K37" s="4"/>
      <c r="M37" s="21"/>
      <c r="N37" s="21"/>
      <c r="O37" s="21"/>
    </row>
    <row r="38" spans="3:15" x14ac:dyDescent="0.25">
      <c r="C38" s="33" t="str">
        <f t="shared" si="2"/>
        <v/>
      </c>
      <c r="D38" s="11"/>
      <c r="E38" s="33" t="str">
        <f t="shared" si="3"/>
        <v/>
      </c>
      <c r="K38" s="4"/>
      <c r="M38" s="21"/>
      <c r="N38" s="21"/>
      <c r="O38" s="21"/>
    </row>
    <row r="39" spans="3:15" x14ac:dyDescent="0.25">
      <c r="C39" s="33" t="str">
        <f t="shared" si="2"/>
        <v/>
      </c>
      <c r="D39" s="11"/>
      <c r="E39" s="33" t="str">
        <f t="shared" si="3"/>
        <v/>
      </c>
      <c r="K39" s="4"/>
      <c r="M39" s="21"/>
      <c r="N39" s="21"/>
      <c r="O39" s="21"/>
    </row>
    <row r="40" spans="3:15" x14ac:dyDescent="0.25">
      <c r="C40" s="33" t="str">
        <f t="shared" si="2"/>
        <v/>
      </c>
      <c r="D40" s="11"/>
      <c r="E40" s="33" t="str">
        <f t="shared" si="3"/>
        <v/>
      </c>
      <c r="K40" s="4"/>
      <c r="M40" s="21"/>
      <c r="N40" s="21"/>
      <c r="O40" s="21"/>
    </row>
    <row r="41" spans="3:15" x14ac:dyDescent="0.25">
      <c r="C41" s="33" t="str">
        <f t="shared" si="2"/>
        <v/>
      </c>
      <c r="D41" s="11"/>
      <c r="E41" s="33" t="str">
        <f t="shared" si="3"/>
        <v/>
      </c>
      <c r="K41" s="4"/>
      <c r="M41" s="21"/>
      <c r="N41" s="21"/>
      <c r="O41" s="21"/>
    </row>
    <row r="42" spans="3:15" x14ac:dyDescent="0.25">
      <c r="C42" s="33" t="str">
        <f t="shared" si="2"/>
        <v/>
      </c>
      <c r="D42" s="11"/>
      <c r="E42" s="33" t="str">
        <f t="shared" si="3"/>
        <v/>
      </c>
      <c r="K42" s="4"/>
      <c r="M42" s="21"/>
      <c r="N42" s="21"/>
      <c r="O42" s="21"/>
    </row>
    <row r="43" spans="3:15" x14ac:dyDescent="0.25">
      <c r="C43" s="33" t="str">
        <f t="shared" si="2"/>
        <v/>
      </c>
      <c r="D43" s="11"/>
      <c r="E43" s="33" t="str">
        <f t="shared" si="3"/>
        <v/>
      </c>
      <c r="K43" s="4"/>
      <c r="M43" s="21"/>
      <c r="N43" s="21"/>
      <c r="O43" s="21"/>
    </row>
    <row r="44" spans="3:15" ht="6" customHeight="1" x14ac:dyDescent="0.25">
      <c r="C44" s="9"/>
      <c r="D44" s="9"/>
      <c r="E44" s="9"/>
      <c r="F44" s="9"/>
      <c r="G44" s="9"/>
      <c r="H44" s="9"/>
      <c r="I44" s="9"/>
      <c r="J44" s="9"/>
      <c r="K44" s="9"/>
      <c r="L44" s="9"/>
      <c r="M44" s="21"/>
      <c r="N44" s="21"/>
      <c r="O44" s="21"/>
    </row>
    <row r="45" spans="3:15" ht="6" customHeight="1" x14ac:dyDescent="0.25">
      <c r="M45" s="21"/>
      <c r="N45" s="21"/>
      <c r="O45" s="21"/>
    </row>
    <row r="46" spans="3:15" x14ac:dyDescent="0.25">
      <c r="C46" s="15" t="s">
        <v>79</v>
      </c>
      <c r="M46" s="21"/>
      <c r="N46" s="21"/>
      <c r="O46" s="21"/>
    </row>
    <row r="47" spans="3:15" x14ac:dyDescent="0.25">
      <c r="C47" s="15" t="s">
        <v>78</v>
      </c>
    </row>
  </sheetData>
  <mergeCells count="1">
    <mergeCell ref="G13:H13"/>
  </mergeCells>
  <conditionalFormatting sqref="I9">
    <cfRule type="containsText" dxfId="30" priority="19" operator="containsText" text="FAIL">
      <formula>NOT(ISERROR(SEARCH("FAIL",I9)))</formula>
    </cfRule>
  </conditionalFormatting>
  <conditionalFormatting sqref="I9">
    <cfRule type="containsText" dxfId="29" priority="18" operator="containsText" text="GOOD">
      <formula>NOT(ISERROR(SEARCH("GOOD",I9)))</formula>
    </cfRule>
  </conditionalFormatting>
  <conditionalFormatting sqref="I9">
    <cfRule type="containsText" dxfId="28" priority="17" operator="containsText" text="FAIL">
      <formula>NOT(ISERROR(SEARCH("FAIL",I9)))</formula>
    </cfRule>
  </conditionalFormatting>
  <conditionalFormatting sqref="I9">
    <cfRule type="containsText" dxfId="27" priority="16" operator="containsText" text="GOOD">
      <formula>NOT(ISERROR(SEARCH("GOOD",I9)))</formula>
    </cfRule>
  </conditionalFormatting>
  <conditionalFormatting sqref="I9">
    <cfRule type="containsText" dxfId="26" priority="15" operator="containsText" text="FAIL">
      <formula>NOT(ISERROR(SEARCH("FAIL",I9)))</formula>
    </cfRule>
  </conditionalFormatting>
  <conditionalFormatting sqref="I9">
    <cfRule type="containsText" dxfId="25" priority="14" operator="containsText" text="GOOD">
      <formula>NOT(ISERROR(SEARCH("GOOD",I9)))</formula>
    </cfRule>
  </conditionalFormatting>
  <conditionalFormatting sqref="F11">
    <cfRule type="containsText" dxfId="24" priority="13" operator="containsText" text="FAIL">
      <formula>NOT(ISERROR(SEARCH("FAIL",F11)))</formula>
    </cfRule>
  </conditionalFormatting>
  <conditionalFormatting sqref="F11">
    <cfRule type="containsText" dxfId="23" priority="12" operator="containsText" text="GOOD">
      <formula>NOT(ISERROR(SEARCH("GOOD",F11)))</formula>
    </cfRule>
  </conditionalFormatting>
  <conditionalFormatting sqref="I9">
    <cfRule type="containsText" dxfId="22" priority="11" operator="containsText" text="FAIL">
      <formula>NOT(ISERROR(SEARCH("FAIL",I9)))</formula>
    </cfRule>
  </conditionalFormatting>
  <conditionalFormatting sqref="I9">
    <cfRule type="containsText" dxfId="21" priority="10" operator="containsText" text="GOOD">
      <formula>NOT(ISERROR(SEARCH("GOOD",I9)))</formula>
    </cfRule>
  </conditionalFormatting>
  <conditionalFormatting sqref="F11">
    <cfRule type="containsText" dxfId="20" priority="9" operator="containsText" text="FAIL">
      <formula>NOT(ISERROR(SEARCH("FAIL",F11)))</formula>
    </cfRule>
  </conditionalFormatting>
  <conditionalFormatting sqref="F11">
    <cfRule type="containsText" dxfId="19" priority="8" operator="containsText" text="GOOD">
      <formula>NOT(ISERROR(SEARCH("GOOD",F11)))</formula>
    </cfRule>
  </conditionalFormatting>
  <conditionalFormatting sqref="D25">
    <cfRule type="expression" dxfId="18" priority="7" stopIfTrue="1">
      <formula>IF($H$25=1,0)</formula>
    </cfRule>
  </conditionalFormatting>
  <conditionalFormatting sqref="D23:D43">
    <cfRule type="expression" dxfId="17" priority="6">
      <formula>H23=1</formula>
    </cfRule>
  </conditionalFormatting>
  <conditionalFormatting sqref="C23:C43">
    <cfRule type="expression" dxfId="16" priority="5">
      <formula>H23=1</formula>
    </cfRule>
  </conditionalFormatting>
  <conditionalFormatting sqref="E23:E43">
    <cfRule type="expression" dxfId="15" priority="4">
      <formula>H23=1</formula>
    </cfRule>
  </conditionalFormatting>
  <conditionalFormatting sqref="E23:E43">
    <cfRule type="expression" dxfId="14" priority="3">
      <formula>H23=1</formula>
    </cfRule>
  </conditionalFormatting>
  <conditionalFormatting sqref="F11">
    <cfRule type="containsText" dxfId="13" priority="2" operator="containsText" text="FAIL">
      <formula>NOT(ISERROR(SEARCH("FAIL",F11)))</formula>
    </cfRule>
  </conditionalFormatting>
  <conditionalFormatting sqref="F11">
    <cfRule type="containsText" dxfId="12" priority="1" operator="containsText" text="GOOD">
      <formula>NOT(ISERROR(SEARCH("GOOD",F11)))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>
    <tabColor theme="3" tint="0.79998168889431442"/>
  </sheetPr>
  <dimension ref="A2:AO837"/>
  <sheetViews>
    <sheetView zoomScaleNormal="100" workbookViewId="0">
      <pane ySplit="5" topLeftCell="A123" activePane="bottomLeft" state="frozen"/>
      <selection pane="bottomLeft" activeCell="N143" sqref="N143"/>
    </sheetView>
  </sheetViews>
  <sheetFormatPr defaultRowHeight="15" x14ac:dyDescent="0.25"/>
  <cols>
    <col min="1" max="1" width="3.140625" customWidth="1"/>
    <col min="2" max="2" width="6.140625" customWidth="1"/>
    <col min="3" max="3" width="5.28515625" customWidth="1"/>
    <col min="4" max="4" width="13.42578125" customWidth="1"/>
    <col min="5" max="5" width="51.5703125" customWidth="1"/>
    <col min="6" max="6" width="9.5703125" customWidth="1"/>
    <col min="7" max="7" width="9.42578125" customWidth="1"/>
    <col min="8" max="8" width="15.85546875" customWidth="1"/>
    <col min="9" max="9" width="16.140625" customWidth="1"/>
    <col min="10" max="10" width="13.7109375" hidden="1" customWidth="1"/>
    <col min="11" max="11" width="9.5703125" customWidth="1"/>
    <col min="12" max="12" width="7" customWidth="1"/>
    <col min="13" max="13" width="6.42578125" customWidth="1"/>
    <col min="14" max="14" width="5.7109375" style="11" customWidth="1"/>
    <col min="15" max="15" width="3.42578125" customWidth="1"/>
    <col min="16" max="16" width="6.140625" customWidth="1"/>
    <col min="17" max="17" width="3.42578125" customWidth="1"/>
    <col min="18" max="18" width="13.5703125" customWidth="1"/>
    <col min="19" max="19" width="27" customWidth="1"/>
    <col min="22" max="22" width="11.140625" bestFit="1" customWidth="1"/>
    <col min="23" max="23" width="12.42578125" bestFit="1" customWidth="1"/>
    <col min="24" max="24" width="12" bestFit="1" customWidth="1"/>
    <col min="26" max="27" width="12.140625" bestFit="1" customWidth="1"/>
  </cols>
  <sheetData>
    <row r="2" spans="3:31" ht="27.75" customHeight="1" x14ac:dyDescent="0.25">
      <c r="D2" s="21"/>
      <c r="E2" s="15"/>
      <c r="F2" s="15" t="s">
        <v>32</v>
      </c>
      <c r="I2" s="15"/>
      <c r="J2" s="15"/>
      <c r="L2" s="15" t="s">
        <v>33</v>
      </c>
    </row>
    <row r="3" spans="3:31" ht="18.75" x14ac:dyDescent="0.3">
      <c r="D3" s="3"/>
      <c r="F3" s="3" t="s">
        <v>53</v>
      </c>
      <c r="K3" s="36" t="s">
        <v>54</v>
      </c>
      <c r="L3" s="37">
        <v>2017</v>
      </c>
    </row>
    <row r="5" spans="3:31" x14ac:dyDescent="0.25">
      <c r="C5" s="40" t="s">
        <v>423</v>
      </c>
      <c r="D5" s="49" t="s">
        <v>55</v>
      </c>
      <c r="E5" s="49" t="s">
        <v>56</v>
      </c>
      <c r="F5" s="49" t="s">
        <v>57</v>
      </c>
      <c r="G5" s="50" t="s">
        <v>424</v>
      </c>
      <c r="H5" s="47" t="s">
        <v>58</v>
      </c>
      <c r="I5" s="47" t="s">
        <v>59</v>
      </c>
      <c r="J5" s="42" t="s">
        <v>456</v>
      </c>
      <c r="K5" s="47" t="s">
        <v>60</v>
      </c>
      <c r="L5" s="48" t="s">
        <v>61</v>
      </c>
      <c r="M5" s="47" t="s">
        <v>62</v>
      </c>
      <c r="N5" s="43" t="s">
        <v>225</v>
      </c>
      <c r="O5" s="43" t="s">
        <v>422</v>
      </c>
      <c r="P5" s="43" t="s">
        <v>454</v>
      </c>
      <c r="Q5" s="43"/>
      <c r="R5" s="41" t="s">
        <v>63</v>
      </c>
      <c r="S5" s="9" t="s">
        <v>551</v>
      </c>
      <c r="T5" s="9"/>
      <c r="U5" s="9"/>
      <c r="V5" s="9"/>
    </row>
    <row r="6" spans="3:31" ht="7.5" customHeight="1" x14ac:dyDescent="0.25">
      <c r="C6" s="39"/>
      <c r="G6" s="45"/>
    </row>
    <row r="7" spans="3:31" x14ac:dyDescent="0.25">
      <c r="C7" s="39">
        <v>2018</v>
      </c>
      <c r="D7" s="62" t="str">
        <f>+'[1]GWB-244.204A'!$F$4</f>
        <v>GWB-244.204A</v>
      </c>
      <c r="E7" s="63" t="str">
        <f>+'[1]GWB-244.204A'!$F$5</f>
        <v>Rehab Center and Lemoine Avenue Bridges</v>
      </c>
      <c r="F7" s="64">
        <f>+'[1]GWB-244.204A'!$F$6</f>
        <v>43368</v>
      </c>
      <c r="G7" s="65" t="str">
        <f>+'[1]GWB-244.204A'!$G$7</f>
        <v>Public</v>
      </c>
      <c r="H7" s="94">
        <f>+'[1]GWB-244.204A'!$F$7</f>
        <v>64356250</v>
      </c>
      <c r="I7" s="94">
        <f>+'[1]GWB-244.204A'!$F$8</f>
        <v>51485000</v>
      </c>
      <c r="J7" s="94"/>
      <c r="K7" s="26">
        <f>+'[1]GWB-244.204A'!$G$9</f>
        <v>-0.2</v>
      </c>
      <c r="L7" s="11" t="str">
        <f>+'[1]GWB-244.204A'!$F$11</f>
        <v>GOOD</v>
      </c>
      <c r="M7" s="15">
        <f>+'[1]GWB-244.204A'!$H$12</f>
        <v>8</v>
      </c>
      <c r="N7" s="35" t="s">
        <v>25</v>
      </c>
      <c r="O7" s="15">
        <v>3</v>
      </c>
      <c r="P7" s="35" t="s">
        <v>457</v>
      </c>
      <c r="Q7" s="35"/>
      <c r="R7" s="15"/>
      <c r="S7" s="24"/>
      <c r="T7" s="62" t="str">
        <f>+'[1]GWB-244.204A'!$J$4</f>
        <v>Boris Lenderman</v>
      </c>
      <c r="U7" s="62"/>
      <c r="V7" s="94">
        <f>+'[1]PAT-024.203'!$F$12</f>
        <v>2705657.5</v>
      </c>
      <c r="W7" s="199">
        <f t="shared" ref="W7:W10" si="0">+I7/V7</f>
        <v>19.028646456545221</v>
      </c>
      <c r="X7" s="15"/>
      <c r="Y7" s="200">
        <f t="shared" ref="Y7:Y10" si="1">+I7/H7</f>
        <v>0.8</v>
      </c>
      <c r="Z7" s="11" t="str">
        <f t="shared" ref="Z7:Z10" si="2">(IF(Y7&lt;$Y$3,"FAIL",IF(Y7&gt;$Y$4,"FAIL","GOOD")))</f>
        <v>FAIL</v>
      </c>
      <c r="AA7" s="11"/>
      <c r="AB7" s="15"/>
      <c r="AC7" s="54">
        <f t="shared" ref="AC7:AD10" si="3">+H7</f>
        <v>64356250</v>
      </c>
      <c r="AD7" s="54">
        <f t="shared" si="3"/>
        <v>51485000</v>
      </c>
      <c r="AE7" s="54">
        <f t="shared" ref="AE7:AE10" si="4">+AC7-AD7</f>
        <v>12871250</v>
      </c>
    </row>
    <row r="8" spans="3:31" x14ac:dyDescent="0.25">
      <c r="C8" s="39">
        <v>2018</v>
      </c>
      <c r="D8" s="62" t="str">
        <f>+'[1]EWR-154.348'!$F$4</f>
        <v>EWR-154.348</v>
      </c>
      <c r="E8" s="63" t="str">
        <f>+'[1]EWR-154.348'!$F$5</f>
        <v>Airtrain Station P4 Elev Shaft Glass Replacement</v>
      </c>
      <c r="F8" s="64">
        <f>+'[1]EWR-154.348'!$F$6</f>
        <v>43368</v>
      </c>
      <c r="G8" s="65" t="str">
        <f>+'[1]EWR-154.348'!$G$7</f>
        <v>SBE</v>
      </c>
      <c r="H8" s="94">
        <f>+'[1]EWR-154.348'!$F$7</f>
        <v>760000</v>
      </c>
      <c r="I8" s="94">
        <f>+'[1]EWR-154.348'!$F$8</f>
        <v>994150</v>
      </c>
      <c r="J8" s="94"/>
      <c r="K8" s="26">
        <f>+'[1]EWR-154.348'!$G$9</f>
        <v>0.30809210526315789</v>
      </c>
      <c r="L8" s="11" t="str">
        <f>+'[1]EWR-154.348'!$F$11</f>
        <v>FAIL</v>
      </c>
      <c r="M8" s="15">
        <f>+'[1]EWR-154.348'!$H$12</f>
        <v>3</v>
      </c>
      <c r="N8" s="35" t="s">
        <v>25</v>
      </c>
      <c r="O8" s="15">
        <v>3</v>
      </c>
      <c r="P8" s="35" t="s">
        <v>458</v>
      </c>
      <c r="Q8" s="35"/>
      <c r="R8" s="15"/>
      <c r="S8" s="24"/>
      <c r="T8" s="62" t="str">
        <f>+'[1]EWR-154.348'!$J$4</f>
        <v>Joe Lucin</v>
      </c>
      <c r="U8" s="62"/>
      <c r="V8" s="94">
        <f>+'[1]PAT-024.203'!$F$12</f>
        <v>2705657.5</v>
      </c>
      <c r="W8" s="199">
        <f t="shared" si="0"/>
        <v>0.36743379381906244</v>
      </c>
      <c r="X8" s="15"/>
      <c r="Y8" s="200">
        <f t="shared" si="1"/>
        <v>1.308092105263158</v>
      </c>
      <c r="Z8" s="11" t="str">
        <f t="shared" si="2"/>
        <v>FAIL</v>
      </c>
      <c r="AA8" s="11"/>
      <c r="AB8" s="15"/>
      <c r="AC8" s="54">
        <f t="shared" si="3"/>
        <v>760000</v>
      </c>
      <c r="AD8" s="54">
        <f t="shared" si="3"/>
        <v>994150</v>
      </c>
      <c r="AE8" s="54">
        <f t="shared" si="4"/>
        <v>-234150</v>
      </c>
    </row>
    <row r="9" spans="3:31" x14ac:dyDescent="0.25">
      <c r="C9" s="39">
        <v>2018</v>
      </c>
      <c r="D9" s="62" t="str">
        <f>+'[1]PAT-024.203'!$F$4</f>
        <v>PAT-024.203</v>
      </c>
      <c r="E9" s="63" t="str">
        <f>+'[1]PAT-024.203'!$F$5</f>
        <v>Redundant Fluid Cooler at PATH Train Control Center</v>
      </c>
      <c r="F9" s="64">
        <f>+'[1]PAT-024.203'!$F$6</f>
        <v>43363</v>
      </c>
      <c r="G9" s="65" t="str">
        <f>+'[1]PAT-024.203'!$G$7</f>
        <v>SBE</v>
      </c>
      <c r="H9" s="94">
        <f>+'[1]PAT-024.203'!$F$7</f>
        <v>1700000</v>
      </c>
      <c r="I9" s="94">
        <f>+'[1]PAT-024.203'!$F$8</f>
        <v>1560315</v>
      </c>
      <c r="J9" s="94"/>
      <c r="K9" s="26">
        <f>+'[1]PAT-024.203'!$G$9</f>
        <v>-8.2167647058823526E-2</v>
      </c>
      <c r="L9" s="11" t="str">
        <f>+'[1]PAT-024.203'!$F$11</f>
        <v>GOOD</v>
      </c>
      <c r="M9" s="15">
        <f>+'[1]PAT-024.203'!$H$12</f>
        <v>2</v>
      </c>
      <c r="N9" s="35" t="s">
        <v>25</v>
      </c>
      <c r="O9" s="15">
        <v>3</v>
      </c>
      <c r="P9" s="35" t="s">
        <v>459</v>
      </c>
      <c r="Q9" s="35"/>
      <c r="R9" s="15"/>
      <c r="S9" s="24"/>
      <c r="T9" s="62" t="str">
        <f>+'[1]PAT-024.203'!$J$4</f>
        <v>Nathan Demaisip</v>
      </c>
      <c r="U9" s="62"/>
      <c r="V9" s="94">
        <f>+'[1]PAT-024.203'!$F$12</f>
        <v>2705657.5</v>
      </c>
      <c r="W9" s="199">
        <f t="shared" si="0"/>
        <v>0.57668607353295831</v>
      </c>
      <c r="X9" s="15"/>
      <c r="Y9" s="200">
        <f t="shared" si="1"/>
        <v>0.91783235294117649</v>
      </c>
      <c r="Z9" s="11" t="str">
        <f t="shared" si="2"/>
        <v>FAIL</v>
      </c>
      <c r="AA9" s="11"/>
      <c r="AB9" s="15"/>
      <c r="AC9" s="54">
        <f t="shared" si="3"/>
        <v>1700000</v>
      </c>
      <c r="AD9" s="54">
        <f t="shared" si="3"/>
        <v>1560315</v>
      </c>
      <c r="AE9" s="54">
        <f t="shared" si="4"/>
        <v>139685</v>
      </c>
    </row>
    <row r="10" spans="3:31" x14ac:dyDescent="0.25">
      <c r="C10" s="39">
        <v>2018</v>
      </c>
      <c r="D10" s="62" t="str">
        <f>+'[1]PAT-784.162'!$F$4</f>
        <v>PAT-784.162</v>
      </c>
      <c r="E10" s="63" t="str">
        <f>+'[1]PAT-784.162'!$F$5</f>
        <v>Hoboken Flood Resiliency</v>
      </c>
      <c r="F10" s="64">
        <f>+'[1]PAT-784.162'!$F$6</f>
        <v>43356</v>
      </c>
      <c r="G10" s="65" t="str">
        <f>+'[1]PAT-784.162'!$G$7</f>
        <v>Public</v>
      </c>
      <c r="H10" s="94">
        <f>+'[1]PAT-784.162'!$F$7</f>
        <v>5960000</v>
      </c>
      <c r="I10" s="94">
        <f>+'[1]PAT-784.162'!$F$8</f>
        <v>6956000</v>
      </c>
      <c r="J10" s="94"/>
      <c r="K10" s="26">
        <f>+'[1]PAT-784.162'!$G$9</f>
        <v>0.16711409395973154</v>
      </c>
      <c r="L10" s="11" t="str">
        <f>+'[1]PAT-784.162'!$F$11</f>
        <v>FAIL</v>
      </c>
      <c r="M10" s="15">
        <f>+'[1]PAT-784.162'!$H$12</f>
        <v>4</v>
      </c>
      <c r="N10" s="35" t="s">
        <v>25</v>
      </c>
      <c r="O10" s="15">
        <v>3</v>
      </c>
      <c r="P10" s="35" t="s">
        <v>459</v>
      </c>
      <c r="Q10" s="35"/>
      <c r="R10" s="15"/>
      <c r="S10" s="24"/>
      <c r="T10" s="62" t="str">
        <f>+'[1]PAT-784.162'!$J$4</f>
        <v>Nathan Demaisip</v>
      </c>
      <c r="U10" s="62"/>
      <c r="V10" s="94">
        <f>+'[1]PAT-784.162'!$F$12</f>
        <v>8933697.75</v>
      </c>
      <c r="W10" s="199">
        <f t="shared" si="0"/>
        <v>0.77862495403988785</v>
      </c>
      <c r="X10" s="15"/>
      <c r="Y10" s="200">
        <f t="shared" si="1"/>
        <v>1.1671140939597315</v>
      </c>
      <c r="Z10" s="11" t="str">
        <f t="shared" si="2"/>
        <v>FAIL</v>
      </c>
      <c r="AA10" s="11"/>
      <c r="AB10" s="15"/>
      <c r="AC10" s="54">
        <f t="shared" si="3"/>
        <v>5960000</v>
      </c>
      <c r="AD10" s="54">
        <f t="shared" si="3"/>
        <v>6956000</v>
      </c>
      <c r="AE10" s="54">
        <f t="shared" si="4"/>
        <v>-996000</v>
      </c>
    </row>
    <row r="11" spans="3:31" x14ac:dyDescent="0.25">
      <c r="C11" s="39">
        <v>2018</v>
      </c>
      <c r="D11" s="62" t="str">
        <f>+'[1]SWF-164.032'!$F$4</f>
        <v>SWF-164.032</v>
      </c>
      <c r="E11" s="63" t="str">
        <f>+'[1]SWF-164.032'!$F$5</f>
        <v>Terminal Expansion - Federal Inspection Services Facility</v>
      </c>
      <c r="F11" s="64">
        <f>+'[1]SWF-164.032'!$F$6</f>
        <v>43350</v>
      </c>
      <c r="G11" s="65" t="str">
        <f>+'[1]SWF-164.032'!$G$7</f>
        <v>Public</v>
      </c>
      <c r="H11" s="94">
        <f>+'[1]SWF-164.032'!$F$7</f>
        <v>17920000</v>
      </c>
      <c r="I11" s="94">
        <f>+'[1]SWF-164.032'!$F$8</f>
        <v>21068000</v>
      </c>
      <c r="J11" s="94"/>
      <c r="K11" s="26">
        <f>+'[1]SWF-164.032'!$G$9</f>
        <v>0.17566964285714284</v>
      </c>
      <c r="L11" s="11" t="str">
        <f>+'[1]SWF-164.032'!$F$11</f>
        <v>FAIL</v>
      </c>
      <c r="M11" s="15">
        <f>+'[1]SWF-164.032'!$H$12</f>
        <v>2</v>
      </c>
      <c r="N11" s="35" t="s">
        <v>93</v>
      </c>
      <c r="O11" s="15">
        <v>3</v>
      </c>
      <c r="P11" s="35" t="s">
        <v>458</v>
      </c>
      <c r="Q11" s="35"/>
      <c r="R11" s="15"/>
      <c r="S11" s="24"/>
      <c r="T11" s="62" t="str">
        <f>+'[1]SWF-164.032'!$J$4</f>
        <v>Andy Victors</v>
      </c>
      <c r="U11" s="62"/>
      <c r="V11" s="94">
        <f>+'[1]SWF-164.032'!$F$12</f>
        <v>22772500</v>
      </c>
      <c r="W11" s="199">
        <f t="shared" ref="W11:W20" si="5">+I11/V11</f>
        <v>0.92515094961027555</v>
      </c>
      <c r="X11" s="15"/>
      <c r="Y11" s="200">
        <f t="shared" ref="Y11:Y20" si="6">+I11/H11</f>
        <v>1.1756696428571429</v>
      </c>
      <c r="Z11" s="11" t="str">
        <f t="shared" ref="Z11:Z20" si="7">(IF(Y11&lt;$Y$3,"FAIL",IF(Y11&gt;$Y$4,"FAIL","GOOD")))</f>
        <v>FAIL</v>
      </c>
      <c r="AA11" s="11"/>
      <c r="AB11" s="15"/>
      <c r="AC11" s="54">
        <f t="shared" ref="AC11:AD20" si="8">+H11</f>
        <v>17920000</v>
      </c>
      <c r="AD11" s="54">
        <f t="shared" si="8"/>
        <v>21068000</v>
      </c>
      <c r="AE11" s="54">
        <f t="shared" ref="AE11:AE20" si="9">+AC11-AD11</f>
        <v>-3148000</v>
      </c>
    </row>
    <row r="12" spans="3:31" x14ac:dyDescent="0.25">
      <c r="C12" s="39">
        <v>2018</v>
      </c>
      <c r="D12" s="62" t="str">
        <f>+'[1]LT-944.096B'!$F$4</f>
        <v>LT-944.096B</v>
      </c>
      <c r="E12" s="63" t="str">
        <f>+'[1]LT-944.096B'!$F$5</f>
        <v>Replacement of Aboveground Storage Tanks</v>
      </c>
      <c r="F12" s="64">
        <f>+'[1]LT-944.096B'!$F$6</f>
        <v>43340</v>
      </c>
      <c r="G12" s="65" t="str">
        <f>+'[1]LT-944.096B'!$G$7</f>
        <v>Public</v>
      </c>
      <c r="H12" s="94">
        <f>+'[1]LT-944.096B'!$F$7</f>
        <v>2500000</v>
      </c>
      <c r="I12" s="94">
        <f>+'[1]LT-944.096B'!$F$8</f>
        <v>2952000</v>
      </c>
      <c r="J12" s="94"/>
      <c r="K12" s="26">
        <f>+'[1]LT-944.096B'!$G$9</f>
        <v>0.18079999999999999</v>
      </c>
      <c r="L12" s="11" t="str">
        <f>+'[1]LT-944.096B'!$F$11</f>
        <v>FAIL</v>
      </c>
      <c r="M12" s="15">
        <f>+'[1]LT-944.096B'!$H$12</f>
        <v>3</v>
      </c>
      <c r="N12" s="35" t="s">
        <v>93</v>
      </c>
      <c r="O12" s="15">
        <v>3</v>
      </c>
      <c r="P12" s="35" t="s">
        <v>457</v>
      </c>
      <c r="Q12" s="35"/>
      <c r="R12" s="15"/>
      <c r="S12" s="24"/>
      <c r="T12" s="62" t="str">
        <f>+'[1]GWB-924.137'!$J$4</f>
        <v>Boris Lenderman</v>
      </c>
      <c r="U12" s="62"/>
      <c r="V12" s="94">
        <f>+'[1]GWB-924.137'!$F$12</f>
        <v>2139150</v>
      </c>
      <c r="W12" s="199">
        <f t="shared" si="5"/>
        <v>1.379987378164224</v>
      </c>
      <c r="X12" s="15"/>
      <c r="Y12" s="200">
        <f t="shared" si="6"/>
        <v>1.1808000000000001</v>
      </c>
      <c r="Z12" s="11" t="str">
        <f t="shared" si="7"/>
        <v>FAIL</v>
      </c>
      <c r="AA12" s="11"/>
      <c r="AB12" s="15"/>
      <c r="AC12" s="54">
        <f t="shared" si="8"/>
        <v>2500000</v>
      </c>
      <c r="AD12" s="54">
        <f t="shared" si="8"/>
        <v>2952000</v>
      </c>
      <c r="AE12" s="54">
        <f t="shared" si="9"/>
        <v>-452000</v>
      </c>
    </row>
    <row r="13" spans="3:31" x14ac:dyDescent="0.25">
      <c r="C13" s="39">
        <v>2018</v>
      </c>
      <c r="D13" s="62" t="str">
        <f>+'[1]GWB-924.137'!$F$4</f>
        <v>GWB-924.137</v>
      </c>
      <c r="E13" s="63" t="str">
        <f>+'[1]GWB-924.137'!$F$5</f>
        <v>NJ Administration Building - Sprinkler System Rehabiliation</v>
      </c>
      <c r="F13" s="64">
        <f>+'[1]GWB-924.137'!$F$6</f>
        <v>43326</v>
      </c>
      <c r="G13" s="65" t="str">
        <f>+'[1]GWB-924.137'!$G$7</f>
        <v>SBE</v>
      </c>
      <c r="H13" s="94">
        <f>+'[1]GWB-924.137'!$F$7</f>
        <v>858000</v>
      </c>
      <c r="I13" s="94">
        <f>+'[1]GWB-924.137'!$F$8</f>
        <v>743300</v>
      </c>
      <c r="J13" s="94"/>
      <c r="K13" s="26">
        <f>+'[1]GWB-924.137'!$G$9</f>
        <v>-0.13368298368298367</v>
      </c>
      <c r="L13" s="11" t="str">
        <f>+'[1]GWB-924.137'!$F$11</f>
        <v>GOOD</v>
      </c>
      <c r="M13" s="15">
        <f>+'[1]GWB-924.137'!$H$12</f>
        <v>2</v>
      </c>
      <c r="N13" s="35" t="s">
        <v>25</v>
      </c>
      <c r="O13" s="15">
        <v>3</v>
      </c>
      <c r="P13" s="35" t="s">
        <v>457</v>
      </c>
      <c r="Q13" s="35"/>
      <c r="R13" s="15"/>
      <c r="S13" s="24"/>
      <c r="T13" s="62" t="str">
        <f>+'[1]GWB-924.137'!$J$4</f>
        <v>Boris Lenderman</v>
      </c>
      <c r="U13" s="62"/>
      <c r="V13" s="94">
        <f>+'[1]GWB-924.137'!$F$12</f>
        <v>2139150</v>
      </c>
      <c r="W13" s="199">
        <f t="shared" si="5"/>
        <v>0.34747446415632377</v>
      </c>
      <c r="X13" s="15"/>
      <c r="Y13" s="200">
        <f t="shared" si="6"/>
        <v>0.8663170163170163</v>
      </c>
      <c r="Z13" s="11" t="str">
        <f t="shared" si="7"/>
        <v>FAIL</v>
      </c>
      <c r="AA13" s="11"/>
      <c r="AB13" s="15"/>
      <c r="AC13" s="54">
        <f t="shared" si="8"/>
        <v>858000</v>
      </c>
      <c r="AD13" s="54">
        <f t="shared" si="8"/>
        <v>743300</v>
      </c>
      <c r="AE13" s="54">
        <f t="shared" si="9"/>
        <v>114700</v>
      </c>
    </row>
    <row r="14" spans="3:31" x14ac:dyDescent="0.25">
      <c r="C14" s="39">
        <v>2018</v>
      </c>
      <c r="D14" s="62" t="str">
        <f>+'[1]LT-924.183'!$F$4</f>
        <v>LT-924.183</v>
      </c>
      <c r="E14" s="63" t="str">
        <f>+'[1]LT-924.183'!$F$5</f>
        <v>South Tube Pavement Fine Milling</v>
      </c>
      <c r="F14" s="64">
        <f>+'[1]LT-924.183'!$F$6</f>
        <v>43326</v>
      </c>
      <c r="G14" s="65" t="str">
        <f>+'[1]LT-924.183'!$G$7</f>
        <v>SBE</v>
      </c>
      <c r="H14" s="94">
        <f>+'[1]LT-924.183'!$F$7</f>
        <v>1300000</v>
      </c>
      <c r="I14" s="94">
        <f>+'[1]LT-924.183'!$F$8</f>
        <v>695800</v>
      </c>
      <c r="J14" s="94"/>
      <c r="K14" s="26">
        <f>+'[1]LT-924.183'!$G$9</f>
        <v>-0.46476923076923077</v>
      </c>
      <c r="L14" s="11" t="str">
        <f>+'[1]LT-924.183'!$F$11</f>
        <v>FAIL</v>
      </c>
      <c r="M14" s="15">
        <f>+'[1]LT-924.183'!$H$12</f>
        <v>2</v>
      </c>
      <c r="N14" s="35" t="s">
        <v>226</v>
      </c>
      <c r="O14" s="15">
        <v>3</v>
      </c>
      <c r="P14" s="35" t="s">
        <v>457</v>
      </c>
      <c r="Q14" s="35"/>
      <c r="R14" s="15"/>
      <c r="S14" s="24" t="s">
        <v>932</v>
      </c>
      <c r="T14" s="62" t="str">
        <f>+'[1]LT-924.183'!$J$4</f>
        <v>Boris Lenderman</v>
      </c>
      <c r="U14" s="62"/>
      <c r="V14" s="94">
        <f>+'[1]LT-924.183'!$F$12</f>
        <v>1057500</v>
      </c>
      <c r="W14" s="199">
        <f t="shared" si="5"/>
        <v>0.65796690307328609</v>
      </c>
      <c r="X14" s="15"/>
      <c r="Y14" s="200">
        <f t="shared" si="6"/>
        <v>0.53523076923076918</v>
      </c>
      <c r="Z14" s="11" t="str">
        <f t="shared" si="7"/>
        <v>FAIL</v>
      </c>
      <c r="AA14" s="11"/>
      <c r="AB14" s="15"/>
      <c r="AC14" s="54">
        <f t="shared" si="8"/>
        <v>1300000</v>
      </c>
      <c r="AD14" s="54">
        <f t="shared" si="8"/>
        <v>695800</v>
      </c>
      <c r="AE14" s="54">
        <f t="shared" si="9"/>
        <v>604200</v>
      </c>
    </row>
    <row r="15" spans="3:31" x14ac:dyDescent="0.25">
      <c r="C15" s="39">
        <v>2018</v>
      </c>
      <c r="D15" s="62" t="str">
        <f>+'[1]GWB-244.049'!$F$4</f>
        <v>GWB-244.049</v>
      </c>
      <c r="E15" s="63" t="str">
        <f>+'[1]GWB-244.049'!$F$5</f>
        <v>Trans-Manhattan Expressway Median Barriers and Water Mains</v>
      </c>
      <c r="F15" s="64">
        <f>+'[1]GWB-244.049'!$F$6</f>
        <v>43319</v>
      </c>
      <c r="G15" s="65" t="str">
        <f>+'[1]GWB-244.049'!$G$7</f>
        <v>Public</v>
      </c>
      <c r="H15" s="94">
        <f>+'[1]GWB-244.049'!$F$7</f>
        <v>54744000</v>
      </c>
      <c r="I15" s="94">
        <f>+'[1]GWB-244.049'!$F$8</f>
        <v>34776250</v>
      </c>
      <c r="J15" s="94"/>
      <c r="K15" s="26">
        <f>+'[1]GWB-244.049'!$G$9</f>
        <v>-0.36474773491158846</v>
      </c>
      <c r="L15" s="11" t="str">
        <f>+'[1]GWB-244.049'!$F$11</f>
        <v>GOOD</v>
      </c>
      <c r="M15" s="15">
        <f>+'[1]GWB-244.049'!$H$12</f>
        <v>4</v>
      </c>
      <c r="N15" s="35" t="s">
        <v>93</v>
      </c>
      <c r="O15" s="15">
        <v>3</v>
      </c>
      <c r="P15" s="35" t="s">
        <v>457</v>
      </c>
      <c r="Q15" s="35"/>
      <c r="R15" s="15"/>
      <c r="S15" s="24" t="s">
        <v>932</v>
      </c>
      <c r="T15" s="62" t="str">
        <f>+'[1]GWB-244.049'!$J$4</f>
        <v>Boris Lenderman</v>
      </c>
      <c r="U15" s="62"/>
      <c r="V15" s="94">
        <f>+'[1]GWB-244.049'!$F$12</f>
        <v>49859526.25</v>
      </c>
      <c r="W15" s="199">
        <f t="shared" si="5"/>
        <v>0.69748456544951631</v>
      </c>
      <c r="X15" s="15"/>
      <c r="Y15" s="200">
        <f t="shared" si="6"/>
        <v>0.63525226508841148</v>
      </c>
      <c r="Z15" s="11" t="str">
        <f t="shared" si="7"/>
        <v>FAIL</v>
      </c>
      <c r="AA15" s="11"/>
      <c r="AB15" s="15"/>
      <c r="AC15" s="54">
        <f t="shared" si="8"/>
        <v>54744000</v>
      </c>
      <c r="AD15" s="54">
        <f t="shared" si="8"/>
        <v>34776250</v>
      </c>
      <c r="AE15" s="54">
        <f t="shared" si="9"/>
        <v>19967750</v>
      </c>
    </row>
    <row r="16" spans="3:31" x14ac:dyDescent="0.25">
      <c r="C16" s="39">
        <v>2018</v>
      </c>
      <c r="D16" s="62" t="str">
        <f>+'[1]PN-654.562A'!$F$4</f>
        <v>PN-654.562A</v>
      </c>
      <c r="E16" s="63" t="str">
        <f>+'[1]PN-654.562A'!$F$5</f>
        <v>Bldg 267 Roof Collapse Repair</v>
      </c>
      <c r="F16" s="64">
        <f>+'[1]PN-654.562A'!$F$6</f>
        <v>43314</v>
      </c>
      <c r="G16" s="65" t="str">
        <f>+'[1]PN-654.562A'!$G$7</f>
        <v>SBE</v>
      </c>
      <c r="H16" s="94">
        <f>+'[1]PN-654.562A'!$F$7</f>
        <v>1980000</v>
      </c>
      <c r="I16" s="94">
        <f>+'[1]PN-654.562A'!$F$8</f>
        <v>2882170</v>
      </c>
      <c r="J16" s="94"/>
      <c r="K16" s="26">
        <f>+'[1]PN-654.562A'!$G$9</f>
        <v>0.45564141414141413</v>
      </c>
      <c r="L16" s="11" t="str">
        <f>+'[1]PN-654.562A'!$F$11</f>
        <v>FAIL</v>
      </c>
      <c r="M16" s="15">
        <f>+'[1]PN-654.562A'!$H$12</f>
        <v>6</v>
      </c>
      <c r="N16" s="35" t="s">
        <v>25</v>
      </c>
      <c r="O16" s="15">
        <v>3</v>
      </c>
      <c r="P16" s="35" t="s">
        <v>492</v>
      </c>
      <c r="Q16" s="35"/>
      <c r="R16" s="15"/>
      <c r="S16" s="24"/>
      <c r="T16" s="62" t="str">
        <f>+'[1]PN-654.562A'!$J$4</f>
        <v>Ed Minall</v>
      </c>
      <c r="U16" s="62"/>
      <c r="V16" s="94">
        <f>+'[1]PN-654.562A'!$F$12</f>
        <v>4467184.666666667</v>
      </c>
      <c r="W16" s="199">
        <f t="shared" si="5"/>
        <v>0.64518711785215355</v>
      </c>
      <c r="X16" s="15"/>
      <c r="Y16" s="200">
        <f t="shared" si="6"/>
        <v>1.4556414141414142</v>
      </c>
      <c r="Z16" s="11" t="str">
        <f t="shared" si="7"/>
        <v>FAIL</v>
      </c>
      <c r="AA16" s="11"/>
      <c r="AB16" s="15"/>
      <c r="AC16" s="54">
        <f t="shared" si="8"/>
        <v>1980000</v>
      </c>
      <c r="AD16" s="54">
        <f t="shared" si="8"/>
        <v>2882170</v>
      </c>
      <c r="AE16" s="54">
        <f t="shared" si="9"/>
        <v>-902170</v>
      </c>
    </row>
    <row r="17" spans="2:41" x14ac:dyDescent="0.25">
      <c r="C17" s="39">
        <v>2018</v>
      </c>
      <c r="D17" s="62" t="str">
        <f>+'[1]MFA-924.454'!$F$4</f>
        <v>MFA-924.454</v>
      </c>
      <c r="E17" s="63" t="str">
        <f>+'[1]MFA-924.454'!$F$5</f>
        <v>EWR and TEB - Asphalt Repairs via Work Order</v>
      </c>
      <c r="F17" s="64">
        <f>+'[1]MFA-924.454'!$F$6</f>
        <v>43311</v>
      </c>
      <c r="G17" s="65" t="str">
        <f>+'[1]MFA-924.454'!$G$7</f>
        <v>PQL</v>
      </c>
      <c r="H17" s="94">
        <f>+'[1]MFA-924.454'!$F$7</f>
        <v>9350000</v>
      </c>
      <c r="I17" s="94">
        <f>+'[1]MFA-924.454'!$F$8</f>
        <v>6855365</v>
      </c>
      <c r="J17" s="94"/>
      <c r="K17" s="26">
        <f>+'[1]MFA-924.454'!$G$9</f>
        <v>-0.26680588235294117</v>
      </c>
      <c r="L17" s="11" t="str">
        <f>+'[1]MFA-924.454'!$F$11</f>
        <v>GOOD</v>
      </c>
      <c r="M17" s="15">
        <f>+'[1]MFA-924.454'!$H$12</f>
        <v>3</v>
      </c>
      <c r="N17" s="35" t="s">
        <v>25</v>
      </c>
      <c r="O17" s="15">
        <v>3</v>
      </c>
      <c r="P17" s="35" t="s">
        <v>458</v>
      </c>
      <c r="Q17" s="35"/>
      <c r="R17" s="15"/>
      <c r="S17" s="24" t="s">
        <v>932</v>
      </c>
      <c r="T17" s="62" t="str">
        <f>+'[1]MFA-924.454'!$J$4</f>
        <v>Joe Lucin</v>
      </c>
      <c r="U17" s="62"/>
      <c r="V17" s="94">
        <f>+'[1]MFA-924.454'!$F$12</f>
        <v>10087545</v>
      </c>
      <c r="W17" s="199">
        <f t="shared" si="5"/>
        <v>0.67958705512590034</v>
      </c>
      <c r="X17" s="15"/>
      <c r="Y17" s="200">
        <f t="shared" si="6"/>
        <v>0.73319411764705877</v>
      </c>
      <c r="Z17" s="11" t="str">
        <f t="shared" si="7"/>
        <v>FAIL</v>
      </c>
      <c r="AA17" s="11"/>
      <c r="AB17" s="15"/>
      <c r="AC17" s="54">
        <f t="shared" si="8"/>
        <v>9350000</v>
      </c>
      <c r="AD17" s="54">
        <f t="shared" si="8"/>
        <v>6855365</v>
      </c>
      <c r="AE17" s="54">
        <f t="shared" si="9"/>
        <v>2494635</v>
      </c>
    </row>
    <row r="18" spans="2:41" x14ac:dyDescent="0.25">
      <c r="C18" s="39">
        <v>2018</v>
      </c>
      <c r="D18" s="62" t="str">
        <f>+'[1]LGA-124.260'!$F$4</f>
        <v>LGA-124.260</v>
      </c>
      <c r="E18" s="63" t="str">
        <f>+'[1]LGA-124.260'!$F$5</f>
        <v>Rehab of Runway 4-22 and Associated Taxiways</v>
      </c>
      <c r="F18" s="64">
        <f>+'[1]LGA-124.260'!$F$6</f>
        <v>43299</v>
      </c>
      <c r="G18" s="65" t="str">
        <f>+'[1]LGA-124.260'!$G$7</f>
        <v>PQL</v>
      </c>
      <c r="H18" s="94">
        <f>+'[1]LGA-124.260'!$F$7</f>
        <v>34796400</v>
      </c>
      <c r="I18" s="94">
        <f>+'[1]LGA-124.260'!$F$8</f>
        <v>34483510</v>
      </c>
      <c r="J18" s="94"/>
      <c r="K18" s="26">
        <f>+'[1]LGA-124.260'!$G$9</f>
        <v>-8.9920221632122863E-3</v>
      </c>
      <c r="L18" s="11" t="str">
        <f>+'[1]LGA-124.260'!$F$11</f>
        <v>GOOD</v>
      </c>
      <c r="M18" s="15">
        <f>+'[1]LGA-124.260'!$H$12</f>
        <v>2</v>
      </c>
      <c r="N18" s="35" t="s">
        <v>93</v>
      </c>
      <c r="O18" s="15">
        <v>3</v>
      </c>
      <c r="P18" s="35" t="s">
        <v>458</v>
      </c>
      <c r="Q18" s="35"/>
      <c r="R18" s="15"/>
      <c r="S18" s="24"/>
      <c r="T18" s="62" t="str">
        <f>+'[1]LGA-124.260'!$J$4</f>
        <v>Joe Lucin</v>
      </c>
      <c r="U18" s="62"/>
      <c r="V18" s="94">
        <f>+'[1]LGA-124.260'!$F$12</f>
        <v>35471255</v>
      </c>
      <c r="W18" s="199">
        <f t="shared" si="5"/>
        <v>0.97215364948322236</v>
      </c>
      <c r="X18" s="15"/>
      <c r="Y18" s="200">
        <f t="shared" si="6"/>
        <v>0.99100797783678773</v>
      </c>
      <c r="Z18" s="11" t="str">
        <f t="shared" si="7"/>
        <v>FAIL</v>
      </c>
      <c r="AA18" s="11"/>
      <c r="AB18" s="15"/>
      <c r="AC18" s="54">
        <f t="shared" si="8"/>
        <v>34796400</v>
      </c>
      <c r="AD18" s="54">
        <f t="shared" si="8"/>
        <v>34483510</v>
      </c>
      <c r="AE18" s="54">
        <f t="shared" si="9"/>
        <v>312890</v>
      </c>
    </row>
    <row r="19" spans="2:41" x14ac:dyDescent="0.25">
      <c r="C19" s="39">
        <v>2018</v>
      </c>
      <c r="D19" s="62" t="str">
        <f>+'[1]HT-224.082'!$F$4</f>
        <v>HT-224.082</v>
      </c>
      <c r="E19" s="63" t="str">
        <f>+'[1]HT-224.082'!$F$5</f>
        <v>Repl Bulkhead Doors in Ventilation Buildings</v>
      </c>
      <c r="F19" s="64">
        <f>+'[1]HT-224.082'!$F$6</f>
        <v>43299</v>
      </c>
      <c r="G19" s="65" t="str">
        <f>+'[1]HT-224.082'!$G$7</f>
        <v>Public</v>
      </c>
      <c r="H19" s="94">
        <f>+'[1]HT-224.082'!$F$7</f>
        <v>3570000</v>
      </c>
      <c r="I19" s="94">
        <f>+'[1]HT-224.082'!$F$8</f>
        <v>3861000</v>
      </c>
      <c r="J19" s="94"/>
      <c r="K19" s="26">
        <f>+'[1]HT-224.082'!$G$9</f>
        <v>8.1512605042016809E-2</v>
      </c>
      <c r="L19" s="11" t="str">
        <f>+'[1]HT-224.082'!$F$11</f>
        <v>GOOD</v>
      </c>
      <c r="M19" s="15">
        <f>+'[1]HT-224.082'!$H$12</f>
        <v>6</v>
      </c>
      <c r="N19" s="35" t="s">
        <v>226</v>
      </c>
      <c r="O19" s="15">
        <v>3</v>
      </c>
      <c r="P19" s="35" t="s">
        <v>457</v>
      </c>
      <c r="Q19" s="35"/>
      <c r="R19" s="15"/>
      <c r="S19" s="24"/>
      <c r="T19" s="62" t="str">
        <f>+'[1]HT-224.082'!$J$4</f>
        <v>Boris Lenderman</v>
      </c>
      <c r="U19" s="62"/>
      <c r="V19" s="94">
        <f>+'[1]HT-224.082'!$F$12</f>
        <v>5535683.333333333</v>
      </c>
      <c r="W19" s="199">
        <f t="shared" si="5"/>
        <v>0.69747486760141031</v>
      </c>
      <c r="X19" s="15"/>
      <c r="Y19" s="200">
        <f t="shared" si="6"/>
        <v>1.0815126050420167</v>
      </c>
      <c r="Z19" s="11" t="str">
        <f t="shared" si="7"/>
        <v>FAIL</v>
      </c>
      <c r="AA19" s="11"/>
      <c r="AB19" s="15"/>
      <c r="AC19" s="54">
        <f t="shared" si="8"/>
        <v>3570000</v>
      </c>
      <c r="AD19" s="54">
        <f t="shared" si="8"/>
        <v>3861000</v>
      </c>
      <c r="AE19" s="54">
        <f t="shared" si="9"/>
        <v>-291000</v>
      </c>
    </row>
    <row r="20" spans="2:41" x14ac:dyDescent="0.25">
      <c r="B20" s="203">
        <f>(COUNTIF(L6:L20,"G*")/COUNTA(L6:L20))</f>
        <v>0.5</v>
      </c>
      <c r="C20" s="39">
        <v>2018</v>
      </c>
      <c r="D20" s="62" t="str">
        <f>+'[1]EWR-154.308 bafo'!$F$4</f>
        <v>EWR-154.308 bafo</v>
      </c>
      <c r="E20" s="63" t="str">
        <f>+'[1]EWR-154.308 bafo'!$F$5</f>
        <v>Rehabilitation of Taxiway S</v>
      </c>
      <c r="F20" s="64">
        <f>+'[1]EWR-154.308 bafo'!$F$6</f>
        <v>43287</v>
      </c>
      <c r="G20" s="65" t="str">
        <f>+'[1]EWR-154.308 bafo'!$G$7</f>
        <v>PQL</v>
      </c>
      <c r="H20" s="94">
        <f>+'[1]EWR-154.308 bafo'!$F$7</f>
        <v>3730000</v>
      </c>
      <c r="I20" s="94">
        <f>+'[1]EWR-154.308 bafo'!$F$8</f>
        <v>4547000</v>
      </c>
      <c r="J20" s="94"/>
      <c r="K20" s="26">
        <f>+'[1]EWR-154.308 bafo'!$G$9</f>
        <v>0.2190348525469169</v>
      </c>
      <c r="L20" s="11" t="str">
        <f>+'[1]EWR-154.308 bafo'!$F$11</f>
        <v>FAIL</v>
      </c>
      <c r="M20" s="15">
        <f>+'[1]EWR-154.308 bafo'!$H$12</f>
        <v>3</v>
      </c>
      <c r="N20" s="35" t="s">
        <v>25</v>
      </c>
      <c r="O20" s="15">
        <v>3</v>
      </c>
      <c r="P20" s="35" t="s">
        <v>458</v>
      </c>
      <c r="Q20" s="35"/>
      <c r="R20" s="15"/>
      <c r="S20" s="24"/>
      <c r="T20" s="62" t="str">
        <f>+'[1]EWR-154.308 bafo'!$J$4</f>
        <v>Joe Lucin</v>
      </c>
      <c r="U20" s="62"/>
      <c r="V20" s="94">
        <f>+'[1]EWR-154.308 bafo'!$F$12</f>
        <v>4717276.666666667</v>
      </c>
      <c r="W20" s="199">
        <f t="shared" si="5"/>
        <v>0.96390360822593257</v>
      </c>
      <c r="X20" s="15"/>
      <c r="Y20" s="200">
        <f t="shared" si="6"/>
        <v>1.2190348525469168</v>
      </c>
      <c r="Z20" s="11" t="str">
        <f t="shared" si="7"/>
        <v>FAIL</v>
      </c>
      <c r="AA20" s="11"/>
      <c r="AB20" s="15"/>
      <c r="AC20" s="54">
        <f t="shared" si="8"/>
        <v>3730000</v>
      </c>
      <c r="AD20" s="54">
        <f t="shared" si="8"/>
        <v>4547000</v>
      </c>
      <c r="AE20" s="54">
        <f t="shared" si="9"/>
        <v>-817000</v>
      </c>
      <c r="AG20" s="4">
        <f>SUM(H6:H20)</f>
        <v>203524650</v>
      </c>
      <c r="AH20" s="4">
        <f>SUM(I6:I20)</f>
        <v>173859860</v>
      </c>
      <c r="AI20" s="204">
        <f>+AH20/AG20</f>
        <v>0.85424473153497626</v>
      </c>
      <c r="AJ20" s="1" t="s">
        <v>1240</v>
      </c>
      <c r="AK20" s="205">
        <f>+AG20+AG61+AG78</f>
        <v>203524650</v>
      </c>
      <c r="AL20" s="205">
        <f>+AH20+AH61+AH78</f>
        <v>173859860</v>
      </c>
      <c r="AM20" s="206">
        <f>+AL20/AK20</f>
        <v>0.85424473153497626</v>
      </c>
      <c r="AN20" s="207" t="s">
        <v>1241</v>
      </c>
      <c r="AO20" s="208"/>
    </row>
    <row r="21" spans="2:41" ht="7.5" customHeight="1" x14ac:dyDescent="0.25">
      <c r="C21" s="39"/>
      <c r="G21" s="45"/>
      <c r="J21" s="52"/>
      <c r="Q21" s="11"/>
    </row>
    <row r="22" spans="2:41" x14ac:dyDescent="0.25">
      <c r="C22" s="39">
        <v>2018</v>
      </c>
      <c r="D22" s="62" t="str">
        <f>+'[1]PAT-774.170'!$F$4</f>
        <v>PAT-774.170</v>
      </c>
      <c r="E22" s="63" t="str">
        <f>+'[1]PAT-774.170'!$F$5</f>
        <v>Repl Exchange Place and Newport Escalators and Elevators</v>
      </c>
      <c r="F22" s="64">
        <f>+'[1]PAT-774.170'!$F$6</f>
        <v>43264</v>
      </c>
      <c r="G22" s="65" t="str">
        <f>+'[1]PAT-774.170'!$G$7</f>
        <v>Public</v>
      </c>
      <c r="H22" s="94">
        <f>+'[1]PAT-774.170'!$F$7</f>
        <v>38600000</v>
      </c>
      <c r="I22" s="94">
        <f>+'[1]PAT-774.170'!$F$8</f>
        <v>35950000</v>
      </c>
      <c r="J22" s="94"/>
      <c r="K22" s="26">
        <f>+'[1]PAT-774.170'!$G$9</f>
        <v>-6.8652849740932637E-2</v>
      </c>
      <c r="L22" s="11" t="str">
        <f>+'[1]PAT-774.170'!$F$11</f>
        <v>GOOD</v>
      </c>
      <c r="M22" s="15">
        <f>+'[1]PAT-774.170'!$H$12</f>
        <v>2</v>
      </c>
      <c r="N22" s="35" t="s">
        <v>25</v>
      </c>
      <c r="O22" s="15">
        <v>2</v>
      </c>
      <c r="P22" s="35" t="s">
        <v>459</v>
      </c>
      <c r="Q22" s="35"/>
      <c r="R22" s="15"/>
      <c r="S22" s="24"/>
      <c r="T22" s="62" t="str">
        <f>+'[1]PAT-774.170'!$J$4</f>
        <v>Nathan Demaisip</v>
      </c>
      <c r="U22" s="62"/>
      <c r="V22" s="94">
        <f>+'[1]PAT-774.170'!$F$12</f>
        <v>39922000</v>
      </c>
      <c r="W22" s="199">
        <f t="shared" ref="W22:W49" si="10">+I22/V22</f>
        <v>0.90050598667401438</v>
      </c>
      <c r="X22" s="15"/>
      <c r="Y22" s="200">
        <f t="shared" ref="Y22:Y25" si="11">+I22/H22</f>
        <v>0.93134715025906734</v>
      </c>
      <c r="Z22" s="11" t="str">
        <f t="shared" ref="Z22:Z25" si="12">(IF(Y22&lt;$Y$3,"FAIL",IF(Y22&gt;$Y$4,"FAIL","GOOD")))</f>
        <v>FAIL</v>
      </c>
      <c r="AA22" s="11"/>
      <c r="AB22" s="15"/>
      <c r="AC22" s="54">
        <f t="shared" ref="AC22:AD25" si="13">+H22</f>
        <v>38600000</v>
      </c>
      <c r="AD22" s="54">
        <f t="shared" si="13"/>
        <v>35950000</v>
      </c>
      <c r="AE22" s="54">
        <f t="shared" ref="AE22:AE25" si="14">+AC22-AD22</f>
        <v>2650000</v>
      </c>
    </row>
    <row r="23" spans="2:41" x14ac:dyDescent="0.25">
      <c r="C23" s="39">
        <v>2018</v>
      </c>
      <c r="D23" s="62" t="str">
        <f>+'[1]MFP-694.514'!$F$4</f>
        <v>MFP-694.514</v>
      </c>
      <c r="E23" s="63" t="str">
        <f>+'[1]MFP-694.514'!$F$5</f>
        <v>NY and NJ Marine Terminals - CCTV Upgrade and Expansion (Port Newark and Brooklyn)</v>
      </c>
      <c r="F23" s="64">
        <f>+'[1]MFP-694.514'!$F$6</f>
        <v>43259</v>
      </c>
      <c r="G23" s="65" t="str">
        <f>+'[1]MFP-694.514'!$G$7</f>
        <v>VVP</v>
      </c>
      <c r="H23" s="94">
        <f>+'[1]MFP-694.514'!$F$7</f>
        <v>2770000</v>
      </c>
      <c r="I23" s="94">
        <f>+'[1]MFP-694.514'!$F$8</f>
        <v>2542996</v>
      </c>
      <c r="J23" s="94"/>
      <c r="K23" s="26">
        <f>+'[1]MFP-694.514'!$G$9</f>
        <v>-8.1950902527075806E-2</v>
      </c>
      <c r="L23" s="11" t="str">
        <f>+'[1]MFP-694.514'!$F$11</f>
        <v>GOOD</v>
      </c>
      <c r="M23" s="15">
        <f>+'[1]MFP-694.514'!$H$12</f>
        <v>6</v>
      </c>
      <c r="N23" s="35" t="s">
        <v>226</v>
      </c>
      <c r="O23" s="15">
        <v>2</v>
      </c>
      <c r="P23" s="35" t="s">
        <v>492</v>
      </c>
      <c r="Q23" s="35"/>
      <c r="R23" s="15"/>
      <c r="S23" s="24"/>
      <c r="T23" s="62" t="str">
        <f>+'[1]MFP-694.514'!$J$4</f>
        <v>Nathan Demaisip</v>
      </c>
      <c r="U23" s="62"/>
      <c r="V23" s="94">
        <f>+'[1]MFP-694.514'!$F$12</f>
        <v>4162248.5</v>
      </c>
      <c r="W23" s="199">
        <f t="shared" si="10"/>
        <v>0.61096688484601536</v>
      </c>
      <c r="X23" s="15"/>
      <c r="Y23" s="200">
        <f t="shared" si="11"/>
        <v>0.91804909747292418</v>
      </c>
      <c r="Z23" s="11" t="str">
        <f t="shared" si="12"/>
        <v>FAIL</v>
      </c>
      <c r="AA23" s="11"/>
      <c r="AB23" s="15"/>
      <c r="AC23" s="54">
        <f t="shared" si="13"/>
        <v>2770000</v>
      </c>
      <c r="AD23" s="54">
        <f t="shared" si="13"/>
        <v>2542996</v>
      </c>
      <c r="AE23" s="54">
        <f t="shared" si="14"/>
        <v>227004</v>
      </c>
    </row>
    <row r="24" spans="2:41" x14ac:dyDescent="0.25">
      <c r="C24" s="39">
        <v>2018</v>
      </c>
      <c r="D24" s="62" t="str">
        <f>+'[1]PAT-024.099'!$F$4</f>
        <v>PAT-024.099</v>
      </c>
      <c r="E24" s="63" t="str">
        <f>+'[1]PAT-024.099'!$F$5</f>
        <v>Exchange Place Substation #4 Roof Replacement</v>
      </c>
      <c r="F24" s="64">
        <f>+'[1]PAT-024.099'!$F$6</f>
        <v>43251</v>
      </c>
      <c r="G24" s="65" t="str">
        <f>+'[1]PAT-024.099'!$G$7</f>
        <v>Public</v>
      </c>
      <c r="H24" s="94">
        <f>+'[1]PAT-024.099'!$F$7</f>
        <v>1567000</v>
      </c>
      <c r="I24" s="94">
        <f>+'[1]PAT-024.099'!$F$8</f>
        <v>918315</v>
      </c>
      <c r="J24" s="94"/>
      <c r="K24" s="26">
        <f>+'[1]PAT-024.099'!$G$9</f>
        <v>-0.41396617740906189</v>
      </c>
      <c r="L24" s="11" t="str">
        <f>+'[1]PAT-024.099'!$F$11</f>
        <v>GOOD</v>
      </c>
      <c r="M24" s="15">
        <f>+'[1]PAT-024.099'!$H$12</f>
        <v>5</v>
      </c>
      <c r="N24" s="35" t="s">
        <v>25</v>
      </c>
      <c r="O24" s="15">
        <v>2</v>
      </c>
      <c r="P24" s="35" t="s">
        <v>459</v>
      </c>
      <c r="Q24" s="35"/>
      <c r="R24" s="15"/>
      <c r="S24" s="24" t="s">
        <v>932</v>
      </c>
      <c r="T24" s="62" t="str">
        <f>+'[1]PAT-024.099'!$J$4</f>
        <v>Nathan Demaisip</v>
      </c>
      <c r="U24" s="62"/>
      <c r="V24" s="94">
        <f>+'[1]PAT-024.099'!$F$12</f>
        <v>2609788.4</v>
      </c>
      <c r="W24" s="199">
        <f t="shared" si="10"/>
        <v>0.351873354943259</v>
      </c>
      <c r="X24" s="15"/>
      <c r="Y24" s="200">
        <f t="shared" si="11"/>
        <v>0.58603382259093806</v>
      </c>
      <c r="Z24" s="11" t="str">
        <f t="shared" si="12"/>
        <v>FAIL</v>
      </c>
      <c r="AA24" s="11"/>
      <c r="AB24" s="15"/>
      <c r="AC24" s="54">
        <f t="shared" si="13"/>
        <v>1567000</v>
      </c>
      <c r="AD24" s="54">
        <f t="shared" si="13"/>
        <v>918315</v>
      </c>
      <c r="AE24" s="54">
        <f t="shared" si="14"/>
        <v>648685</v>
      </c>
    </row>
    <row r="25" spans="2:41" x14ac:dyDescent="0.25">
      <c r="C25" s="39">
        <v>2018</v>
      </c>
      <c r="D25" s="62" t="str">
        <f>+'[1]EWR-154.395'!$F$4</f>
        <v>EWR-154.395</v>
      </c>
      <c r="E25" s="63" t="str">
        <f>+'[1]EWR-154.395'!$F$5</f>
        <v>Bridges N61, 62, 63, At-Grade Roadways and Appurtenances</v>
      </c>
      <c r="F25" s="64">
        <f>+'[1]EWR-154.395'!$F$6</f>
        <v>43250</v>
      </c>
      <c r="G25" s="65" t="str">
        <f>+'[1]EWR-154.395'!$G$7</f>
        <v>Public</v>
      </c>
      <c r="H25" s="94">
        <f>+'[1]EWR-154.395'!$F$7</f>
        <v>153277500</v>
      </c>
      <c r="I25" s="94">
        <f>+'[1]EWR-154.395'!$F$8</f>
        <v>118434757</v>
      </c>
      <c r="J25" s="94"/>
      <c r="K25" s="26">
        <f>+'[1]EWR-154.395'!$G$9</f>
        <v>-0.22731805385656734</v>
      </c>
      <c r="L25" s="11" t="str">
        <f>+'[1]EWR-154.395'!$F$11</f>
        <v>FAIL</v>
      </c>
      <c r="M25" s="15">
        <f>+'[1]EWR-154.395'!$H$12</f>
        <v>13</v>
      </c>
      <c r="N25" s="35" t="s">
        <v>25</v>
      </c>
      <c r="O25" s="15">
        <v>2</v>
      </c>
      <c r="P25" s="35" t="s">
        <v>458</v>
      </c>
      <c r="Q25" s="35"/>
      <c r="R25" s="15"/>
      <c r="S25" s="24"/>
      <c r="T25" s="62" t="str">
        <f>+'[1]EWR-154.395'!$J$4</f>
        <v>Joe Lucin</v>
      </c>
      <c r="U25" s="62"/>
      <c r="V25" s="94">
        <f>+'[1]EWR-154.395'!$F$12</f>
        <v>138481360</v>
      </c>
      <c r="W25" s="199">
        <f t="shared" si="10"/>
        <v>0.85523970157427687</v>
      </c>
      <c r="X25" s="15"/>
      <c r="Y25" s="200">
        <f t="shared" si="11"/>
        <v>0.77268194614343266</v>
      </c>
      <c r="Z25" s="11" t="str">
        <f t="shared" si="12"/>
        <v>FAIL</v>
      </c>
      <c r="AA25" s="11"/>
      <c r="AB25" s="15"/>
      <c r="AC25" s="54">
        <f t="shared" si="13"/>
        <v>153277500</v>
      </c>
      <c r="AD25" s="54">
        <f t="shared" si="13"/>
        <v>118434757</v>
      </c>
      <c r="AE25" s="54">
        <f t="shared" si="14"/>
        <v>34842743</v>
      </c>
    </row>
    <row r="26" spans="2:41" x14ac:dyDescent="0.25">
      <c r="C26" s="39">
        <v>2018</v>
      </c>
      <c r="D26" s="62" t="str">
        <f>+'[1]GWB-244.204 Void'!$F$4</f>
        <v>GWB-244.204</v>
      </c>
      <c r="E26" s="63" t="str">
        <f>+'[1]GWB-244.204 Void'!$F$5</f>
        <v>Rehab Center and Lemoine Avenue Bridges</v>
      </c>
      <c r="F26" s="64">
        <f>+'[1]GWB-244.204 Void'!$F$6</f>
        <v>43242</v>
      </c>
      <c r="G26" s="65"/>
      <c r="H26" s="94"/>
      <c r="I26" s="94"/>
      <c r="J26" s="94"/>
      <c r="K26" s="26"/>
      <c r="L26" s="11"/>
      <c r="M26" s="15"/>
      <c r="N26" s="35"/>
      <c r="O26" s="15"/>
      <c r="P26" s="35"/>
      <c r="Q26" s="35"/>
      <c r="R26" s="15"/>
      <c r="S26" s="24" t="s">
        <v>227</v>
      </c>
      <c r="T26" s="62"/>
      <c r="U26" s="62"/>
      <c r="V26" s="94"/>
      <c r="W26" s="199"/>
      <c r="X26" s="15"/>
      <c r="Y26" s="200"/>
      <c r="Z26" s="11"/>
      <c r="AA26" s="11"/>
      <c r="AB26" s="15"/>
      <c r="AC26" s="54"/>
      <c r="AD26" s="54"/>
      <c r="AE26" s="54"/>
    </row>
    <row r="27" spans="2:41" x14ac:dyDescent="0.25">
      <c r="C27" s="39">
        <v>2018</v>
      </c>
      <c r="D27" s="62" t="str">
        <f>+'[1]MFP-924.650'!$F$4</f>
        <v>MFP-924.650</v>
      </c>
      <c r="E27" s="63" t="str">
        <f>+'[1]MFP-924.650'!$F$5</f>
        <v>NY Marine Terminals - Maintenance Dredging via Work Order</v>
      </c>
      <c r="F27" s="64">
        <f>+'[1]MFP-924.650'!$F$6</f>
        <v>43230</v>
      </c>
      <c r="G27" s="65" t="str">
        <f>+'[1]MFP-924.650'!$G$7</f>
        <v>Public</v>
      </c>
      <c r="H27" s="94">
        <f>+'[1]MFP-924.650'!$F$7</f>
        <v>4390000</v>
      </c>
      <c r="I27" s="94">
        <f>+'[1]MFP-924.650'!$F$8</f>
        <v>4220000</v>
      </c>
      <c r="J27" s="94"/>
      <c r="K27" s="26">
        <f>+'[1]MFP-924.650'!$G$9</f>
        <v>-3.8724373576309798E-2</v>
      </c>
      <c r="L27" s="11" t="str">
        <f>+'[1]MFP-924.650'!$F$11</f>
        <v>GOOD</v>
      </c>
      <c r="M27" s="15">
        <f>+'[1]MFP-924.650'!$H$12</f>
        <v>4</v>
      </c>
      <c r="N27" s="35" t="s">
        <v>93</v>
      </c>
      <c r="O27" s="15">
        <v>2</v>
      </c>
      <c r="P27" s="35" t="s">
        <v>492</v>
      </c>
      <c r="Q27" s="35"/>
      <c r="R27" s="15"/>
      <c r="S27" s="24"/>
      <c r="T27" s="62" t="str">
        <f>+'[1]MFP-924.650'!$J$4</f>
        <v>Ed Minall</v>
      </c>
      <c r="U27" s="62"/>
      <c r="V27" s="94">
        <f>+'[1]MFP-924.650'!$F$12</f>
        <v>6081225</v>
      </c>
      <c r="W27" s="199">
        <f t="shared" si="10"/>
        <v>0.69393913232942372</v>
      </c>
      <c r="X27" s="15"/>
      <c r="Y27" s="200">
        <f t="shared" ref="Y27:Y28" si="15">+I27/H27</f>
        <v>0.96127562642369024</v>
      </c>
      <c r="Z27" s="11" t="str">
        <f t="shared" ref="Z27:Z28" si="16">(IF(Y27&lt;$Y$3,"FAIL",IF(Y27&gt;$Y$4,"FAIL","GOOD")))</f>
        <v>FAIL</v>
      </c>
      <c r="AA27" s="11"/>
      <c r="AB27" s="15"/>
      <c r="AC27" s="54">
        <f t="shared" ref="AC27:AD28" si="17">+H27</f>
        <v>4390000</v>
      </c>
      <c r="AD27" s="54">
        <f t="shared" si="17"/>
        <v>4220000</v>
      </c>
      <c r="AE27" s="54">
        <f t="shared" ref="AE27:AE28" si="18">+AC27-AD27</f>
        <v>170000</v>
      </c>
    </row>
    <row r="28" spans="2:41" x14ac:dyDescent="0.25">
      <c r="C28" s="39">
        <v>2018</v>
      </c>
      <c r="D28" s="62" t="str">
        <f>+'[1]LT-924.121'!$F$4</f>
        <v>LT-924.121</v>
      </c>
      <c r="E28" s="63" t="str">
        <f>+'[1]LT-924.121'!$F$5</f>
        <v>Steel Repairs at 38th St Bridge and Concrete Repairs at NY Vent Bldg South</v>
      </c>
      <c r="F28" s="64">
        <f>+'[1]LT-924.121'!$F$6</f>
        <v>43221</v>
      </c>
      <c r="G28" s="65" t="str">
        <f>+'[1]LT-924.121'!$G$7</f>
        <v>SBE</v>
      </c>
      <c r="H28" s="94">
        <f>+'[1]LT-924.121'!$F$7</f>
        <v>960000</v>
      </c>
      <c r="I28" s="94">
        <f>+'[1]LT-924.121'!$F$8</f>
        <v>413834</v>
      </c>
      <c r="J28" s="94"/>
      <c r="K28" s="26">
        <f>+'[1]LT-924.121'!$G$9</f>
        <v>-0.56892291666666661</v>
      </c>
      <c r="L28" s="11" t="str">
        <f>+'[1]LT-924.121'!$F$11</f>
        <v>FAIL</v>
      </c>
      <c r="M28" s="15">
        <f>+'[1]LT-924.121'!$H$12</f>
        <v>5</v>
      </c>
      <c r="N28" s="35" t="s">
        <v>93</v>
      </c>
      <c r="O28" s="15">
        <v>2</v>
      </c>
      <c r="P28" s="35" t="s">
        <v>457</v>
      </c>
      <c r="Q28" s="35"/>
      <c r="R28" s="15"/>
      <c r="S28" s="24"/>
      <c r="T28" s="62" t="str">
        <f>+'[1]LT-924.121'!$J$4</f>
        <v>Ed Minall</v>
      </c>
      <c r="U28" s="62"/>
      <c r="V28" s="94">
        <f>+'[1]LT-924.121'!$F$12</f>
        <v>710613.8</v>
      </c>
      <c r="W28" s="199">
        <f t="shared" si="10"/>
        <v>0.58236133325865602</v>
      </c>
      <c r="X28" s="15"/>
      <c r="Y28" s="200">
        <f t="shared" si="15"/>
        <v>0.43107708333333333</v>
      </c>
      <c r="Z28" s="11" t="str">
        <f t="shared" si="16"/>
        <v>FAIL</v>
      </c>
      <c r="AA28" s="11"/>
      <c r="AB28" s="15"/>
      <c r="AC28" s="54">
        <f t="shared" si="17"/>
        <v>960000</v>
      </c>
      <c r="AD28" s="54">
        <f t="shared" si="17"/>
        <v>413834</v>
      </c>
      <c r="AE28" s="54">
        <f t="shared" si="18"/>
        <v>546166</v>
      </c>
    </row>
    <row r="29" spans="2:41" x14ac:dyDescent="0.25">
      <c r="C29" s="39">
        <v>2018</v>
      </c>
      <c r="D29" s="62" t="str">
        <f>+'[1]EWR-154.308 Void'!$F$4</f>
        <v>EWR-154.308</v>
      </c>
      <c r="E29" s="63" t="str">
        <f>+'[1]EWR-154.308 Void'!$F$5</f>
        <v>Rehabilitation of Taxiway S</v>
      </c>
      <c r="F29" s="64">
        <f>+'[1]EWR-154.308 Void'!$F$6</f>
        <v>43207</v>
      </c>
      <c r="G29" s="65"/>
      <c r="H29" s="94"/>
      <c r="I29" s="94"/>
      <c r="J29" s="94"/>
      <c r="K29" s="26"/>
      <c r="L29" s="11"/>
      <c r="M29" s="15"/>
      <c r="N29" s="35"/>
      <c r="O29" s="15"/>
      <c r="P29" s="35"/>
      <c r="Q29" s="35"/>
      <c r="R29" s="15"/>
      <c r="S29" s="24" t="s">
        <v>227</v>
      </c>
      <c r="T29" s="62"/>
      <c r="U29" s="62"/>
      <c r="V29" s="94"/>
      <c r="W29" s="199"/>
      <c r="X29" s="15"/>
      <c r="Y29" s="200"/>
      <c r="Z29" s="11"/>
      <c r="AA29" s="11"/>
      <c r="AB29" s="15"/>
      <c r="AC29" s="54"/>
      <c r="AD29" s="54"/>
      <c r="AE29" s="54"/>
    </row>
    <row r="30" spans="2:41" x14ac:dyDescent="0.25">
      <c r="C30" s="39">
        <v>2018</v>
      </c>
      <c r="D30" s="62" t="str">
        <f>+'[1]PAT-774.169'!$F$4</f>
        <v>PAT-774.169</v>
      </c>
      <c r="E30" s="63" t="str">
        <f>+'[1]PAT-774.169'!$F$5</f>
        <v>Replace Elevators at Harrison Car Maintenance Facility</v>
      </c>
      <c r="F30" s="64">
        <f>+'[1]PAT-774.169'!$F$6</f>
        <v>43195</v>
      </c>
      <c r="G30" s="65" t="str">
        <f>+'[1]PAT-774.169'!$G$7</f>
        <v>Public</v>
      </c>
      <c r="H30" s="94">
        <f>+'[1]PAT-774.169'!$F$7</f>
        <v>1520000</v>
      </c>
      <c r="I30" s="94">
        <f>+'[1]PAT-774.169'!$F$8</f>
        <v>856934</v>
      </c>
      <c r="J30" s="94"/>
      <c r="K30" s="26">
        <f>+'[1]PAT-774.169'!$G$9</f>
        <v>-0.43622763157894739</v>
      </c>
      <c r="L30" s="11" t="str">
        <f>+'[1]PAT-774.169'!$F$11</f>
        <v>GOOD</v>
      </c>
      <c r="M30" s="15">
        <f>+'[1]PAT-774.169'!$H$12</f>
        <v>4</v>
      </c>
      <c r="N30" s="35" t="s">
        <v>25</v>
      </c>
      <c r="O30" s="15">
        <v>2</v>
      </c>
      <c r="P30" s="35" t="s">
        <v>459</v>
      </c>
      <c r="Q30" s="35" t="s">
        <v>1242</v>
      </c>
      <c r="R30" s="15"/>
      <c r="S30" s="24" t="s">
        <v>932</v>
      </c>
      <c r="T30" s="62" t="str">
        <f>+'[1]PAT-774.169'!$J$4</f>
        <v>Nathan Demaisip</v>
      </c>
      <c r="U30" s="62"/>
      <c r="V30" s="94">
        <f>+'[1]PAT-774.169'!$F$12</f>
        <v>1906983.5</v>
      </c>
      <c r="W30" s="199">
        <f t="shared" si="10"/>
        <v>0.4493662373061959</v>
      </c>
      <c r="X30" s="15"/>
      <c r="Y30" s="200">
        <f t="shared" ref="Y30:Y32" si="19">+I30/H30</f>
        <v>0.56377236842105261</v>
      </c>
      <c r="Z30" s="11" t="str">
        <f t="shared" ref="Z30:Z32" si="20">(IF(Y30&lt;$Y$3,"FAIL",IF(Y30&gt;$Y$4,"FAIL","GOOD")))</f>
        <v>FAIL</v>
      </c>
      <c r="AA30" s="11"/>
      <c r="AB30" s="15"/>
      <c r="AC30" s="54">
        <f t="shared" ref="AC30:AD32" si="21">+H30</f>
        <v>1520000</v>
      </c>
      <c r="AD30" s="54">
        <f t="shared" si="21"/>
        <v>856934</v>
      </c>
      <c r="AE30" s="54">
        <f t="shared" ref="AE30:AE32" si="22">+AC30-AD30</f>
        <v>663066</v>
      </c>
    </row>
    <row r="31" spans="2:41" x14ac:dyDescent="0.25">
      <c r="C31" s="39">
        <v>2018</v>
      </c>
      <c r="D31" s="62" t="str">
        <f>+'[1]MFP-824.016'!$F$4</f>
        <v>MFP-824.016</v>
      </c>
      <c r="E31" s="63" t="str">
        <f>+'[1]MFP-824.016'!$F$5</f>
        <v>NY Marine Terminals Priority Repairs by Work Order</v>
      </c>
      <c r="F31" s="64">
        <f>+'[1]MFP-824.016'!$F$6</f>
        <v>43193</v>
      </c>
      <c r="G31" s="65" t="str">
        <f>+'[1]MFP-824.016'!$G$7</f>
        <v>Public</v>
      </c>
      <c r="H31" s="94">
        <f>+'[1]MFP-824.016'!$F$7</f>
        <v>9140000</v>
      </c>
      <c r="I31" s="94">
        <f>+'[1]MFP-824.016'!$F$8</f>
        <v>4659626</v>
      </c>
      <c r="J31" s="94"/>
      <c r="K31" s="26">
        <f>+'[1]MFP-824.016'!$G$9</f>
        <v>-0.49019409190371993</v>
      </c>
      <c r="L31" s="11" t="str">
        <f>+'[1]MFP-824.016'!$F$11</f>
        <v>GOOD</v>
      </c>
      <c r="M31" s="15">
        <f>+'[1]MFP-824.016'!$H$12</f>
        <v>5</v>
      </c>
      <c r="N31" s="35" t="s">
        <v>93</v>
      </c>
      <c r="O31" s="15">
        <v>2</v>
      </c>
      <c r="P31" s="35" t="s">
        <v>492</v>
      </c>
      <c r="Q31" s="35" t="s">
        <v>1238</v>
      </c>
      <c r="R31" s="15"/>
      <c r="S31" s="24" t="s">
        <v>932</v>
      </c>
      <c r="T31" s="62" t="str">
        <f>+'[1]MFP-824.016'!$J$4</f>
        <v>Ed Minall</v>
      </c>
      <c r="U31" s="62"/>
      <c r="V31" s="94">
        <f>+'[1]MFP-824.016'!$F$12</f>
        <v>10095414</v>
      </c>
      <c r="W31" s="199">
        <f t="shared" si="10"/>
        <v>0.46155868397274247</v>
      </c>
      <c r="X31" s="15"/>
      <c r="Y31" s="200">
        <f t="shared" si="19"/>
        <v>0.50980590809628012</v>
      </c>
      <c r="Z31" s="11" t="str">
        <f t="shared" si="20"/>
        <v>FAIL</v>
      </c>
      <c r="AA31" s="11"/>
      <c r="AB31" s="15"/>
      <c r="AC31" s="54">
        <f t="shared" si="21"/>
        <v>9140000</v>
      </c>
      <c r="AD31" s="54">
        <f t="shared" si="21"/>
        <v>4659626</v>
      </c>
      <c r="AE31" s="54">
        <f t="shared" si="22"/>
        <v>4480374</v>
      </c>
    </row>
    <row r="32" spans="2:41" x14ac:dyDescent="0.25">
      <c r="B32" s="203">
        <f>(COUNTIF(L22:L32,"G*")/COUNTA(L22:L32))</f>
        <v>0.77777777777777779</v>
      </c>
      <c r="C32" s="39">
        <v>2018</v>
      </c>
      <c r="D32" s="62" t="str">
        <f>+'[1]TEB-144.046'!$F$4</f>
        <v>TEB-144.046</v>
      </c>
      <c r="E32" s="63" t="str">
        <f>+'[1]TEB-144.046'!$F$5</f>
        <v>Removal of Taxiway B and Construction of Taxiway V</v>
      </c>
      <c r="F32" s="64">
        <f>+'[1]TEB-144.046'!$F$6</f>
        <v>43193</v>
      </c>
      <c r="G32" s="65" t="str">
        <f>+'[1]TEB-144.046'!$G$7</f>
        <v>Public</v>
      </c>
      <c r="H32" s="94">
        <f>+'[1]TEB-144.046'!$F$7</f>
        <v>3441000</v>
      </c>
      <c r="I32" s="94">
        <f>+'[1]TEB-144.046'!$F$8</f>
        <v>2993080</v>
      </c>
      <c r="J32" s="94"/>
      <c r="K32" s="26">
        <f>+'[1]TEB-144.046'!$G$9</f>
        <v>-0.13017146178436501</v>
      </c>
      <c r="L32" s="11" t="str">
        <f>+'[1]TEB-144.046'!$F$11</f>
        <v>GOOD</v>
      </c>
      <c r="M32" s="15">
        <f>+'[1]TEB-144.046'!$H$12</f>
        <v>3</v>
      </c>
      <c r="N32" s="35" t="s">
        <v>25</v>
      </c>
      <c r="O32" s="15">
        <v>2</v>
      </c>
      <c r="P32" s="35" t="s">
        <v>458</v>
      </c>
      <c r="Q32" s="35" t="s">
        <v>1235</v>
      </c>
      <c r="R32" s="15"/>
      <c r="S32" s="24"/>
      <c r="T32" s="62" t="str">
        <f>+'[1]TEB-144.046'!$J$4</f>
        <v>Joe Lucin</v>
      </c>
      <c r="U32" s="62"/>
      <c r="V32" s="94">
        <f>+'[1]TEB-144.046'!$F$12</f>
        <v>3534026.6666666665</v>
      </c>
      <c r="W32" s="199">
        <f t="shared" si="10"/>
        <v>0.84693192279250873</v>
      </c>
      <c r="X32" s="15"/>
      <c r="Y32" s="200">
        <f t="shared" si="19"/>
        <v>0.86982853821563499</v>
      </c>
      <c r="Z32" s="11" t="str">
        <f t="shared" si="20"/>
        <v>FAIL</v>
      </c>
      <c r="AA32" s="74">
        <f>(COUNTIF(Z23:Z32,"G*")/COUNTA(Z23:Z32))</f>
        <v>0</v>
      </c>
      <c r="AB32" s="15"/>
      <c r="AC32" s="54">
        <f t="shared" si="21"/>
        <v>3441000</v>
      </c>
      <c r="AD32" s="54">
        <f t="shared" si="21"/>
        <v>2993080</v>
      </c>
      <c r="AE32" s="54">
        <f t="shared" si="22"/>
        <v>447920</v>
      </c>
      <c r="AG32" s="4">
        <f>SUM(H22:H32)</f>
        <v>215665500</v>
      </c>
      <c r="AH32" s="4">
        <f>SUM(I22:I32)</f>
        <v>170989542</v>
      </c>
      <c r="AI32" s="209">
        <f>+AH32/AG32</f>
        <v>0.79284606021825466</v>
      </c>
      <c r="AJ32" s="1" t="s">
        <v>1240</v>
      </c>
      <c r="AK32" s="210">
        <f>+AG32+AG49</f>
        <v>553619500</v>
      </c>
      <c r="AL32" s="210">
        <f>+AH32+AH49</f>
        <v>399789614</v>
      </c>
      <c r="AM32" s="211">
        <f>+AL32/AK32</f>
        <v>0.72213788351024488</v>
      </c>
      <c r="AN32" s="212"/>
      <c r="AO32" s="213"/>
    </row>
    <row r="33" spans="3:31" ht="7.5" customHeight="1" x14ac:dyDescent="0.25">
      <c r="C33" s="39"/>
      <c r="G33" s="45"/>
      <c r="J33" s="52"/>
      <c r="P33" s="11"/>
      <c r="Q33" s="11"/>
      <c r="T33" s="15"/>
      <c r="U33" s="15"/>
      <c r="V33" s="94"/>
      <c r="W33" s="94"/>
      <c r="AC33" s="54"/>
      <c r="AD33" s="54"/>
      <c r="AE33" s="54"/>
    </row>
    <row r="34" spans="3:31" x14ac:dyDescent="0.25">
      <c r="C34" s="39">
        <v>2018</v>
      </c>
      <c r="D34" s="62" t="str">
        <f>+'[1]LGA-124.261'!$F$4</f>
        <v>LGA-124.261</v>
      </c>
      <c r="E34" s="63" t="str">
        <f>+'[1]LGA-124.261'!$F$5</f>
        <v>Rehab of Pump House 1 Retaining Wall</v>
      </c>
      <c r="F34" s="64">
        <f>+'[1]LGA-124.261'!$F$6</f>
        <v>43179</v>
      </c>
      <c r="G34" s="65" t="str">
        <f>+'[1]LGA-124.261'!$G$7</f>
        <v>Public</v>
      </c>
      <c r="H34" s="94">
        <f>+'[1]LGA-124.261'!$F$7</f>
        <v>1440000</v>
      </c>
      <c r="I34" s="94">
        <f>+'[1]LGA-124.261'!$F$8</f>
        <v>1928000</v>
      </c>
      <c r="J34" s="94"/>
      <c r="K34" s="26">
        <f>+'[1]LGA-124.261'!$G$9</f>
        <v>0.33888888888888891</v>
      </c>
      <c r="L34" s="11" t="str">
        <f>+'[1]LGA-124.261'!$F$11</f>
        <v>FAIL</v>
      </c>
      <c r="M34" s="15">
        <f>+'[1]LGA-124.261'!$H$12</f>
        <v>7</v>
      </c>
      <c r="N34" s="35" t="s">
        <v>93</v>
      </c>
      <c r="O34" s="15">
        <v>1</v>
      </c>
      <c r="P34" s="35" t="s">
        <v>458</v>
      </c>
      <c r="Q34" s="35" t="s">
        <v>1238</v>
      </c>
      <c r="R34" s="15"/>
      <c r="S34" s="24"/>
      <c r="T34" s="62" t="str">
        <f>+'[1]LGA-124.261'!$J$4</f>
        <v>Joe Lucin</v>
      </c>
      <c r="U34" s="62"/>
      <c r="V34" s="94">
        <f>+'[1]LGA-124.261'!$F$12</f>
        <v>2393861.8571428573</v>
      </c>
      <c r="W34" s="199">
        <f t="shared" si="10"/>
        <v>0.8053931743167182</v>
      </c>
      <c r="X34" s="15"/>
      <c r="Y34" s="200">
        <f t="shared" ref="Y34:Y49" si="23">+I34/H34</f>
        <v>1.3388888888888888</v>
      </c>
      <c r="Z34" s="11" t="str">
        <f t="shared" ref="Z34:Z49" si="24">(IF(Y34&lt;$Y$3,"FAIL",IF(Y34&gt;$Y$4,"FAIL","GOOD")))</f>
        <v>FAIL</v>
      </c>
      <c r="AA34" s="11"/>
      <c r="AB34" s="15"/>
      <c r="AC34" s="54">
        <f t="shared" ref="AC34:AD46" si="25">+H34</f>
        <v>1440000</v>
      </c>
      <c r="AD34" s="54">
        <f t="shared" si="25"/>
        <v>1928000</v>
      </c>
      <c r="AE34" s="54">
        <f t="shared" ref="AE34:AE46" si="26">+AC34-AD34</f>
        <v>-488000</v>
      </c>
    </row>
    <row r="35" spans="3:31" x14ac:dyDescent="0.25">
      <c r="C35" s="39">
        <v>2018</v>
      </c>
      <c r="D35" s="62" t="str">
        <f>+'[1]AKO-284.051'!$F$4</f>
        <v>AKO-284.051</v>
      </c>
      <c r="E35" s="63" t="str">
        <f>+'[1]AKO-284.051'!$F$5</f>
        <v>Main Spain Pier and Fender Upgrades</v>
      </c>
      <c r="F35" s="64">
        <f>+'[1]AKO-284.051'!$F$6</f>
        <v>43179</v>
      </c>
      <c r="G35" s="65" t="str">
        <f>+'[1]AKO-284.051'!$G$7</f>
        <v>Public</v>
      </c>
      <c r="H35" s="94">
        <f>+'[1]AKO-284.051'!$F$7</f>
        <v>27125000</v>
      </c>
      <c r="I35" s="94">
        <f>+'[1]AKO-284.051'!$F$8</f>
        <v>22964560</v>
      </c>
      <c r="J35" s="94"/>
      <c r="K35" s="26">
        <f>+'[1]AKO-284.051'!$G$9</f>
        <v>-0.15338027649769584</v>
      </c>
      <c r="L35" s="11" t="str">
        <f>+'[1]AKO-284.051'!$F$11</f>
        <v>GOOD</v>
      </c>
      <c r="M35" s="15">
        <f>+'[1]AKO-284.051'!$H$12</f>
        <v>10</v>
      </c>
      <c r="N35" s="35" t="s">
        <v>226</v>
      </c>
      <c r="O35" s="15">
        <v>1</v>
      </c>
      <c r="P35" s="35" t="s">
        <v>457</v>
      </c>
      <c r="Q35" s="35" t="s">
        <v>1238</v>
      </c>
      <c r="R35" s="15"/>
      <c r="S35" s="24"/>
      <c r="T35" s="62" t="str">
        <f>+'[1]AKO-284.051'!$J$4</f>
        <v>Ed Minall</v>
      </c>
      <c r="U35" s="62"/>
      <c r="V35" s="94">
        <f>+'[1]AKO-284.051'!$F$12</f>
        <v>31632465.399999999</v>
      </c>
      <c r="W35" s="199">
        <f t="shared" si="10"/>
        <v>0.72598071979555534</v>
      </c>
      <c r="X35" s="15"/>
      <c r="Y35" s="200">
        <f t="shared" si="23"/>
        <v>0.84661972350230419</v>
      </c>
      <c r="Z35" s="11" t="str">
        <f t="shared" si="24"/>
        <v>FAIL</v>
      </c>
      <c r="AA35" s="11"/>
      <c r="AB35" s="15"/>
      <c r="AC35" s="54">
        <f t="shared" si="25"/>
        <v>27125000</v>
      </c>
      <c r="AD35" s="54">
        <f t="shared" si="25"/>
        <v>22964560</v>
      </c>
      <c r="AE35" s="54">
        <f t="shared" si="26"/>
        <v>4160440</v>
      </c>
    </row>
    <row r="36" spans="3:31" x14ac:dyDescent="0.25">
      <c r="C36" s="39">
        <v>2018</v>
      </c>
      <c r="D36" s="62" t="str">
        <f>+'[1]AKO-284.049'!$F$4</f>
        <v>AKO-284.049</v>
      </c>
      <c r="E36" s="63" t="str">
        <f>+'[1]AKO-284.049'!$F$5</f>
        <v>Tollhouse Building Roof</v>
      </c>
      <c r="F36" s="64">
        <f>+'[1]AKO-284.049'!$F$6</f>
        <v>43174</v>
      </c>
      <c r="G36" s="65" t="str">
        <f>+'[1]AKO-284.049'!$G$7</f>
        <v>Public</v>
      </c>
      <c r="H36" s="94">
        <f>+'[1]AKO-284.049'!$F$7</f>
        <v>1150000</v>
      </c>
      <c r="I36" s="94">
        <f>+'[1]AKO-284.049'!$F$8</f>
        <v>1253317</v>
      </c>
      <c r="J36" s="94"/>
      <c r="K36" s="26">
        <f>+'[1]AKO-284.049'!$G$9</f>
        <v>8.9840869565217391E-2</v>
      </c>
      <c r="L36" s="11" t="str">
        <f>+'[1]AKO-284.049'!$F$11</f>
        <v>GOOD</v>
      </c>
      <c r="M36" s="15">
        <f>+'[1]AKO-284.049'!$H$12</f>
        <v>6</v>
      </c>
      <c r="N36" s="35" t="s">
        <v>93</v>
      </c>
      <c r="O36" s="15">
        <v>1</v>
      </c>
      <c r="P36" s="35" t="s">
        <v>457</v>
      </c>
      <c r="Q36" s="35" t="s">
        <v>1243</v>
      </c>
      <c r="R36" s="15"/>
      <c r="S36" s="24"/>
      <c r="T36" s="62" t="str">
        <f>+'[1]AKO-284.049'!$J$4</f>
        <v>Joe Lucin</v>
      </c>
      <c r="U36" s="62"/>
      <c r="V36" s="94">
        <f>+'[1]AKO-284.049'!$F$12</f>
        <v>1900429</v>
      </c>
      <c r="W36" s="199">
        <f t="shared" si="10"/>
        <v>0.65949162004999928</v>
      </c>
      <c r="X36" s="15"/>
      <c r="Y36" s="200">
        <f t="shared" si="23"/>
        <v>1.0898408695652173</v>
      </c>
      <c r="Z36" s="11" t="str">
        <f t="shared" si="24"/>
        <v>FAIL</v>
      </c>
      <c r="AA36" s="11"/>
      <c r="AB36" s="15"/>
      <c r="AC36" s="54">
        <f t="shared" si="25"/>
        <v>1150000</v>
      </c>
      <c r="AD36" s="54">
        <f t="shared" si="25"/>
        <v>1253317</v>
      </c>
      <c r="AE36" s="54">
        <f t="shared" si="26"/>
        <v>-103317</v>
      </c>
    </row>
    <row r="37" spans="3:31" x14ac:dyDescent="0.25">
      <c r="C37" s="39">
        <v>2018</v>
      </c>
      <c r="D37" s="62" t="str">
        <f>+'[1]LT-924.175'!$F$4</f>
        <v>LT-924.175</v>
      </c>
      <c r="E37" s="63" t="str">
        <f>+'[1]LT-924.175'!$F$5</f>
        <v>Helix Guiderail Repair and Manhole Cover Relocation</v>
      </c>
      <c r="F37" s="64">
        <f>+'[1]LT-924.175'!$F$6</f>
        <v>43173</v>
      </c>
      <c r="G37" s="65" t="str">
        <f>+'[1]LT-924.175'!$G$7</f>
        <v>MWBE</v>
      </c>
      <c r="H37" s="94">
        <f>+'[1]LT-924.175'!$F$7</f>
        <v>600000</v>
      </c>
      <c r="I37" s="94">
        <f>+'[1]LT-924.175'!$F$8</f>
        <v>749000</v>
      </c>
      <c r="J37" s="94"/>
      <c r="K37" s="26">
        <f>+'[1]LT-924.175'!$G$9</f>
        <v>0.24833333333333332</v>
      </c>
      <c r="L37" s="11" t="str">
        <f>+'[1]LT-924.175'!$F$11</f>
        <v>FAIL</v>
      </c>
      <c r="M37" s="15">
        <f>+'[1]LT-924.175'!$H$12</f>
        <v>3</v>
      </c>
      <c r="N37" s="35" t="s">
        <v>25</v>
      </c>
      <c r="O37" s="15">
        <v>1</v>
      </c>
      <c r="P37" s="35" t="s">
        <v>457</v>
      </c>
      <c r="Q37" s="35" t="s">
        <v>1235</v>
      </c>
      <c r="R37" s="15"/>
      <c r="S37" s="24"/>
      <c r="T37" s="62" t="str">
        <f>+'[1]LT-924.175'!$J$4</f>
        <v>Boris Lenderman</v>
      </c>
      <c r="U37" s="62"/>
      <c r="V37" s="94">
        <f>+'[1]LT-924.175'!$F$12</f>
        <v>994735</v>
      </c>
      <c r="W37" s="199">
        <f t="shared" si="10"/>
        <v>0.75296435734140243</v>
      </c>
      <c r="X37" s="15"/>
      <c r="Y37" s="200">
        <f t="shared" si="23"/>
        <v>1.2483333333333333</v>
      </c>
      <c r="Z37" s="11" t="str">
        <f t="shared" si="24"/>
        <v>FAIL</v>
      </c>
      <c r="AA37" s="11"/>
      <c r="AB37" s="15"/>
      <c r="AC37" s="54">
        <f t="shared" si="25"/>
        <v>600000</v>
      </c>
      <c r="AD37" s="54">
        <f t="shared" si="25"/>
        <v>749000</v>
      </c>
      <c r="AE37" s="54">
        <f t="shared" si="26"/>
        <v>-149000</v>
      </c>
    </row>
    <row r="38" spans="3:31" x14ac:dyDescent="0.25">
      <c r="C38" s="39">
        <v>2018</v>
      </c>
      <c r="D38" s="62" t="str">
        <f>+'[1]EWR-154.396'!$F$4</f>
        <v>EWR-154.396</v>
      </c>
      <c r="E38" s="63" t="str">
        <f>+'[1]EWR-154.396'!$F$5</f>
        <v>Bridge N64 and Hotel Road Widening</v>
      </c>
      <c r="F38" s="64">
        <f>+'[1]EWR-154.396'!$F$6</f>
        <v>43168</v>
      </c>
      <c r="G38" s="65" t="str">
        <f>+'[1]EWR-154.396'!$G$7</f>
        <v>Public</v>
      </c>
      <c r="H38" s="94">
        <f>+'[1]EWR-154.396'!$F$7</f>
        <v>10900000</v>
      </c>
      <c r="I38" s="94">
        <f>+'[1]EWR-154.396'!$F$8</f>
        <v>10417536</v>
      </c>
      <c r="J38" s="94"/>
      <c r="K38" s="26">
        <f>+'[1]EWR-154.396'!$G$9</f>
        <v>-4.4262752293577984E-2</v>
      </c>
      <c r="L38" s="11" t="str">
        <f>+'[1]EWR-154.396'!$F$11</f>
        <v>GOOD</v>
      </c>
      <c r="M38" s="15">
        <f>+'[1]EWR-154.396'!$H$12</f>
        <v>11</v>
      </c>
      <c r="N38" s="35" t="s">
        <v>25</v>
      </c>
      <c r="O38" s="15">
        <v>1</v>
      </c>
      <c r="P38" s="35" t="s">
        <v>458</v>
      </c>
      <c r="Q38" s="35" t="s">
        <v>1235</v>
      </c>
      <c r="R38" s="15"/>
      <c r="S38" s="24"/>
      <c r="T38" s="62" t="str">
        <f>+'[1]EWR-154.396'!$J$4</f>
        <v>Joe Lucin</v>
      </c>
      <c r="U38" s="62"/>
      <c r="V38" s="94">
        <f>+'[1]EWR-154.396'!$F$12</f>
        <v>12059792.454545455</v>
      </c>
      <c r="W38" s="199">
        <f t="shared" si="10"/>
        <v>0.86382382112003331</v>
      </c>
      <c r="X38" s="15"/>
      <c r="Y38" s="200">
        <f t="shared" si="23"/>
        <v>0.95573724770642199</v>
      </c>
      <c r="Z38" s="11" t="str">
        <f t="shared" si="24"/>
        <v>FAIL</v>
      </c>
      <c r="AA38" s="11"/>
      <c r="AB38" s="15"/>
      <c r="AC38" s="54">
        <f t="shared" si="25"/>
        <v>10900000</v>
      </c>
      <c r="AD38" s="54">
        <f t="shared" si="25"/>
        <v>10417536</v>
      </c>
      <c r="AE38" s="54">
        <f t="shared" si="26"/>
        <v>482464</v>
      </c>
    </row>
    <row r="39" spans="3:31" x14ac:dyDescent="0.25">
      <c r="C39" s="39">
        <v>2018</v>
      </c>
      <c r="D39" s="62" t="str">
        <f>+'[1]PAT-784.172'!$F$4</f>
        <v>PAT-784.172</v>
      </c>
      <c r="E39" s="63" t="str">
        <f>+'[1]PAT-784.172'!$F$5</f>
        <v>Hoboken Station Elevator Flood Resiliency</v>
      </c>
      <c r="F39" s="64">
        <f>+'[1]PAT-784.172'!$F$6</f>
        <v>43167</v>
      </c>
      <c r="G39" s="65" t="str">
        <f>+'[1]PAT-784.172'!$G$7</f>
        <v>Public</v>
      </c>
      <c r="H39" s="94">
        <f>+'[1]PAT-784.172'!$F$7</f>
        <v>1600000</v>
      </c>
      <c r="I39" s="94">
        <f>+'[1]PAT-784.172'!$F$8</f>
        <v>1948000</v>
      </c>
      <c r="J39" s="94"/>
      <c r="K39" s="26">
        <f>+'[1]PAT-784.172'!$G$9</f>
        <v>0.2175</v>
      </c>
      <c r="L39" s="11" t="str">
        <f>+'[1]PAT-784.172'!$F$11</f>
        <v>FAIL</v>
      </c>
      <c r="M39" s="15">
        <f>+'[1]PAT-784.172'!$H$12</f>
        <v>2</v>
      </c>
      <c r="N39" s="35" t="s">
        <v>25</v>
      </c>
      <c r="O39" s="15">
        <v>1</v>
      </c>
      <c r="P39" s="35" t="s">
        <v>459</v>
      </c>
      <c r="Q39" s="35" t="s">
        <v>1243</v>
      </c>
      <c r="R39" s="15"/>
      <c r="S39" s="24"/>
      <c r="T39" s="62" t="str">
        <f>+'[1]PAT-784.172'!$J$4</f>
        <v>Nathan Demaisip</v>
      </c>
      <c r="U39" s="62"/>
      <c r="V39" s="94">
        <f>+'[1]PAT-784.172'!$F$12</f>
        <v>2353500</v>
      </c>
      <c r="W39" s="199">
        <f t="shared" si="10"/>
        <v>0.82770342043764611</v>
      </c>
      <c r="X39" s="15"/>
      <c r="Y39" s="200">
        <f t="shared" si="23"/>
        <v>1.2175</v>
      </c>
      <c r="Z39" s="11" t="str">
        <f t="shared" si="24"/>
        <v>FAIL</v>
      </c>
      <c r="AA39" s="11"/>
      <c r="AB39" s="15"/>
      <c r="AC39" s="54">
        <f t="shared" si="25"/>
        <v>1600000</v>
      </c>
      <c r="AD39" s="54">
        <f t="shared" si="25"/>
        <v>1948000</v>
      </c>
      <c r="AE39" s="54">
        <f t="shared" si="26"/>
        <v>-348000</v>
      </c>
    </row>
    <row r="40" spans="3:31" x14ac:dyDescent="0.25">
      <c r="C40" s="39">
        <v>2018</v>
      </c>
      <c r="D40" s="62" t="str">
        <f>+'[1]EWR-924.231'!$F$4</f>
        <v>EWR-924.231</v>
      </c>
      <c r="E40" s="63" t="str">
        <f>+'[1]EWR-924.231'!$F$5</f>
        <v>Priority and Safety Repairs</v>
      </c>
      <c r="F40" s="64">
        <f>+'[1]EWR-924.231'!$F$6</f>
        <v>43160</v>
      </c>
      <c r="G40" s="65" t="str">
        <f>+'[1]EWR-924.231'!$G$7</f>
        <v>Public</v>
      </c>
      <c r="H40" s="94">
        <f>+'[1]EWR-924.231'!$F$7</f>
        <v>1273000</v>
      </c>
      <c r="I40" s="94">
        <f>+'[1]EWR-924.231'!$F$8</f>
        <v>1050950</v>
      </c>
      <c r="J40" s="94"/>
      <c r="K40" s="26">
        <f>+'[1]EWR-924.231'!$G$9</f>
        <v>-0.1744304791830322</v>
      </c>
      <c r="L40" s="11" t="str">
        <f>+'[1]EWR-924.231'!$F$11</f>
        <v>GOOD</v>
      </c>
      <c r="M40" s="15">
        <f>+'[1]EWR-924.231'!$H$12</f>
        <v>6</v>
      </c>
      <c r="N40" s="35" t="s">
        <v>25</v>
      </c>
      <c r="O40" s="15">
        <v>1</v>
      </c>
      <c r="P40" s="35" t="s">
        <v>458</v>
      </c>
      <c r="Q40" s="35" t="s">
        <v>1238</v>
      </c>
      <c r="R40" s="15"/>
      <c r="S40" s="24" t="s">
        <v>1244</v>
      </c>
      <c r="T40" s="62" t="str">
        <f>+'[1]EWR-924.231'!$J$4</f>
        <v>Joe Lucin</v>
      </c>
      <c r="U40" s="62"/>
      <c r="V40" s="94">
        <f>+'[1]EWR-924.231'!$F$12</f>
        <v>2050444.6666666667</v>
      </c>
      <c r="W40" s="199">
        <f t="shared" si="10"/>
        <v>0.51254735964589138</v>
      </c>
      <c r="X40" s="15"/>
      <c r="Y40" s="200">
        <f t="shared" si="23"/>
        <v>0.82556952081696777</v>
      </c>
      <c r="Z40" s="11" t="str">
        <f t="shared" si="24"/>
        <v>FAIL</v>
      </c>
      <c r="AA40" s="11"/>
      <c r="AB40" s="15"/>
      <c r="AC40" s="54">
        <f t="shared" si="25"/>
        <v>1273000</v>
      </c>
      <c r="AD40" s="54">
        <f t="shared" si="25"/>
        <v>1050950</v>
      </c>
      <c r="AE40" s="54">
        <f t="shared" si="26"/>
        <v>222050</v>
      </c>
    </row>
    <row r="41" spans="3:31" x14ac:dyDescent="0.25">
      <c r="C41" s="39">
        <v>2018</v>
      </c>
      <c r="D41" s="62" t="str">
        <f>+'[1]JFK-184.010'!$F$4</f>
        <v>JFK-184.010</v>
      </c>
      <c r="E41" s="63" t="str">
        <f>+'[1]JFK-184.010'!$F$5</f>
        <v>Replace Control Tower Roofs, HVAC Equipment and Curtain Wall Repairs</v>
      </c>
      <c r="F41" s="64">
        <f>+'[1]JFK-184.010'!$F$6</f>
        <v>43147</v>
      </c>
      <c r="G41" s="65" t="str">
        <f>+'[1]JFK-184.010'!$G$7</f>
        <v>Public</v>
      </c>
      <c r="H41" s="94">
        <f>+'[1]JFK-184.010'!$F$7</f>
        <v>23100000</v>
      </c>
      <c r="I41" s="94">
        <f>+'[1]JFK-184.010'!$F$8</f>
        <v>16848000</v>
      </c>
      <c r="J41" s="94"/>
      <c r="K41" s="26">
        <f>+'[1]JFK-184.010'!$G$9</f>
        <v>-0.27064935064935064</v>
      </c>
      <c r="L41" s="11" t="str">
        <f>+'[1]JFK-184.010'!$F$11</f>
        <v>GOOD</v>
      </c>
      <c r="M41" s="15">
        <f>+'[1]JFK-184.010'!$H$12</f>
        <v>6</v>
      </c>
      <c r="N41" s="35" t="s">
        <v>93</v>
      </c>
      <c r="O41" s="15">
        <v>1</v>
      </c>
      <c r="P41" s="35" t="s">
        <v>458</v>
      </c>
      <c r="Q41" s="35" t="s">
        <v>1243</v>
      </c>
      <c r="R41" s="15"/>
      <c r="S41" s="24"/>
      <c r="T41" s="62" t="str">
        <f>+'[1]JFK-184.010'!$J$4</f>
        <v>Wen Chang</v>
      </c>
      <c r="U41" s="62"/>
      <c r="V41" s="94">
        <f>+'[1]JFK-184.010'!$F$12</f>
        <v>24152208.666666668</v>
      </c>
      <c r="W41" s="199">
        <f t="shared" si="10"/>
        <v>0.69757595392310978</v>
      </c>
      <c r="X41" s="15"/>
      <c r="Y41" s="200">
        <f t="shared" si="23"/>
        <v>0.7293506493506493</v>
      </c>
      <c r="Z41" s="11" t="str">
        <f t="shared" si="24"/>
        <v>FAIL</v>
      </c>
      <c r="AA41" s="11"/>
      <c r="AB41" s="15"/>
      <c r="AC41" s="54">
        <f t="shared" si="25"/>
        <v>23100000</v>
      </c>
      <c r="AD41" s="54">
        <f t="shared" si="25"/>
        <v>16848000</v>
      </c>
      <c r="AE41" s="54">
        <f t="shared" si="26"/>
        <v>6252000</v>
      </c>
    </row>
    <row r="42" spans="3:31" x14ac:dyDescent="0.25">
      <c r="C42" s="39">
        <v>2018</v>
      </c>
      <c r="D42" s="62" t="str">
        <f>+'[1]LGA-124.264'!$F$4</f>
        <v>LGA-124.264</v>
      </c>
      <c r="E42" s="63" t="str">
        <f>+'[1]LGA-124.264'!$F$5</f>
        <v>Rehab of Runway Decks Wearing Course (Epoxy Stage 3)</v>
      </c>
      <c r="F42" s="64">
        <f>+'[1]LGA-124.264'!$F$6</f>
        <v>43139</v>
      </c>
      <c r="G42" s="65" t="str">
        <f>+'[1]LGA-124.264'!$G$7</f>
        <v>PQL</v>
      </c>
      <c r="H42" s="94">
        <f>+'[1]LGA-124.264'!$F$7</f>
        <v>10590000</v>
      </c>
      <c r="I42" s="94">
        <f>+'[1]LGA-124.264'!$F$8</f>
        <v>9125000</v>
      </c>
      <c r="J42" s="94"/>
      <c r="K42" s="26">
        <f>+'[1]LGA-124.264'!$G$9</f>
        <v>-0.13833805476864966</v>
      </c>
      <c r="L42" s="11" t="str">
        <f>+'[1]LGA-124.264'!$F$11</f>
        <v>FAIL</v>
      </c>
      <c r="M42" s="15">
        <f>+'[1]LGA-124.264'!$H$12</f>
        <v>2</v>
      </c>
      <c r="N42" s="35" t="s">
        <v>93</v>
      </c>
      <c r="O42" s="15">
        <v>1</v>
      </c>
      <c r="P42" s="35" t="s">
        <v>458</v>
      </c>
      <c r="Q42" s="35" t="s">
        <v>1235</v>
      </c>
      <c r="R42" s="15"/>
      <c r="S42" s="24"/>
      <c r="T42" s="62" t="str">
        <f>+'[1]LGA-124.264'!$J$4</f>
        <v>Joe Lucin</v>
      </c>
      <c r="U42" s="62"/>
      <c r="V42" s="94">
        <f>+'[1]LGA-124.264'!$F$12</f>
        <v>9478917</v>
      </c>
      <c r="W42" s="199">
        <f t="shared" si="10"/>
        <v>0.96266271769232714</v>
      </c>
      <c r="X42" s="15"/>
      <c r="Y42" s="200">
        <f t="shared" si="23"/>
        <v>0.86166194523135031</v>
      </c>
      <c r="Z42" s="11" t="str">
        <f t="shared" si="24"/>
        <v>FAIL</v>
      </c>
      <c r="AA42" s="11"/>
      <c r="AB42" s="15"/>
      <c r="AC42" s="54">
        <f t="shared" si="25"/>
        <v>10590000</v>
      </c>
      <c r="AD42" s="54">
        <f t="shared" si="25"/>
        <v>9125000</v>
      </c>
      <c r="AE42" s="54">
        <f t="shared" si="26"/>
        <v>1465000</v>
      </c>
    </row>
    <row r="43" spans="3:31" x14ac:dyDescent="0.25">
      <c r="C43" s="39">
        <v>2018</v>
      </c>
      <c r="D43" s="62" t="str">
        <f>+'[1]GWB-244.265'!$F$4</f>
        <v>GWB-244.265</v>
      </c>
      <c r="E43" s="63" t="str">
        <f>+'[1]GWB-244.265'!$F$5</f>
        <v>Pedestrian Safety Fencing on NJ Approach Parapets</v>
      </c>
      <c r="F43" s="64">
        <f>+'[1]GWB-244.265'!$F$6</f>
        <v>43138</v>
      </c>
      <c r="G43" s="65" t="str">
        <f>+'[1]GWB-244.265'!$G$7</f>
        <v>MWBE</v>
      </c>
      <c r="H43" s="94">
        <f>+'[1]GWB-244.265'!$F$7</f>
        <v>1056000</v>
      </c>
      <c r="I43" s="94">
        <f>+'[1]GWB-244.265'!$F$8</f>
        <v>619790</v>
      </c>
      <c r="J43" s="94"/>
      <c r="K43" s="26">
        <f>+'[1]GWB-244.265'!$G$9</f>
        <v>-0.41307765151515152</v>
      </c>
      <c r="L43" s="11" t="str">
        <f>+'[1]GWB-244.265'!$F$11</f>
        <v>GOOD</v>
      </c>
      <c r="M43" s="15">
        <f>+'[1]GWB-244.265'!$H$12</f>
        <v>6</v>
      </c>
      <c r="N43" s="35" t="s">
        <v>25</v>
      </c>
      <c r="O43" s="15">
        <v>1</v>
      </c>
      <c r="P43" s="35" t="s">
        <v>457</v>
      </c>
      <c r="Q43" s="35" t="s">
        <v>1238</v>
      </c>
      <c r="R43" s="15"/>
      <c r="S43" s="24"/>
      <c r="T43" s="62" t="str">
        <f>+'[1]GWB-244.265'!$J$4</f>
        <v>Joe Lucin</v>
      </c>
      <c r="U43" s="62"/>
      <c r="V43" s="94">
        <f>+'[1]GWB-244.265'!$F$12</f>
        <v>2319072.3333333335</v>
      </c>
      <c r="W43" s="199">
        <f t="shared" si="10"/>
        <v>0.26725772676057108</v>
      </c>
      <c r="X43" s="15"/>
      <c r="Y43" s="200">
        <f t="shared" si="23"/>
        <v>0.58692234848484848</v>
      </c>
      <c r="Z43" s="11" t="str">
        <f t="shared" si="24"/>
        <v>FAIL</v>
      </c>
      <c r="AA43" s="11"/>
      <c r="AB43" s="15"/>
      <c r="AC43" s="54">
        <f t="shared" si="25"/>
        <v>1056000</v>
      </c>
      <c r="AD43" s="54">
        <f t="shared" si="25"/>
        <v>619790</v>
      </c>
      <c r="AE43" s="54">
        <f t="shared" si="26"/>
        <v>436210</v>
      </c>
    </row>
    <row r="44" spans="3:31" x14ac:dyDescent="0.25">
      <c r="C44" s="39">
        <v>2018</v>
      </c>
      <c r="D44" s="62" t="str">
        <f>+'[1]LGA-774.264'!$F$4</f>
        <v>LGA-774.264</v>
      </c>
      <c r="E44" s="63" t="str">
        <f>+'[1]LGA-774.264'!$F$5</f>
        <v>Flood Protection at the West End Substation</v>
      </c>
      <c r="F44" s="64">
        <f>+'[1]LGA-774.264'!$F$6</f>
        <v>43125</v>
      </c>
      <c r="G44" s="65" t="str">
        <f>+'[1]LGA-774.264'!$G$7</f>
        <v>Public</v>
      </c>
      <c r="H44" s="94">
        <f>+'[1]LGA-774.264'!$F$7</f>
        <v>1700000</v>
      </c>
      <c r="I44" s="94">
        <f>+'[1]LGA-774.264'!$F$8</f>
        <v>1555555</v>
      </c>
      <c r="J44" s="94"/>
      <c r="K44" s="26">
        <f>+'[1]LGA-774.264'!$G$9</f>
        <v>-8.4967647058823523E-2</v>
      </c>
      <c r="L44" s="11" t="str">
        <f>+'[1]LGA-774.264'!$F$11</f>
        <v>GOOD</v>
      </c>
      <c r="M44" s="15">
        <f>+'[1]LGA-774.264'!$H$12</f>
        <v>9</v>
      </c>
      <c r="N44" s="35" t="s">
        <v>93</v>
      </c>
      <c r="O44" s="15">
        <v>1</v>
      </c>
      <c r="P44" s="35" t="s">
        <v>458</v>
      </c>
      <c r="Q44" s="35" t="s">
        <v>1245</v>
      </c>
      <c r="R44" s="15"/>
      <c r="S44" s="24"/>
      <c r="T44" s="62" t="str">
        <f>+'[1]LGA-774.264'!$J$4</f>
        <v>Joe Lucin</v>
      </c>
      <c r="U44" s="62"/>
      <c r="V44" s="94">
        <f>+'[1]LGA-774.264'!$F$12</f>
        <v>2601779.6666666665</v>
      </c>
      <c r="W44" s="199">
        <f t="shared" si="10"/>
        <v>0.59788114263839154</v>
      </c>
      <c r="X44" s="15"/>
      <c r="Y44" s="200">
        <f t="shared" si="23"/>
        <v>0.91503235294117646</v>
      </c>
      <c r="Z44" s="11" t="str">
        <f t="shared" si="24"/>
        <v>FAIL</v>
      </c>
      <c r="AA44" s="11"/>
      <c r="AB44" s="15"/>
      <c r="AC44" s="54">
        <f t="shared" si="25"/>
        <v>1700000</v>
      </c>
      <c r="AD44" s="54">
        <f t="shared" si="25"/>
        <v>1555555</v>
      </c>
      <c r="AE44" s="54">
        <f t="shared" si="26"/>
        <v>144445</v>
      </c>
    </row>
    <row r="45" spans="3:31" x14ac:dyDescent="0.25">
      <c r="C45" s="39">
        <v>2018</v>
      </c>
      <c r="D45" s="62" t="str">
        <f>+'[1]HH-634.514'!$F$4</f>
        <v>HH-634.514</v>
      </c>
      <c r="E45" s="63" t="str">
        <f>+'[1]HH-634.514'!$F$5</f>
        <v>Howland Hook Upgrade of Pavement Subgrade</v>
      </c>
      <c r="F45" s="64">
        <f>+'[1]HH-634.514'!$F$6</f>
        <v>43124</v>
      </c>
      <c r="G45" s="65" t="str">
        <f>+'[1]HH-634.514'!$G$7</f>
        <v>Public</v>
      </c>
      <c r="H45" s="94">
        <f>+'[1]HH-634.514'!$F$7</f>
        <v>22000000</v>
      </c>
      <c r="I45" s="94">
        <f>+'[1]HH-634.514'!$F$8</f>
        <v>19988889</v>
      </c>
      <c r="J45" s="94"/>
      <c r="K45" s="26">
        <f>+'[1]HH-634.514'!$G$9</f>
        <v>-9.1414136363636364E-2</v>
      </c>
      <c r="L45" s="11" t="str">
        <f>+'[1]HH-634.514'!$F$11</f>
        <v>GOOD</v>
      </c>
      <c r="M45" s="15">
        <f>+'[1]HH-634.514'!$H$12</f>
        <v>13</v>
      </c>
      <c r="N45" s="35" t="s">
        <v>93</v>
      </c>
      <c r="O45" s="15">
        <v>1</v>
      </c>
      <c r="P45" s="35" t="s">
        <v>492</v>
      </c>
      <c r="Q45" s="35" t="s">
        <v>1245</v>
      </c>
      <c r="R45" s="15"/>
      <c r="S45" s="24"/>
      <c r="T45" s="62" t="str">
        <f>+'[1]HH-634.514'!$J$4</f>
        <v>Ed Minall</v>
      </c>
      <c r="U45" s="62"/>
      <c r="V45" s="94">
        <f>+'[1]HH-634.514'!$F$12</f>
        <v>27586889.692307692</v>
      </c>
      <c r="W45" s="199">
        <f t="shared" si="10"/>
        <v>0.72457929193712933</v>
      </c>
      <c r="X45" s="15"/>
      <c r="Y45" s="200">
        <f t="shared" si="23"/>
        <v>0.90858586363636362</v>
      </c>
      <c r="Z45" s="11" t="str">
        <f t="shared" si="24"/>
        <v>FAIL</v>
      </c>
      <c r="AA45" s="11"/>
      <c r="AB45" s="15"/>
      <c r="AC45" s="54">
        <f t="shared" si="25"/>
        <v>22000000</v>
      </c>
      <c r="AD45" s="54">
        <f t="shared" si="25"/>
        <v>19988889</v>
      </c>
      <c r="AE45" s="54">
        <f t="shared" si="26"/>
        <v>2011111</v>
      </c>
    </row>
    <row r="46" spans="3:31" x14ac:dyDescent="0.25">
      <c r="C46" s="39">
        <v>2018</v>
      </c>
      <c r="D46" s="62" t="str">
        <f>+'[1]PAT-924.802'!$F$4</f>
        <v>PAT-924.802</v>
      </c>
      <c r="E46" s="63" t="str">
        <f>+'[1]PAT-924.802'!$F$5</f>
        <v>Fire Alarm System Upgrade</v>
      </c>
      <c r="F46" s="64">
        <f>+'[1]PAT-924.802'!$F$6</f>
        <v>43118</v>
      </c>
      <c r="G46" s="65" t="str">
        <f>+'[1]PAT-924.802'!$G$7</f>
        <v>VVP</v>
      </c>
      <c r="H46" s="94">
        <f>+'[1]PAT-924.802'!$F$7</f>
        <v>26900000</v>
      </c>
      <c r="I46" s="94">
        <f>+'[1]PAT-924.802'!$F$8</f>
        <v>24990000</v>
      </c>
      <c r="J46" s="94"/>
      <c r="K46" s="26">
        <f>+'[1]PAT-924.802'!$G$9</f>
        <v>-7.1003717472118963E-2</v>
      </c>
      <c r="L46" s="11" t="str">
        <f>+'[1]PAT-924.802'!$F$11</f>
        <v>GOOD</v>
      </c>
      <c r="M46" s="15">
        <f>+'[1]PAT-924.802'!$H$12</f>
        <v>2</v>
      </c>
      <c r="N46" s="35" t="s">
        <v>226</v>
      </c>
      <c r="O46" s="15">
        <v>1</v>
      </c>
      <c r="P46" s="35" t="s">
        <v>459</v>
      </c>
      <c r="Q46" s="35" t="s">
        <v>1246</v>
      </c>
      <c r="R46" s="15"/>
      <c r="S46" s="24"/>
      <c r="T46" s="62" t="str">
        <f>+'[1]PAT-924.802'!$J$4</f>
        <v>Nathan Demaisip</v>
      </c>
      <c r="U46" s="62"/>
      <c r="V46" s="94">
        <f>+'[1]PAT-924.802'!$F$12</f>
        <v>35017000</v>
      </c>
      <c r="W46" s="199">
        <f t="shared" si="10"/>
        <v>0.71365336836393756</v>
      </c>
      <c r="X46" s="15"/>
      <c r="Y46" s="200">
        <f t="shared" si="23"/>
        <v>0.92899628252788102</v>
      </c>
      <c r="Z46" s="11" t="str">
        <f t="shared" si="24"/>
        <v>FAIL</v>
      </c>
      <c r="AA46" s="11"/>
      <c r="AB46" s="15"/>
      <c r="AC46" s="54">
        <f t="shared" si="25"/>
        <v>26900000</v>
      </c>
      <c r="AD46" s="54">
        <f t="shared" si="25"/>
        <v>24990000</v>
      </c>
      <c r="AE46" s="54">
        <f t="shared" si="26"/>
        <v>1910000</v>
      </c>
    </row>
    <row r="47" spans="3:31" x14ac:dyDescent="0.25">
      <c r="C47" s="39">
        <v>2018</v>
      </c>
      <c r="D47" s="62" t="str">
        <f>+'[1]EWR-154.224 Void'!$F$4</f>
        <v>EWR-154.224</v>
      </c>
      <c r="E47" s="63" t="str">
        <f>+'[1]EWR-154.224 Void'!$F$5</f>
        <v>Terminal B Exterior Curtain Wall Upgrade</v>
      </c>
      <c r="F47" s="64">
        <f>+'[1]EWR-154.224 Void'!$F$6</f>
        <v>43117</v>
      </c>
      <c r="G47" s="65"/>
      <c r="H47" s="94"/>
      <c r="I47" s="94"/>
      <c r="J47" s="94"/>
      <c r="K47" s="26"/>
      <c r="L47" s="11"/>
      <c r="M47" s="15"/>
      <c r="N47" s="35"/>
      <c r="O47" s="15"/>
      <c r="P47" s="35"/>
      <c r="Q47" s="35"/>
      <c r="R47" s="15"/>
      <c r="S47" s="24" t="s">
        <v>227</v>
      </c>
      <c r="T47" s="62"/>
      <c r="U47" s="62"/>
      <c r="V47" s="94"/>
      <c r="W47" s="199"/>
      <c r="X47" s="15"/>
      <c r="Y47" s="200"/>
      <c r="Z47" s="11"/>
      <c r="AA47" s="11"/>
      <c r="AB47" s="15"/>
      <c r="AC47" s="54"/>
      <c r="AD47" s="54"/>
      <c r="AE47" s="54"/>
    </row>
    <row r="48" spans="3:31" x14ac:dyDescent="0.25">
      <c r="C48" s="39">
        <v>2018</v>
      </c>
      <c r="D48" s="62" t="str">
        <f>+'[1]PAT-650'!$F$4</f>
        <v>PAT-650</v>
      </c>
      <c r="E48" s="63" t="str">
        <f>+'[1]PAT-650'!$F$5</f>
        <v>Tunnels E and F Infrastructure Repairs</v>
      </c>
      <c r="F48" s="64">
        <f>+'[1]PAT-650'!$F$6</f>
        <v>43110</v>
      </c>
      <c r="G48" s="65" t="str">
        <f>+'[1]PAT-650'!$G$7</f>
        <v>PQL</v>
      </c>
      <c r="H48" s="94">
        <f>+'[1]PAT-650'!$F$7</f>
        <v>200000000</v>
      </c>
      <c r="I48" s="94">
        <f>+'[1]PAT-650'!$F$8</f>
        <v>108511400</v>
      </c>
      <c r="J48" s="94"/>
      <c r="K48" s="26">
        <f>+'[1]PAT-650'!$G$9</f>
        <v>-0.45744299999999999</v>
      </c>
      <c r="L48" s="11" t="str">
        <f>+'[1]PAT-650'!$F$11</f>
        <v>FAIL</v>
      </c>
      <c r="M48" s="15">
        <f>+'[1]PAT-650'!$H$12</f>
        <v>5</v>
      </c>
      <c r="N48" s="35" t="s">
        <v>226</v>
      </c>
      <c r="O48" s="15">
        <v>1</v>
      </c>
      <c r="P48" s="35" t="s">
        <v>459</v>
      </c>
      <c r="Q48" s="35" t="s">
        <v>1246</v>
      </c>
      <c r="R48" s="15"/>
      <c r="S48" s="24" t="s">
        <v>932</v>
      </c>
      <c r="T48" s="62" t="str">
        <f>+'[1]PAT-650'!$J$4</f>
        <v>Nathan Demaisip</v>
      </c>
      <c r="U48" s="62"/>
      <c r="V48" s="94">
        <f>+'[1]PAT-650'!$F$12</f>
        <v>136419680</v>
      </c>
      <c r="W48" s="199">
        <f t="shared" si="10"/>
        <v>0.79542335827206168</v>
      </c>
      <c r="X48" s="15"/>
      <c r="Y48" s="200">
        <f t="shared" si="23"/>
        <v>0.54255699999999996</v>
      </c>
      <c r="Z48" s="11" t="str">
        <f t="shared" si="24"/>
        <v>FAIL</v>
      </c>
      <c r="AA48" s="11"/>
      <c r="AB48" s="15"/>
      <c r="AC48" s="54">
        <f t="shared" ref="AC48:AD49" si="27">+H48</f>
        <v>200000000</v>
      </c>
      <c r="AD48" s="54">
        <f t="shared" si="27"/>
        <v>108511400</v>
      </c>
      <c r="AE48" s="54">
        <f t="shared" ref="AE48:AE49" si="28">+AC48-AD48</f>
        <v>91488600</v>
      </c>
    </row>
    <row r="49" spans="2:35" x14ac:dyDescent="0.25">
      <c r="B49" s="203">
        <f>(COUNTIF(L34:L49,"G*")/COUNTA(L34:L49))</f>
        <v>0.66666666666666663</v>
      </c>
      <c r="C49" s="39">
        <v>2018</v>
      </c>
      <c r="D49" s="62" t="str">
        <f>+'[1]GWB-244.267'!$F$4</f>
        <v>GWB-244.267</v>
      </c>
      <c r="E49" s="63" t="str">
        <f>+'[1]GWB-244.267'!$F$5</f>
        <v>TME Hydrant and Water Main Rehabilitation</v>
      </c>
      <c r="F49" s="64">
        <f>+'[1]GWB-244.267'!$F$6</f>
        <v>43108</v>
      </c>
      <c r="G49" s="65" t="str">
        <f>+'[1]GWB-244.267'!$G$7</f>
        <v>PQL</v>
      </c>
      <c r="H49" s="94">
        <f>+'[1]GWB-244.267'!$F$7</f>
        <v>8520000</v>
      </c>
      <c r="I49" s="94">
        <f>+'[1]GWB-244.267'!$F$8</f>
        <v>6850075</v>
      </c>
      <c r="J49" s="94"/>
      <c r="K49" s="26">
        <f>+'[1]GWB-244.267'!$G$9</f>
        <v>-0.19600058685446009</v>
      </c>
      <c r="L49" s="11" t="str">
        <f>+'[1]GWB-244.267'!$F$11</f>
        <v>GOOD</v>
      </c>
      <c r="M49" s="15">
        <f>+'[1]GWB-244.267'!$H$12</f>
        <v>5</v>
      </c>
      <c r="N49" s="35" t="s">
        <v>93</v>
      </c>
      <c r="O49" s="15">
        <v>1</v>
      </c>
      <c r="P49" s="35" t="s">
        <v>457</v>
      </c>
      <c r="Q49" s="35" t="s">
        <v>1235</v>
      </c>
      <c r="R49" s="15"/>
      <c r="S49" s="24"/>
      <c r="T49" s="62" t="str">
        <f>+'[1]GWB-244.267'!$J$4</f>
        <v>Joe Lucin</v>
      </c>
      <c r="U49" s="62"/>
      <c r="V49" s="94">
        <f>+'[1]GWB-244.267'!$F$12</f>
        <v>10472836.199999999</v>
      </c>
      <c r="W49" s="199">
        <f t="shared" si="10"/>
        <v>0.65408021945382866</v>
      </c>
      <c r="X49" s="15"/>
      <c r="Y49" s="200">
        <f t="shared" si="23"/>
        <v>0.80399941314553991</v>
      </c>
      <c r="Z49" s="11" t="str">
        <f t="shared" si="24"/>
        <v>FAIL</v>
      </c>
      <c r="AA49" s="74">
        <f>(COUNTIF(Z34:Z49,"G*")/COUNTA(Z34:Z49))</f>
        <v>0</v>
      </c>
      <c r="AB49" s="15"/>
      <c r="AC49" s="54">
        <f t="shared" si="27"/>
        <v>8520000</v>
      </c>
      <c r="AD49" s="54">
        <f t="shared" si="27"/>
        <v>6850075</v>
      </c>
      <c r="AE49" s="54">
        <f t="shared" si="28"/>
        <v>1669925</v>
      </c>
      <c r="AG49" s="4">
        <f>SUM(H34:H49)</f>
        <v>337954000</v>
      </c>
      <c r="AH49" s="4">
        <f>SUM(I34:I49)</f>
        <v>228800072</v>
      </c>
      <c r="AI49" s="7">
        <f>+AH49/AG49</f>
        <v>0.67701542813519</v>
      </c>
    </row>
    <row r="50" spans="2:35" ht="7.5" customHeight="1" x14ac:dyDescent="0.25">
      <c r="C50" s="39"/>
      <c r="G50" s="45"/>
      <c r="P50" s="11"/>
      <c r="Q50" s="11"/>
      <c r="T50" s="15"/>
      <c r="U50" s="15"/>
      <c r="V50" s="94"/>
      <c r="W50" s="199"/>
      <c r="AC50" s="54"/>
      <c r="AD50" s="54"/>
      <c r="AE50" s="54"/>
    </row>
    <row r="51" spans="2:35" x14ac:dyDescent="0.25">
      <c r="C51" s="39">
        <v>2017</v>
      </c>
      <c r="D51" s="102" t="str">
        <f>+'GWB-244.261'!$F$4</f>
        <v>GWB-244.261</v>
      </c>
      <c r="E51" s="63" t="str">
        <f>+'GWB-244.261'!$F$5</f>
        <v>Rehab of Low Voltage Power Systems</v>
      </c>
      <c r="F51" s="64">
        <f>+'GWB-244.261'!$F$6</f>
        <v>43088</v>
      </c>
      <c r="G51" s="65" t="str">
        <f>+'GWB-244.261'!$G$7</f>
        <v>MWBE</v>
      </c>
      <c r="H51" s="94">
        <f>+'GWB-244.261'!$F$7</f>
        <v>795000</v>
      </c>
      <c r="I51" s="27">
        <f>+'GWB-244.261'!$F$8</f>
        <v>353700</v>
      </c>
      <c r="J51" s="27"/>
      <c r="K51" s="26">
        <f>+'GWB-244.261'!$G$9</f>
        <v>-0.55509433962264154</v>
      </c>
      <c r="L51" s="11" t="str">
        <f>+'GWB-244.261'!$F$11</f>
        <v>GOOD</v>
      </c>
      <c r="M51" s="62">
        <f>+'GWB-244.261'!$H$12</f>
        <v>8</v>
      </c>
      <c r="N51" s="35" t="s">
        <v>226</v>
      </c>
      <c r="O51" s="15">
        <v>4</v>
      </c>
      <c r="P51" s="35" t="s">
        <v>457</v>
      </c>
      <c r="Q51" s="15"/>
      <c r="R51" s="24"/>
      <c r="S51" s="62" t="str">
        <f>+'GWB-244.261'!$J$4</f>
        <v>Gennadiy Zavokovsky</v>
      </c>
      <c r="T51" s="15"/>
      <c r="U51" s="15"/>
      <c r="V51" s="54">
        <f t="shared" ref="V51:W66" si="29">+H51</f>
        <v>795000</v>
      </c>
      <c r="W51" s="54">
        <f t="shared" si="29"/>
        <v>353700</v>
      </c>
      <c r="X51" s="54">
        <f t="shared" ref="X51:X67" si="30">+V51-W51</f>
        <v>441300</v>
      </c>
      <c r="Z51" s="11" t="str">
        <f>(IF(Z3&lt;AD52,"FAIL",IF(Z3&gt;AD53,"FAIL","GOOD")))</f>
        <v>GOOD</v>
      </c>
    </row>
    <row r="52" spans="2:35" x14ac:dyDescent="0.25">
      <c r="C52" s="39">
        <v>2017</v>
      </c>
      <c r="D52" s="102" t="str">
        <f>+'TEB-144.056'!$F$4</f>
        <v>TEB-144.056</v>
      </c>
      <c r="E52" s="63" t="str">
        <f>+'TEB-144.056'!$F$5</f>
        <v>Rehabilitation of Sewage Pumps</v>
      </c>
      <c r="F52" s="64">
        <f>+'TEB-144.056'!$F$6</f>
        <v>43083</v>
      </c>
      <c r="G52" s="65" t="str">
        <f>+'TEB-144.056'!$G$7</f>
        <v>MWBE</v>
      </c>
      <c r="H52" s="94">
        <f>+'TEB-144.056'!$F$7</f>
        <v>979000</v>
      </c>
      <c r="I52" s="27">
        <f>+'TEB-144.056'!$F$8</f>
        <v>1168000</v>
      </c>
      <c r="J52" s="27"/>
      <c r="K52" s="26">
        <f>+'TEB-144.056'!$G$9</f>
        <v>0.1930541368743616</v>
      </c>
      <c r="L52" s="11" t="str">
        <f>+'TEB-144.056'!$F$11</f>
        <v>FAIL</v>
      </c>
      <c r="M52" s="62">
        <f>+'TEB-144.056'!$H$12</f>
        <v>2</v>
      </c>
      <c r="N52" s="35" t="s">
        <v>25</v>
      </c>
      <c r="O52" s="15">
        <v>4</v>
      </c>
      <c r="P52" s="35" t="s">
        <v>458</v>
      </c>
      <c r="Q52" s="15"/>
      <c r="R52" s="24"/>
      <c r="S52" s="62" t="str">
        <f>+'TEB-144.056'!$J$4</f>
        <v>Joe Lucin</v>
      </c>
      <c r="T52" s="15"/>
      <c r="U52" s="15"/>
      <c r="V52" s="54">
        <f t="shared" si="29"/>
        <v>979000</v>
      </c>
      <c r="W52" s="54">
        <f t="shared" si="29"/>
        <v>1168000</v>
      </c>
      <c r="X52" s="54">
        <f t="shared" si="30"/>
        <v>-189000</v>
      </c>
    </row>
    <row r="53" spans="2:35" x14ac:dyDescent="0.25">
      <c r="C53" s="39">
        <v>2017</v>
      </c>
      <c r="D53" s="102" t="str">
        <f>+'PN-654.562'!$F$4</f>
        <v>PN-654.562</v>
      </c>
      <c r="E53" s="63" t="str">
        <f>+'PN-654.562'!$F$5</f>
        <v>Building 267 Roof Collapse Repair</v>
      </c>
      <c r="F53" s="64">
        <f>+'PN-654.562'!$F$6</f>
        <v>43083</v>
      </c>
      <c r="G53" s="65"/>
      <c r="H53" s="94"/>
      <c r="I53" s="27"/>
      <c r="J53" s="27"/>
      <c r="K53" s="26"/>
      <c r="L53" s="11"/>
      <c r="M53" s="62"/>
      <c r="N53" s="35"/>
      <c r="O53" s="15"/>
      <c r="P53" s="35"/>
      <c r="Q53" s="15"/>
      <c r="R53" s="24" t="s">
        <v>227</v>
      </c>
      <c r="S53" s="62" t="str">
        <f>+'PN-654.562'!$J$4</f>
        <v>Ed Minall</v>
      </c>
      <c r="T53" s="15"/>
      <c r="U53" s="15"/>
      <c r="V53" s="54">
        <f t="shared" si="29"/>
        <v>0</v>
      </c>
      <c r="W53" s="54">
        <f t="shared" si="29"/>
        <v>0</v>
      </c>
      <c r="X53" s="54">
        <f t="shared" si="30"/>
        <v>0</v>
      </c>
    </row>
    <row r="54" spans="2:35" x14ac:dyDescent="0.25">
      <c r="C54" s="39">
        <v>2017</v>
      </c>
      <c r="D54" s="102" t="str">
        <f>+'LGA-924.287'!$F$4</f>
        <v>LGA-924.287</v>
      </c>
      <c r="E54" s="63" t="str">
        <f>+'LGA-924.287'!$F$5</f>
        <v>Airside Asphalt Paving Repairs via Work Order</v>
      </c>
      <c r="F54" s="64">
        <f>+'LGA-924.287'!$F$6</f>
        <v>43083</v>
      </c>
      <c r="G54" s="65" t="str">
        <f>+'LGA-924.287'!$G$7</f>
        <v>PQL</v>
      </c>
      <c r="H54" s="94">
        <f>+'LGA-924.287'!$F$7</f>
        <v>4872000</v>
      </c>
      <c r="I54" s="27">
        <f>+'LGA-924.287'!$F$8</f>
        <v>3997350</v>
      </c>
      <c r="J54" s="27"/>
      <c r="K54" s="26">
        <f>+'LGA-924.287'!$G$9</f>
        <v>-0.17952586206896551</v>
      </c>
      <c r="L54" s="11" t="str">
        <f>+'LGA-924.287'!$F$11</f>
        <v>GOOD</v>
      </c>
      <c r="M54" s="62">
        <f>+'LGA-924.287'!$H$12</f>
        <v>5</v>
      </c>
      <c r="N54" s="35" t="s">
        <v>93</v>
      </c>
      <c r="O54" s="15">
        <v>4</v>
      </c>
      <c r="P54" s="35" t="s">
        <v>458</v>
      </c>
      <c r="Q54" s="15"/>
      <c r="R54" s="24"/>
      <c r="S54" s="62" t="str">
        <f>+'LGA-924.287'!$J$4</f>
        <v>Joe Lucin</v>
      </c>
      <c r="T54" s="15"/>
      <c r="U54" s="15"/>
      <c r="V54" s="54">
        <f t="shared" si="29"/>
        <v>4872000</v>
      </c>
      <c r="W54" s="54">
        <f t="shared" si="29"/>
        <v>3997350</v>
      </c>
      <c r="X54" s="54">
        <f t="shared" si="30"/>
        <v>874650</v>
      </c>
    </row>
    <row r="55" spans="2:35" x14ac:dyDescent="0.25">
      <c r="C55" s="39">
        <v>2017</v>
      </c>
      <c r="D55" s="102" t="str">
        <f>+'EWR-154.263'!$F$4</f>
        <v>EWR-154.263</v>
      </c>
      <c r="E55" s="63" t="str">
        <f>+'EWR-154.263'!$F$5</f>
        <v>Terminal B Satellite B2 Sterile Corridor Glass Door Replacement</v>
      </c>
      <c r="F55" s="64">
        <f>+'EWR-154.263'!$F$6</f>
        <v>43074</v>
      </c>
      <c r="G55" s="65" t="str">
        <f>+'EWR-154.263'!$G$7</f>
        <v>Public</v>
      </c>
      <c r="H55" s="94">
        <f>+'EWR-154.263'!$F$7</f>
        <v>1530000</v>
      </c>
      <c r="I55" s="27">
        <f>+'EWR-154.263'!$F$8</f>
        <v>1189000</v>
      </c>
      <c r="J55" s="27"/>
      <c r="K55" s="26">
        <f>+'EWR-154.263'!$G$9</f>
        <v>-0.22287581699346407</v>
      </c>
      <c r="L55" s="11" t="str">
        <f>+'EWR-154.263'!$F$11</f>
        <v>GOOD</v>
      </c>
      <c r="M55" s="62">
        <f>+'EWR-154.263'!$H$12</f>
        <v>3</v>
      </c>
      <c r="N55" s="35" t="s">
        <v>25</v>
      </c>
      <c r="O55" s="15">
        <v>4</v>
      </c>
      <c r="P55" s="35" t="s">
        <v>458</v>
      </c>
      <c r="Q55" s="15"/>
      <c r="R55" s="24"/>
      <c r="S55" s="62" t="str">
        <f>+'EWR-154.263'!$J$4</f>
        <v>Henry Yu</v>
      </c>
      <c r="T55" s="15"/>
      <c r="U55" s="15"/>
      <c r="V55" s="54">
        <f t="shared" si="29"/>
        <v>1530000</v>
      </c>
      <c r="W55" s="54">
        <f t="shared" si="29"/>
        <v>1189000</v>
      </c>
      <c r="X55" s="54">
        <f t="shared" si="30"/>
        <v>341000</v>
      </c>
    </row>
    <row r="56" spans="2:35" x14ac:dyDescent="0.25">
      <c r="C56" s="39">
        <v>2017</v>
      </c>
      <c r="D56" s="102" t="str">
        <f>+'JFK-144.023'!$F$4</f>
        <v>JFK-144.023</v>
      </c>
      <c r="E56" s="63" t="str">
        <f>+'JFK-144.023'!$F$5</f>
        <v>AOA Light Circuit Replacement</v>
      </c>
      <c r="F56" s="64">
        <f>+'JFK-144.023'!$F$6</f>
        <v>43074</v>
      </c>
      <c r="G56" s="65" t="str">
        <f>+'JFK-144.023'!$G$7</f>
        <v>Public</v>
      </c>
      <c r="H56" s="94">
        <f>+'JFK-144.023'!$F$7</f>
        <v>38000000</v>
      </c>
      <c r="I56" s="27">
        <f>+'JFK-144.023'!$F$8</f>
        <v>28470000</v>
      </c>
      <c r="J56" s="105" t="s">
        <v>519</v>
      </c>
      <c r="K56" s="26">
        <f>+'JFK-144.023'!$G$9</f>
        <v>-0.25078947368421051</v>
      </c>
      <c r="L56" s="11" t="str">
        <f>+'JFK-144.023'!$F$11</f>
        <v>GOOD</v>
      </c>
      <c r="M56" s="62">
        <f>+'JFK-144.023'!$H$12</f>
        <v>4</v>
      </c>
      <c r="N56" s="35" t="s">
        <v>93</v>
      </c>
      <c r="O56" s="15">
        <v>4</v>
      </c>
      <c r="P56" s="35" t="s">
        <v>458</v>
      </c>
      <c r="Q56" s="15"/>
      <c r="R56" s="24" t="s">
        <v>1221</v>
      </c>
      <c r="S56" s="62" t="str">
        <f>+'JFK-144.023'!$J$4</f>
        <v>Henry Yu</v>
      </c>
      <c r="T56" s="15"/>
      <c r="U56" s="15"/>
      <c r="V56" s="54">
        <f t="shared" si="29"/>
        <v>38000000</v>
      </c>
      <c r="W56" s="54">
        <f t="shared" si="29"/>
        <v>28470000</v>
      </c>
      <c r="X56" s="54">
        <f t="shared" si="30"/>
        <v>9530000</v>
      </c>
    </row>
    <row r="57" spans="2:35" x14ac:dyDescent="0.25">
      <c r="C57" s="39">
        <v>2017</v>
      </c>
      <c r="D57" s="102" t="str">
        <f>+'EWR-154.235'!$F$4</f>
        <v>EWR-154.235</v>
      </c>
      <c r="E57" s="63" t="str">
        <f>+'EWR-154.235'!$F$5</f>
        <v>Rehab CTA Entrance and Bridges N1, N2, N5, N6</v>
      </c>
      <c r="F57" s="64">
        <f>+'EWR-154.235'!$F$6</f>
        <v>43068</v>
      </c>
      <c r="G57" s="65" t="str">
        <f>+'EWR-154.235'!$G$7</f>
        <v>Public</v>
      </c>
      <c r="H57" s="94">
        <f>+'EWR-154.235'!$F$7</f>
        <v>6600000</v>
      </c>
      <c r="I57" s="27">
        <f>+'EWR-154.235'!$F$8</f>
        <v>5189333</v>
      </c>
      <c r="J57" s="94" t="s">
        <v>519</v>
      </c>
      <c r="K57" s="26">
        <f>+'EWR-154.235'!$G$9</f>
        <v>-0.21373742424242423</v>
      </c>
      <c r="L57" s="11" t="str">
        <f>+'EWR-154.235'!$F$11</f>
        <v>GOOD</v>
      </c>
      <c r="M57" s="62">
        <f>+'EWR-154.235'!$H$12</f>
        <v>7</v>
      </c>
      <c r="N57" s="35" t="s">
        <v>25</v>
      </c>
      <c r="O57" s="15">
        <v>4</v>
      </c>
      <c r="P57" s="35" t="s">
        <v>458</v>
      </c>
      <c r="Q57" s="15"/>
      <c r="R57" s="24"/>
      <c r="S57" s="62" t="str">
        <f>+'EWR-154.235'!$J$4</f>
        <v>Henry Yu</v>
      </c>
      <c r="T57" s="15"/>
      <c r="U57" s="15"/>
      <c r="V57" s="54">
        <f t="shared" si="29"/>
        <v>6600000</v>
      </c>
      <c r="W57" s="54">
        <f t="shared" si="29"/>
        <v>5189333</v>
      </c>
      <c r="X57" s="54">
        <f t="shared" si="30"/>
        <v>1410667</v>
      </c>
    </row>
    <row r="58" spans="2:35" x14ac:dyDescent="0.25">
      <c r="C58" s="39">
        <v>2017</v>
      </c>
      <c r="D58" s="102" t="str">
        <f>+'LT-234.193'!$F$4</f>
        <v>LT-234.193</v>
      </c>
      <c r="E58" s="63" t="str">
        <f>+'LT-234.193'!$F$5</f>
        <v>Latent Salt Damage Repairs</v>
      </c>
      <c r="F58" s="64">
        <f>+'LT-234.193'!$F$6</f>
        <v>43054</v>
      </c>
      <c r="G58" s="65" t="str">
        <f>+'LT-234.193'!$G$7</f>
        <v>Public</v>
      </c>
      <c r="H58" s="94">
        <f>+'LT-234.193'!$F$7</f>
        <v>1350000</v>
      </c>
      <c r="I58" s="27">
        <f>+'LT-234.193'!$F$8</f>
        <v>2629000</v>
      </c>
      <c r="J58" s="27"/>
      <c r="K58" s="26">
        <f>+'LT-234.193'!$G$9</f>
        <v>0.94740740740740736</v>
      </c>
      <c r="L58" s="11" t="str">
        <f>+'LT-234.193'!$F$11</f>
        <v>FAIL</v>
      </c>
      <c r="M58" s="62">
        <f>+'LT-234.193'!$H$12</f>
        <v>1</v>
      </c>
      <c r="N58" s="35" t="s">
        <v>226</v>
      </c>
      <c r="O58" s="15">
        <v>4</v>
      </c>
      <c r="P58" s="35" t="s">
        <v>457</v>
      </c>
      <c r="Q58" s="15"/>
      <c r="R58" s="24" t="s">
        <v>782</v>
      </c>
      <c r="S58" s="62" t="str">
        <f>+'LT-234.193'!$J$4</f>
        <v>Joe Lucin</v>
      </c>
      <c r="T58" s="15"/>
      <c r="U58" s="15"/>
      <c r="V58" s="54">
        <f t="shared" si="29"/>
        <v>1350000</v>
      </c>
      <c r="W58" s="54">
        <f t="shared" si="29"/>
        <v>2629000</v>
      </c>
      <c r="X58" s="54">
        <f t="shared" si="30"/>
        <v>-1279000</v>
      </c>
    </row>
    <row r="59" spans="2:35" x14ac:dyDescent="0.25">
      <c r="C59" s="39">
        <v>2017</v>
      </c>
      <c r="D59" s="102" t="str">
        <f>+'BT-254.085'!$F$4</f>
        <v>BT-254.085</v>
      </c>
      <c r="E59" s="63" t="str">
        <f>+'BT-254.085'!$F$5</f>
        <v>Internal Structural Enhancements (Column Hardening)</v>
      </c>
      <c r="F59" s="64">
        <f>+'BT-254.085'!$F$6</f>
        <v>43053</v>
      </c>
      <c r="G59" s="65" t="str">
        <f>+'BT-254.085'!$G$7</f>
        <v>VVP</v>
      </c>
      <c r="H59" s="94">
        <f>+'BT-254.085'!$F$7</f>
        <v>17250000</v>
      </c>
      <c r="I59" s="27">
        <f>+'BT-254.085'!$F$8</f>
        <v>22616488</v>
      </c>
      <c r="J59" s="105" t="s">
        <v>519</v>
      </c>
      <c r="K59" s="26">
        <f>+'BT-254.085'!$G$9</f>
        <v>0.3111007536231884</v>
      </c>
      <c r="L59" s="11" t="str">
        <f>+'BT-254.085'!$F$11</f>
        <v>FAIL</v>
      </c>
      <c r="M59" s="62">
        <f>+'BT-254.085'!$H$12</f>
        <v>4</v>
      </c>
      <c r="N59" s="35" t="s">
        <v>93</v>
      </c>
      <c r="O59" s="15">
        <v>4</v>
      </c>
      <c r="P59" s="35" t="s">
        <v>457</v>
      </c>
      <c r="Q59" s="15"/>
      <c r="R59" s="24"/>
      <c r="S59" s="62" t="str">
        <f>+'BT-254.085'!$J$4</f>
        <v>Nathan Demaisip</v>
      </c>
      <c r="T59" s="15"/>
      <c r="U59" s="15"/>
      <c r="V59" s="54">
        <f t="shared" si="29"/>
        <v>17250000</v>
      </c>
      <c r="W59" s="54">
        <f t="shared" si="29"/>
        <v>22616488</v>
      </c>
      <c r="X59" s="54">
        <f t="shared" si="30"/>
        <v>-5366488</v>
      </c>
    </row>
    <row r="60" spans="2:35" x14ac:dyDescent="0.25">
      <c r="C60" s="39">
        <v>2017</v>
      </c>
      <c r="D60" s="62" t="str">
        <f>+'EWR-154.247'!$F$4</f>
        <v>EWR-154.247</v>
      </c>
      <c r="E60" s="63" t="str">
        <f>+'EWR-154.247'!$F$5</f>
        <v>Terminal B Automated Passport System Kiosks</v>
      </c>
      <c r="F60" s="64">
        <f>+'EWR-154.247'!$F$6</f>
        <v>43053</v>
      </c>
      <c r="G60" s="65" t="str">
        <f>+'EWR-154.247'!$G$7</f>
        <v>MWBE</v>
      </c>
      <c r="H60" s="94">
        <f>+'EWR-154.247'!$F$7</f>
        <v>820000</v>
      </c>
      <c r="I60" s="27">
        <f>+'EWR-154.247'!$F$8</f>
        <v>861500</v>
      </c>
      <c r="J60" s="27"/>
      <c r="K60" s="26">
        <f>+'EWR-154.247'!$G$9</f>
        <v>5.0609756097560979E-2</v>
      </c>
      <c r="L60" s="11" t="str">
        <f>+'EWR-154.247'!$F$11</f>
        <v>GOOD</v>
      </c>
      <c r="M60" s="62">
        <f>+'EWR-154.247'!$H$12</f>
        <v>4</v>
      </c>
      <c r="N60" s="35" t="s">
        <v>25</v>
      </c>
      <c r="O60" s="15">
        <v>4</v>
      </c>
      <c r="P60" s="35" t="s">
        <v>458</v>
      </c>
      <c r="Q60" s="15"/>
      <c r="R60" s="24"/>
      <c r="S60" s="62" t="str">
        <f>+'EWR-154.247'!$J$4</f>
        <v>Henry Yu</v>
      </c>
      <c r="T60" s="15"/>
      <c r="U60" s="15"/>
      <c r="V60" s="54">
        <f t="shared" si="29"/>
        <v>820000</v>
      </c>
      <c r="W60" s="54">
        <f t="shared" si="29"/>
        <v>861500</v>
      </c>
      <c r="X60" s="54">
        <f t="shared" si="30"/>
        <v>-41500</v>
      </c>
    </row>
    <row r="61" spans="2:35" x14ac:dyDescent="0.25">
      <c r="C61" s="39">
        <v>2017</v>
      </c>
      <c r="D61" s="62" t="str">
        <f>+'PJ-654.502'!$F$4</f>
        <v>PJ-654.502</v>
      </c>
      <c r="E61" s="63" t="str">
        <f>+'PJ-654.502'!$F$5</f>
        <v>Greenville Yard phase 2</v>
      </c>
      <c r="F61" s="64">
        <f>+'PJ-654.502'!$F$6</f>
        <v>43048</v>
      </c>
      <c r="G61" s="65" t="str">
        <f>+'PJ-654.502'!$G$7</f>
        <v>Public</v>
      </c>
      <c r="H61" s="94">
        <f>+'PJ-654.502'!$F$7</f>
        <v>4860000</v>
      </c>
      <c r="I61" s="27">
        <f>+'PJ-654.502'!$F$8</f>
        <v>3418000</v>
      </c>
      <c r="J61" s="27"/>
      <c r="K61" s="26">
        <f>+'PJ-654.502'!$G$9</f>
        <v>-0.29670781893004117</v>
      </c>
      <c r="L61" s="11" t="str">
        <f>+'PJ-654.502'!$F$11</f>
        <v>GOOD</v>
      </c>
      <c r="M61" s="62">
        <f>+'PJ-654.502'!$H$12</f>
        <v>8</v>
      </c>
      <c r="N61" s="35" t="s">
        <v>25</v>
      </c>
      <c r="O61" s="15">
        <v>4</v>
      </c>
      <c r="P61" s="35" t="s">
        <v>492</v>
      </c>
      <c r="Q61" s="15"/>
      <c r="R61" s="24"/>
      <c r="S61" s="62" t="str">
        <f>+'PJ-654.502'!$J$4</f>
        <v>Ed Minall</v>
      </c>
      <c r="T61" s="15"/>
      <c r="U61" s="15"/>
      <c r="V61" s="54">
        <f t="shared" si="29"/>
        <v>4860000</v>
      </c>
      <c r="W61" s="54">
        <f t="shared" si="29"/>
        <v>3418000</v>
      </c>
      <c r="X61" s="54">
        <f t="shared" si="30"/>
        <v>1442000</v>
      </c>
    </row>
    <row r="62" spans="2:35" x14ac:dyDescent="0.25">
      <c r="C62" s="39">
        <v>2017</v>
      </c>
      <c r="D62" s="62" t="str">
        <f>+'EWR-154.383'!$F$4</f>
        <v>EWR-154.383</v>
      </c>
      <c r="E62" s="63" t="str">
        <f>+'EWR-154.383'!$F$5</f>
        <v>Terminal A Redev - Airside Paving and Utilities South phase 1</v>
      </c>
      <c r="F62" s="64">
        <f>+'EWR-154.383'!$F$6</f>
        <v>43047</v>
      </c>
      <c r="G62" s="65" t="str">
        <f>+'EWR-154.383'!$G$7</f>
        <v>PQL</v>
      </c>
      <c r="H62" s="94">
        <f>+'EWR-154.383'!$F$7</f>
        <v>26900000</v>
      </c>
      <c r="I62" s="27">
        <f>+'EWR-154.383'!$F$8</f>
        <v>26600000</v>
      </c>
      <c r="J62" s="27" t="s">
        <v>519</v>
      </c>
      <c r="K62" s="26">
        <f>+'EWR-154.383'!$G$9</f>
        <v>-1.1152416356877323E-2</v>
      </c>
      <c r="L62" s="11" t="str">
        <f>+'EWR-154.383'!$F$11</f>
        <v>GOOD</v>
      </c>
      <c r="M62" s="62">
        <f>+'EWR-154.383'!$H$12</f>
        <v>3</v>
      </c>
      <c r="N62" s="35" t="s">
        <v>25</v>
      </c>
      <c r="O62" s="15">
        <v>4</v>
      </c>
      <c r="P62" s="35" t="s">
        <v>458</v>
      </c>
      <c r="Q62" s="15"/>
      <c r="R62" s="24"/>
      <c r="S62" s="62" t="str">
        <f>+'EWR-154.383'!$J$4</f>
        <v>Henry Yu</v>
      </c>
      <c r="T62" s="15"/>
      <c r="U62" s="15"/>
      <c r="V62" s="54">
        <f t="shared" si="29"/>
        <v>26900000</v>
      </c>
      <c r="W62" s="54">
        <f t="shared" si="29"/>
        <v>26600000</v>
      </c>
      <c r="X62" s="54">
        <f t="shared" si="30"/>
        <v>300000</v>
      </c>
    </row>
    <row r="63" spans="2:35" x14ac:dyDescent="0.25">
      <c r="C63" s="39">
        <v>2017</v>
      </c>
      <c r="D63" s="62" t="str">
        <f>+'LT-234.194'!$F$4</f>
        <v>LT-234.194</v>
      </c>
      <c r="E63" s="63" t="str">
        <f>+'LT-234.194'!$F$5</f>
        <v>Flood Protection for Ventilation Bldgs and Emergency Generators</v>
      </c>
      <c r="F63" s="64">
        <f>+'LT-234.194'!$F$6</f>
        <v>43047</v>
      </c>
      <c r="G63" s="65" t="str">
        <f>+'LT-234.194'!$G$7</f>
        <v>Public</v>
      </c>
      <c r="H63" s="94">
        <f>+'LT-234.194'!$F$7</f>
        <v>1650000</v>
      </c>
      <c r="I63" s="27">
        <f>+'LT-234.194'!$F$8</f>
        <v>2278990</v>
      </c>
      <c r="J63" s="27"/>
      <c r="K63" s="26">
        <f>+'LT-234.194'!$G$9</f>
        <v>0.3812060606060606</v>
      </c>
      <c r="L63" s="11" t="str">
        <f>+'LT-234.194'!$F$11</f>
        <v>FAIL</v>
      </c>
      <c r="M63" s="62">
        <f>+'LT-234.194'!$H$12</f>
        <v>5</v>
      </c>
      <c r="N63" s="35" t="s">
        <v>226</v>
      </c>
      <c r="O63" s="15">
        <v>4</v>
      </c>
      <c r="P63" s="35" t="s">
        <v>457</v>
      </c>
      <c r="Q63" s="15"/>
      <c r="R63" s="24"/>
      <c r="S63" s="62" t="str">
        <f>+'LT-234.194'!$J$4</f>
        <v>Joe Lucin</v>
      </c>
      <c r="T63" s="15"/>
      <c r="U63" s="15"/>
      <c r="V63" s="54">
        <f t="shared" si="29"/>
        <v>1650000</v>
      </c>
      <c r="W63" s="54">
        <f t="shared" si="29"/>
        <v>2278990</v>
      </c>
      <c r="X63" s="54">
        <f t="shared" si="30"/>
        <v>-628990</v>
      </c>
    </row>
    <row r="64" spans="2:35" x14ac:dyDescent="0.25">
      <c r="C64" s="39">
        <v>2017</v>
      </c>
      <c r="D64" s="62" t="str">
        <f>+'PAT-534.316A'!$F$4</f>
        <v>PAT-534.316A</v>
      </c>
      <c r="E64" s="63" t="str">
        <f>+'PAT-534.316A'!$F$5</f>
        <v>JSQ Transportation Center - Hardening Phase 2</v>
      </c>
      <c r="F64" s="64">
        <f>+'PAT-534.316A'!$F$6</f>
        <v>43034</v>
      </c>
      <c r="G64" s="65" t="str">
        <f>+'PAT-534.316A'!$G$7</f>
        <v>VVP</v>
      </c>
      <c r="H64" s="94">
        <f>+'PAT-534.316A'!$F$7</f>
        <v>2194000</v>
      </c>
      <c r="I64" s="27">
        <f>+'PAT-534.316A'!$F$8</f>
        <v>1361078</v>
      </c>
      <c r="J64" s="27"/>
      <c r="K64" s="26">
        <f>+'PAT-534.316A'!$G$9</f>
        <v>-0.3796362807657247</v>
      </c>
      <c r="L64" s="11" t="str">
        <f>+'PAT-534.316A'!$F$11</f>
        <v>FAIL</v>
      </c>
      <c r="M64" s="62">
        <f>+'PAT-534.316A'!$H$12</f>
        <v>6</v>
      </c>
      <c r="N64" s="35" t="s">
        <v>25</v>
      </c>
      <c r="O64" s="15">
        <v>4</v>
      </c>
      <c r="P64" s="35" t="s">
        <v>459</v>
      </c>
      <c r="Q64" s="15"/>
      <c r="R64" s="24"/>
      <c r="S64" s="62" t="str">
        <f>+'PAT-534.316A'!$J$4</f>
        <v>Nathan Demaisip</v>
      </c>
      <c r="T64" s="15"/>
      <c r="U64" s="15"/>
      <c r="V64" s="54">
        <f t="shared" si="29"/>
        <v>2194000</v>
      </c>
      <c r="W64" s="54">
        <f t="shared" si="29"/>
        <v>1361078</v>
      </c>
      <c r="X64" s="54">
        <f t="shared" si="30"/>
        <v>832922</v>
      </c>
    </row>
    <row r="65" spans="3:24" x14ac:dyDescent="0.25">
      <c r="C65" s="39">
        <v>2017</v>
      </c>
      <c r="D65" s="62" t="str">
        <f>+'JFK-154.021'!$F$4</f>
        <v>JFK-154.021</v>
      </c>
      <c r="E65" s="63" t="str">
        <f>+'JFK-154.021'!$F$5</f>
        <v>Airside Switchgear Replacement</v>
      </c>
      <c r="F65" s="64">
        <f>+'JFK-154.021'!$F$6</f>
        <v>43025</v>
      </c>
      <c r="G65" s="65" t="str">
        <f>+'JFK-154.021'!$G$7</f>
        <v>Public</v>
      </c>
      <c r="H65" s="94">
        <f>+'JFK-154.021'!$F$7</f>
        <v>2800000</v>
      </c>
      <c r="I65" s="27">
        <f>+'JFK-154.021'!$F$8</f>
        <v>2847000</v>
      </c>
      <c r="J65" s="27"/>
      <c r="K65" s="26">
        <f>+'JFK-154.021'!$G$9</f>
        <v>1.6785714285714286E-2</v>
      </c>
      <c r="L65" s="11" t="str">
        <f>+'JFK-154.021'!$F$11</f>
        <v>GOOD</v>
      </c>
      <c r="M65" s="62">
        <f>+'JFK-154.021'!$H$12</f>
        <v>9</v>
      </c>
      <c r="N65" s="35" t="s">
        <v>93</v>
      </c>
      <c r="O65" s="15">
        <v>4</v>
      </c>
      <c r="P65" s="35" t="s">
        <v>458</v>
      </c>
      <c r="Q65" s="15"/>
      <c r="R65" s="24"/>
      <c r="S65" s="62" t="str">
        <f>+'JFK-154.021'!$J$4</f>
        <v>Henry Yu</v>
      </c>
      <c r="T65" s="15"/>
      <c r="U65" s="15"/>
      <c r="V65" s="54">
        <f t="shared" si="29"/>
        <v>2800000</v>
      </c>
      <c r="W65" s="54">
        <f t="shared" si="29"/>
        <v>2847000</v>
      </c>
      <c r="X65" s="54">
        <f t="shared" si="30"/>
        <v>-47000</v>
      </c>
    </row>
    <row r="66" spans="3:24" x14ac:dyDescent="0.25">
      <c r="C66" s="39">
        <v>2017</v>
      </c>
      <c r="D66" s="62" t="str">
        <f>+'EWR-154.254'!$F$4</f>
        <v>EWR-154.254</v>
      </c>
      <c r="E66" s="63" t="str">
        <f>+'EWR-154.254'!$F$5</f>
        <v>Rehab of Terminal Frontage Bridges - Ph1 - Bridge N18, N20 Pier Caps</v>
      </c>
      <c r="F66" s="64">
        <f>+'EWR-154.254'!$F$6</f>
        <v>43025</v>
      </c>
      <c r="G66" s="65" t="str">
        <f>+'EWR-154.254'!$G$7</f>
        <v>Public</v>
      </c>
      <c r="H66" s="94">
        <f>+'EWR-154.254'!$F$7</f>
        <v>3000000</v>
      </c>
      <c r="I66" s="27">
        <f>+'EWR-154.254'!$F$8</f>
        <v>2812500</v>
      </c>
      <c r="J66" s="27"/>
      <c r="K66" s="26">
        <f>+'EWR-154.254'!$G$9</f>
        <v>-6.25E-2</v>
      </c>
      <c r="L66" s="11" t="str">
        <f>+'EWR-154.254'!$F$11</f>
        <v>GOOD</v>
      </c>
      <c r="M66" s="62">
        <f>+'EWR-154.254'!$H$12</f>
        <v>2</v>
      </c>
      <c r="N66" s="35" t="s">
        <v>25</v>
      </c>
      <c r="O66" s="15">
        <v>4</v>
      </c>
      <c r="P66" s="35" t="s">
        <v>458</v>
      </c>
      <c r="Q66" s="15"/>
      <c r="R66" s="24"/>
      <c r="S66" s="62" t="str">
        <f>+'EWR-154.254'!$J$4</f>
        <v>Henry Yu</v>
      </c>
      <c r="T66" s="15"/>
      <c r="U66" s="15"/>
      <c r="V66" s="54">
        <f t="shared" si="29"/>
        <v>3000000</v>
      </c>
      <c r="W66" s="54">
        <f t="shared" si="29"/>
        <v>2812500</v>
      </c>
      <c r="X66" s="54">
        <f t="shared" si="30"/>
        <v>187500</v>
      </c>
    </row>
    <row r="67" spans="3:24" x14ac:dyDescent="0.25">
      <c r="C67" s="39">
        <v>2017</v>
      </c>
      <c r="D67" s="62" t="str">
        <f>+'EWR-924.384'!$F$4</f>
        <v>EWR-924.384</v>
      </c>
      <c r="E67" s="63" t="str">
        <f>+'EWR-924.384'!$F$5</f>
        <v>Bus Canopy B1, C1 and Gas Island Improvements and Roofing</v>
      </c>
      <c r="F67" s="64">
        <f>+'EWR-924.384'!$F$6</f>
        <v>43013</v>
      </c>
      <c r="G67" s="65" t="str">
        <f>+'EWR-924.384'!$G$7</f>
        <v>Public</v>
      </c>
      <c r="H67" s="94">
        <f>+'EWR-924.384'!$F$7</f>
        <v>970000</v>
      </c>
      <c r="I67" s="27">
        <f>+'EWR-924.384'!$F$8</f>
        <v>1285000</v>
      </c>
      <c r="J67" s="27"/>
      <c r="K67" s="26">
        <f>+'EWR-924.384'!$G$9</f>
        <v>0.32474226804123713</v>
      </c>
      <c r="L67" s="11" t="str">
        <f>+'EWR-924.384'!$F$11</f>
        <v>FAIL</v>
      </c>
      <c r="M67" s="62">
        <f>+'EWR-924.384'!$H$12</f>
        <v>6</v>
      </c>
      <c r="N67" s="35" t="s">
        <v>25</v>
      </c>
      <c r="O67" s="15">
        <v>4</v>
      </c>
      <c r="P67" s="35" t="s">
        <v>458</v>
      </c>
      <c r="Q67" s="15"/>
      <c r="R67" s="24"/>
      <c r="S67" s="62" t="str">
        <f>+'EWR-924.384'!$J$4</f>
        <v>Henry Yu</v>
      </c>
      <c r="T67" s="15"/>
      <c r="U67" s="15"/>
      <c r="V67" s="54">
        <f t="shared" ref="V67:W67" si="31">+H67</f>
        <v>970000</v>
      </c>
      <c r="W67" s="54">
        <f t="shared" si="31"/>
        <v>1285000</v>
      </c>
      <c r="X67" s="54">
        <f t="shared" si="30"/>
        <v>-315000</v>
      </c>
    </row>
    <row r="68" spans="3:24" ht="7.5" customHeight="1" x14ac:dyDescent="0.25">
      <c r="C68" s="39"/>
      <c r="G68" s="45"/>
      <c r="M68" s="52"/>
      <c r="P68" s="11"/>
      <c r="S68" s="15"/>
      <c r="V68" s="54"/>
      <c r="W68" s="54"/>
      <c r="X68" s="54"/>
    </row>
    <row r="69" spans="3:24" x14ac:dyDescent="0.25">
      <c r="C69" s="39">
        <v>2017</v>
      </c>
      <c r="D69" s="62" t="str">
        <f>+'HT-924.144'!$F$4</f>
        <v>HT-924.144</v>
      </c>
      <c r="E69" s="63" t="str">
        <f>+'HT-924.144'!$F$5</f>
        <v>Heat Tracing and Insulation in Discharge Pipes, N&amp;S Tubes</v>
      </c>
      <c r="F69" s="64">
        <f>+'HT-924.144'!$F$6</f>
        <v>43006</v>
      </c>
      <c r="G69" s="65" t="str">
        <f>+'HT-924.144'!$G$7</f>
        <v>MWBE</v>
      </c>
      <c r="H69" s="94">
        <f>+'HT-924.144'!$F$7</f>
        <v>609000</v>
      </c>
      <c r="I69" s="27">
        <f>+'HT-924.144'!$F$8</f>
        <v>579300</v>
      </c>
      <c r="J69" s="27"/>
      <c r="K69" s="26">
        <f>+'HT-924.144'!$G$9</f>
        <v>-4.8768472906403938E-2</v>
      </c>
      <c r="L69" s="11" t="str">
        <f>+'HT-924.144'!$F$11</f>
        <v>GOOD</v>
      </c>
      <c r="M69" s="62">
        <f>+'HT-924.144'!$H$12</f>
        <v>4</v>
      </c>
      <c r="N69" s="35" t="s">
        <v>226</v>
      </c>
      <c r="O69" s="15">
        <v>3</v>
      </c>
      <c r="P69" s="35" t="s">
        <v>457</v>
      </c>
      <c r="Q69" s="15"/>
      <c r="R69" s="24"/>
      <c r="S69" s="62" t="str">
        <f>+'HT-924.144'!$J$4</f>
        <v>Gennadiy Zavolkovskiy</v>
      </c>
      <c r="T69" s="15"/>
      <c r="U69" s="15"/>
      <c r="V69" s="54">
        <f t="shared" ref="V69:W80" si="32">+H69</f>
        <v>609000</v>
      </c>
      <c r="W69" s="54">
        <f t="shared" si="32"/>
        <v>579300</v>
      </c>
      <c r="X69" s="54">
        <f t="shared" ref="X69:X80" si="33">+V69-W69</f>
        <v>29700</v>
      </c>
    </row>
    <row r="70" spans="3:24" x14ac:dyDescent="0.25">
      <c r="C70" s="39">
        <v>2017</v>
      </c>
      <c r="D70" s="62" t="str">
        <f>+'HT-924.106'!$F$4</f>
        <v>HT-924.106</v>
      </c>
      <c r="E70" s="63" t="str">
        <f>+'HT-924.106'!$F$5</f>
        <v>Replace Missing Tiles at Walls and Ceiling</v>
      </c>
      <c r="F70" s="64">
        <f>+'HT-924.106'!$F$6</f>
        <v>43005</v>
      </c>
      <c r="G70" s="65" t="str">
        <f>+'HT-924.106'!$G$7</f>
        <v>Public</v>
      </c>
      <c r="H70" s="94">
        <f>+'HT-924.106'!$F$7</f>
        <v>1250000</v>
      </c>
      <c r="I70" s="27">
        <f>+'HT-924.106'!$F$8</f>
        <v>1068000</v>
      </c>
      <c r="J70" s="27"/>
      <c r="K70" s="26">
        <f>+'HT-924.106'!$G$9</f>
        <v>-0.14560000000000001</v>
      </c>
      <c r="L70" s="11" t="str">
        <f>+'HT-924.106'!$F$11</f>
        <v>GOOD</v>
      </c>
      <c r="M70" s="62">
        <f>+'HT-924.106'!$H$12</f>
        <v>6</v>
      </c>
      <c r="N70" s="35" t="s">
        <v>226</v>
      </c>
      <c r="O70" s="15">
        <v>3</v>
      </c>
      <c r="P70" s="35" t="s">
        <v>457</v>
      </c>
      <c r="Q70" s="15"/>
      <c r="R70" s="24"/>
      <c r="S70" s="62" t="str">
        <f>+'HT-924.106'!$J$4</f>
        <v>Joe Lucin</v>
      </c>
      <c r="T70" s="15"/>
      <c r="U70" s="15"/>
      <c r="V70" s="54">
        <f t="shared" si="32"/>
        <v>1250000</v>
      </c>
      <c r="W70" s="54">
        <f t="shared" si="32"/>
        <v>1068000</v>
      </c>
      <c r="X70" s="54">
        <f t="shared" si="33"/>
        <v>182000</v>
      </c>
    </row>
    <row r="71" spans="3:24" x14ac:dyDescent="0.25">
      <c r="C71" s="39">
        <v>2017</v>
      </c>
      <c r="D71" s="62" t="str">
        <f>+'GWB-244.042'!$F$4</f>
        <v>GWB-244.042</v>
      </c>
      <c r="E71" s="63" t="str">
        <f>+'GWB-244.042'!$F$5</f>
        <v>Replacement of 178/179 St Ramps, Bus Ramps and Bus Turnaround</v>
      </c>
      <c r="F71" s="64">
        <f>+'GWB-244.042'!$F$6</f>
        <v>43004</v>
      </c>
      <c r="G71" s="65" t="str">
        <f>+'GWB-244.042'!$G$7</f>
        <v>PQL</v>
      </c>
      <c r="H71" s="94">
        <f>+'GWB-244.042'!$F$7</f>
        <v>189900000</v>
      </c>
      <c r="I71" s="27">
        <f>+'GWB-244.042'!$F$8</f>
        <v>154487000</v>
      </c>
      <c r="J71" s="27" t="s">
        <v>519</v>
      </c>
      <c r="K71" s="26">
        <f>+'GWB-244.042'!$G$9</f>
        <v>-0.18648235913638758</v>
      </c>
      <c r="L71" s="11" t="str">
        <f>+'GWB-244.042'!$F$11</f>
        <v>GOOD</v>
      </c>
      <c r="M71" s="62">
        <f>+'GWB-244.042'!$H$12</f>
        <v>5</v>
      </c>
      <c r="N71" s="35" t="s">
        <v>93</v>
      </c>
      <c r="O71" s="15">
        <v>3</v>
      </c>
      <c r="P71" s="35" t="s">
        <v>457</v>
      </c>
      <c r="Q71" s="15"/>
      <c r="R71" s="24"/>
      <c r="S71" s="62" t="str">
        <f>+'GWB-244.042'!$J$4</f>
        <v>Ed Minall</v>
      </c>
      <c r="T71" s="15"/>
      <c r="U71" s="15"/>
      <c r="V71" s="54">
        <f t="shared" si="32"/>
        <v>189900000</v>
      </c>
      <c r="W71" s="54">
        <f t="shared" si="32"/>
        <v>154487000</v>
      </c>
      <c r="X71" s="54">
        <f t="shared" si="33"/>
        <v>35413000</v>
      </c>
    </row>
    <row r="72" spans="3:24" x14ac:dyDescent="0.25">
      <c r="C72" s="39">
        <v>2017</v>
      </c>
      <c r="D72" s="62" t="str">
        <f>+'BP-694.510'!$F$4</f>
        <v>BP-694.510</v>
      </c>
      <c r="E72" s="63" t="str">
        <f>+'BP-694.510'!$F$5</f>
        <v>Brooklyn Pier 10 Concrete Girder Repairs</v>
      </c>
      <c r="F72" s="64">
        <f>+'BP-694.510'!$F$6</f>
        <v>42999</v>
      </c>
      <c r="G72" s="65" t="str">
        <f>+'BP-694.510'!$G$7</f>
        <v>Public</v>
      </c>
      <c r="H72" s="94">
        <f>+'BP-694.510'!$F$7</f>
        <v>1250000</v>
      </c>
      <c r="I72" s="27">
        <f>+'BP-694.510'!$F$8</f>
        <v>876947</v>
      </c>
      <c r="J72" s="27"/>
      <c r="K72" s="26">
        <f>+'BP-694.510'!$G$9</f>
        <v>-0.2984424</v>
      </c>
      <c r="L72" s="11" t="str">
        <f>+'BP-694.510'!$F$11</f>
        <v>GOOD</v>
      </c>
      <c r="M72" s="62">
        <f>+'BP-694.510'!$H$12</f>
        <v>13</v>
      </c>
      <c r="N72" s="35" t="s">
        <v>93</v>
      </c>
      <c r="O72" s="15">
        <v>3</v>
      </c>
      <c r="P72" s="35" t="s">
        <v>492</v>
      </c>
      <c r="Q72" s="15"/>
      <c r="R72" s="24"/>
      <c r="S72" s="62" t="str">
        <f>+'BP-694.510'!$J$4</f>
        <v>Ed Minall</v>
      </c>
      <c r="T72" s="15"/>
      <c r="U72" s="15"/>
      <c r="V72" s="54">
        <f t="shared" si="32"/>
        <v>1250000</v>
      </c>
      <c r="W72" s="54">
        <f t="shared" si="32"/>
        <v>876947</v>
      </c>
      <c r="X72" s="54">
        <f t="shared" si="33"/>
        <v>373053</v>
      </c>
    </row>
    <row r="73" spans="3:24" x14ac:dyDescent="0.25">
      <c r="C73" s="39">
        <v>2017</v>
      </c>
      <c r="D73" s="62" t="str">
        <f>+'MF-924.022'!$F$4</f>
        <v>MF-924.022</v>
      </c>
      <c r="E73" s="63" t="str">
        <f>+'MF-924.022'!$F$5</f>
        <v>LT and GWB - Rock Slope Priority Repairs</v>
      </c>
      <c r="F73" s="64">
        <f>+'MF-924.022'!$F$6</f>
        <v>42997</v>
      </c>
      <c r="G73" s="65" t="str">
        <f>+'MF-924.022'!$G$7</f>
        <v>Public</v>
      </c>
      <c r="H73" s="94">
        <f>+'MF-924.022'!$F$7</f>
        <v>1326000</v>
      </c>
      <c r="I73" s="27">
        <f>+'MF-924.022'!$F$8</f>
        <v>1976491</v>
      </c>
      <c r="J73" s="27"/>
      <c r="K73" s="26">
        <f>+'MF-924.022'!$G$9</f>
        <v>0.49056636500754147</v>
      </c>
      <c r="L73" s="11" t="str">
        <f>+'MF-924.022'!$F$11</f>
        <v>FAIL</v>
      </c>
      <c r="M73" s="62">
        <f>+'MF-924.022'!$H$12</f>
        <v>4</v>
      </c>
      <c r="N73" s="35" t="s">
        <v>25</v>
      </c>
      <c r="O73" s="15">
        <v>3</v>
      </c>
      <c r="P73" s="35" t="s">
        <v>457</v>
      </c>
      <c r="Q73" s="15"/>
      <c r="R73" s="24"/>
      <c r="S73" s="62" t="str">
        <f>+'MF-924.022'!$J$4</f>
        <v>Joe Lucin</v>
      </c>
      <c r="T73" s="15"/>
      <c r="U73" s="15"/>
      <c r="V73" s="54">
        <f t="shared" si="32"/>
        <v>1326000</v>
      </c>
      <c r="W73" s="54">
        <f t="shared" si="32"/>
        <v>1976491</v>
      </c>
      <c r="X73" s="54">
        <f t="shared" si="33"/>
        <v>-650491</v>
      </c>
    </row>
    <row r="74" spans="3:24" x14ac:dyDescent="0.25">
      <c r="C74" s="39">
        <v>2017</v>
      </c>
      <c r="D74" s="62" t="str">
        <f>+'EWR-251'!$F$4</f>
        <v>EWR-251</v>
      </c>
      <c r="E74" s="63" t="str">
        <f>+'EWR-251'!$F$5</f>
        <v>Rehab of Taxiway Z from Runway 11 Edge to UA</v>
      </c>
      <c r="F74" s="64">
        <f>+'EWR-251'!$F$6</f>
        <v>42964</v>
      </c>
      <c r="G74" s="65" t="str">
        <f>+'EWR-251'!$G$7</f>
        <v>PQL</v>
      </c>
      <c r="H74" s="94">
        <f>+'EWR-251'!$F$7</f>
        <v>8500000</v>
      </c>
      <c r="I74" s="27">
        <f>+'EWR-251'!$F$8</f>
        <v>5682000</v>
      </c>
      <c r="J74" s="105" t="s">
        <v>519</v>
      </c>
      <c r="K74" s="26">
        <f>+'EWR-251'!$G$9</f>
        <v>-0.33152941176470591</v>
      </c>
      <c r="L74" s="11" t="str">
        <f>+'EWR-251'!$F$11</f>
        <v>FAIL</v>
      </c>
      <c r="M74" s="62">
        <f>+'EWR-251'!$H$12</f>
        <v>3</v>
      </c>
      <c r="N74" s="35" t="s">
        <v>25</v>
      </c>
      <c r="O74" s="15">
        <v>3</v>
      </c>
      <c r="P74" s="35" t="s">
        <v>458</v>
      </c>
      <c r="Q74" s="15"/>
      <c r="R74" s="24"/>
      <c r="S74" s="62" t="str">
        <f>+'EWR-251'!$J$4</f>
        <v>Henry Yu</v>
      </c>
      <c r="T74" s="15"/>
      <c r="U74" s="15"/>
      <c r="V74" s="54">
        <f t="shared" si="32"/>
        <v>8500000</v>
      </c>
      <c r="W74" s="54">
        <f t="shared" si="32"/>
        <v>5682000</v>
      </c>
      <c r="X74" s="54">
        <f t="shared" si="33"/>
        <v>2818000</v>
      </c>
    </row>
    <row r="75" spans="3:24" x14ac:dyDescent="0.25">
      <c r="C75" s="39">
        <v>2017</v>
      </c>
      <c r="D75" s="62" t="str">
        <f>+'LGA-154.251'!$F$4</f>
        <v>LGA-154.251</v>
      </c>
      <c r="E75" s="63" t="str">
        <f>+'LGA-154.251'!$F$5</f>
        <v>Rehab of Runway Deck Structural Elements phase 3</v>
      </c>
      <c r="F75" s="64">
        <f>+'LGA-154.251'!$F$6</f>
        <v>42951</v>
      </c>
      <c r="G75" s="65" t="str">
        <f>+'LGA-154.251'!$G$7</f>
        <v>Public</v>
      </c>
      <c r="H75" s="94">
        <f>+'LGA-154.251'!$F$7</f>
        <v>6040000</v>
      </c>
      <c r="I75" s="27">
        <f>+'LGA-154.251'!$F$8</f>
        <v>4845475</v>
      </c>
      <c r="J75" s="27" t="s">
        <v>519</v>
      </c>
      <c r="K75" s="26">
        <f>+'LGA-154.251'!$G$9</f>
        <v>-0.19776903973509935</v>
      </c>
      <c r="L75" s="11" t="str">
        <f>+'LGA-154.251'!$F$11</f>
        <v>GOOD</v>
      </c>
      <c r="M75" s="62">
        <f>+'LGA-154.251'!$H$12</f>
        <v>8</v>
      </c>
      <c r="N75" s="35" t="s">
        <v>93</v>
      </c>
      <c r="O75" s="15">
        <v>3</v>
      </c>
      <c r="P75" s="35" t="s">
        <v>458</v>
      </c>
      <c r="Q75" s="15"/>
      <c r="R75" s="24"/>
      <c r="S75" s="62" t="str">
        <f>+'LGA-154.251'!$J$4</f>
        <v>Joe Lucin</v>
      </c>
      <c r="T75" s="15"/>
      <c r="U75" s="15"/>
      <c r="V75" s="54">
        <f t="shared" si="32"/>
        <v>6040000</v>
      </c>
      <c r="W75" s="54">
        <f t="shared" si="32"/>
        <v>4845475</v>
      </c>
      <c r="X75" s="54">
        <f t="shared" si="33"/>
        <v>1194525</v>
      </c>
    </row>
    <row r="76" spans="3:24" x14ac:dyDescent="0.25">
      <c r="C76" s="39">
        <v>2017</v>
      </c>
      <c r="D76" s="62" t="str">
        <f>+'MFP-924.662'!$F$4</f>
        <v>MFP-924.662</v>
      </c>
      <c r="E76" s="63" t="str">
        <f>+'MFP-924.662'!$F$5</f>
        <v>NJ Marine Terminals - Maintenance Dredging via Work Order</v>
      </c>
      <c r="F76" s="64">
        <f>+'MFP-924.662'!$F$6</f>
        <v>42950</v>
      </c>
      <c r="G76" s="65" t="str">
        <f>+'MFP-924.662'!$G$7</f>
        <v>PQL</v>
      </c>
      <c r="H76" s="94">
        <f>+'MFP-924.662'!$F$7</f>
        <v>13720000</v>
      </c>
      <c r="I76" s="27">
        <f>+'MFP-924.662'!$F$8</f>
        <v>11539200</v>
      </c>
      <c r="J76" s="27" t="s">
        <v>519</v>
      </c>
      <c r="K76" s="26">
        <f>+'MFP-924.662'!$G$9</f>
        <v>-0.15895043731778424</v>
      </c>
      <c r="L76" s="11" t="str">
        <f>+'MFP-924.662'!$F$11</f>
        <v>GOOD</v>
      </c>
      <c r="M76" s="62">
        <f>+'MFP-924.662'!$H$12</f>
        <v>4</v>
      </c>
      <c r="N76" s="35" t="s">
        <v>25</v>
      </c>
      <c r="O76" s="15">
        <v>3</v>
      </c>
      <c r="P76" s="35" t="s">
        <v>492</v>
      </c>
      <c r="Q76" s="15"/>
      <c r="R76" s="24"/>
      <c r="S76" s="62" t="str">
        <f>+'MFP-924.662'!$J$4</f>
        <v>Ed Minall</v>
      </c>
      <c r="T76" s="15"/>
      <c r="U76" s="15"/>
      <c r="V76" s="54">
        <f t="shared" si="32"/>
        <v>13720000</v>
      </c>
      <c r="W76" s="54">
        <f t="shared" si="32"/>
        <v>11539200</v>
      </c>
      <c r="X76" s="54">
        <f t="shared" si="33"/>
        <v>2180800</v>
      </c>
    </row>
    <row r="77" spans="3:24" x14ac:dyDescent="0.25">
      <c r="C77" s="39">
        <v>2017</v>
      </c>
      <c r="D77" s="62" t="str">
        <f>+'JFK-1070'!$F$4</f>
        <v>JFK-1070</v>
      </c>
      <c r="E77" s="63" t="str">
        <f>+'JFK-1070'!$F$5</f>
        <v>Landside Asphalt Repairs via Work Ouder</v>
      </c>
      <c r="F77" s="64">
        <f>+'JFK-1070'!$F$6</f>
        <v>42949</v>
      </c>
      <c r="G77" s="65" t="str">
        <f>+'JFK-1070'!$G$7</f>
        <v>Public</v>
      </c>
      <c r="H77" s="94">
        <f>+'JFK-1070'!$F$7</f>
        <v>1650000</v>
      </c>
      <c r="I77" s="27">
        <f>+'JFK-1070'!$F$8</f>
        <v>1320718</v>
      </c>
      <c r="J77" s="27"/>
      <c r="K77" s="26">
        <f>+'JFK-1070'!$G$9</f>
        <v>-0.19956484848484848</v>
      </c>
      <c r="L77" s="11" t="str">
        <f>+'JFK-1070'!$F$11</f>
        <v>GOOD</v>
      </c>
      <c r="M77" s="62">
        <f>+'JFK-1070'!$H$12</f>
        <v>4</v>
      </c>
      <c r="N77" s="35" t="s">
        <v>93</v>
      </c>
      <c r="O77" s="15">
        <v>3</v>
      </c>
      <c r="P77" s="35" t="s">
        <v>458</v>
      </c>
      <c r="Q77" s="15"/>
      <c r="R77" s="24"/>
      <c r="S77" s="62" t="str">
        <f>+'JFK-1070'!$J$4</f>
        <v>Henry Yu</v>
      </c>
      <c r="T77" s="15"/>
      <c r="U77" s="15"/>
      <c r="V77" s="54">
        <f t="shared" si="32"/>
        <v>1650000</v>
      </c>
      <c r="W77" s="54">
        <f t="shared" si="32"/>
        <v>1320718</v>
      </c>
      <c r="X77" s="54">
        <f t="shared" si="33"/>
        <v>329282</v>
      </c>
    </row>
    <row r="78" spans="3:24" x14ac:dyDescent="0.25">
      <c r="C78" s="39">
        <v>2017</v>
      </c>
      <c r="D78" s="62" t="str">
        <f>+'JFK-154.024'!$F$4</f>
        <v>JFK-154.024</v>
      </c>
      <c r="E78" s="63" t="str">
        <f>+'JFK-154.024'!$F$5</f>
        <v>Backflow Prevention &amp; Water Meters Phase 4</v>
      </c>
      <c r="F78" s="64">
        <f>+'JFK-154.024'!$F$6</f>
        <v>42948</v>
      </c>
      <c r="G78" s="65" t="str">
        <f>+'JFK-154.024'!$G$7</f>
        <v>Public</v>
      </c>
      <c r="H78" s="94">
        <f>+'JFK-154.024'!$F$7</f>
        <v>1330000</v>
      </c>
      <c r="I78" s="27">
        <f>+'JFK-154.024'!$F$8</f>
        <v>936000</v>
      </c>
      <c r="J78" s="27"/>
      <c r="K78" s="26">
        <f>+'JFK-154.024'!$G$9</f>
        <v>-0.29624060150375942</v>
      </c>
      <c r="L78" s="11" t="str">
        <f>+'JFK-154.024'!$F$11</f>
        <v>GOOD</v>
      </c>
      <c r="M78" s="62">
        <f>+'JFK-154.024'!$H$12</f>
        <v>6</v>
      </c>
      <c r="N78" s="35" t="s">
        <v>93</v>
      </c>
      <c r="O78" s="15">
        <v>3</v>
      </c>
      <c r="P78" s="35" t="s">
        <v>458</v>
      </c>
      <c r="Q78" s="15"/>
      <c r="R78" s="24"/>
      <c r="S78" s="62" t="str">
        <f>+'JFK-154.024'!$J$4</f>
        <v>Henry Yu</v>
      </c>
      <c r="T78" s="15"/>
      <c r="U78" s="15"/>
      <c r="V78" s="54">
        <f t="shared" si="32"/>
        <v>1330000</v>
      </c>
      <c r="W78" s="54">
        <f t="shared" si="32"/>
        <v>936000</v>
      </c>
      <c r="X78" s="54">
        <f t="shared" si="33"/>
        <v>394000</v>
      </c>
    </row>
    <row r="79" spans="3:24" x14ac:dyDescent="0.25">
      <c r="C79" s="39">
        <v>2017</v>
      </c>
      <c r="D79" s="62" t="str">
        <f>+'HT-224.120'!$F$4</f>
        <v>HT-224.120</v>
      </c>
      <c r="E79" s="63" t="str">
        <f>+'HT-224.120'!$F$5</f>
        <v>Rehabilitation of Bronze Doors at Spring Street</v>
      </c>
      <c r="F79" s="64">
        <f>+'HT-224.120'!$F$6</f>
        <v>42942</v>
      </c>
      <c r="G79" s="65" t="str">
        <f>+'HT-224.120'!$G$7</f>
        <v>Public</v>
      </c>
      <c r="H79" s="94">
        <f>+'HT-224.120'!$F$7</f>
        <v>700000</v>
      </c>
      <c r="I79" s="27">
        <f>+'HT-224.120'!$F$8</f>
        <v>614770</v>
      </c>
      <c r="J79" s="27"/>
      <c r="K79" s="26">
        <f>+'HT-224.120'!$G$9</f>
        <v>-0.12175714285714286</v>
      </c>
      <c r="L79" s="11" t="str">
        <f>+'HT-224.120'!$F$11</f>
        <v>GOOD</v>
      </c>
      <c r="M79" s="62">
        <f>+'HT-224.120'!$H$12</f>
        <v>2</v>
      </c>
      <c r="N79" s="35" t="s">
        <v>93</v>
      </c>
      <c r="O79" s="15">
        <v>3</v>
      </c>
      <c r="P79" s="35" t="s">
        <v>457</v>
      </c>
      <c r="Q79" s="15"/>
      <c r="R79" s="24"/>
      <c r="S79" s="62" t="str">
        <f>+'HT-224.120'!$J$4</f>
        <v>Andy Victors</v>
      </c>
      <c r="T79" s="15"/>
      <c r="U79" s="15"/>
      <c r="V79" s="54">
        <f t="shared" si="32"/>
        <v>700000</v>
      </c>
      <c r="W79" s="54">
        <f t="shared" si="32"/>
        <v>614770</v>
      </c>
      <c r="X79" s="54">
        <f t="shared" si="33"/>
        <v>85230</v>
      </c>
    </row>
    <row r="80" spans="3:24" x14ac:dyDescent="0.25">
      <c r="C80" s="39">
        <v>2017</v>
      </c>
      <c r="D80" s="62" t="str">
        <f>+'LGA-124.244'!$F$4</f>
        <v>LGA-124.244</v>
      </c>
      <c r="E80" s="63" t="str">
        <f>+'LGA-124.244'!$F$5</f>
        <v>AOA Light Circuit Replacement</v>
      </c>
      <c r="F80" s="64">
        <f>+'LGA-124.244'!$F$6</f>
        <v>42941</v>
      </c>
      <c r="G80" s="65" t="str">
        <f>+'LGA-124.244'!$G$7</f>
        <v>Public</v>
      </c>
      <c r="H80" s="94">
        <f>+'LGA-124.244'!$F$7</f>
        <v>7200000</v>
      </c>
      <c r="I80" s="27">
        <f>+'LGA-124.244'!$F$8</f>
        <v>1936000</v>
      </c>
      <c r="J80" s="105" t="s">
        <v>519</v>
      </c>
      <c r="K80" s="26">
        <f>+'LGA-124.244'!$G$9</f>
        <v>-0.73111111111111116</v>
      </c>
      <c r="L80" s="11" t="str">
        <f>+'LGA-124.244'!$F$11</f>
        <v>FAIL</v>
      </c>
      <c r="M80" s="62">
        <f>+'LGA-124.244'!$H$12</f>
        <v>4</v>
      </c>
      <c r="N80" s="35" t="s">
        <v>93</v>
      </c>
      <c r="O80" s="15">
        <v>3</v>
      </c>
      <c r="P80" s="35" t="s">
        <v>458</v>
      </c>
      <c r="Q80" s="15"/>
      <c r="R80" s="24"/>
      <c r="S80" s="62" t="str">
        <f>+'LGA-124.244'!$J$4</f>
        <v>Henry Yu</v>
      </c>
      <c r="T80" s="15"/>
      <c r="U80" s="15"/>
      <c r="V80" s="54">
        <f t="shared" si="32"/>
        <v>7200000</v>
      </c>
      <c r="W80" s="54">
        <f t="shared" si="32"/>
        <v>1936000</v>
      </c>
      <c r="X80" s="54">
        <f t="shared" si="33"/>
        <v>5264000</v>
      </c>
    </row>
    <row r="81" spans="3:24" ht="7.5" customHeight="1" x14ac:dyDescent="0.25">
      <c r="C81" s="39"/>
      <c r="G81" s="45"/>
      <c r="M81" s="52"/>
      <c r="P81" s="11"/>
      <c r="S81" s="15"/>
      <c r="V81" s="54"/>
      <c r="W81" s="54"/>
      <c r="X81" s="54"/>
    </row>
    <row r="82" spans="3:24" x14ac:dyDescent="0.25">
      <c r="C82" s="101">
        <v>2017</v>
      </c>
      <c r="D82" s="62" t="str">
        <f>+'PAT-024.002'!$F$4</f>
        <v>PAT-024.002</v>
      </c>
      <c r="E82" s="63" t="str">
        <f>+'PAT-024.002'!$F$5</f>
        <v>Exchange Place Underwater Netting</v>
      </c>
      <c r="F82" s="64">
        <f>+'PAT-024.002'!$F$6</f>
        <v>42913</v>
      </c>
      <c r="G82" s="65" t="str">
        <f>+'PAT-024.002'!$G$7</f>
        <v>PQL</v>
      </c>
      <c r="H82" s="94">
        <f>+'PAT-024.002'!$F$7</f>
        <v>1480000</v>
      </c>
      <c r="I82" s="27">
        <f>+'PAT-024.002'!$F$8</f>
        <v>1483000</v>
      </c>
      <c r="J82" s="27"/>
      <c r="K82" s="26">
        <f>+'PAT-024.002'!$G$9</f>
        <v>2.0270270270270271E-3</v>
      </c>
      <c r="L82" s="11" t="str">
        <f>+'PAT-024.002'!$F$11</f>
        <v>GOOD</v>
      </c>
      <c r="M82" s="62">
        <f>+'PAT-024.002'!$H$12</f>
        <v>7</v>
      </c>
      <c r="N82" s="35" t="s">
        <v>25</v>
      </c>
      <c r="O82" s="15">
        <v>2</v>
      </c>
      <c r="P82" s="35" t="s">
        <v>459</v>
      </c>
      <c r="Q82" s="15"/>
      <c r="R82" s="24"/>
      <c r="S82" s="62" t="str">
        <f>+'PAT-024.002'!$J$4</f>
        <v>Nathan Demaisip</v>
      </c>
      <c r="T82" s="15"/>
      <c r="U82" s="15"/>
      <c r="V82" s="54">
        <f t="shared" ref="V82:W97" si="34">+H82</f>
        <v>1480000</v>
      </c>
      <c r="W82" s="54">
        <f t="shared" si="34"/>
        <v>1483000</v>
      </c>
      <c r="X82" s="54">
        <f t="shared" ref="X82:X101" si="35">+V82-W82</f>
        <v>-3000</v>
      </c>
    </row>
    <row r="83" spans="3:24" x14ac:dyDescent="0.25">
      <c r="C83" s="101">
        <v>2017</v>
      </c>
      <c r="D83" s="62" t="str">
        <f>+'EWR-154.240'!$F$4</f>
        <v>EWR-154.240</v>
      </c>
      <c r="E83" s="63" t="str">
        <f>+'EWR-154.240'!$F$5</f>
        <v>Meeter-Greeter Queuing Area Modifications</v>
      </c>
      <c r="F83" s="64">
        <f>+'EWR-154.240'!$F$6</f>
        <v>42901</v>
      </c>
      <c r="G83" s="65" t="str">
        <f>+'EWR-154.240'!$G$7</f>
        <v>MWBE</v>
      </c>
      <c r="H83" s="94">
        <f>+'EWR-154.240'!$F$7</f>
        <v>850000</v>
      </c>
      <c r="I83" s="27">
        <f>+'EWR-154.240'!$F$8</f>
        <v>887000</v>
      </c>
      <c r="J83" s="27"/>
      <c r="K83" s="26">
        <f>+'EWR-154.240'!$G$9</f>
        <v>4.3529411764705879E-2</v>
      </c>
      <c r="L83" s="11" t="str">
        <f>+'EWR-154.240'!$F$11</f>
        <v>GOOD</v>
      </c>
      <c r="M83" s="62">
        <f>+'EWR-154.240'!$H$12</f>
        <v>3</v>
      </c>
      <c r="N83" s="35" t="s">
        <v>25</v>
      </c>
      <c r="O83" s="15">
        <v>2</v>
      </c>
      <c r="P83" s="35" t="s">
        <v>458</v>
      </c>
      <c r="Q83" s="15"/>
      <c r="R83" s="24"/>
      <c r="S83" s="62" t="str">
        <f>+'EWR-154.240'!$J$4</f>
        <v>Henry Yu</v>
      </c>
      <c r="T83" s="15"/>
      <c r="U83" s="15"/>
      <c r="V83" s="54">
        <f t="shared" si="34"/>
        <v>850000</v>
      </c>
      <c r="W83" s="54">
        <f t="shared" si="34"/>
        <v>887000</v>
      </c>
      <c r="X83" s="54">
        <f t="shared" si="35"/>
        <v>-37000</v>
      </c>
    </row>
    <row r="84" spans="3:24" x14ac:dyDescent="0.25">
      <c r="C84" s="39">
        <v>2017</v>
      </c>
      <c r="D84" s="62" t="str">
        <f>+'EWR-154.227'!$F$4</f>
        <v>EWR-154.227</v>
      </c>
      <c r="E84" s="63" t="str">
        <f>+'EWR-154.227'!$F$5</f>
        <v>Terminal B CCTV at Baggage Areas</v>
      </c>
      <c r="F84" s="64">
        <f>+'EWR-154.227'!$F$6</f>
        <v>42900</v>
      </c>
      <c r="G84" s="65" t="str">
        <f>+'EWR-154.227'!$G$7</f>
        <v>VVP</v>
      </c>
      <c r="H84" s="94">
        <f>+'EWR-154.227'!$F$7</f>
        <v>2900000</v>
      </c>
      <c r="I84" s="27">
        <f>+'EWR-154.227'!$F$8</f>
        <v>1157000</v>
      </c>
      <c r="J84" s="27"/>
      <c r="K84" s="26">
        <f>+'EWR-154.227'!$G$9</f>
        <v>-0.6010344827586207</v>
      </c>
      <c r="L84" s="11" t="str">
        <f>+'EWR-154.227'!$F$11</f>
        <v>FAIL</v>
      </c>
      <c r="M84" s="62">
        <f>+'EWR-154.227'!$H$12</f>
        <v>5</v>
      </c>
      <c r="N84" s="35" t="s">
        <v>25</v>
      </c>
      <c r="O84" s="15">
        <v>2</v>
      </c>
      <c r="P84" s="35" t="s">
        <v>458</v>
      </c>
      <c r="Q84" s="15"/>
      <c r="R84" s="24"/>
      <c r="S84" s="62" t="str">
        <f>+'EWR-154.227'!$J$4</f>
        <v>Nathan Demaisip</v>
      </c>
      <c r="T84" s="15"/>
      <c r="U84" s="15"/>
      <c r="V84" s="54">
        <f t="shared" si="34"/>
        <v>2900000</v>
      </c>
      <c r="W84" s="54">
        <f t="shared" si="34"/>
        <v>1157000</v>
      </c>
      <c r="X84" s="54">
        <f t="shared" si="35"/>
        <v>1743000</v>
      </c>
    </row>
    <row r="85" spans="3:24" x14ac:dyDescent="0.25">
      <c r="C85" s="39">
        <v>2017</v>
      </c>
      <c r="D85" s="62" t="str">
        <f>+'LGA-774.235'!$F$4</f>
        <v>LGA-774.235</v>
      </c>
      <c r="E85" s="63" t="str">
        <f>+'LGA-774.235'!$F$5</f>
        <v>Emergency Generators at Various Locations</v>
      </c>
      <c r="F85" s="64">
        <f>+'LGA-774.235'!$F$6</f>
        <v>42894</v>
      </c>
      <c r="G85" s="65" t="str">
        <f>+'LGA-774.235'!$G$7</f>
        <v>VVP</v>
      </c>
      <c r="H85" s="94">
        <f>+'LGA-774.235'!$F$7</f>
        <v>6445000</v>
      </c>
      <c r="I85" s="27">
        <f>+'LGA-774.235'!$F$8</f>
        <v>7166666</v>
      </c>
      <c r="J85" s="105" t="s">
        <v>519</v>
      </c>
      <c r="K85" s="26">
        <f>+'LGA-774.235'!$G$9</f>
        <v>0.11197300232738557</v>
      </c>
      <c r="L85" s="11" t="str">
        <f>+'LGA-774.235'!$F$11</f>
        <v>FAIL</v>
      </c>
      <c r="M85" s="62">
        <f>+'LGA-774.235'!$H$12</f>
        <v>11</v>
      </c>
      <c r="N85" s="35" t="s">
        <v>93</v>
      </c>
      <c r="O85" s="15">
        <v>2</v>
      </c>
      <c r="P85" s="35" t="s">
        <v>458</v>
      </c>
      <c r="Q85" s="15"/>
      <c r="R85" s="24"/>
      <c r="S85" s="62" t="str">
        <f>+'LGA-774.235'!$J$4</f>
        <v>Joe Lucin</v>
      </c>
      <c r="T85" s="15"/>
      <c r="U85" s="15"/>
      <c r="V85" s="54">
        <f t="shared" si="34"/>
        <v>6445000</v>
      </c>
      <c r="W85" s="54">
        <f t="shared" si="34"/>
        <v>7166666</v>
      </c>
      <c r="X85" s="54">
        <f t="shared" si="35"/>
        <v>-721666</v>
      </c>
    </row>
    <row r="86" spans="3:24" x14ac:dyDescent="0.25">
      <c r="C86" s="39">
        <v>2017</v>
      </c>
      <c r="D86" s="62" t="str">
        <f>+'EWR-154.271'!$F$4</f>
        <v>EWR-154.271</v>
      </c>
      <c r="E86" s="63" t="str">
        <f>+'EWR-154.271'!$F$5</f>
        <v>Central Heating and Refrigeration Plant South Substation Roof Replacement</v>
      </c>
      <c r="F86" s="64">
        <f>+'EWR-154.271'!$F$6</f>
        <v>42893</v>
      </c>
      <c r="G86" s="65" t="str">
        <f>+'EWR-154.271'!$G$7</f>
        <v>MWBE</v>
      </c>
      <c r="H86" s="94">
        <f>+'EWR-154.271'!$F$7</f>
        <v>650000</v>
      </c>
      <c r="I86" s="27">
        <f>+'EWR-154.271'!$F$8</f>
        <v>865508</v>
      </c>
      <c r="J86" s="27"/>
      <c r="K86" s="26">
        <f>+'EWR-154.271'!$G$9</f>
        <v>0.3315507692307692</v>
      </c>
      <c r="L86" s="11" t="str">
        <f>+'EWR-154.271'!$F$11</f>
        <v>FAIL</v>
      </c>
      <c r="M86" s="62">
        <f>+'EWR-154.271'!$H$12</f>
        <v>3</v>
      </c>
      <c r="N86" s="35" t="s">
        <v>25</v>
      </c>
      <c r="O86" s="15">
        <v>2</v>
      </c>
      <c r="P86" s="35" t="s">
        <v>458</v>
      </c>
      <c r="Q86" s="15"/>
      <c r="R86" s="24"/>
      <c r="S86" s="62" t="str">
        <f>+'EWR-154.271'!$J$4</f>
        <v>Henry Yu</v>
      </c>
      <c r="T86" s="15"/>
      <c r="U86" s="15"/>
      <c r="V86" s="54">
        <f t="shared" si="34"/>
        <v>650000</v>
      </c>
      <c r="W86" s="54">
        <f t="shared" si="34"/>
        <v>865508</v>
      </c>
      <c r="X86" s="54">
        <f t="shared" si="35"/>
        <v>-215508</v>
      </c>
    </row>
    <row r="87" spans="3:24" x14ac:dyDescent="0.25">
      <c r="C87" s="39">
        <v>2017</v>
      </c>
      <c r="D87" s="62" t="str">
        <f>+'EWR-154.264'!$F$4</f>
        <v>EWR-154.264</v>
      </c>
      <c r="E87" s="63" t="str">
        <f>+'EWR-154.264'!$F$5</f>
        <v>Rehab CTA Frontage Bridges N18 and N20 Longitudinal Joints</v>
      </c>
      <c r="F87" s="64">
        <f>+'EWR-154.264'!$F$6</f>
        <v>42893</v>
      </c>
      <c r="G87" s="65" t="str">
        <f>+'EWR-154.264'!$G$7</f>
        <v>MWBE</v>
      </c>
      <c r="H87" s="94">
        <f>+'EWR-154.264'!$F$7</f>
        <v>1070000</v>
      </c>
      <c r="I87" s="27">
        <f>+'EWR-154.264'!$F$8</f>
        <v>758000</v>
      </c>
      <c r="J87" s="27"/>
      <c r="K87" s="26">
        <f>+'EWR-154.264'!$G$9</f>
        <v>-0.29158878504672897</v>
      </c>
      <c r="L87" s="11" t="str">
        <f>+'EWR-154.264'!$F$11</f>
        <v>FAIL</v>
      </c>
      <c r="M87" s="62">
        <f>+'EWR-154.264'!$H$12</f>
        <v>5</v>
      </c>
      <c r="N87" s="35" t="s">
        <v>25</v>
      </c>
      <c r="O87" s="15">
        <v>2</v>
      </c>
      <c r="P87" s="35" t="s">
        <v>458</v>
      </c>
      <c r="Q87" s="15"/>
      <c r="R87" s="24"/>
      <c r="S87" s="62" t="str">
        <f>+'EWR-154.264'!$J$4</f>
        <v>Henry Yu</v>
      </c>
      <c r="T87" s="15"/>
      <c r="U87" s="15"/>
      <c r="V87" s="54">
        <f t="shared" si="34"/>
        <v>1070000</v>
      </c>
      <c r="W87" s="54">
        <f t="shared" si="34"/>
        <v>758000</v>
      </c>
      <c r="X87" s="54">
        <f t="shared" si="35"/>
        <v>312000</v>
      </c>
    </row>
    <row r="88" spans="3:24" x14ac:dyDescent="0.25">
      <c r="C88" s="39">
        <v>2017</v>
      </c>
      <c r="D88" s="62" t="str">
        <f>+'GWB-924.159B'!$F$4</f>
        <v>GWB-924.159B</v>
      </c>
      <c r="E88" s="63" t="str">
        <f>+'GWB-924.159B'!$F$5</f>
        <v>NJ Admin Bldg HW/CW Piping Replacement</v>
      </c>
      <c r="F88" s="64">
        <f>+'GWB-924.159B'!$F$6</f>
        <v>42892</v>
      </c>
      <c r="G88" s="65" t="str">
        <f>+'GWB-924.159B'!$G$7</f>
        <v>Public</v>
      </c>
      <c r="H88" s="94">
        <f>+'GWB-924.159B'!$F$7</f>
        <v>771000</v>
      </c>
      <c r="I88" s="27">
        <f>+'GWB-924.159B'!$F$8</f>
        <v>946600</v>
      </c>
      <c r="J88" s="27"/>
      <c r="K88" s="26">
        <f>+'GWB-924.159B'!$G$9</f>
        <v>0.22775616083009079</v>
      </c>
      <c r="L88" s="11" t="str">
        <f>+'GWB-924.159B'!$F$11</f>
        <v>FAIL</v>
      </c>
      <c r="M88" s="62">
        <f>+'GWB-924.159B'!$H$12</f>
        <v>2</v>
      </c>
      <c r="N88" s="35" t="s">
        <v>25</v>
      </c>
      <c r="O88" s="15">
        <v>2</v>
      </c>
      <c r="P88" s="35" t="s">
        <v>457</v>
      </c>
      <c r="Q88" s="15"/>
      <c r="R88" s="24"/>
      <c r="S88" s="62" t="str">
        <f>+'GWB-924.159B'!$J$4</f>
        <v>Reddy Gunda</v>
      </c>
      <c r="T88" s="15"/>
      <c r="U88" s="15"/>
      <c r="V88" s="54">
        <f t="shared" si="34"/>
        <v>771000</v>
      </c>
      <c r="W88" s="54">
        <f t="shared" si="34"/>
        <v>946600</v>
      </c>
      <c r="X88" s="54">
        <f t="shared" si="35"/>
        <v>-175600</v>
      </c>
    </row>
    <row r="89" spans="3:24" x14ac:dyDescent="0.25">
      <c r="C89" s="39">
        <v>2017</v>
      </c>
      <c r="D89" s="62" t="str">
        <f>+'EWR-924.233'!$F$4</f>
        <v>EWR-924.233</v>
      </c>
      <c r="E89" s="63" t="str">
        <f>+'EWR-924.233'!$F$5</f>
        <v>Priority Repair of Bridges N14, N15, N18, N19, N21, N42, N43</v>
      </c>
      <c r="F89" s="64">
        <f>+'EWR-924.233'!$F$6</f>
        <v>42886</v>
      </c>
      <c r="G89" s="65" t="str">
        <f>+'EWR-924.233'!$G$7</f>
        <v>Public</v>
      </c>
      <c r="H89" s="94">
        <f>+'EWR-924.233'!$F$7</f>
        <v>1140000</v>
      </c>
      <c r="I89" s="27">
        <f>+'EWR-924.233'!$F$8</f>
        <v>904780</v>
      </c>
      <c r="J89" s="27"/>
      <c r="K89" s="26">
        <f>+'EWR-924.233'!$G$9</f>
        <v>-0.20633333333333334</v>
      </c>
      <c r="L89" s="11" t="str">
        <f>+'EWR-924.233'!$F$11</f>
        <v>GOOD</v>
      </c>
      <c r="M89" s="62">
        <f>+'EWR-924.233'!$H$12</f>
        <v>9</v>
      </c>
      <c r="N89" s="35" t="s">
        <v>25</v>
      </c>
      <c r="O89" s="15">
        <v>2</v>
      </c>
      <c r="P89" s="35" t="s">
        <v>458</v>
      </c>
      <c r="Q89" s="15"/>
      <c r="R89" s="24"/>
      <c r="S89" s="62" t="str">
        <f>+'EWR-924.233'!$J$4</f>
        <v>Henry Yu</v>
      </c>
      <c r="T89" s="15"/>
      <c r="U89" s="15"/>
      <c r="V89" s="54">
        <f t="shared" si="34"/>
        <v>1140000</v>
      </c>
      <c r="W89" s="54">
        <f t="shared" si="34"/>
        <v>904780</v>
      </c>
      <c r="X89" s="54">
        <f t="shared" si="35"/>
        <v>235220</v>
      </c>
    </row>
    <row r="90" spans="3:24" x14ac:dyDescent="0.25">
      <c r="C90" s="39">
        <v>2017</v>
      </c>
      <c r="D90" s="62" t="str">
        <f>+'JFK-154.019'!$F$4</f>
        <v>JFK-154.019</v>
      </c>
      <c r="E90" s="63" t="str">
        <f>+'JFK-154.019'!$F$5</f>
        <v>Install Gate/Check Valves for Exist Stormwater Outfalls 2-3-4-5-6</v>
      </c>
      <c r="F90" s="64">
        <f>+'JFK-154.019'!$F$6</f>
        <v>42880</v>
      </c>
      <c r="G90" s="65" t="str">
        <f>+'JFK-154.019'!$G$7</f>
        <v>Public</v>
      </c>
      <c r="H90" s="94">
        <f>+'JFK-154.019'!$F$7</f>
        <v>2850000</v>
      </c>
      <c r="I90" s="27">
        <f>+'JFK-154.019'!$F$8</f>
        <v>1808548</v>
      </c>
      <c r="J90" s="27"/>
      <c r="K90" s="26">
        <f>+'JFK-154.019'!$G$9</f>
        <v>-0.36542175438596491</v>
      </c>
      <c r="L90" s="11" t="str">
        <f>+'JFK-154.019'!$F$11</f>
        <v>FAIL</v>
      </c>
      <c r="M90" s="62">
        <f>+'JFK-154.019'!$H$12</f>
        <v>11</v>
      </c>
      <c r="N90" s="35" t="s">
        <v>93</v>
      </c>
      <c r="O90" s="15">
        <v>2</v>
      </c>
      <c r="P90" s="35" t="s">
        <v>458</v>
      </c>
      <c r="Q90" s="15"/>
      <c r="R90" s="24"/>
      <c r="S90" s="62" t="str">
        <f>+'JFK-154.019'!$J$4</f>
        <v>Wen Chang</v>
      </c>
      <c r="T90" s="15"/>
      <c r="U90" s="15"/>
      <c r="V90" s="54">
        <f t="shared" si="34"/>
        <v>2850000</v>
      </c>
      <c r="W90" s="54">
        <f t="shared" si="34"/>
        <v>1808548</v>
      </c>
      <c r="X90" s="54">
        <f t="shared" si="35"/>
        <v>1041452</v>
      </c>
    </row>
    <row r="91" spans="3:24" x14ac:dyDescent="0.25">
      <c r="C91" s="39">
        <v>2017</v>
      </c>
      <c r="D91" s="62" t="str">
        <f>+'PAT-024.031'!$F$4</f>
        <v>PAT-024.031</v>
      </c>
      <c r="E91" s="63" t="str">
        <f>+'PAT-024.031'!$F$5</f>
        <v>Replacement of Substation 7</v>
      </c>
      <c r="F91" s="64">
        <f>+'PAT-024.031'!$F$6</f>
        <v>42873</v>
      </c>
      <c r="G91" s="65" t="str">
        <f>+'PAT-024.031'!$G$7</f>
        <v>VVP</v>
      </c>
      <c r="H91" s="94">
        <f>+'PAT-024.031'!$F$7</f>
        <v>29400000</v>
      </c>
      <c r="I91" s="27">
        <f>+'PAT-024.031'!$F$8</f>
        <v>40981000</v>
      </c>
      <c r="J91" s="105" t="s">
        <v>519</v>
      </c>
      <c r="K91" s="26">
        <f>+'PAT-024.031'!$G$9</f>
        <v>0.39391156462585036</v>
      </c>
      <c r="L91" s="11" t="str">
        <f>+'PAT-024.031'!$F$11</f>
        <v>FAIL</v>
      </c>
      <c r="M91" s="62">
        <f>+'PAT-024.031'!$H$12</f>
        <v>2</v>
      </c>
      <c r="N91" s="35" t="s">
        <v>25</v>
      </c>
      <c r="O91" s="15">
        <v>2</v>
      </c>
      <c r="P91" s="35" t="s">
        <v>459</v>
      </c>
      <c r="Q91" s="15"/>
      <c r="R91" s="24"/>
      <c r="S91" s="62" t="str">
        <f>+'PAT-024.031'!$J$4</f>
        <v>Nathan Demaisip</v>
      </c>
      <c r="T91" s="15"/>
      <c r="U91" s="15"/>
      <c r="V91" s="54">
        <f t="shared" si="34"/>
        <v>29400000</v>
      </c>
      <c r="W91" s="54">
        <f t="shared" si="34"/>
        <v>40981000</v>
      </c>
      <c r="X91" s="54">
        <f t="shared" si="35"/>
        <v>-11581000</v>
      </c>
    </row>
    <row r="92" spans="3:24" x14ac:dyDescent="0.25">
      <c r="C92" s="39">
        <v>2017</v>
      </c>
      <c r="D92" s="62" t="str">
        <f>+'MFP-924.641'!$F$4</f>
        <v>MFP-924.641</v>
      </c>
      <c r="E92" s="63" t="str">
        <f>+'MFP-924.641'!$F$5</f>
        <v>NY &amp; NJ Marine Terminals - Multi-Facility Fender System Rehab via WO</v>
      </c>
      <c r="F92" s="64">
        <f>+'MFP-924.641'!$F$6</f>
        <v>42872</v>
      </c>
      <c r="G92" s="65" t="str">
        <f>+'MFP-924.641'!$G$7</f>
        <v>Public</v>
      </c>
      <c r="H92" s="94">
        <f>+'MFP-924.641'!$F$7</f>
        <v>5000000</v>
      </c>
      <c r="I92" s="27">
        <f>+'MFP-924.641'!$F$8</f>
        <v>5210665</v>
      </c>
      <c r="J92" s="27" t="s">
        <v>519</v>
      </c>
      <c r="K92" s="26">
        <f>+'MFP-924.641'!$G$9</f>
        <v>4.2132999999999997E-2</v>
      </c>
      <c r="L92" s="11" t="str">
        <f>+'MFP-924.641'!$F$11</f>
        <v>GOOD</v>
      </c>
      <c r="M92" s="62">
        <f>+'MFP-924.641'!$H$12</f>
        <v>9</v>
      </c>
      <c r="N92" s="35" t="s">
        <v>226</v>
      </c>
      <c r="O92" s="15">
        <v>2</v>
      </c>
      <c r="P92" s="35" t="s">
        <v>492</v>
      </c>
      <c r="Q92" s="15"/>
      <c r="R92" s="24"/>
      <c r="S92" s="62" t="str">
        <f>+'MFP-924.641'!$J$4</f>
        <v>Ed Minall</v>
      </c>
      <c r="T92" s="15"/>
      <c r="U92" s="15"/>
      <c r="V92" s="54">
        <f t="shared" si="34"/>
        <v>5000000</v>
      </c>
      <c r="W92" s="54">
        <f t="shared" si="34"/>
        <v>5210665</v>
      </c>
      <c r="X92" s="54">
        <f t="shared" si="35"/>
        <v>-210665</v>
      </c>
    </row>
    <row r="93" spans="3:24" x14ac:dyDescent="0.25">
      <c r="C93" s="39">
        <v>2017</v>
      </c>
      <c r="D93" s="62" t="str">
        <f>+'EP-924.643'!$F$4</f>
        <v>EP-924.643</v>
      </c>
      <c r="E93" s="63" t="str">
        <f>+'EP-924.643'!$F$5</f>
        <v>Priority Marine Rehab via Work Order</v>
      </c>
      <c r="F93" s="64">
        <f>+'EP-924.643'!$F$6</f>
        <v>42871</v>
      </c>
      <c r="G93" s="65" t="str">
        <f>+'EP-924.643'!$G$7</f>
        <v>Public</v>
      </c>
      <c r="H93" s="94">
        <f>+'EP-924.643'!$F$7</f>
        <v>9000000</v>
      </c>
      <c r="I93" s="27">
        <f>+'EP-924.643'!$F$8</f>
        <v>10805265</v>
      </c>
      <c r="J93" s="105" t="s">
        <v>519</v>
      </c>
      <c r="K93" s="26">
        <f>+'EP-924.643'!$G$9</f>
        <v>0.20058500000000001</v>
      </c>
      <c r="L93" s="11" t="str">
        <f>+'EP-924.643'!$F$11</f>
        <v>FAIL</v>
      </c>
      <c r="M93" s="62">
        <f>+'EP-924.643'!$H$12</f>
        <v>2</v>
      </c>
      <c r="N93" s="35" t="s">
        <v>25</v>
      </c>
      <c r="O93" s="15">
        <v>2</v>
      </c>
      <c r="P93" s="35" t="s">
        <v>492</v>
      </c>
      <c r="Q93" s="15"/>
      <c r="R93" s="24"/>
      <c r="S93" s="62" t="str">
        <f>+'EP-924.643'!$J$4</f>
        <v>Ed Minall</v>
      </c>
      <c r="T93" s="15"/>
      <c r="U93" s="15"/>
      <c r="V93" s="54">
        <f t="shared" si="34"/>
        <v>9000000</v>
      </c>
      <c r="W93" s="54">
        <f t="shared" si="34"/>
        <v>10805265</v>
      </c>
      <c r="X93" s="54">
        <f t="shared" si="35"/>
        <v>-1805265</v>
      </c>
    </row>
    <row r="94" spans="3:24" x14ac:dyDescent="0.25">
      <c r="C94" s="39">
        <v>2017</v>
      </c>
      <c r="D94" s="62" t="str">
        <f>+'LT-234.179'!$F$4</f>
        <v>LT-234.179</v>
      </c>
      <c r="E94" s="63" t="str">
        <f>+'LT-234.179'!$F$5</f>
        <v>Waterside Buffer Zone Protection</v>
      </c>
      <c r="F94" s="64">
        <f>+'LT-234.179'!$F$6</f>
        <v>42851</v>
      </c>
      <c r="G94" s="65" t="str">
        <f>+'LT-234.179'!$G$7</f>
        <v>PQL</v>
      </c>
      <c r="H94" s="94">
        <f>+'LT-234.179'!$F$7</f>
        <v>3589000</v>
      </c>
      <c r="I94" s="27">
        <f>+'LT-234.179'!$F$8</f>
        <v>3875045</v>
      </c>
      <c r="J94" s="27"/>
      <c r="K94" s="26">
        <f>+'LT-234.179'!$G$9</f>
        <v>7.9700473669545829E-2</v>
      </c>
      <c r="L94" s="11" t="str">
        <f>+'LT-234.179'!$F$11</f>
        <v>GOOD</v>
      </c>
      <c r="M94" s="62">
        <f>+'LT-234.179'!$H$12</f>
        <v>3</v>
      </c>
      <c r="N94" s="35" t="s">
        <v>93</v>
      </c>
      <c r="O94" s="15">
        <v>2</v>
      </c>
      <c r="P94" s="35" t="s">
        <v>457</v>
      </c>
      <c r="Q94" s="15"/>
      <c r="R94" s="24"/>
      <c r="S94" s="62" t="str">
        <f>+'LT-234.179'!$J$4</f>
        <v>Nathan Demaisip</v>
      </c>
      <c r="T94" s="15"/>
      <c r="U94" s="15"/>
      <c r="V94" s="54">
        <f t="shared" si="34"/>
        <v>3589000</v>
      </c>
      <c r="W94" s="54">
        <f t="shared" si="34"/>
        <v>3875045</v>
      </c>
      <c r="X94" s="54">
        <f t="shared" si="35"/>
        <v>-286045</v>
      </c>
    </row>
    <row r="95" spans="3:24" x14ac:dyDescent="0.25">
      <c r="C95" s="39">
        <v>2017</v>
      </c>
      <c r="D95" s="62" t="str">
        <f>+'GWB-924.176'!$F$4</f>
        <v>GWB-924.176</v>
      </c>
      <c r="E95" s="63" t="str">
        <f>+'GWB-924.176'!$F$5</f>
        <v>Upper Level Sidewalk Repairs via Work Order</v>
      </c>
      <c r="F95" s="64">
        <f>+'GWB-924.176'!$F$6</f>
        <v>42846</v>
      </c>
      <c r="G95" s="65" t="str">
        <f>+'GWB-924.176'!$G$7</f>
        <v>Public</v>
      </c>
      <c r="H95" s="94">
        <f>+'GWB-924.176'!$F$7</f>
        <v>2060000</v>
      </c>
      <c r="I95" s="27">
        <f>+'GWB-924.176'!$F$8</f>
        <v>2614625</v>
      </c>
      <c r="J95" s="27"/>
      <c r="K95" s="26">
        <f>+'GWB-924.176'!$G$9</f>
        <v>0.26923543689320389</v>
      </c>
      <c r="L95" s="11" t="str">
        <f>+'GWB-924.176'!$F$11</f>
        <v>FAIL</v>
      </c>
      <c r="M95" s="62">
        <f>+'GWB-924.176'!$H$12</f>
        <v>5</v>
      </c>
      <c r="N95" s="35" t="s">
        <v>226</v>
      </c>
      <c r="O95" s="15">
        <v>2</v>
      </c>
      <c r="P95" s="35" t="s">
        <v>457</v>
      </c>
      <c r="Q95" s="15"/>
      <c r="R95" s="24"/>
      <c r="S95" s="62" t="str">
        <f>+'GWB-924.176'!$J$4</f>
        <v>Reddy Gunda</v>
      </c>
      <c r="T95" s="15"/>
      <c r="U95" s="15"/>
      <c r="V95" s="54">
        <f t="shared" si="34"/>
        <v>2060000</v>
      </c>
      <c r="W95" s="54">
        <f t="shared" si="34"/>
        <v>2614625</v>
      </c>
      <c r="X95" s="54">
        <f t="shared" si="35"/>
        <v>-554625</v>
      </c>
    </row>
    <row r="96" spans="3:24" x14ac:dyDescent="0.25">
      <c r="C96" s="39">
        <v>2017</v>
      </c>
      <c r="D96" s="62" t="str">
        <f>+'MFP-924.645A'!$F$4</f>
        <v>MFP-924.645A</v>
      </c>
      <c r="E96" s="63" t="str">
        <f>+'MFP-924.645A'!$F$5</f>
        <v>NJ Paving and Utility Rehab by Work Order</v>
      </c>
      <c r="F96" s="64">
        <f>+'MFP-924.645A'!$F$6</f>
        <v>42845</v>
      </c>
      <c r="G96" s="65" t="str">
        <f>+'MFP-924.645A'!$G$7</f>
        <v>MWBE</v>
      </c>
      <c r="H96" s="94">
        <f>+'MFP-924.645A'!$F$7</f>
        <v>2625000</v>
      </c>
      <c r="I96" s="27">
        <f>+'MFP-924.645A'!$F$8</f>
        <v>2472675</v>
      </c>
      <c r="J96" s="27"/>
      <c r="K96" s="26">
        <f>+'MFP-924.645A'!$G$9</f>
        <v>-5.8028571428571429E-2</v>
      </c>
      <c r="L96" s="11" t="str">
        <f>+'MFP-924.645A'!$F$11</f>
        <v>GOOD</v>
      </c>
      <c r="M96" s="62">
        <f>+'MFP-924.645A'!$H$12</f>
        <v>6</v>
      </c>
      <c r="N96" s="35" t="s">
        <v>25</v>
      </c>
      <c r="O96" s="15">
        <v>2</v>
      </c>
      <c r="P96" s="35" t="s">
        <v>492</v>
      </c>
      <c r="Q96" s="15"/>
      <c r="R96" s="24"/>
      <c r="S96" s="62" t="str">
        <f>+'MFP-924.645A'!$J$4</f>
        <v>Ed Minall</v>
      </c>
      <c r="T96" s="15"/>
      <c r="U96" s="15"/>
      <c r="V96" s="54">
        <f t="shared" si="34"/>
        <v>2625000</v>
      </c>
      <c r="W96" s="54">
        <f t="shared" si="34"/>
        <v>2472675</v>
      </c>
      <c r="X96" s="54">
        <f t="shared" si="35"/>
        <v>152325</v>
      </c>
    </row>
    <row r="97" spans="3:24" x14ac:dyDescent="0.25">
      <c r="C97" s="39">
        <v>2017</v>
      </c>
      <c r="D97" s="62" t="str">
        <f>+'PN-654.558'!$F$4</f>
        <v>PN-654.558</v>
      </c>
      <c r="E97" s="63" t="str">
        <f>+'PN-654.558'!$F$5</f>
        <v>Berths 26, 28, 32, 34 Dredging</v>
      </c>
      <c r="F97" s="64">
        <f>+'PN-654.558'!$F$6</f>
        <v>42845</v>
      </c>
      <c r="G97" s="65" t="str">
        <f>+'PN-654.558'!$G$7</f>
        <v>Public</v>
      </c>
      <c r="H97" s="94">
        <f>+'PN-654.558'!$F$7</f>
        <v>1520000</v>
      </c>
      <c r="I97" s="27">
        <f>+'PN-654.558'!$F$8</f>
        <v>994200</v>
      </c>
      <c r="J97" s="27"/>
      <c r="K97" s="26">
        <f>+'PN-654.558'!$G$9</f>
        <v>-0.34592105263157896</v>
      </c>
      <c r="L97" s="11" t="str">
        <f>+'PN-654.558'!$F$11</f>
        <v>GOOD</v>
      </c>
      <c r="M97" s="62">
        <f>+'PN-654.558'!$H$12</f>
        <v>4</v>
      </c>
      <c r="N97" s="35" t="s">
        <v>25</v>
      </c>
      <c r="O97" s="15">
        <v>2</v>
      </c>
      <c r="P97" s="35" t="s">
        <v>492</v>
      </c>
      <c r="Q97" s="15"/>
      <c r="R97" s="24"/>
      <c r="S97" s="62" t="str">
        <f>+'PN-654.558'!$J$4</f>
        <v>Ed Minall</v>
      </c>
      <c r="T97" s="15"/>
      <c r="U97" s="15"/>
      <c r="V97" s="54">
        <f t="shared" si="34"/>
        <v>1520000</v>
      </c>
      <c r="W97" s="54">
        <f t="shared" si="34"/>
        <v>994200</v>
      </c>
      <c r="X97" s="54">
        <f t="shared" si="35"/>
        <v>525800</v>
      </c>
    </row>
    <row r="98" spans="3:24" x14ac:dyDescent="0.25">
      <c r="C98" s="39">
        <v>2017</v>
      </c>
      <c r="D98" s="62" t="str">
        <f>+'TEB-144.048'!$F$4</f>
        <v>TEB-144.048</v>
      </c>
      <c r="E98" s="63" t="str">
        <f>+'TEB-144.048'!$F$5</f>
        <v>AOA Light Circuit Replacement</v>
      </c>
      <c r="F98" s="64">
        <f>+'TEB-144.048'!$F$6</f>
        <v>42845</v>
      </c>
      <c r="G98" s="65" t="str">
        <f>+'TEB-144.048'!$G$7</f>
        <v>PQL</v>
      </c>
      <c r="H98" s="94">
        <f>+'TEB-144.048'!$F$7</f>
        <v>12630000</v>
      </c>
      <c r="I98" s="27">
        <f>+'TEB-144.048'!$F$8</f>
        <v>10849023</v>
      </c>
      <c r="J98" s="27" t="s">
        <v>519</v>
      </c>
      <c r="K98" s="26">
        <f>+'TEB-144.048'!$G$9</f>
        <v>-0.14101163895486934</v>
      </c>
      <c r="L98" s="11" t="str">
        <f>+'TEB-144.048'!$F$11</f>
        <v>GOOD</v>
      </c>
      <c r="M98" s="62">
        <f>+'TEB-144.048'!$H$12</f>
        <v>2</v>
      </c>
      <c r="N98" s="35" t="s">
        <v>25</v>
      </c>
      <c r="O98" s="15">
        <v>2</v>
      </c>
      <c r="P98" s="35" t="s">
        <v>458</v>
      </c>
      <c r="Q98" s="15"/>
      <c r="R98" s="24"/>
      <c r="S98" s="62" t="str">
        <f>+'TEB-144.048'!$J$4</f>
        <v>Henry Yu</v>
      </c>
      <c r="T98" s="15"/>
      <c r="U98" s="15"/>
      <c r="V98" s="54">
        <f t="shared" ref="V98:W101" si="36">+H98</f>
        <v>12630000</v>
      </c>
      <c r="W98" s="54">
        <f t="shared" si="36"/>
        <v>10849023</v>
      </c>
      <c r="X98" s="54">
        <f t="shared" si="35"/>
        <v>1780977</v>
      </c>
    </row>
    <row r="99" spans="3:24" x14ac:dyDescent="0.25">
      <c r="C99" s="39">
        <v>2017</v>
      </c>
      <c r="D99" s="62" t="str">
        <f>+'PAT-084.001'!$F$4</f>
        <v>PAT-084.001</v>
      </c>
      <c r="E99" s="63" t="str">
        <f>+'PAT-084.001'!$F$5</f>
        <v>Replacement of Substation 9</v>
      </c>
      <c r="F99" s="64">
        <f>+'PAT-084.001'!$F$6</f>
        <v>42844</v>
      </c>
      <c r="G99" s="65" t="str">
        <f>+'PAT-084.001'!$G$7</f>
        <v>PQL</v>
      </c>
      <c r="H99" s="94">
        <f>+'PAT-084.001'!$F$7</f>
        <v>30360000</v>
      </c>
      <c r="I99" s="27">
        <f>+'PAT-084.001'!$F$8</f>
        <v>32920674</v>
      </c>
      <c r="J99" s="27" t="s">
        <v>519</v>
      </c>
      <c r="K99" s="26">
        <f>+'PAT-084.001'!$G$9</f>
        <v>8.4343675889328062E-2</v>
      </c>
      <c r="L99" s="11" t="str">
        <f>+'PAT-084.001'!$F$11</f>
        <v>GOOD</v>
      </c>
      <c r="M99" s="62">
        <f>+'PAT-084.001'!$H$12</f>
        <v>3</v>
      </c>
      <c r="N99" s="35" t="s">
        <v>25</v>
      </c>
      <c r="O99" s="15">
        <v>2</v>
      </c>
      <c r="P99" s="35" t="s">
        <v>459</v>
      </c>
      <c r="Q99" s="15"/>
      <c r="R99" s="24"/>
      <c r="S99" s="62" t="str">
        <f>+'PAT-084.001'!$J$4</f>
        <v>Nathan Demaisip</v>
      </c>
      <c r="T99" s="15"/>
      <c r="U99" s="15"/>
      <c r="V99" s="54">
        <f t="shared" si="36"/>
        <v>30360000</v>
      </c>
      <c r="W99" s="54">
        <f t="shared" si="36"/>
        <v>32920674</v>
      </c>
      <c r="X99" s="54">
        <f t="shared" si="35"/>
        <v>-2560674</v>
      </c>
    </row>
    <row r="100" spans="3:24" x14ac:dyDescent="0.25">
      <c r="C100" s="39">
        <v>2017</v>
      </c>
      <c r="D100" s="62" t="str">
        <f>+'EWR-154.234'!$F$4</f>
        <v>EWR-154.234</v>
      </c>
      <c r="E100" s="63" t="str">
        <f>+'EWR-154.234'!$F$5</f>
        <v>AOA Light Circuit Replacement</v>
      </c>
      <c r="F100" s="64">
        <f>+'EWR-154.234'!$F$6</f>
        <v>42844</v>
      </c>
      <c r="G100" s="65" t="str">
        <f>+'EWR-154.234'!$G$7</f>
        <v>PQL</v>
      </c>
      <c r="H100" s="94">
        <f>+'EWR-154.234'!$F$7</f>
        <v>18870000</v>
      </c>
      <c r="I100" s="27">
        <f>+'EWR-154.234'!$F$8</f>
        <v>19910000</v>
      </c>
      <c r="J100" s="27" t="s">
        <v>519</v>
      </c>
      <c r="K100" s="26">
        <f>+'EWR-154.234'!$G$9</f>
        <v>5.5113937466878642E-2</v>
      </c>
      <c r="L100" s="11" t="str">
        <f>+'EWR-154.234'!$F$11</f>
        <v>GOOD</v>
      </c>
      <c r="M100" s="62">
        <f>+'EWR-154.234'!$H$12</f>
        <v>3</v>
      </c>
      <c r="N100" s="35" t="s">
        <v>25</v>
      </c>
      <c r="O100" s="15">
        <v>2</v>
      </c>
      <c r="P100" s="35" t="s">
        <v>458</v>
      </c>
      <c r="Q100" s="15"/>
      <c r="R100" s="24"/>
      <c r="S100" s="62" t="str">
        <f>+'EWR-154.234'!$J$4</f>
        <v>Henry Yu</v>
      </c>
      <c r="T100" s="15"/>
      <c r="U100" s="15"/>
      <c r="V100" s="54">
        <f t="shared" si="36"/>
        <v>18870000</v>
      </c>
      <c r="W100" s="54">
        <f t="shared" si="36"/>
        <v>19910000</v>
      </c>
      <c r="X100" s="54">
        <f t="shared" si="35"/>
        <v>-1040000</v>
      </c>
    </row>
    <row r="101" spans="3:24" x14ac:dyDescent="0.25">
      <c r="C101" s="39">
        <v>2017</v>
      </c>
      <c r="D101" s="62" t="str">
        <f>+'MFP-924.634'!$F$4</f>
        <v>MFP-924.634</v>
      </c>
      <c r="E101" s="63" t="str">
        <f>+'MFP-924.634'!$F$5</f>
        <v>NY Marine Terminals - Rail Rehab via Work Order</v>
      </c>
      <c r="F101" s="64">
        <f>+'MFP-924.634'!$F$6</f>
        <v>42831</v>
      </c>
      <c r="G101" s="65" t="str">
        <f>+'MFP-924.634'!$G$7</f>
        <v>Public</v>
      </c>
      <c r="H101" s="94">
        <f>+'MFP-924.634'!$F$7</f>
        <v>1655000</v>
      </c>
      <c r="I101" s="27">
        <f>+'MFP-924.634'!$F$8</f>
        <v>1398667</v>
      </c>
      <c r="J101" s="27"/>
      <c r="K101" s="26">
        <f>+'MFP-924.634'!$G$9</f>
        <v>-0.15488398791540786</v>
      </c>
      <c r="L101" s="11" t="str">
        <f>+'MFP-924.634'!$F$11</f>
        <v>GOOD</v>
      </c>
      <c r="M101" s="62">
        <f>+'MFP-924.634'!$H$12</f>
        <v>3</v>
      </c>
      <c r="N101" s="35" t="s">
        <v>93</v>
      </c>
      <c r="O101" s="15">
        <v>2</v>
      </c>
      <c r="P101" s="35" t="s">
        <v>492</v>
      </c>
      <c r="Q101" s="15"/>
      <c r="R101" s="24"/>
      <c r="S101" s="62" t="str">
        <f>+'MFP-924.634'!$J$4</f>
        <v>Ed Minall</v>
      </c>
      <c r="T101" s="15"/>
      <c r="U101" s="15"/>
      <c r="V101" s="54">
        <f t="shared" si="36"/>
        <v>1655000</v>
      </c>
      <c r="W101" s="54">
        <f t="shared" si="36"/>
        <v>1398667</v>
      </c>
      <c r="X101" s="54">
        <f t="shared" si="35"/>
        <v>256333</v>
      </c>
    </row>
    <row r="102" spans="3:24" ht="7.5" customHeight="1" x14ac:dyDescent="0.25">
      <c r="C102" s="39"/>
      <c r="G102" s="45"/>
      <c r="M102" s="52"/>
      <c r="P102" s="11"/>
      <c r="S102" s="15"/>
      <c r="V102" s="54"/>
      <c r="W102" s="54"/>
      <c r="X102" s="54"/>
    </row>
    <row r="103" spans="3:24" x14ac:dyDescent="0.25">
      <c r="C103" s="39">
        <v>2017</v>
      </c>
      <c r="D103" s="62" t="str">
        <f>+'BT-254.123'!$F$4</f>
        <v>BT-254.123</v>
      </c>
      <c r="E103" s="63" t="str">
        <f>+'BT-254.123'!$F$5</f>
        <v>PABT Supplemental Fire Alarm Systems</v>
      </c>
      <c r="F103" s="64">
        <f>+'BT-254.123'!$F$6</f>
        <v>42823</v>
      </c>
      <c r="G103" s="65" t="str">
        <f>+'BT-254.123'!$G$7</f>
        <v>Public</v>
      </c>
      <c r="H103" s="27">
        <f>+'BT-254.123'!$F$7</f>
        <v>3700000</v>
      </c>
      <c r="I103" s="27">
        <f>+'BT-254.123'!$F$8</f>
        <v>2490000</v>
      </c>
      <c r="J103" s="27"/>
      <c r="K103" s="26">
        <f>+'BT-254.123'!$G$9</f>
        <v>-0.32702702702702702</v>
      </c>
      <c r="L103" s="11" t="str">
        <f>+'BT-254.123'!$F$11</f>
        <v>GOOD</v>
      </c>
      <c r="M103" s="62">
        <f>+'BT-254.123'!$H$12</f>
        <v>7</v>
      </c>
      <c r="N103" s="35" t="s">
        <v>93</v>
      </c>
      <c r="O103" s="15">
        <v>1</v>
      </c>
      <c r="P103" s="35" t="s">
        <v>457</v>
      </c>
      <c r="Q103" s="15"/>
      <c r="R103" s="24" t="s">
        <v>976</v>
      </c>
      <c r="S103" s="62" t="str">
        <f>+'BT-254.123'!$J$4</f>
        <v>Reddy Gunda</v>
      </c>
      <c r="T103" s="15"/>
      <c r="U103" s="15"/>
      <c r="V103" s="54">
        <f t="shared" ref="V103:W118" si="37">+H103</f>
        <v>3700000</v>
      </c>
      <c r="W103" s="54">
        <f t="shared" si="37"/>
        <v>2490000</v>
      </c>
      <c r="X103" s="54">
        <f t="shared" ref="X103:X120" si="38">+V103-W103</f>
        <v>1210000</v>
      </c>
    </row>
    <row r="104" spans="3:24" x14ac:dyDescent="0.25">
      <c r="C104" s="39">
        <v>2017</v>
      </c>
      <c r="D104" s="62" t="str">
        <f>+'LGA-124.255'!$F$4</f>
        <v>LGA-124.255</v>
      </c>
      <c r="E104" s="63" t="str">
        <f>+'LGA-124.255'!$F$5</f>
        <v>Rehab of Runway 22 Deck Wearing Course Panel 1A</v>
      </c>
      <c r="F104" s="64">
        <f>+'LGA-124.255'!$F$6</f>
        <v>42815</v>
      </c>
      <c r="G104" s="65" t="str">
        <f>+'LGA-124.255'!$G$7</f>
        <v>PQL</v>
      </c>
      <c r="H104" s="27">
        <f>+'LGA-124.255'!$F$7</f>
        <v>3750000</v>
      </c>
      <c r="I104" s="27">
        <f>+'LGA-124.255'!$F$8</f>
        <v>2468147</v>
      </c>
      <c r="J104" s="27"/>
      <c r="K104" s="26">
        <f>+'LGA-124.255'!$G$9</f>
        <v>-0.34182746666666669</v>
      </c>
      <c r="L104" s="11" t="str">
        <f>+'LGA-124.255'!$F$11</f>
        <v>FAIL</v>
      </c>
      <c r="M104" s="62">
        <f>+'LGA-124.255'!$H$12</f>
        <v>3</v>
      </c>
      <c r="N104" s="35" t="s">
        <v>93</v>
      </c>
      <c r="O104" s="15">
        <v>1</v>
      </c>
      <c r="P104" s="35" t="s">
        <v>458</v>
      </c>
      <c r="Q104" s="15"/>
      <c r="R104" s="24"/>
      <c r="S104" s="62" t="str">
        <f>+'LGA-124.255'!$J$4</f>
        <v>Joe Lucin</v>
      </c>
      <c r="T104" s="15"/>
      <c r="U104" s="15"/>
      <c r="V104" s="54">
        <f t="shared" si="37"/>
        <v>3750000</v>
      </c>
      <c r="W104" s="54">
        <f t="shared" si="37"/>
        <v>2468147</v>
      </c>
      <c r="X104" s="54">
        <f t="shared" si="38"/>
        <v>1281853</v>
      </c>
    </row>
    <row r="105" spans="3:24" x14ac:dyDescent="0.25">
      <c r="C105" s="39">
        <v>2017</v>
      </c>
      <c r="D105" s="62" t="str">
        <f>+'MFP-072.016'!$F$4</f>
        <v>MFP-072.016</v>
      </c>
      <c r="E105" s="63" t="str">
        <f>+'MFP-072.016'!$F$5</f>
        <v>NY Marine Terminals - Paving and Utilities by Work Order</v>
      </c>
      <c r="F105" s="64">
        <f>+'MFP-072.016'!$F$6</f>
        <v>42810</v>
      </c>
      <c r="G105" s="65" t="str">
        <f>+'MFP-072.016'!$G$7</f>
        <v>MWBE</v>
      </c>
      <c r="H105" s="27">
        <f>+'MFP-072.016'!$F$7</f>
        <v>1425000</v>
      </c>
      <c r="I105" s="27">
        <f>+'MFP-072.016'!$F$8</f>
        <v>1087425</v>
      </c>
      <c r="J105" s="27"/>
      <c r="K105" s="26">
        <f>+'MFP-072.016'!$G$9</f>
        <v>-0.23689473684210527</v>
      </c>
      <c r="L105" s="11" t="str">
        <f>+'MFP-072.016'!$F$11</f>
        <v>GOOD</v>
      </c>
      <c r="M105" s="62">
        <f>+'MFP-072.016'!$H$12</f>
        <v>6</v>
      </c>
      <c r="N105" s="35" t="s">
        <v>93</v>
      </c>
      <c r="O105" s="15">
        <v>1</v>
      </c>
      <c r="P105" s="35" t="s">
        <v>492</v>
      </c>
      <c r="Q105" s="15"/>
      <c r="R105" s="24"/>
      <c r="S105" s="62" t="str">
        <f>+'MFP-072.016'!$J$4</f>
        <v>Ed Minall</v>
      </c>
      <c r="T105" s="15"/>
      <c r="U105" s="15"/>
      <c r="V105" s="54">
        <f t="shared" si="37"/>
        <v>1425000</v>
      </c>
      <c r="W105" s="54">
        <f t="shared" si="37"/>
        <v>1087425</v>
      </c>
      <c r="X105" s="54">
        <f t="shared" si="38"/>
        <v>337575</v>
      </c>
    </row>
    <row r="106" spans="3:24" x14ac:dyDescent="0.25">
      <c r="C106" s="39">
        <v>2017</v>
      </c>
      <c r="D106" s="62" t="str">
        <f>+'GWB-244.263'!$F$4</f>
        <v>GWB-244.263</v>
      </c>
      <c r="E106" s="63" t="str">
        <f>+'GWB-244.263'!$F$5</f>
        <v>Replacement of Automatic Transfer Switches</v>
      </c>
      <c r="F106" s="64">
        <f>+'GWB-244.263'!$F$6</f>
        <v>42789</v>
      </c>
      <c r="G106" s="65" t="str">
        <f>+'GWB-244.263'!$G$7</f>
        <v>MWBE</v>
      </c>
      <c r="H106" s="27">
        <f>+'GWB-244.263'!$F$7</f>
        <v>240000</v>
      </c>
      <c r="I106" s="27">
        <f>+'GWB-244.263'!$F$8</f>
        <v>97300</v>
      </c>
      <c r="J106" s="27"/>
      <c r="K106" s="26">
        <f>+'GWB-244.263'!$G$9</f>
        <v>-0.59458333333333335</v>
      </c>
      <c r="L106" s="11" t="str">
        <f>+'GWB-244.263'!$F$11</f>
        <v>FAIL</v>
      </c>
      <c r="M106" s="62">
        <f>+'GWB-244.263'!$H$12</f>
        <v>6</v>
      </c>
      <c r="N106" s="35" t="s">
        <v>25</v>
      </c>
      <c r="O106" s="15">
        <v>1</v>
      </c>
      <c r="P106" s="35" t="s">
        <v>457</v>
      </c>
      <c r="Q106" s="15"/>
      <c r="R106" s="24"/>
      <c r="S106" s="62" t="str">
        <f>+'GWB-244.263'!$J$4</f>
        <v>Reddy Gunda</v>
      </c>
      <c r="T106" s="15"/>
      <c r="U106" s="15"/>
      <c r="V106" s="54">
        <f t="shared" si="37"/>
        <v>240000</v>
      </c>
      <c r="W106" s="54">
        <f t="shared" si="37"/>
        <v>97300</v>
      </c>
      <c r="X106" s="54">
        <f t="shared" si="38"/>
        <v>142700</v>
      </c>
    </row>
    <row r="107" spans="3:24" x14ac:dyDescent="0.25">
      <c r="C107" s="39">
        <v>2017</v>
      </c>
      <c r="D107" s="62" t="str">
        <f>+'GWB-244.048'!$F$4</f>
        <v>GWB-244.048</v>
      </c>
      <c r="E107" s="63" t="str">
        <f>+'GWB-244.048'!$F$5</f>
        <v>Replacement of Suspender Ropes and Rehab of Main Cables &amp; Strands</v>
      </c>
      <c r="F107" s="64">
        <f>+'GWB-244.048'!$F$6</f>
        <v>42789</v>
      </c>
      <c r="G107" s="65" t="str">
        <f>+'GWB-244.048'!$G$7</f>
        <v>PQL</v>
      </c>
      <c r="H107" s="94">
        <f>+'GWB-244.048'!$F$7</f>
        <v>479900000</v>
      </c>
      <c r="I107" s="27">
        <f>+'GWB-244.048'!$F$8</f>
        <v>451841280</v>
      </c>
      <c r="J107" s="27" t="s">
        <v>519</v>
      </c>
      <c r="K107" s="26">
        <f>+'GWB-244.048'!$G$9</f>
        <v>-5.8467847468222547E-2</v>
      </c>
      <c r="L107" s="11" t="str">
        <f>+'GWB-244.048'!$F$11</f>
        <v>GOOD</v>
      </c>
      <c r="M107" s="62">
        <f>+'GWB-244.048'!$H$12</f>
        <v>5</v>
      </c>
      <c r="N107" s="35" t="s">
        <v>226</v>
      </c>
      <c r="O107" s="15">
        <v>1</v>
      </c>
      <c r="P107" s="35" t="s">
        <v>457</v>
      </c>
      <c r="Q107" s="15"/>
      <c r="R107" s="24"/>
      <c r="S107" s="62" t="str">
        <f>+'GWB-244.048'!$J$4</f>
        <v>Reddy Gunda</v>
      </c>
      <c r="T107" s="15"/>
      <c r="U107" s="15"/>
      <c r="V107" s="54">
        <f t="shared" si="37"/>
        <v>479900000</v>
      </c>
      <c r="W107" s="54">
        <f t="shared" si="37"/>
        <v>451841280</v>
      </c>
      <c r="X107" s="54">
        <f t="shared" si="38"/>
        <v>28058720</v>
      </c>
    </row>
    <row r="108" spans="3:24" x14ac:dyDescent="0.25">
      <c r="C108" s="39">
        <v>2017</v>
      </c>
      <c r="D108" s="62" t="str">
        <f>+'LGA-124.250'!$F$4</f>
        <v>LGA-124.250</v>
      </c>
      <c r="E108" s="63" t="str">
        <f>+'LGA-124.250'!$F$5</f>
        <v>Rehab Taxiways B, AA, BB, and Associated Taxiways</v>
      </c>
      <c r="F108" s="64">
        <f>+'LGA-124.250'!$F$6</f>
        <v>42787</v>
      </c>
      <c r="G108" s="65" t="str">
        <f>+'LGA-124.250'!$G$7</f>
        <v>PQL</v>
      </c>
      <c r="H108" s="94">
        <f>+'LGA-124.250'!$F$7</f>
        <v>10393000</v>
      </c>
      <c r="I108" s="27">
        <f>+'LGA-124.250'!$F$8</f>
        <v>7903950</v>
      </c>
      <c r="J108" s="105" t="s">
        <v>519</v>
      </c>
      <c r="K108" s="26">
        <f>+'LGA-124.250'!$G$9</f>
        <v>-0.2394929279322621</v>
      </c>
      <c r="L108" s="11" t="str">
        <f>+'LGA-124.250'!$F$11</f>
        <v>FAIL</v>
      </c>
      <c r="M108" s="62">
        <f>+'LGA-124.250'!$H$12</f>
        <v>3</v>
      </c>
      <c r="N108" s="35" t="s">
        <v>93</v>
      </c>
      <c r="O108" s="15">
        <v>1</v>
      </c>
      <c r="P108" s="35" t="s">
        <v>458</v>
      </c>
      <c r="Q108" s="15"/>
      <c r="R108" s="24" t="s">
        <v>932</v>
      </c>
      <c r="S108" s="62" t="str">
        <f>+'LGA-124.250'!$J$4</f>
        <v>Joe Lucin</v>
      </c>
      <c r="T108" s="15"/>
      <c r="U108" s="15"/>
      <c r="V108" s="54">
        <f t="shared" si="37"/>
        <v>10393000</v>
      </c>
      <c r="W108" s="54">
        <f t="shared" si="37"/>
        <v>7903950</v>
      </c>
      <c r="X108" s="54">
        <f t="shared" si="38"/>
        <v>2489050</v>
      </c>
    </row>
    <row r="109" spans="3:24" x14ac:dyDescent="0.25">
      <c r="C109" s="39">
        <v>2017</v>
      </c>
      <c r="D109" s="62" t="str">
        <f>+'TEB-144.045'!$F$4</f>
        <v>TEB-144.045</v>
      </c>
      <c r="E109" s="63" t="str">
        <f>+'TEB-144.045'!$F$5</f>
        <v>Storm Drainage System Rehab Phase 1</v>
      </c>
      <c r="F109" s="64">
        <f>+'TEB-144.045'!$F$6</f>
        <v>42780</v>
      </c>
      <c r="G109" s="65" t="str">
        <f>+'TEB-144.045'!$G$7</f>
        <v>Public</v>
      </c>
      <c r="H109" s="94">
        <f>+'TEB-144.045'!$F$7</f>
        <v>2580000</v>
      </c>
      <c r="I109" s="27">
        <f>+'TEB-144.045'!$F$8</f>
        <v>1386000</v>
      </c>
      <c r="J109" s="27"/>
      <c r="K109" s="26">
        <f>+'TEB-144.045'!$G$9</f>
        <v>-0.46279069767441861</v>
      </c>
      <c r="L109" s="11" t="str">
        <f>+'TEB-144.045'!$F$11</f>
        <v>GOOD</v>
      </c>
      <c r="M109" s="62">
        <f>+'TEB-144.045'!$H$12</f>
        <v>16</v>
      </c>
      <c r="N109" s="35" t="s">
        <v>25</v>
      </c>
      <c r="O109" s="15">
        <v>1</v>
      </c>
      <c r="P109" s="35" t="s">
        <v>458</v>
      </c>
      <c r="Q109" s="15"/>
      <c r="R109" s="24" t="s">
        <v>1020</v>
      </c>
      <c r="S109" s="62" t="str">
        <f>+'EWR-924.375'!$J$4</f>
        <v>Henry Yu</v>
      </c>
      <c r="T109" s="15"/>
      <c r="U109" s="15"/>
      <c r="V109" s="54">
        <f t="shared" si="37"/>
        <v>2580000</v>
      </c>
      <c r="W109" s="54">
        <f t="shared" si="37"/>
        <v>1386000</v>
      </c>
      <c r="X109" s="54">
        <f t="shared" si="38"/>
        <v>1194000</v>
      </c>
    </row>
    <row r="110" spans="3:24" x14ac:dyDescent="0.25">
      <c r="C110" s="39">
        <v>2017</v>
      </c>
      <c r="D110" s="62" t="str">
        <f>+'EWR-924.375'!$F$4</f>
        <v>EWR-924.375</v>
      </c>
      <c r="E110" s="63" t="str">
        <f>+'EWR-924.375'!$F$5</f>
        <v>Peripheral Ditch Containment Boom Anchor Walls</v>
      </c>
      <c r="F110" s="64">
        <f>+'EWR-924.375'!$F$6</f>
        <v>42774</v>
      </c>
      <c r="G110" s="65" t="str">
        <f>+'EWR-924.375'!$G$7</f>
        <v>Public</v>
      </c>
      <c r="H110" s="94">
        <f>+'EWR-924.375'!$F$7</f>
        <v>970000</v>
      </c>
      <c r="I110" s="27">
        <f>+'EWR-924.375'!$F$8</f>
        <v>756482</v>
      </c>
      <c r="J110" s="27"/>
      <c r="K110" s="26">
        <f>+'EWR-924.375'!$G$9</f>
        <v>-0.22012164948453608</v>
      </c>
      <c r="L110" s="11" t="str">
        <f>+'EWR-924.375'!$F$11</f>
        <v>GOOD</v>
      </c>
      <c r="M110" s="62">
        <f>+'EWR-924.375'!$H$12</f>
        <v>9</v>
      </c>
      <c r="N110" s="35" t="s">
        <v>25</v>
      </c>
      <c r="O110" s="15">
        <v>1</v>
      </c>
      <c r="P110" s="35" t="s">
        <v>458</v>
      </c>
      <c r="Q110" s="15"/>
      <c r="R110" s="24"/>
      <c r="S110" s="62" t="str">
        <f>+'EWR-924.375'!$J$4</f>
        <v>Henry Yu</v>
      </c>
      <c r="T110" s="15"/>
      <c r="U110" s="15"/>
      <c r="V110" s="54">
        <f t="shared" si="37"/>
        <v>970000</v>
      </c>
      <c r="W110" s="54">
        <f t="shared" si="37"/>
        <v>756482</v>
      </c>
      <c r="X110" s="54">
        <f t="shared" si="38"/>
        <v>213518</v>
      </c>
    </row>
    <row r="111" spans="3:24" x14ac:dyDescent="0.25">
      <c r="C111" s="39">
        <v>2017</v>
      </c>
      <c r="D111" s="62" t="str">
        <f>+'GWB-924.170'!$F$4</f>
        <v>GWB-924.170</v>
      </c>
      <c r="E111" s="63" t="str">
        <f>+'GWB-924.170'!$F$5</f>
        <v>Maintenance Pavement Repairs via Work Order</v>
      </c>
      <c r="F111" s="64">
        <f>+'GWB-924.170'!$F$6</f>
        <v>42773</v>
      </c>
      <c r="G111" s="65" t="str">
        <f>+'GWB-924.170'!$G$7</f>
        <v>PQL</v>
      </c>
      <c r="H111" s="94">
        <f>+'GWB-924.170'!$F$7</f>
        <v>1965000</v>
      </c>
      <c r="I111" s="27">
        <f>+'GWB-924.170'!$F$8</f>
        <v>1450000</v>
      </c>
      <c r="J111" s="27"/>
      <c r="K111" s="26">
        <f>+'GWB-924.170'!$G$9</f>
        <v>-0.26208651399491095</v>
      </c>
      <c r="L111" s="11" t="str">
        <f>+'GWB-924.170'!$F$11</f>
        <v>GOOD</v>
      </c>
      <c r="M111" s="62">
        <f>+'GWB-924.170'!$H$12</f>
        <v>6</v>
      </c>
      <c r="N111" s="35" t="s">
        <v>226</v>
      </c>
      <c r="O111" s="15">
        <v>1</v>
      </c>
      <c r="P111" s="35" t="s">
        <v>457</v>
      </c>
      <c r="Q111" s="15"/>
      <c r="R111" s="24" t="s">
        <v>900</v>
      </c>
      <c r="S111" s="62" t="str">
        <f>+'GWB-924.170'!$J$4</f>
        <v>Reddy Gunda</v>
      </c>
      <c r="T111" s="15"/>
      <c r="U111" s="15"/>
      <c r="V111" s="54">
        <f t="shared" si="37"/>
        <v>1965000</v>
      </c>
      <c r="W111" s="54">
        <f t="shared" si="37"/>
        <v>1450000</v>
      </c>
      <c r="X111" s="54">
        <f t="shared" si="38"/>
        <v>515000</v>
      </c>
    </row>
    <row r="112" spans="3:24" x14ac:dyDescent="0.25">
      <c r="C112" s="39">
        <v>2017</v>
      </c>
      <c r="D112" s="62" t="str">
        <f>+'JFK-124.009'!$F$4</f>
        <v>JFK-124.009</v>
      </c>
      <c r="E112" s="63" t="str">
        <f>+'JFK-124.009'!$F$5</f>
        <v>Bldg 14 Roof Replacement, East Wing</v>
      </c>
      <c r="F112" s="64">
        <f>+'JFK-124.009'!$F$6</f>
        <v>42768</v>
      </c>
      <c r="G112" s="65" t="str">
        <f>+'JFK-124.009'!$G$7</f>
        <v>Public</v>
      </c>
      <c r="H112" s="94">
        <f>+'JFK-124.009'!$F$7</f>
        <v>4800000</v>
      </c>
      <c r="I112" s="27">
        <f>+'JFK-124.009'!$F$8</f>
        <v>3901193</v>
      </c>
      <c r="J112" s="27"/>
      <c r="K112" s="26">
        <f>+'JFK-124.009'!$G$9</f>
        <v>-0.18725145833333334</v>
      </c>
      <c r="L112" s="11" t="str">
        <f>+'JFK-124.009'!$F$11</f>
        <v>GOOD</v>
      </c>
      <c r="M112" s="62">
        <f>+'JFK-124.009'!$H$12</f>
        <v>14</v>
      </c>
      <c r="N112" s="35" t="s">
        <v>93</v>
      </c>
      <c r="O112" s="15">
        <v>1</v>
      </c>
      <c r="P112" s="35" t="s">
        <v>458</v>
      </c>
      <c r="Q112" s="15"/>
      <c r="R112" s="24"/>
      <c r="S112" s="62" t="str">
        <f>+'JFK-124.009'!$J$4</f>
        <v>Henry Yu</v>
      </c>
      <c r="T112" s="15"/>
      <c r="U112" s="15"/>
      <c r="V112" s="54">
        <f t="shared" si="37"/>
        <v>4800000</v>
      </c>
      <c r="W112" s="54">
        <f t="shared" si="37"/>
        <v>3901193</v>
      </c>
      <c r="X112" s="54">
        <f t="shared" si="38"/>
        <v>898807</v>
      </c>
    </row>
    <row r="113" spans="3:24" x14ac:dyDescent="0.25">
      <c r="C113" s="39">
        <v>2017</v>
      </c>
      <c r="D113" s="62" t="str">
        <f>+'MFP-924.645 Void'!$F$4</f>
        <v>MFP-924.645</v>
      </c>
      <c r="E113" s="63" t="str">
        <f>+'MFP-924.645 Void'!$F$5</f>
        <v>NJ Paving and Utility Rehab by Work Order</v>
      </c>
      <c r="F113" s="64">
        <f>+'MFP-924.645 Void'!$F$6</f>
        <v>42766</v>
      </c>
      <c r="G113" s="65"/>
      <c r="H113" s="94"/>
      <c r="I113" s="27"/>
      <c r="J113" s="27"/>
      <c r="K113" s="26"/>
      <c r="L113" s="11"/>
      <c r="M113" s="62"/>
      <c r="N113" s="35"/>
      <c r="O113" s="15"/>
      <c r="P113" s="35"/>
      <c r="Q113" s="15"/>
      <c r="R113" s="24" t="s">
        <v>472</v>
      </c>
      <c r="S113" s="62" t="str">
        <f>+'MFP-924.645 Void'!$J$4</f>
        <v>Ed Minall</v>
      </c>
      <c r="T113" s="15"/>
      <c r="U113" s="15"/>
      <c r="V113" s="54">
        <f t="shared" si="37"/>
        <v>0</v>
      </c>
      <c r="W113" s="54">
        <f t="shared" si="37"/>
        <v>0</v>
      </c>
      <c r="X113" s="54">
        <f t="shared" si="38"/>
        <v>0</v>
      </c>
    </row>
    <row r="114" spans="3:24" x14ac:dyDescent="0.25">
      <c r="C114" s="39">
        <v>2017</v>
      </c>
      <c r="D114" s="62" t="str">
        <f>+'JFK-154.022'!$F$4</f>
        <v>JFK-154.022</v>
      </c>
      <c r="E114" s="63" t="str">
        <f>+'JFK-154.022'!$F$5</f>
        <v>Vehicle Gates Security Upgrade</v>
      </c>
      <c r="F114" s="64">
        <f>+'JFK-154.022'!$F$6</f>
        <v>42765</v>
      </c>
      <c r="G114" s="65" t="str">
        <f>+'JFK-154.022'!$G$7</f>
        <v>VVP</v>
      </c>
      <c r="H114" s="94">
        <f>+'JFK-154.022'!$F$7</f>
        <v>6500000</v>
      </c>
      <c r="I114" s="27">
        <f>+'JFK-154.022'!$F$8</f>
        <v>5987000</v>
      </c>
      <c r="J114" s="27" t="s">
        <v>519</v>
      </c>
      <c r="K114" s="26">
        <f>+'JFK-154.022'!$G$9</f>
        <v>-7.8923076923076929E-2</v>
      </c>
      <c r="L114" s="11" t="str">
        <f>+'JFK-154.022'!$F$11</f>
        <v>GOOD</v>
      </c>
      <c r="M114" s="62">
        <f>+'JFK-154.022'!$H$12</f>
        <v>5</v>
      </c>
      <c r="N114" s="35" t="s">
        <v>93</v>
      </c>
      <c r="O114" s="15">
        <v>1</v>
      </c>
      <c r="P114" s="35" t="s">
        <v>458</v>
      </c>
      <c r="Q114" s="15"/>
      <c r="R114" s="24"/>
      <c r="S114" s="62" t="str">
        <f>+'JFK-154.022'!$J$4</f>
        <v>Nathan Demaisip</v>
      </c>
      <c r="T114" s="15"/>
      <c r="U114" s="15"/>
      <c r="V114" s="54">
        <f t="shared" si="37"/>
        <v>6500000</v>
      </c>
      <c r="W114" s="54">
        <f t="shared" si="37"/>
        <v>5987000</v>
      </c>
      <c r="X114" s="54">
        <f t="shared" si="38"/>
        <v>513000</v>
      </c>
    </row>
    <row r="115" spans="3:24" x14ac:dyDescent="0.25">
      <c r="C115" s="39">
        <v>2017</v>
      </c>
      <c r="D115" s="62" t="str">
        <f>+'LGA-103.015'!$F$4</f>
        <v>LGA-103.015</v>
      </c>
      <c r="E115" s="63" t="str">
        <f>+'LGA-103.015'!$F$5</f>
        <v>Pump House 6 Substation</v>
      </c>
      <c r="F115" s="64">
        <f>+'LGA-103.015'!$F$6</f>
        <v>42761</v>
      </c>
      <c r="G115" s="65" t="str">
        <f>+'LGA-103.015'!$G$7</f>
        <v>Public</v>
      </c>
      <c r="H115" s="94">
        <f>+'LGA-103.015'!$F$7</f>
        <v>5100000</v>
      </c>
      <c r="I115" s="27">
        <f>+'LGA-103.015'!$F$8</f>
        <v>4640176</v>
      </c>
      <c r="J115" s="94" t="s">
        <v>519</v>
      </c>
      <c r="K115" s="26">
        <f>+'LGA-103.015'!$G$9</f>
        <v>-9.0161568627450978E-2</v>
      </c>
      <c r="L115" s="11" t="str">
        <f>+'LGA-103.015'!$F$11</f>
        <v>GOOD</v>
      </c>
      <c r="M115" s="62">
        <f>+'LGA-103.015'!$H$12</f>
        <v>7</v>
      </c>
      <c r="N115" s="35" t="s">
        <v>93</v>
      </c>
      <c r="O115" s="15">
        <v>1</v>
      </c>
      <c r="P115" s="35" t="s">
        <v>458</v>
      </c>
      <c r="Q115" s="15"/>
      <c r="R115" s="24"/>
      <c r="S115" s="62" t="str">
        <f>+'LGA-103.015'!$J$4</f>
        <v>Joe Lucin</v>
      </c>
      <c r="T115" s="15"/>
      <c r="U115" s="15"/>
      <c r="V115" s="54">
        <f t="shared" si="37"/>
        <v>5100000</v>
      </c>
      <c r="W115" s="54">
        <f t="shared" si="37"/>
        <v>4640176</v>
      </c>
      <c r="X115" s="54">
        <f t="shared" si="38"/>
        <v>459824</v>
      </c>
    </row>
    <row r="116" spans="3:24" x14ac:dyDescent="0.25">
      <c r="C116" s="39">
        <v>2017</v>
      </c>
      <c r="D116" s="62" t="str">
        <f>+'EWR-154.392'!$F$4</f>
        <v>EWR-154.392</v>
      </c>
      <c r="E116" s="63" t="str">
        <f>+'EWR-154.392'!$F$5</f>
        <v xml:space="preserve">Terminal A Redev - Bridges N57, N58, N59 and Utilities </v>
      </c>
      <c r="F116" s="64">
        <f>+'EWR-154.392'!$F$6</f>
        <v>42759</v>
      </c>
      <c r="G116" s="65" t="str">
        <f>+'EWR-154.392'!$G$7</f>
        <v>PQL</v>
      </c>
      <c r="H116" s="94">
        <f>+'EWR-154.392'!$F$7</f>
        <v>69800000</v>
      </c>
      <c r="I116" s="27">
        <f>+'EWR-154.392'!$F$8</f>
        <v>67107000</v>
      </c>
      <c r="J116" s="27" t="s">
        <v>519</v>
      </c>
      <c r="K116" s="26">
        <f>+'EWR-154.392'!$G$9</f>
        <v>-3.8581661891117482E-2</v>
      </c>
      <c r="L116" s="11" t="str">
        <f>+'EWR-154.392'!$F$11</f>
        <v>GOOD</v>
      </c>
      <c r="M116" s="62">
        <f>+'EWR-154.392'!$H$12</f>
        <v>9</v>
      </c>
      <c r="N116" s="35" t="s">
        <v>25</v>
      </c>
      <c r="O116" s="15">
        <v>1</v>
      </c>
      <c r="P116" s="35" t="s">
        <v>458</v>
      </c>
      <c r="Q116" s="15"/>
      <c r="R116" s="24"/>
      <c r="S116" s="62" t="str">
        <f>+'EWR-154.392'!$J$4</f>
        <v>Henry Yu</v>
      </c>
      <c r="T116" s="15"/>
      <c r="U116" s="15"/>
      <c r="V116" s="54">
        <f t="shared" si="37"/>
        <v>69800000</v>
      </c>
      <c r="W116" s="54">
        <f t="shared" si="37"/>
        <v>67107000</v>
      </c>
      <c r="X116" s="54">
        <f t="shared" si="38"/>
        <v>2693000</v>
      </c>
    </row>
    <row r="117" spans="3:24" x14ac:dyDescent="0.25">
      <c r="C117" s="39">
        <v>2017</v>
      </c>
      <c r="D117" s="62" t="str">
        <f>+'HT-924.089'!$F$4</f>
        <v>HT-924.089</v>
      </c>
      <c r="E117" s="63" t="str">
        <f>+'HT-924.089'!$F$5</f>
        <v>NJ Service Building 1 and 2 Priority Repairs</v>
      </c>
      <c r="F117" s="64">
        <f>+'HT-924.089'!$F$6</f>
        <v>42753</v>
      </c>
      <c r="G117" s="65" t="str">
        <f>+'HT-924.089'!$G$7</f>
        <v>MWBE</v>
      </c>
      <c r="H117" s="94">
        <f>+'HT-924.089'!$F$7</f>
        <v>1410000</v>
      </c>
      <c r="I117" s="27">
        <f>+'HT-924.089'!$F$8</f>
        <v>1399756</v>
      </c>
      <c r="J117" s="27"/>
      <c r="K117" s="26">
        <f>+'HT-924.089'!$G$9</f>
        <v>-7.2652482269503545E-3</v>
      </c>
      <c r="L117" s="11" t="str">
        <f>+'HT-924.089'!$F$11</f>
        <v>GOOD</v>
      </c>
      <c r="M117" s="62">
        <f>+'HT-924.089'!$H$12</f>
        <v>3</v>
      </c>
      <c r="N117" s="35" t="s">
        <v>25</v>
      </c>
      <c r="O117" s="15">
        <v>1</v>
      </c>
      <c r="P117" s="35" t="s">
        <v>457</v>
      </c>
      <c r="Q117" s="15"/>
      <c r="R117" s="24"/>
      <c r="S117" s="62" t="str">
        <f>+'HT-924.089'!$J$4</f>
        <v>Reddy Gunda</v>
      </c>
      <c r="T117" s="15"/>
      <c r="U117" s="15"/>
      <c r="V117" s="54">
        <f t="shared" si="37"/>
        <v>1410000</v>
      </c>
      <c r="W117" s="54">
        <f t="shared" si="37"/>
        <v>1399756</v>
      </c>
      <c r="X117" s="54">
        <f t="shared" si="38"/>
        <v>10244</v>
      </c>
    </row>
    <row r="118" spans="3:24" x14ac:dyDescent="0.25">
      <c r="C118" s="39">
        <v>2017</v>
      </c>
      <c r="D118" s="62" t="str">
        <f>+'MFP-924.644'!$F$4</f>
        <v>MFP-924.644</v>
      </c>
      <c r="E118" s="63" t="str">
        <f>+'MFP-924.644'!$F$5</f>
        <v>NJ Marine Terminals Railroad Rehab via Work Order</v>
      </c>
      <c r="F118" s="64">
        <f>+'MFP-924.644'!$F$6</f>
        <v>42752</v>
      </c>
      <c r="G118" s="65" t="str">
        <f>+'MFP-924.644'!$G$7</f>
        <v>Public</v>
      </c>
      <c r="H118" s="94">
        <f>+'MFP-924.644'!$F$7</f>
        <v>4200000</v>
      </c>
      <c r="I118" s="27">
        <f>+'MFP-924.644'!$F$8</f>
        <v>3987114</v>
      </c>
      <c r="J118" s="27"/>
      <c r="K118" s="26">
        <f>+'MFP-924.644'!$G$9</f>
        <v>-5.0687142857142854E-2</v>
      </c>
      <c r="L118" s="11" t="str">
        <f>+'MFP-924.644'!$F$11</f>
        <v>GOOD</v>
      </c>
      <c r="M118" s="62">
        <f>+'MFP-924.644'!$H$12</f>
        <v>3</v>
      </c>
      <c r="N118" s="35" t="s">
        <v>25</v>
      </c>
      <c r="O118" s="15">
        <v>1</v>
      </c>
      <c r="P118" s="35" t="s">
        <v>492</v>
      </c>
      <c r="Q118" s="15"/>
      <c r="R118" s="24"/>
      <c r="S118" s="62" t="str">
        <f>+'MFP-924.644'!$J$4</f>
        <v>Ed Minall</v>
      </c>
      <c r="T118" s="15"/>
      <c r="U118" s="15"/>
      <c r="V118" s="54">
        <f t="shared" si="37"/>
        <v>4200000</v>
      </c>
      <c r="W118" s="54">
        <f t="shared" si="37"/>
        <v>3987114</v>
      </c>
      <c r="X118" s="54">
        <f t="shared" si="38"/>
        <v>212886</v>
      </c>
    </row>
    <row r="119" spans="3:24" x14ac:dyDescent="0.25">
      <c r="C119" s="39">
        <v>2017</v>
      </c>
      <c r="D119" s="62" t="str">
        <f>+'JFK-1067'!$F$4</f>
        <v>JFK-1067</v>
      </c>
      <c r="E119" s="63" t="str">
        <f>+'JFK-1067'!$F$5</f>
        <v>Asphalt Pavement Repairs via Work Order</v>
      </c>
      <c r="F119" s="64">
        <f>+'JFK-1067'!$F$6</f>
        <v>42746</v>
      </c>
      <c r="G119" s="65" t="str">
        <f>+'JFK-1067'!$G$7</f>
        <v>PQL</v>
      </c>
      <c r="H119" s="94">
        <f>+'JFK-1067'!$F$7</f>
        <v>12071025</v>
      </c>
      <c r="I119" s="27">
        <f>+'JFK-1067'!$F$8</f>
        <v>9977777</v>
      </c>
      <c r="J119" s="105" t="s">
        <v>519</v>
      </c>
      <c r="K119" s="26">
        <f>+'JFK-1067'!$G$9</f>
        <v>-0.17341095723022693</v>
      </c>
      <c r="L119" s="11" t="str">
        <f>+'JFK-1067'!$F$11</f>
        <v>FAIL</v>
      </c>
      <c r="M119" s="62">
        <f>+'JFK-1067'!$H$12</f>
        <v>3</v>
      </c>
      <c r="N119" s="35" t="s">
        <v>93</v>
      </c>
      <c r="O119" s="15">
        <v>1</v>
      </c>
      <c r="P119" s="35" t="s">
        <v>458</v>
      </c>
      <c r="Q119" s="15"/>
      <c r="R119" s="24"/>
      <c r="S119" s="62" t="str">
        <f>+'JFK-1067'!$J$4</f>
        <v>Henry Yu</v>
      </c>
      <c r="T119" s="15"/>
      <c r="U119" s="15"/>
      <c r="V119" s="54">
        <f t="shared" ref="V119:W120" si="39">+H119</f>
        <v>12071025</v>
      </c>
      <c r="W119" s="54">
        <f t="shared" si="39"/>
        <v>9977777</v>
      </c>
      <c r="X119" s="54">
        <f t="shared" si="38"/>
        <v>2093248</v>
      </c>
    </row>
    <row r="120" spans="3:24" x14ac:dyDescent="0.25">
      <c r="C120" s="39">
        <v>2017</v>
      </c>
      <c r="D120" s="62" t="str">
        <f>+'JFK-124.016'!$F$4</f>
        <v>JFK-124.016</v>
      </c>
      <c r="E120" s="63" t="str">
        <f>+'JFK-124.016'!$F$5</f>
        <v>Rehab Taxiway Q, QG and Restricted Vehicle Service Road</v>
      </c>
      <c r="F120" s="64">
        <f>+'JFK-124.016'!$F$6</f>
        <v>42739</v>
      </c>
      <c r="G120" s="65" t="str">
        <f>+'JFK-124.016'!$G$7</f>
        <v>PQL</v>
      </c>
      <c r="H120" s="94">
        <f>+'JFK-124.016'!$F$7</f>
        <v>28695000</v>
      </c>
      <c r="I120" s="27">
        <f>+'JFK-124.016'!$F$8</f>
        <v>31768035</v>
      </c>
      <c r="J120" s="27" t="s">
        <v>519</v>
      </c>
      <c r="K120" s="26">
        <f>+'JFK-124.016'!$G$9</f>
        <v>0.10709304756926294</v>
      </c>
      <c r="L120" s="11" t="str">
        <f>+'JFK-124.016'!$F$11</f>
        <v>GOOD</v>
      </c>
      <c r="M120" s="62">
        <f>+'JFK-124.016'!$H$12</f>
        <v>2</v>
      </c>
      <c r="N120" s="35" t="s">
        <v>93</v>
      </c>
      <c r="O120" s="15">
        <v>1</v>
      </c>
      <c r="P120" s="35" t="s">
        <v>458</v>
      </c>
      <c r="Q120" s="15"/>
      <c r="R120" s="24"/>
      <c r="S120" s="62" t="str">
        <f>+'JFK-124.016'!$J$4</f>
        <v>Henry Yu</v>
      </c>
      <c r="T120" s="15"/>
      <c r="U120" s="15"/>
      <c r="V120" s="54">
        <f t="shared" si="39"/>
        <v>28695000</v>
      </c>
      <c r="W120" s="54">
        <f t="shared" si="39"/>
        <v>31768035</v>
      </c>
      <c r="X120" s="54">
        <f t="shared" si="38"/>
        <v>-3073035</v>
      </c>
    </row>
    <row r="121" spans="3:24" x14ac:dyDescent="0.25">
      <c r="C121" s="39"/>
      <c r="D121" s="15"/>
      <c r="E121" s="24"/>
      <c r="F121" s="25"/>
      <c r="G121" s="46"/>
      <c r="H121" s="27"/>
      <c r="I121" s="27"/>
      <c r="J121" s="27"/>
      <c r="K121" s="26"/>
      <c r="L121" s="11"/>
      <c r="M121" s="62"/>
      <c r="P121" s="11"/>
      <c r="V121" s="54"/>
      <c r="W121" s="54"/>
      <c r="X121" s="54"/>
    </row>
    <row r="122" spans="3:24" x14ac:dyDescent="0.25">
      <c r="C122" s="39"/>
      <c r="D122" s="15"/>
      <c r="E122" s="24"/>
      <c r="F122" s="25"/>
      <c r="G122" s="46"/>
      <c r="H122" s="27"/>
      <c r="I122" s="27"/>
      <c r="J122" s="27"/>
      <c r="K122" s="26"/>
      <c r="L122" s="11"/>
      <c r="M122" s="15"/>
      <c r="P122" s="11"/>
      <c r="V122" s="54"/>
      <c r="W122" s="54"/>
      <c r="X122" s="54"/>
    </row>
    <row r="123" spans="3:24" x14ac:dyDescent="0.25">
      <c r="C123" s="39"/>
      <c r="D123" s="15"/>
      <c r="E123" s="24"/>
      <c r="F123" s="25"/>
      <c r="G123" s="46"/>
      <c r="H123" s="27"/>
      <c r="I123" s="27"/>
      <c r="J123" s="27"/>
      <c r="K123" s="26"/>
      <c r="L123" s="11"/>
      <c r="M123" s="15"/>
      <c r="P123" s="11"/>
      <c r="V123" s="54"/>
      <c r="W123" s="54"/>
      <c r="X123" s="54"/>
    </row>
    <row r="124" spans="3:24" x14ac:dyDescent="0.25">
      <c r="C124" s="39"/>
      <c r="G124" s="46"/>
      <c r="H124" s="68"/>
      <c r="L124">
        <f>COUNTA(L51:L120)</f>
        <v>65</v>
      </c>
      <c r="P124" s="11"/>
      <c r="V124" s="54"/>
      <c r="W124" s="54"/>
      <c r="X124" s="54"/>
    </row>
    <row r="125" spans="3:24" x14ac:dyDescent="0.25">
      <c r="C125" s="39"/>
      <c r="G125" s="45"/>
      <c r="H125" s="69"/>
      <c r="L125">
        <v>22</v>
      </c>
      <c r="M125" t="s">
        <v>789</v>
      </c>
      <c r="N125" s="76" t="s">
        <v>819</v>
      </c>
      <c r="P125" s="11"/>
      <c r="V125" s="54"/>
      <c r="W125" s="54"/>
      <c r="X125" s="54"/>
    </row>
    <row r="126" spans="3:24" x14ac:dyDescent="0.25">
      <c r="C126" s="39"/>
      <c r="G126" s="45"/>
      <c r="H126" s="69"/>
      <c r="L126">
        <f>+L124-L125</f>
        <v>43</v>
      </c>
      <c r="M126" t="s">
        <v>790</v>
      </c>
      <c r="P126" s="11"/>
      <c r="V126" s="54"/>
      <c r="W126" s="54"/>
      <c r="X126" s="54"/>
    </row>
    <row r="127" spans="3:24" x14ac:dyDescent="0.25">
      <c r="C127" s="39"/>
      <c r="G127" s="45"/>
      <c r="H127" s="67"/>
      <c r="L127">
        <f>+L126/L124</f>
        <v>0.66153846153846152</v>
      </c>
      <c r="P127" s="11"/>
    </row>
    <row r="128" spans="3:24" x14ac:dyDescent="0.25">
      <c r="C128" s="39"/>
      <c r="G128" s="45"/>
      <c r="P128" s="11"/>
    </row>
    <row r="129" spans="3:16" x14ac:dyDescent="0.25">
      <c r="C129" s="39"/>
      <c r="G129" s="45"/>
      <c r="H129" s="55">
        <f>SUM(H51:H120)</f>
        <v>1120409025</v>
      </c>
      <c r="I129" s="55">
        <f>SUM(I51:I120)</f>
        <v>1039196416</v>
      </c>
      <c r="J129" s="7">
        <f>+I129/H129</f>
        <v>0.92751521347304389</v>
      </c>
      <c r="L129" s="4">
        <f>COUNTA(L51:L120)-H124</f>
        <v>65</v>
      </c>
      <c r="P129" s="11"/>
    </row>
    <row r="130" spans="3:16" x14ac:dyDescent="0.25">
      <c r="C130" s="39"/>
      <c r="G130" s="45"/>
      <c r="L130">
        <f>+L125-H125</f>
        <v>22</v>
      </c>
      <c r="M130" t="s">
        <v>789</v>
      </c>
      <c r="P130" s="11"/>
    </row>
    <row r="131" spans="3:16" x14ac:dyDescent="0.25">
      <c r="C131" s="39"/>
      <c r="G131" s="45"/>
      <c r="L131">
        <f>+L126-H126</f>
        <v>43</v>
      </c>
      <c r="M131" t="s">
        <v>790</v>
      </c>
      <c r="P131" s="11"/>
    </row>
    <row r="132" spans="3:16" x14ac:dyDescent="0.25">
      <c r="C132" s="39"/>
      <c r="G132" s="45"/>
      <c r="L132">
        <f>+L131/L129</f>
        <v>0.66153846153846152</v>
      </c>
      <c r="P132" s="11"/>
    </row>
    <row r="133" spans="3:16" x14ac:dyDescent="0.25">
      <c r="C133" s="39"/>
      <c r="G133" s="45"/>
      <c r="P133" s="11"/>
    </row>
    <row r="134" spans="3:16" x14ac:dyDescent="0.25">
      <c r="C134" s="39"/>
      <c r="G134" s="45"/>
      <c r="P134" s="11"/>
    </row>
    <row r="135" spans="3:16" x14ac:dyDescent="0.25">
      <c r="C135" s="39"/>
      <c r="E135" s="125" t="s">
        <v>1168</v>
      </c>
      <c r="F135" s="70" t="str">
        <f>"'15 final"</f>
        <v>'15 final</v>
      </c>
      <c r="G135" s="70" t="str">
        <f>"'16 final"</f>
        <v>'16 final</v>
      </c>
      <c r="H135" s="121" t="str">
        <f>"'17 final"</f>
        <v>'17 final</v>
      </c>
      <c r="I135" s="121" t="s">
        <v>1239</v>
      </c>
      <c r="J135" s="121" t="s">
        <v>1247</v>
      </c>
      <c r="P135" s="11"/>
    </row>
    <row r="136" spans="3:16" x14ac:dyDescent="0.25">
      <c r="C136" s="39"/>
      <c r="E136" s="71" t="s">
        <v>800</v>
      </c>
      <c r="F136" s="11">
        <v>36</v>
      </c>
      <c r="G136" s="11">
        <v>43</v>
      </c>
      <c r="H136" s="104">
        <f>+L124</f>
        <v>65</v>
      </c>
      <c r="I136" s="104">
        <v>38</v>
      </c>
      <c r="J136" s="104">
        <v>14</v>
      </c>
      <c r="P136" s="11"/>
    </row>
    <row r="137" spans="3:16" x14ac:dyDescent="0.25">
      <c r="C137" s="39"/>
      <c r="E137" s="72" t="s">
        <v>801</v>
      </c>
      <c r="F137" s="11">
        <v>24</v>
      </c>
      <c r="G137" s="11">
        <v>36</v>
      </c>
      <c r="H137" s="104">
        <f>+H136-H138</f>
        <v>41</v>
      </c>
      <c r="I137" s="104">
        <v>19</v>
      </c>
      <c r="J137" s="104">
        <v>8</v>
      </c>
      <c r="P137" s="11"/>
    </row>
    <row r="138" spans="3:16" x14ac:dyDescent="0.25">
      <c r="C138" s="39"/>
      <c r="E138" s="72" t="s">
        <v>802</v>
      </c>
      <c r="F138" s="11">
        <v>12</v>
      </c>
      <c r="G138" s="11">
        <v>7</v>
      </c>
      <c r="H138" s="104">
        <v>24</v>
      </c>
      <c r="I138" s="104">
        <f>+I136-I137</f>
        <v>19</v>
      </c>
      <c r="J138" s="104">
        <v>6</v>
      </c>
      <c r="P138" s="11"/>
    </row>
    <row r="139" spans="3:16" x14ac:dyDescent="0.25">
      <c r="C139" s="39"/>
      <c r="E139" s="72"/>
      <c r="F139" s="11"/>
      <c r="G139" s="11"/>
      <c r="H139" s="104"/>
      <c r="I139" s="104"/>
      <c r="J139" s="104"/>
      <c r="P139" s="11"/>
    </row>
    <row r="140" spans="3:16" x14ac:dyDescent="0.25">
      <c r="C140" s="39"/>
      <c r="E140" s="72" t="s">
        <v>1144</v>
      </c>
      <c r="F140" s="78">
        <v>170</v>
      </c>
      <c r="G140" s="78">
        <v>348.82968799999998</v>
      </c>
      <c r="H140" s="122">
        <f>+I129/1000000</f>
        <v>1039.196416</v>
      </c>
      <c r="I140" s="122">
        <f>SUM(I6:I49)/1000000</f>
        <v>573.64947400000005</v>
      </c>
      <c r="J140" s="122">
        <v>174</v>
      </c>
      <c r="P140" s="11"/>
    </row>
    <row r="141" spans="3:16" x14ac:dyDescent="0.25">
      <c r="C141" s="39"/>
      <c r="E141" s="72" t="s">
        <v>806</v>
      </c>
      <c r="F141" s="75">
        <v>6.416666666666667</v>
      </c>
      <c r="G141" s="75">
        <v>5.8837209302325579</v>
      </c>
      <c r="H141" s="123">
        <f>AVERAGE(M6:M120)</f>
        <v>5.1941747572815533</v>
      </c>
      <c r="I141" s="123">
        <v>5.0999999999999996</v>
      </c>
      <c r="J141" s="215">
        <v>3.5</v>
      </c>
      <c r="P141" s="11"/>
    </row>
    <row r="142" spans="3:16" x14ac:dyDescent="0.25">
      <c r="C142" s="39"/>
      <c r="E142" s="72" t="s">
        <v>807</v>
      </c>
      <c r="F142" s="74">
        <v>1.024</v>
      </c>
      <c r="G142" s="74">
        <v>0.83587858746624299</v>
      </c>
      <c r="H142" s="124">
        <f>+J129</f>
        <v>0.92751521347304389</v>
      </c>
      <c r="I142" s="214">
        <v>0.75800000000000001</v>
      </c>
      <c r="J142" s="214">
        <v>0.85399999999999998</v>
      </c>
      <c r="P142" s="11"/>
    </row>
    <row r="143" spans="3:16" x14ac:dyDescent="0.25">
      <c r="C143" s="39"/>
      <c r="E143" s="72"/>
      <c r="F143" s="11"/>
      <c r="G143" s="11"/>
      <c r="H143" s="104"/>
      <c r="I143" s="104"/>
      <c r="J143" s="104"/>
      <c r="P143" s="11"/>
    </row>
    <row r="144" spans="3:16" x14ac:dyDescent="0.25">
      <c r="C144" s="39"/>
      <c r="E144" s="72" t="s">
        <v>803</v>
      </c>
      <c r="F144" s="74">
        <v>0.55500000000000005</v>
      </c>
      <c r="G144" s="74">
        <v>0.62790697674418605</v>
      </c>
      <c r="H144" s="74">
        <f>+L127</f>
        <v>0.66153846153846152</v>
      </c>
      <c r="I144" s="151">
        <v>0.64800000000000002</v>
      </c>
      <c r="J144" s="151">
        <v>0.5</v>
      </c>
      <c r="P144" s="11"/>
    </row>
    <row r="145" spans="3:24" x14ac:dyDescent="0.25">
      <c r="C145" s="107">
        <f>+L125-C146</f>
        <v>13</v>
      </c>
      <c r="D145" s="52" t="s">
        <v>789</v>
      </c>
      <c r="E145" s="72" t="s">
        <v>804</v>
      </c>
      <c r="F145" s="74">
        <v>0.5</v>
      </c>
      <c r="G145" s="74">
        <v>0.63888888888888884</v>
      </c>
      <c r="H145" s="74">
        <f>(H137-C145)/H137</f>
        <v>0.68292682926829273</v>
      </c>
      <c r="I145" s="152">
        <v>0.57899999999999996</v>
      </c>
      <c r="J145" s="152">
        <v>0.33</v>
      </c>
      <c r="P145" s="11"/>
    </row>
    <row r="146" spans="3:24" x14ac:dyDescent="0.25">
      <c r="C146" s="107">
        <v>9</v>
      </c>
      <c r="D146" s="52" t="s">
        <v>789</v>
      </c>
      <c r="E146" s="72" t="s">
        <v>805</v>
      </c>
      <c r="F146" s="74">
        <v>0.66700000000000004</v>
      </c>
      <c r="G146" s="74">
        <v>0.5714285714285714</v>
      </c>
      <c r="H146" s="74">
        <f>(H138-C146)/H138</f>
        <v>0.625</v>
      </c>
      <c r="I146" s="152">
        <v>0.73299999999999998</v>
      </c>
      <c r="J146" s="152">
        <v>0.75</v>
      </c>
      <c r="P146" s="11"/>
    </row>
    <row r="147" spans="3:24" x14ac:dyDescent="0.25">
      <c r="C147" s="39"/>
      <c r="E147" s="72"/>
      <c r="F147" s="11"/>
      <c r="G147" s="11"/>
      <c r="H147" s="104"/>
      <c r="I147" s="104"/>
      <c r="J147" s="104"/>
      <c r="P147" s="11"/>
    </row>
    <row r="148" spans="3:24" x14ac:dyDescent="0.25">
      <c r="C148" s="39"/>
      <c r="E148" s="72" t="s">
        <v>1141</v>
      </c>
      <c r="F148" s="11">
        <v>15</v>
      </c>
      <c r="G148" s="11">
        <v>13</v>
      </c>
      <c r="H148" s="104">
        <v>25</v>
      </c>
      <c r="I148" s="104">
        <v>15</v>
      </c>
      <c r="J148" s="104">
        <v>9</v>
      </c>
    </row>
    <row r="149" spans="3:24" x14ac:dyDescent="0.25">
      <c r="E149" s="106" t="s">
        <v>1143</v>
      </c>
      <c r="F149" s="74">
        <f>+F148/F136</f>
        <v>0.41666666666666669</v>
      </c>
      <c r="G149" s="74">
        <f>+G148/G136</f>
        <v>0.30232558139534882</v>
      </c>
      <c r="H149" s="108">
        <f>+H148/H136</f>
        <v>0.38461538461538464</v>
      </c>
      <c r="I149" s="108">
        <f>+I148/I136</f>
        <v>0.39473684210526316</v>
      </c>
      <c r="J149" s="216">
        <f>+J148/J136</f>
        <v>0.6428571428571429</v>
      </c>
    </row>
    <row r="150" spans="3:24" x14ac:dyDescent="0.25">
      <c r="C150" s="39"/>
      <c r="E150" s="72" t="s">
        <v>1142</v>
      </c>
      <c r="F150" s="11">
        <v>5</v>
      </c>
      <c r="G150" s="11">
        <v>3</v>
      </c>
      <c r="H150" s="104">
        <v>2</v>
      </c>
      <c r="I150" s="104">
        <v>3</v>
      </c>
      <c r="J150" s="104">
        <v>0</v>
      </c>
    </row>
    <row r="151" spans="3:24" x14ac:dyDescent="0.25">
      <c r="C151" s="39"/>
      <c r="E151" s="106" t="s">
        <v>1169</v>
      </c>
      <c r="F151" s="74">
        <f>+F150/F136</f>
        <v>0.1388888888888889</v>
      </c>
      <c r="G151" s="74">
        <f>+G150/G136</f>
        <v>6.9767441860465115E-2</v>
      </c>
      <c r="H151" s="108">
        <f>+H150/H136</f>
        <v>3.0769230769230771E-2</v>
      </c>
      <c r="I151" s="108">
        <f>+I150/I136</f>
        <v>7.8947368421052627E-2</v>
      </c>
      <c r="J151" s="108">
        <v>0</v>
      </c>
    </row>
    <row r="152" spans="3:24" x14ac:dyDescent="0.25">
      <c r="C152" s="39"/>
      <c r="E152" s="72"/>
      <c r="F152" s="11"/>
      <c r="G152" s="11"/>
    </row>
    <row r="153" spans="3:24" x14ac:dyDescent="0.25">
      <c r="C153" s="39"/>
      <c r="E153" s="72"/>
      <c r="F153" s="11"/>
      <c r="G153" s="11"/>
    </row>
    <row r="154" spans="3:24" x14ac:dyDescent="0.25">
      <c r="C154" s="79"/>
      <c r="D154" s="80"/>
      <c r="E154" s="81"/>
      <c r="F154" s="82"/>
      <c r="G154" s="82"/>
      <c r="H154" s="80"/>
      <c r="I154" s="80"/>
      <c r="J154" s="80"/>
      <c r="K154" s="80"/>
      <c r="L154" s="80"/>
      <c r="M154" s="80"/>
      <c r="N154" s="82"/>
      <c r="O154" s="80"/>
      <c r="P154" s="80"/>
      <c r="Q154" s="80"/>
      <c r="R154" s="80"/>
      <c r="S154" s="80"/>
    </row>
    <row r="155" spans="3:24" x14ac:dyDescent="0.25">
      <c r="C155" s="39"/>
      <c r="E155" s="36"/>
      <c r="G155" s="45"/>
    </row>
    <row r="156" spans="3:24" x14ac:dyDescent="0.25">
      <c r="C156" s="39"/>
      <c r="G156" s="45"/>
    </row>
    <row r="157" spans="3:24" x14ac:dyDescent="0.25">
      <c r="C157" s="39"/>
      <c r="D157" s="31" t="s">
        <v>837</v>
      </c>
      <c r="G157" s="45"/>
    </row>
    <row r="158" spans="3:24" x14ac:dyDescent="0.25">
      <c r="C158" s="39">
        <v>2017</v>
      </c>
      <c r="D158" s="102" t="s">
        <v>1150</v>
      </c>
      <c r="E158" s="63" t="s">
        <v>1151</v>
      </c>
      <c r="F158" s="64">
        <v>43083</v>
      </c>
      <c r="G158" s="65" t="s">
        <v>693</v>
      </c>
      <c r="H158" s="94">
        <v>979000</v>
      </c>
      <c r="I158" s="27">
        <v>1168000</v>
      </c>
      <c r="J158" s="27"/>
      <c r="K158" s="26">
        <v>0.1930541368743616</v>
      </c>
      <c r="L158" s="11" t="s">
        <v>465</v>
      </c>
      <c r="M158" s="15">
        <v>2</v>
      </c>
      <c r="N158" s="35" t="s">
        <v>25</v>
      </c>
      <c r="O158" s="15">
        <v>4</v>
      </c>
      <c r="P158" s="35" t="s">
        <v>458</v>
      </c>
      <c r="Q158" s="15"/>
      <c r="R158" s="24"/>
      <c r="S158" s="62" t="s">
        <v>784</v>
      </c>
      <c r="T158" s="15"/>
      <c r="U158" s="15"/>
      <c r="V158" s="54">
        <v>979000</v>
      </c>
      <c r="W158" s="54">
        <v>1168000</v>
      </c>
      <c r="X158" s="54">
        <v>-189000</v>
      </c>
    </row>
    <row r="159" spans="3:24" x14ac:dyDescent="0.25">
      <c r="C159" s="39">
        <v>2017</v>
      </c>
      <c r="D159" s="102" t="s">
        <v>1147</v>
      </c>
      <c r="E159" s="63" t="s">
        <v>1148</v>
      </c>
      <c r="F159" s="64">
        <v>43083</v>
      </c>
      <c r="G159" s="65"/>
      <c r="H159" s="94"/>
      <c r="I159" s="27"/>
      <c r="J159" s="27"/>
      <c r="K159" s="26"/>
      <c r="L159" s="11"/>
      <c r="M159" s="15"/>
      <c r="N159" s="35"/>
      <c r="O159" s="15"/>
      <c r="P159" s="35"/>
      <c r="Q159" s="15"/>
      <c r="R159" s="24" t="s">
        <v>227</v>
      </c>
      <c r="S159" s="62" t="s">
        <v>816</v>
      </c>
      <c r="T159" s="15"/>
      <c r="U159" s="15"/>
      <c r="V159" s="54">
        <v>1765000</v>
      </c>
      <c r="W159" s="54">
        <v>2248420</v>
      </c>
      <c r="X159" s="54">
        <v>-483420</v>
      </c>
    </row>
    <row r="160" spans="3:24" x14ac:dyDescent="0.25">
      <c r="C160" s="39">
        <v>2017</v>
      </c>
      <c r="D160" s="102" t="s">
        <v>1136</v>
      </c>
      <c r="E160" s="63" t="s">
        <v>1137</v>
      </c>
      <c r="F160" s="64">
        <v>43074</v>
      </c>
      <c r="G160" s="65" t="s">
        <v>34</v>
      </c>
      <c r="H160" s="94">
        <v>1530000</v>
      </c>
      <c r="I160" s="27">
        <v>1189000</v>
      </c>
      <c r="J160" s="27"/>
      <c r="K160" s="26">
        <v>-0.22287581699346407</v>
      </c>
      <c r="L160" s="11" t="s">
        <v>464</v>
      </c>
      <c r="M160" s="15">
        <v>3</v>
      </c>
      <c r="N160" s="35" t="s">
        <v>25</v>
      </c>
      <c r="O160" s="15">
        <v>4</v>
      </c>
      <c r="P160" s="35" t="s">
        <v>458</v>
      </c>
      <c r="Q160" s="15"/>
      <c r="R160" s="24"/>
      <c r="S160" s="62" t="s">
        <v>616</v>
      </c>
      <c r="T160" s="15"/>
      <c r="U160" s="15"/>
      <c r="V160" s="54">
        <v>1530000</v>
      </c>
      <c r="W160" s="54">
        <v>1189000</v>
      </c>
      <c r="X160" s="54">
        <v>341000</v>
      </c>
    </row>
    <row r="161" spans="3:24" x14ac:dyDescent="0.25">
      <c r="C161" s="39">
        <v>2017</v>
      </c>
      <c r="D161" s="102" t="s">
        <v>1129</v>
      </c>
      <c r="E161" s="63" t="s">
        <v>1130</v>
      </c>
      <c r="F161" s="64">
        <v>43068</v>
      </c>
      <c r="G161" s="65" t="s">
        <v>34</v>
      </c>
      <c r="H161" s="94">
        <v>6600000</v>
      </c>
      <c r="I161" s="27">
        <v>5189333</v>
      </c>
      <c r="J161" s="27" t="s">
        <v>519</v>
      </c>
      <c r="K161" s="26">
        <v>-0.21373742424242423</v>
      </c>
      <c r="L161" s="11" t="s">
        <v>464</v>
      </c>
      <c r="M161" s="15">
        <v>7</v>
      </c>
      <c r="N161" s="35" t="s">
        <v>25</v>
      </c>
      <c r="O161" s="15">
        <v>4</v>
      </c>
      <c r="P161" s="35" t="s">
        <v>458</v>
      </c>
      <c r="Q161" s="15"/>
      <c r="R161" s="24"/>
      <c r="S161" s="62" t="s">
        <v>616</v>
      </c>
      <c r="T161" s="15"/>
      <c r="U161" s="15"/>
      <c r="V161" s="54">
        <v>6600000</v>
      </c>
      <c r="W161" s="54">
        <v>5189333</v>
      </c>
      <c r="X161" s="54">
        <v>1410667</v>
      </c>
    </row>
    <row r="162" spans="3:24" x14ac:dyDescent="0.25">
      <c r="C162" s="39">
        <v>2017</v>
      </c>
      <c r="D162" s="62" t="s">
        <v>1124</v>
      </c>
      <c r="E162" s="63" t="s">
        <v>1125</v>
      </c>
      <c r="F162" s="64">
        <v>43053</v>
      </c>
      <c r="G162" s="65" t="s">
        <v>693</v>
      </c>
      <c r="H162" s="94">
        <v>820000</v>
      </c>
      <c r="I162" s="27">
        <v>861500</v>
      </c>
      <c r="J162" s="27"/>
      <c r="K162" s="26">
        <v>5.0609756097560979E-2</v>
      </c>
      <c r="L162" s="11" t="s">
        <v>464</v>
      </c>
      <c r="M162" s="15">
        <v>4</v>
      </c>
      <c r="N162" s="35" t="s">
        <v>25</v>
      </c>
      <c r="O162" s="15">
        <v>4</v>
      </c>
      <c r="P162" s="35" t="s">
        <v>458</v>
      </c>
      <c r="Q162" s="15"/>
      <c r="R162" s="24"/>
      <c r="S162" s="62" t="s">
        <v>616</v>
      </c>
      <c r="T162" s="15"/>
      <c r="U162" s="15"/>
      <c r="V162" s="54">
        <v>820000</v>
      </c>
      <c r="W162" s="54">
        <v>861500</v>
      </c>
      <c r="X162" s="54">
        <v>-41500</v>
      </c>
    </row>
    <row r="163" spans="3:24" x14ac:dyDescent="0.25">
      <c r="C163" s="39">
        <v>2017</v>
      </c>
      <c r="D163" s="62" t="s">
        <v>1118</v>
      </c>
      <c r="E163" s="63" t="s">
        <v>1119</v>
      </c>
      <c r="F163" s="64">
        <v>43048</v>
      </c>
      <c r="G163" s="65" t="s">
        <v>34</v>
      </c>
      <c r="H163" s="94">
        <v>4860000</v>
      </c>
      <c r="I163" s="27">
        <v>3418000</v>
      </c>
      <c r="J163" s="27"/>
      <c r="K163" s="26">
        <v>-0.29670781893004117</v>
      </c>
      <c r="L163" s="11" t="s">
        <v>464</v>
      </c>
      <c r="M163" s="15">
        <v>8</v>
      </c>
      <c r="N163" s="35" t="s">
        <v>25</v>
      </c>
      <c r="O163" s="15">
        <v>4</v>
      </c>
      <c r="P163" s="35" t="s">
        <v>492</v>
      </c>
      <c r="Q163" s="15"/>
      <c r="R163" s="24"/>
      <c r="S163" s="62" t="s">
        <v>816</v>
      </c>
      <c r="T163" s="15"/>
      <c r="U163" s="15"/>
      <c r="V163" s="54">
        <v>4860000</v>
      </c>
      <c r="W163" s="54">
        <v>3418000</v>
      </c>
      <c r="X163" s="54">
        <v>1442000</v>
      </c>
    </row>
    <row r="164" spans="3:24" x14ac:dyDescent="0.25">
      <c r="C164" s="39">
        <v>2017</v>
      </c>
      <c r="D164" s="62" t="s">
        <v>1116</v>
      </c>
      <c r="E164" s="63" t="s">
        <v>1117</v>
      </c>
      <c r="F164" s="64">
        <v>43047</v>
      </c>
      <c r="G164" s="65" t="s">
        <v>190</v>
      </c>
      <c r="H164" s="94">
        <v>26900000</v>
      </c>
      <c r="I164" s="27">
        <v>26600000</v>
      </c>
      <c r="J164" s="27" t="s">
        <v>519</v>
      </c>
      <c r="K164" s="26">
        <v>-1.1152416356877323E-2</v>
      </c>
      <c r="L164" s="11" t="s">
        <v>464</v>
      </c>
      <c r="M164" s="15">
        <v>3</v>
      </c>
      <c r="N164" s="35" t="s">
        <v>25</v>
      </c>
      <c r="O164" s="15">
        <v>4</v>
      </c>
      <c r="P164" s="35" t="s">
        <v>458</v>
      </c>
      <c r="Q164" s="15"/>
      <c r="R164" s="24"/>
      <c r="S164" s="62" t="s">
        <v>616</v>
      </c>
      <c r="T164" s="15"/>
      <c r="U164" s="15"/>
      <c r="V164" s="54">
        <v>26900000</v>
      </c>
      <c r="W164" s="54">
        <v>26600000</v>
      </c>
      <c r="X164" s="54">
        <v>300000</v>
      </c>
    </row>
    <row r="165" spans="3:24" x14ac:dyDescent="0.25">
      <c r="C165" s="39">
        <v>2017</v>
      </c>
      <c r="D165" s="62" t="s">
        <v>1107</v>
      </c>
      <c r="E165" s="63" t="s">
        <v>1109</v>
      </c>
      <c r="F165" s="64">
        <v>43034</v>
      </c>
      <c r="G165" s="65" t="s">
        <v>756</v>
      </c>
      <c r="H165" s="94">
        <v>2194000</v>
      </c>
      <c r="I165" s="27">
        <v>1361078</v>
      </c>
      <c r="J165" s="27"/>
      <c r="K165" s="26">
        <v>-0.3796362807657247</v>
      </c>
      <c r="L165" s="11" t="s">
        <v>465</v>
      </c>
      <c r="M165" s="15">
        <v>6</v>
      </c>
      <c r="N165" s="35" t="s">
        <v>25</v>
      </c>
      <c r="O165" s="15">
        <v>4</v>
      </c>
      <c r="P165" s="35" t="s">
        <v>459</v>
      </c>
      <c r="Q165" s="15"/>
      <c r="R165" s="24"/>
      <c r="S165" s="62" t="s">
        <v>447</v>
      </c>
      <c r="T165" s="15"/>
      <c r="U165" s="15"/>
      <c r="V165" s="54">
        <v>2194000</v>
      </c>
      <c r="W165" s="54">
        <v>1361078</v>
      </c>
      <c r="X165" s="54">
        <v>832922</v>
      </c>
    </row>
    <row r="166" spans="3:24" x14ac:dyDescent="0.25">
      <c r="C166" s="39">
        <v>2017</v>
      </c>
      <c r="D166" s="62" t="s">
        <v>1099</v>
      </c>
      <c r="E166" s="63" t="s">
        <v>1100</v>
      </c>
      <c r="F166" s="64">
        <v>43025</v>
      </c>
      <c r="G166" s="65" t="s">
        <v>34</v>
      </c>
      <c r="H166" s="94">
        <v>3000000</v>
      </c>
      <c r="I166" s="27">
        <v>2812500</v>
      </c>
      <c r="J166" s="27"/>
      <c r="K166" s="26">
        <v>-6.25E-2</v>
      </c>
      <c r="L166" s="11" t="s">
        <v>464</v>
      </c>
      <c r="M166" s="15">
        <v>2</v>
      </c>
      <c r="N166" s="35" t="s">
        <v>25</v>
      </c>
      <c r="O166" s="15">
        <v>4</v>
      </c>
      <c r="P166" s="35" t="s">
        <v>458</v>
      </c>
      <c r="Q166" s="15"/>
      <c r="R166" s="24"/>
      <c r="S166" s="62" t="s">
        <v>616</v>
      </c>
      <c r="T166" s="15"/>
      <c r="U166" s="15"/>
      <c r="V166" s="54">
        <v>3000000</v>
      </c>
      <c r="W166" s="54">
        <v>2812500</v>
      </c>
      <c r="X166" s="54">
        <v>187500</v>
      </c>
    </row>
    <row r="167" spans="3:24" x14ac:dyDescent="0.25">
      <c r="C167" s="39">
        <v>2017</v>
      </c>
      <c r="D167" s="62" t="s">
        <v>1093</v>
      </c>
      <c r="E167" s="63" t="s">
        <v>1094</v>
      </c>
      <c r="F167" s="64">
        <v>43013</v>
      </c>
      <c r="G167" s="65" t="s">
        <v>34</v>
      </c>
      <c r="H167" s="94">
        <v>970000</v>
      </c>
      <c r="I167" s="27">
        <v>1285000</v>
      </c>
      <c r="J167" s="27"/>
      <c r="K167" s="26">
        <v>0.32474226804123713</v>
      </c>
      <c r="L167" s="11" t="s">
        <v>465</v>
      </c>
      <c r="M167" s="15">
        <v>6</v>
      </c>
      <c r="N167" s="35" t="s">
        <v>25</v>
      </c>
      <c r="O167" s="15">
        <v>4</v>
      </c>
      <c r="P167" s="35" t="s">
        <v>458</v>
      </c>
      <c r="Q167" s="15"/>
      <c r="R167" s="24"/>
      <c r="S167" s="62" t="s">
        <v>616</v>
      </c>
      <c r="T167" s="15"/>
      <c r="U167" s="15"/>
      <c r="V167" s="54">
        <v>970000</v>
      </c>
      <c r="W167" s="54">
        <v>1285000</v>
      </c>
      <c r="X167" s="54">
        <v>-315000</v>
      </c>
    </row>
    <row r="168" spans="3:24" x14ac:dyDescent="0.25">
      <c r="C168" s="39">
        <v>2017</v>
      </c>
      <c r="D168" s="62" t="s">
        <v>1070</v>
      </c>
      <c r="E168" s="63" t="s">
        <v>1071</v>
      </c>
      <c r="F168" s="64">
        <v>42997</v>
      </c>
      <c r="G168" s="65" t="s">
        <v>34</v>
      </c>
      <c r="H168" s="94">
        <v>1326000</v>
      </c>
      <c r="I168" s="27">
        <v>1976491</v>
      </c>
      <c r="J168" s="27"/>
      <c r="K168" s="26">
        <v>0.49056636500754147</v>
      </c>
      <c r="L168" s="11" t="s">
        <v>465</v>
      </c>
      <c r="M168" s="15">
        <v>4</v>
      </c>
      <c r="N168" s="35" t="s">
        <v>25</v>
      </c>
      <c r="O168" s="15">
        <v>3</v>
      </c>
      <c r="P168" s="35" t="s">
        <v>457</v>
      </c>
      <c r="Q168" s="15"/>
      <c r="R168" s="24"/>
      <c r="S168" s="62" t="s">
        <v>784</v>
      </c>
      <c r="T168" s="15"/>
      <c r="U168" s="15"/>
      <c r="V168" s="54">
        <v>1326000</v>
      </c>
      <c r="W168" s="54">
        <v>1976491</v>
      </c>
      <c r="X168" s="54">
        <v>-650491</v>
      </c>
    </row>
    <row r="169" spans="3:24" x14ac:dyDescent="0.25">
      <c r="C169" s="39">
        <v>2017</v>
      </c>
      <c r="D169" s="62" t="s">
        <v>1068</v>
      </c>
      <c r="E169" s="63" t="s">
        <v>1069</v>
      </c>
      <c r="F169" s="64">
        <v>42964</v>
      </c>
      <c r="G169" s="65" t="s">
        <v>190</v>
      </c>
      <c r="H169" s="94">
        <v>8500000</v>
      </c>
      <c r="I169" s="27">
        <v>5682000</v>
      </c>
      <c r="J169" s="105" t="s">
        <v>519</v>
      </c>
      <c r="K169" s="26">
        <v>-0.33152941176470591</v>
      </c>
      <c r="L169" s="11" t="s">
        <v>465</v>
      </c>
      <c r="M169" s="15">
        <v>3</v>
      </c>
      <c r="N169" s="35" t="s">
        <v>25</v>
      </c>
      <c r="O169" s="15">
        <v>3</v>
      </c>
      <c r="P169" s="35" t="s">
        <v>458</v>
      </c>
      <c r="Q169" s="15"/>
      <c r="R169" s="24"/>
      <c r="S169" s="62" t="s">
        <v>616</v>
      </c>
      <c r="T169" s="15"/>
      <c r="U169" s="15"/>
      <c r="V169" s="54">
        <v>8500000</v>
      </c>
      <c r="W169" s="54">
        <v>5682000</v>
      </c>
      <c r="X169" s="54">
        <v>2818000</v>
      </c>
    </row>
    <row r="170" spans="3:24" x14ac:dyDescent="0.25">
      <c r="C170" s="39">
        <v>2017</v>
      </c>
      <c r="D170" s="62" t="s">
        <v>1060</v>
      </c>
      <c r="E170" s="63" t="s">
        <v>1061</v>
      </c>
      <c r="F170" s="64">
        <v>42950</v>
      </c>
      <c r="G170" s="65" t="s">
        <v>190</v>
      </c>
      <c r="H170" s="94">
        <v>13720000</v>
      </c>
      <c r="I170" s="27">
        <v>11539200</v>
      </c>
      <c r="J170" s="27" t="s">
        <v>519</v>
      </c>
      <c r="K170" s="26">
        <v>-0.15895043731778424</v>
      </c>
      <c r="L170" s="11" t="s">
        <v>464</v>
      </c>
      <c r="M170" s="15">
        <v>4</v>
      </c>
      <c r="N170" s="35" t="s">
        <v>25</v>
      </c>
      <c r="O170" s="15">
        <v>3</v>
      </c>
      <c r="P170" s="35" t="s">
        <v>492</v>
      </c>
      <c r="Q170" s="15"/>
      <c r="R170" s="24"/>
      <c r="S170" s="62" t="s">
        <v>816</v>
      </c>
      <c r="T170" s="15"/>
      <c r="U170" s="15"/>
      <c r="V170" s="54">
        <v>13720000</v>
      </c>
      <c r="W170" s="54">
        <v>11539200</v>
      </c>
      <c r="X170" s="54">
        <v>2180800</v>
      </c>
    </row>
    <row r="171" spans="3:24" x14ac:dyDescent="0.25">
      <c r="C171" s="101">
        <v>2017</v>
      </c>
      <c r="D171" s="62" t="s">
        <v>1042</v>
      </c>
      <c r="E171" s="63" t="s">
        <v>1043</v>
      </c>
      <c r="F171" s="64">
        <v>42913</v>
      </c>
      <c r="G171" s="65" t="s">
        <v>190</v>
      </c>
      <c r="H171" s="94">
        <v>1480000</v>
      </c>
      <c r="I171" s="27">
        <v>1483000</v>
      </c>
      <c r="J171" s="27"/>
      <c r="K171" s="26">
        <v>2.0270270270270271E-3</v>
      </c>
      <c r="L171" s="11" t="s">
        <v>464</v>
      </c>
      <c r="M171" s="15">
        <v>7</v>
      </c>
      <c r="N171" s="35" t="s">
        <v>25</v>
      </c>
      <c r="O171" s="15">
        <v>2</v>
      </c>
      <c r="P171" s="35" t="s">
        <v>459</v>
      </c>
      <c r="Q171" s="15"/>
      <c r="R171" s="24"/>
      <c r="S171" s="62" t="s">
        <v>447</v>
      </c>
      <c r="T171" s="15"/>
      <c r="U171" s="15"/>
      <c r="V171" s="54">
        <v>1480000</v>
      </c>
      <c r="W171" s="54">
        <v>1483000</v>
      </c>
      <c r="X171" s="54">
        <v>-3000</v>
      </c>
    </row>
    <row r="172" spans="3:24" x14ac:dyDescent="0.25">
      <c r="C172" s="101">
        <v>2017</v>
      </c>
      <c r="D172" s="62" t="s">
        <v>1038</v>
      </c>
      <c r="E172" s="63" t="s">
        <v>1039</v>
      </c>
      <c r="F172" s="64">
        <v>42901</v>
      </c>
      <c r="G172" s="65" t="s">
        <v>693</v>
      </c>
      <c r="H172" s="94">
        <v>850000</v>
      </c>
      <c r="I172" s="27">
        <v>887000</v>
      </c>
      <c r="J172" s="27"/>
      <c r="K172" s="26">
        <v>4.3529411764705879E-2</v>
      </c>
      <c r="L172" s="11" t="s">
        <v>464</v>
      </c>
      <c r="M172" s="15">
        <v>3</v>
      </c>
      <c r="N172" s="35" t="s">
        <v>25</v>
      </c>
      <c r="O172" s="15">
        <v>2</v>
      </c>
      <c r="P172" s="35" t="s">
        <v>458</v>
      </c>
      <c r="Q172" s="15"/>
      <c r="R172" s="24"/>
      <c r="S172" s="62" t="s">
        <v>616</v>
      </c>
      <c r="T172" s="15"/>
      <c r="U172" s="15"/>
      <c r="V172" s="54">
        <v>850000</v>
      </c>
      <c r="W172" s="54">
        <v>887000</v>
      </c>
      <c r="X172" s="54">
        <v>-37000</v>
      </c>
    </row>
    <row r="173" spans="3:24" x14ac:dyDescent="0.25">
      <c r="C173" s="39">
        <v>2017</v>
      </c>
      <c r="D173" s="62" t="s">
        <v>1035</v>
      </c>
      <c r="E173" s="63" t="s">
        <v>1036</v>
      </c>
      <c r="F173" s="64">
        <v>42900</v>
      </c>
      <c r="G173" s="65" t="s">
        <v>756</v>
      </c>
      <c r="H173" s="94">
        <v>2900000</v>
      </c>
      <c r="I173" s="27">
        <v>1157000</v>
      </c>
      <c r="J173" s="27"/>
      <c r="K173" s="26">
        <v>-0.6010344827586207</v>
      </c>
      <c r="L173" s="11" t="s">
        <v>465</v>
      </c>
      <c r="M173" s="15">
        <v>5</v>
      </c>
      <c r="N173" s="35" t="s">
        <v>25</v>
      </c>
      <c r="O173" s="15">
        <v>2</v>
      </c>
      <c r="P173" s="35" t="s">
        <v>458</v>
      </c>
      <c r="Q173" s="15"/>
      <c r="R173" s="24"/>
      <c r="S173" s="62" t="s">
        <v>447</v>
      </c>
      <c r="T173" s="15"/>
      <c r="U173" s="15"/>
      <c r="V173" s="54">
        <v>2900000</v>
      </c>
      <c r="W173" s="54">
        <v>1157000</v>
      </c>
      <c r="X173" s="54">
        <v>1743000</v>
      </c>
    </row>
    <row r="174" spans="3:24" x14ac:dyDescent="0.25">
      <c r="C174" s="39">
        <v>2017</v>
      </c>
      <c r="D174" s="62" t="s">
        <v>1025</v>
      </c>
      <c r="E174" s="63" t="s">
        <v>1026</v>
      </c>
      <c r="F174" s="64">
        <v>42893</v>
      </c>
      <c r="G174" s="65" t="s">
        <v>693</v>
      </c>
      <c r="H174" s="94">
        <v>650000</v>
      </c>
      <c r="I174" s="27">
        <v>865508</v>
      </c>
      <c r="J174" s="27"/>
      <c r="K174" s="26">
        <v>0.3315507692307692</v>
      </c>
      <c r="L174" s="11" t="s">
        <v>465</v>
      </c>
      <c r="M174" s="15">
        <v>3</v>
      </c>
      <c r="N174" s="35" t="s">
        <v>25</v>
      </c>
      <c r="O174" s="15">
        <v>2</v>
      </c>
      <c r="P174" s="35" t="s">
        <v>458</v>
      </c>
      <c r="Q174" s="15"/>
      <c r="R174" s="24"/>
      <c r="S174" s="62" t="s">
        <v>616</v>
      </c>
      <c r="T174" s="15"/>
      <c r="U174" s="15"/>
      <c r="V174" s="54">
        <v>650000</v>
      </c>
      <c r="W174" s="54">
        <v>865508</v>
      </c>
      <c r="X174" s="54">
        <v>-215508</v>
      </c>
    </row>
    <row r="175" spans="3:24" x14ac:dyDescent="0.25">
      <c r="C175" s="39">
        <v>2017</v>
      </c>
      <c r="D175" s="62" t="s">
        <v>1023</v>
      </c>
      <c r="E175" s="63" t="s">
        <v>1024</v>
      </c>
      <c r="F175" s="64">
        <v>42893</v>
      </c>
      <c r="G175" s="65" t="s">
        <v>693</v>
      </c>
      <c r="H175" s="94">
        <v>1070000</v>
      </c>
      <c r="I175" s="27">
        <v>758000</v>
      </c>
      <c r="J175" s="27"/>
      <c r="K175" s="26">
        <v>-0.29158878504672897</v>
      </c>
      <c r="L175" s="11" t="s">
        <v>465</v>
      </c>
      <c r="M175" s="15">
        <v>5</v>
      </c>
      <c r="N175" s="35" t="s">
        <v>25</v>
      </c>
      <c r="O175" s="15">
        <v>2</v>
      </c>
      <c r="P175" s="35" t="s">
        <v>458</v>
      </c>
      <c r="Q175" s="15"/>
      <c r="R175" s="24"/>
      <c r="S175" s="62" t="s">
        <v>616</v>
      </c>
      <c r="T175" s="15"/>
      <c r="U175" s="15"/>
      <c r="V175" s="54">
        <v>1070000</v>
      </c>
      <c r="W175" s="54">
        <v>758000</v>
      </c>
      <c r="X175" s="54">
        <v>312000</v>
      </c>
    </row>
    <row r="176" spans="3:24" x14ac:dyDescent="0.25">
      <c r="C176" s="39">
        <v>2017</v>
      </c>
      <c r="D176" s="62" t="s">
        <v>1021</v>
      </c>
      <c r="E176" s="63" t="s">
        <v>1022</v>
      </c>
      <c r="F176" s="64">
        <v>42892</v>
      </c>
      <c r="G176" s="65" t="s">
        <v>34</v>
      </c>
      <c r="H176" s="94">
        <v>771000</v>
      </c>
      <c r="I176" s="27">
        <v>946600</v>
      </c>
      <c r="J176" s="27"/>
      <c r="K176" s="26">
        <v>0.22775616083009079</v>
      </c>
      <c r="L176" s="11" t="s">
        <v>465</v>
      </c>
      <c r="M176" s="15">
        <v>2</v>
      </c>
      <c r="N176" s="35" t="s">
        <v>25</v>
      </c>
      <c r="O176" s="15">
        <v>2</v>
      </c>
      <c r="P176" s="35" t="s">
        <v>457</v>
      </c>
      <c r="Q176" s="15"/>
      <c r="R176" s="24"/>
      <c r="S176" s="62" t="s">
        <v>630</v>
      </c>
      <c r="T176" s="15"/>
      <c r="U176" s="15"/>
      <c r="V176" s="54">
        <v>771000</v>
      </c>
      <c r="W176" s="54">
        <v>946600</v>
      </c>
      <c r="X176" s="54">
        <v>-175600</v>
      </c>
    </row>
    <row r="177" spans="3:24" x14ac:dyDescent="0.25">
      <c r="C177" s="39">
        <v>2017</v>
      </c>
      <c r="D177" s="62" t="s">
        <v>1014</v>
      </c>
      <c r="E177" s="63" t="s">
        <v>1015</v>
      </c>
      <c r="F177" s="64">
        <v>42886</v>
      </c>
      <c r="G177" s="65" t="s">
        <v>34</v>
      </c>
      <c r="H177" s="94">
        <v>1140000</v>
      </c>
      <c r="I177" s="27">
        <v>904780</v>
      </c>
      <c r="J177" s="27"/>
      <c r="K177" s="26">
        <v>-0.20633333333333334</v>
      </c>
      <c r="L177" s="11" t="s">
        <v>464</v>
      </c>
      <c r="M177" s="15">
        <v>9</v>
      </c>
      <c r="N177" s="35" t="s">
        <v>25</v>
      </c>
      <c r="O177" s="15">
        <v>2</v>
      </c>
      <c r="P177" s="35" t="s">
        <v>458</v>
      </c>
      <c r="Q177" s="15"/>
      <c r="R177" s="24"/>
      <c r="S177" s="62" t="s">
        <v>616</v>
      </c>
      <c r="T177" s="15"/>
      <c r="U177" s="15"/>
      <c r="V177" s="54">
        <v>1140000</v>
      </c>
      <c r="W177" s="54">
        <v>904780</v>
      </c>
      <c r="X177" s="54">
        <v>235220</v>
      </c>
    </row>
    <row r="178" spans="3:24" x14ac:dyDescent="0.25">
      <c r="C178" s="39">
        <v>2017</v>
      </c>
      <c r="D178" s="62" t="s">
        <v>1018</v>
      </c>
      <c r="E178" s="63" t="s">
        <v>1019</v>
      </c>
      <c r="F178" s="64">
        <v>42873</v>
      </c>
      <c r="G178" s="65" t="s">
        <v>756</v>
      </c>
      <c r="H178" s="94">
        <v>29400000</v>
      </c>
      <c r="I178" s="27">
        <v>40981000</v>
      </c>
      <c r="J178" s="105" t="s">
        <v>519</v>
      </c>
      <c r="K178" s="26">
        <v>0.39391156462585036</v>
      </c>
      <c r="L178" s="11" t="s">
        <v>465</v>
      </c>
      <c r="M178" s="15">
        <v>2</v>
      </c>
      <c r="N178" s="35" t="s">
        <v>25</v>
      </c>
      <c r="O178" s="15">
        <v>2</v>
      </c>
      <c r="P178" s="35" t="s">
        <v>459</v>
      </c>
      <c r="Q178" s="15"/>
      <c r="R178" s="24"/>
      <c r="S178" s="62" t="s">
        <v>447</v>
      </c>
      <c r="T178" s="15"/>
      <c r="U178" s="15"/>
      <c r="V178" s="54">
        <v>29400000</v>
      </c>
      <c r="W178" s="54">
        <v>40981000</v>
      </c>
      <c r="X178" s="54">
        <v>-11581000</v>
      </c>
    </row>
    <row r="179" spans="3:24" x14ac:dyDescent="0.25">
      <c r="C179" s="39">
        <v>2017</v>
      </c>
      <c r="D179" s="62" t="s">
        <v>999</v>
      </c>
      <c r="E179" s="63" t="s">
        <v>1000</v>
      </c>
      <c r="F179" s="64">
        <v>42871</v>
      </c>
      <c r="G179" s="65" t="s">
        <v>34</v>
      </c>
      <c r="H179" s="94">
        <v>9000000</v>
      </c>
      <c r="I179" s="27">
        <v>10805265</v>
      </c>
      <c r="J179" s="105" t="s">
        <v>519</v>
      </c>
      <c r="K179" s="26">
        <v>0.20058500000000001</v>
      </c>
      <c r="L179" s="11" t="s">
        <v>465</v>
      </c>
      <c r="M179" s="15">
        <v>2</v>
      </c>
      <c r="N179" s="35" t="s">
        <v>25</v>
      </c>
      <c r="O179" s="15">
        <v>2</v>
      </c>
      <c r="P179" s="35" t="s">
        <v>492</v>
      </c>
      <c r="Q179" s="15"/>
      <c r="R179" s="24"/>
      <c r="S179" s="62" t="s">
        <v>816</v>
      </c>
      <c r="T179" s="15"/>
      <c r="U179" s="15"/>
      <c r="V179" s="54">
        <v>9000000</v>
      </c>
      <c r="W179" s="54">
        <v>10805265</v>
      </c>
      <c r="X179" s="54">
        <v>-1805265</v>
      </c>
    </row>
    <row r="180" spans="3:24" x14ac:dyDescent="0.25">
      <c r="C180" s="39">
        <v>2017</v>
      </c>
      <c r="D180" s="62" t="s">
        <v>989</v>
      </c>
      <c r="E180" s="63" t="s">
        <v>879</v>
      </c>
      <c r="F180" s="64">
        <v>42845</v>
      </c>
      <c r="G180" s="65" t="s">
        <v>693</v>
      </c>
      <c r="H180" s="94">
        <v>2625000</v>
      </c>
      <c r="I180" s="27">
        <v>2472675</v>
      </c>
      <c r="J180" s="27"/>
      <c r="K180" s="26">
        <v>-5.8028571428571429E-2</v>
      </c>
      <c r="L180" s="11" t="s">
        <v>464</v>
      </c>
      <c r="M180" s="15">
        <v>6</v>
      </c>
      <c r="N180" s="35" t="s">
        <v>25</v>
      </c>
      <c r="O180" s="15">
        <v>2</v>
      </c>
      <c r="P180" s="35" t="s">
        <v>492</v>
      </c>
      <c r="Q180" s="15"/>
      <c r="R180" s="24"/>
      <c r="S180" s="62" t="s">
        <v>816</v>
      </c>
      <c r="T180" s="15"/>
      <c r="U180" s="15"/>
      <c r="V180" s="54">
        <v>2625000</v>
      </c>
      <c r="W180" s="54">
        <v>2472675</v>
      </c>
      <c r="X180" s="54">
        <v>152325</v>
      </c>
    </row>
    <row r="181" spans="3:24" x14ac:dyDescent="0.25">
      <c r="C181" s="39">
        <v>2017</v>
      </c>
      <c r="D181" s="62" t="s">
        <v>987</v>
      </c>
      <c r="E181" s="63" t="s">
        <v>988</v>
      </c>
      <c r="F181" s="64">
        <v>42845</v>
      </c>
      <c r="G181" s="65" t="s">
        <v>34</v>
      </c>
      <c r="H181" s="94">
        <v>1520000</v>
      </c>
      <c r="I181" s="27">
        <v>994200</v>
      </c>
      <c r="J181" s="27"/>
      <c r="K181" s="26">
        <v>-0.34592105263157896</v>
      </c>
      <c r="L181" s="11" t="s">
        <v>464</v>
      </c>
      <c r="M181" s="15">
        <v>4</v>
      </c>
      <c r="N181" s="35" t="s">
        <v>25</v>
      </c>
      <c r="O181" s="15">
        <v>2</v>
      </c>
      <c r="P181" s="35" t="s">
        <v>492</v>
      </c>
      <c r="Q181" s="15"/>
      <c r="R181" s="24"/>
      <c r="S181" s="62" t="s">
        <v>816</v>
      </c>
      <c r="T181" s="15"/>
      <c r="U181" s="15"/>
      <c r="V181" s="54">
        <v>1520000</v>
      </c>
      <c r="W181" s="54">
        <v>994200</v>
      </c>
      <c r="X181" s="54">
        <v>525800</v>
      </c>
    </row>
    <row r="182" spans="3:24" x14ac:dyDescent="0.25">
      <c r="C182" s="39">
        <v>2017</v>
      </c>
      <c r="D182" s="62" t="s">
        <v>986</v>
      </c>
      <c r="E182" s="63" t="s">
        <v>982</v>
      </c>
      <c r="F182" s="64">
        <v>42845</v>
      </c>
      <c r="G182" s="65" t="s">
        <v>190</v>
      </c>
      <c r="H182" s="94">
        <v>12630000</v>
      </c>
      <c r="I182" s="27">
        <v>10849023</v>
      </c>
      <c r="J182" s="27" t="s">
        <v>519</v>
      </c>
      <c r="K182" s="26">
        <v>-0.14101163895486934</v>
      </c>
      <c r="L182" s="11" t="s">
        <v>464</v>
      </c>
      <c r="M182" s="15">
        <v>2</v>
      </c>
      <c r="N182" s="35" t="s">
        <v>25</v>
      </c>
      <c r="O182" s="15">
        <v>2</v>
      </c>
      <c r="P182" s="35" t="s">
        <v>458</v>
      </c>
      <c r="Q182" s="15"/>
      <c r="R182" s="24"/>
      <c r="S182" s="62" t="s">
        <v>616</v>
      </c>
      <c r="T182" s="15"/>
      <c r="U182" s="15"/>
      <c r="V182" s="54">
        <v>12630000</v>
      </c>
      <c r="W182" s="54">
        <v>10849023</v>
      </c>
      <c r="X182" s="54">
        <v>1780977</v>
      </c>
    </row>
    <row r="183" spans="3:24" x14ac:dyDescent="0.25">
      <c r="C183" s="39">
        <v>2017</v>
      </c>
      <c r="D183" s="62" t="s">
        <v>983</v>
      </c>
      <c r="E183" s="63" t="s">
        <v>985</v>
      </c>
      <c r="F183" s="64">
        <v>42844</v>
      </c>
      <c r="G183" s="65" t="s">
        <v>190</v>
      </c>
      <c r="H183" s="94">
        <v>30360000</v>
      </c>
      <c r="I183" s="27">
        <v>32920674</v>
      </c>
      <c r="J183" s="27" t="s">
        <v>519</v>
      </c>
      <c r="K183" s="26">
        <v>8.4343675889328062E-2</v>
      </c>
      <c r="L183" s="11" t="s">
        <v>464</v>
      </c>
      <c r="M183" s="15">
        <v>3</v>
      </c>
      <c r="N183" s="35" t="s">
        <v>25</v>
      </c>
      <c r="O183" s="15">
        <v>2</v>
      </c>
      <c r="P183" s="35" t="s">
        <v>459</v>
      </c>
      <c r="Q183" s="15"/>
      <c r="R183" s="24"/>
      <c r="S183" s="62" t="s">
        <v>447</v>
      </c>
      <c r="T183" s="15"/>
      <c r="U183" s="15"/>
      <c r="V183" s="54">
        <v>30360000</v>
      </c>
      <c r="W183" s="54">
        <v>32920674</v>
      </c>
      <c r="X183" s="54">
        <v>-2560674</v>
      </c>
    </row>
    <row r="184" spans="3:24" x14ac:dyDescent="0.25">
      <c r="C184" s="39">
        <v>2017</v>
      </c>
      <c r="D184" s="62" t="s">
        <v>981</v>
      </c>
      <c r="E184" s="63" t="s">
        <v>982</v>
      </c>
      <c r="F184" s="64">
        <v>42844</v>
      </c>
      <c r="G184" s="65" t="s">
        <v>190</v>
      </c>
      <c r="H184" s="94">
        <v>18870000</v>
      </c>
      <c r="I184" s="27">
        <v>19910000</v>
      </c>
      <c r="J184" s="27" t="s">
        <v>519</v>
      </c>
      <c r="K184" s="26">
        <v>5.5113937466878642E-2</v>
      </c>
      <c r="L184" s="11" t="s">
        <v>464</v>
      </c>
      <c r="M184" s="15">
        <v>3</v>
      </c>
      <c r="N184" s="35" t="s">
        <v>25</v>
      </c>
      <c r="O184" s="15">
        <v>2</v>
      </c>
      <c r="P184" s="35" t="s">
        <v>458</v>
      </c>
      <c r="Q184" s="15"/>
      <c r="R184" s="24"/>
      <c r="S184" s="62" t="s">
        <v>616</v>
      </c>
      <c r="T184" s="15"/>
      <c r="U184" s="15"/>
      <c r="V184" s="54">
        <v>18870000</v>
      </c>
      <c r="W184" s="54">
        <v>19910000</v>
      </c>
      <c r="X184" s="54">
        <v>-1040000</v>
      </c>
    </row>
    <row r="185" spans="3:24" x14ac:dyDescent="0.25">
      <c r="C185" s="39">
        <v>2017</v>
      </c>
      <c r="D185" s="62" t="s">
        <v>941</v>
      </c>
      <c r="E185" s="63" t="s">
        <v>940</v>
      </c>
      <c r="F185" s="64">
        <v>42789</v>
      </c>
      <c r="G185" s="65" t="s">
        <v>693</v>
      </c>
      <c r="H185" s="27">
        <v>240000</v>
      </c>
      <c r="I185" s="27">
        <v>97300</v>
      </c>
      <c r="J185" s="27"/>
      <c r="K185" s="26">
        <v>-0.59458333333333335</v>
      </c>
      <c r="L185" s="11" t="s">
        <v>465</v>
      </c>
      <c r="M185" s="15">
        <v>6</v>
      </c>
      <c r="N185" s="35" t="s">
        <v>25</v>
      </c>
      <c r="O185" s="15">
        <v>1</v>
      </c>
      <c r="P185" s="35" t="s">
        <v>457</v>
      </c>
      <c r="Q185" s="15"/>
      <c r="R185" s="24"/>
      <c r="S185" s="62" t="s">
        <v>630</v>
      </c>
      <c r="T185" s="15"/>
      <c r="U185" s="15"/>
      <c r="V185" s="54">
        <v>240000</v>
      </c>
      <c r="W185" s="54">
        <v>97300</v>
      </c>
      <c r="X185" s="54">
        <v>142700</v>
      </c>
    </row>
    <row r="186" spans="3:24" x14ac:dyDescent="0.25">
      <c r="C186" s="39">
        <v>2017</v>
      </c>
      <c r="D186" s="62" t="s">
        <v>916</v>
      </c>
      <c r="E186" s="63" t="s">
        <v>917</v>
      </c>
      <c r="F186" s="64">
        <v>42780</v>
      </c>
      <c r="G186" s="65" t="s">
        <v>34</v>
      </c>
      <c r="H186" s="94">
        <v>2580000</v>
      </c>
      <c r="I186" s="27">
        <v>1386000</v>
      </c>
      <c r="J186" s="27"/>
      <c r="K186" s="26">
        <v>-0.46279069767441861</v>
      </c>
      <c r="L186" s="11" t="s">
        <v>464</v>
      </c>
      <c r="M186" s="15">
        <v>16</v>
      </c>
      <c r="N186" s="35" t="s">
        <v>25</v>
      </c>
      <c r="O186" s="15">
        <v>1</v>
      </c>
      <c r="P186" s="35" t="s">
        <v>458</v>
      </c>
      <c r="Q186" s="15"/>
      <c r="R186" s="24" t="s">
        <v>1020</v>
      </c>
      <c r="S186" s="62" t="s">
        <v>616</v>
      </c>
      <c r="T186" s="15"/>
      <c r="U186" s="15"/>
      <c r="V186" s="54">
        <v>2580000</v>
      </c>
      <c r="W186" s="54">
        <v>1386000</v>
      </c>
      <c r="X186" s="54">
        <v>1194000</v>
      </c>
    </row>
    <row r="187" spans="3:24" x14ac:dyDescent="0.25">
      <c r="C187" s="39">
        <v>2017</v>
      </c>
      <c r="D187" s="62" t="s">
        <v>901</v>
      </c>
      <c r="E187" s="63" t="s">
        <v>902</v>
      </c>
      <c r="F187" s="64">
        <v>42774</v>
      </c>
      <c r="G187" s="65" t="s">
        <v>34</v>
      </c>
      <c r="H187" s="94">
        <v>970000</v>
      </c>
      <c r="I187" s="27">
        <v>756482</v>
      </c>
      <c r="J187" s="27"/>
      <c r="K187" s="26">
        <v>-0.22012164948453608</v>
      </c>
      <c r="L187" s="11" t="s">
        <v>464</v>
      </c>
      <c r="M187" s="15">
        <v>9</v>
      </c>
      <c r="N187" s="35" t="s">
        <v>25</v>
      </c>
      <c r="O187" s="15">
        <v>1</v>
      </c>
      <c r="P187" s="35" t="s">
        <v>458</v>
      </c>
      <c r="Q187" s="15"/>
      <c r="R187" s="24"/>
      <c r="S187" s="62" t="s">
        <v>616</v>
      </c>
      <c r="T187" s="15"/>
      <c r="U187" s="15"/>
      <c r="V187" s="54">
        <v>970000</v>
      </c>
      <c r="W187" s="54">
        <v>756482</v>
      </c>
      <c r="X187" s="54">
        <v>213518</v>
      </c>
    </row>
    <row r="188" spans="3:24" x14ac:dyDescent="0.25">
      <c r="C188" s="39">
        <v>2017</v>
      </c>
      <c r="D188" s="62" t="s">
        <v>862</v>
      </c>
      <c r="E188" s="63" t="s">
        <v>863</v>
      </c>
      <c r="F188" s="64">
        <v>42759</v>
      </c>
      <c r="G188" s="65" t="s">
        <v>190</v>
      </c>
      <c r="H188" s="94">
        <v>69800000</v>
      </c>
      <c r="I188" s="27">
        <v>67107000</v>
      </c>
      <c r="J188" s="27" t="s">
        <v>519</v>
      </c>
      <c r="K188" s="26">
        <v>-3.8581661891117482E-2</v>
      </c>
      <c r="L188" s="11" t="s">
        <v>464</v>
      </c>
      <c r="M188" s="15">
        <v>9</v>
      </c>
      <c r="N188" s="35" t="s">
        <v>25</v>
      </c>
      <c r="O188" s="15">
        <v>1</v>
      </c>
      <c r="P188" s="35" t="s">
        <v>458</v>
      </c>
      <c r="Q188" s="15"/>
      <c r="R188" s="24"/>
      <c r="S188" s="62" t="s">
        <v>616</v>
      </c>
      <c r="T188" s="15"/>
      <c r="U188" s="15"/>
      <c r="V188" s="54">
        <v>69800000</v>
      </c>
      <c r="W188" s="54">
        <v>67107000</v>
      </c>
      <c r="X188" s="54">
        <v>2693000</v>
      </c>
    </row>
    <row r="189" spans="3:24" x14ac:dyDescent="0.25">
      <c r="C189" s="39">
        <v>2017</v>
      </c>
      <c r="D189" s="62" t="s">
        <v>857</v>
      </c>
      <c r="E189" s="63" t="s">
        <v>858</v>
      </c>
      <c r="F189" s="64">
        <v>42753</v>
      </c>
      <c r="G189" s="65" t="s">
        <v>693</v>
      </c>
      <c r="H189" s="94">
        <v>1410000</v>
      </c>
      <c r="I189" s="27">
        <v>1399756</v>
      </c>
      <c r="J189" s="27"/>
      <c r="K189" s="26">
        <v>-7.2652482269503545E-3</v>
      </c>
      <c r="L189" s="11" t="s">
        <v>464</v>
      </c>
      <c r="M189" s="15">
        <v>3</v>
      </c>
      <c r="N189" s="35" t="s">
        <v>25</v>
      </c>
      <c r="O189" s="15">
        <v>1</v>
      </c>
      <c r="P189" s="35" t="s">
        <v>457</v>
      </c>
      <c r="Q189" s="15"/>
      <c r="R189" s="24"/>
      <c r="S189" s="62" t="s">
        <v>630</v>
      </c>
      <c r="T189" s="15"/>
      <c r="U189" s="15"/>
      <c r="V189" s="54">
        <v>1410000</v>
      </c>
      <c r="W189" s="54">
        <v>1399756</v>
      </c>
      <c r="X189" s="54">
        <v>10244</v>
      </c>
    </row>
    <row r="190" spans="3:24" x14ac:dyDescent="0.25">
      <c r="C190" s="39">
        <v>2017</v>
      </c>
      <c r="D190" s="62" t="s">
        <v>832</v>
      </c>
      <c r="E190" s="63" t="s">
        <v>833</v>
      </c>
      <c r="F190" s="64">
        <v>42752</v>
      </c>
      <c r="G190" s="65" t="s">
        <v>34</v>
      </c>
      <c r="H190" s="94">
        <v>4200000</v>
      </c>
      <c r="I190" s="27">
        <v>3987114</v>
      </c>
      <c r="J190" s="27"/>
      <c r="K190" s="26">
        <v>-5.0687142857142854E-2</v>
      </c>
      <c r="L190" s="11" t="s">
        <v>464</v>
      </c>
      <c r="M190" s="15">
        <v>3</v>
      </c>
      <c r="N190" s="35" t="s">
        <v>25</v>
      </c>
      <c r="O190" s="15">
        <v>1</v>
      </c>
      <c r="P190" s="35" t="s">
        <v>492</v>
      </c>
      <c r="Q190" s="15"/>
      <c r="R190" s="24"/>
      <c r="S190" s="62" t="s">
        <v>816</v>
      </c>
      <c r="T190" s="15"/>
      <c r="U190" s="15"/>
      <c r="V190" s="54">
        <v>4200000</v>
      </c>
      <c r="W190" s="54">
        <v>3987114</v>
      </c>
      <c r="X190" s="54">
        <v>212886</v>
      </c>
    </row>
    <row r="191" spans="3:24" x14ac:dyDescent="0.25">
      <c r="C191" s="39"/>
      <c r="E191" s="85"/>
      <c r="F191" s="85"/>
      <c r="G191" s="85"/>
      <c r="H191" s="86">
        <f>SUM(H158:H190)</f>
        <v>263865000</v>
      </c>
      <c r="I191" s="86">
        <f>SUM(I158:I190)</f>
        <v>263750479</v>
      </c>
      <c r="J191" s="85"/>
      <c r="K191" s="87">
        <f>+I191/H191</f>
        <v>0.99956598639455785</v>
      </c>
      <c r="L191" s="85">
        <f>COUNTA(L157:L190)</f>
        <v>32</v>
      </c>
      <c r="M191" s="88">
        <f>SUM(M158:M190)/L191</f>
        <v>4.8125</v>
      </c>
      <c r="N191" s="89"/>
      <c r="O191" s="85"/>
      <c r="P191" s="119">
        <f>20/L191</f>
        <v>0.625</v>
      </c>
      <c r="Q191" s="85"/>
    </row>
    <row r="192" spans="3:24" x14ac:dyDescent="0.25">
      <c r="C192" s="39"/>
      <c r="G192" s="45"/>
    </row>
    <row r="193" spans="3:24" x14ac:dyDescent="0.25">
      <c r="C193" s="39"/>
      <c r="D193" s="83" t="s">
        <v>838</v>
      </c>
      <c r="G193" s="45"/>
    </row>
    <row r="194" spans="3:24" x14ac:dyDescent="0.25">
      <c r="C194" s="39">
        <v>2017</v>
      </c>
      <c r="D194" s="102" t="s">
        <v>1145</v>
      </c>
      <c r="E194" s="63" t="s">
        <v>1146</v>
      </c>
      <c r="F194" s="64">
        <v>43083</v>
      </c>
      <c r="G194" s="65" t="s">
        <v>190</v>
      </c>
      <c r="H194" s="94">
        <v>4872000</v>
      </c>
      <c r="I194" s="27">
        <v>3997350</v>
      </c>
      <c r="J194" s="27"/>
      <c r="K194" s="26">
        <v>-0.17952586206896551</v>
      </c>
      <c r="L194" s="11" t="s">
        <v>464</v>
      </c>
      <c r="M194" s="15">
        <v>5</v>
      </c>
      <c r="N194" s="35" t="s">
        <v>93</v>
      </c>
      <c r="O194" s="15">
        <v>4</v>
      </c>
      <c r="P194" s="35" t="s">
        <v>458</v>
      </c>
      <c r="Q194" s="15"/>
      <c r="R194" s="24"/>
      <c r="S194" s="62" t="s">
        <v>784</v>
      </c>
      <c r="T194" s="15"/>
      <c r="U194" s="15"/>
      <c r="V194" s="54">
        <v>4872000</v>
      </c>
      <c r="W194" s="54">
        <v>3997350</v>
      </c>
      <c r="X194" s="54">
        <v>874650</v>
      </c>
    </row>
    <row r="195" spans="3:24" x14ac:dyDescent="0.25">
      <c r="C195" s="39">
        <v>2017</v>
      </c>
      <c r="D195" s="102" t="s">
        <v>1135</v>
      </c>
      <c r="E195" s="63" t="s">
        <v>982</v>
      </c>
      <c r="F195" s="64">
        <v>43074</v>
      </c>
      <c r="G195" s="65" t="s">
        <v>34</v>
      </c>
      <c r="H195" s="94">
        <v>38000000</v>
      </c>
      <c r="I195" s="27">
        <f>$I$56</f>
        <v>28470000</v>
      </c>
      <c r="J195" s="27"/>
      <c r="K195" s="26">
        <f>+$K$56</f>
        <v>-0.25078947368421051</v>
      </c>
      <c r="L195" s="78" t="str">
        <f>+$L$56</f>
        <v>GOOD</v>
      </c>
      <c r="M195" s="15">
        <f>+$M$56</f>
        <v>4</v>
      </c>
      <c r="N195" s="35" t="s">
        <v>93</v>
      </c>
      <c r="O195" s="15">
        <v>4</v>
      </c>
      <c r="P195" s="35" t="s">
        <v>458</v>
      </c>
      <c r="Q195" s="15"/>
      <c r="R195" s="24" t="str">
        <f>+$R$56</f>
        <v>1st and 2nd bidders disqualified.</v>
      </c>
      <c r="S195" s="62" t="s">
        <v>616</v>
      </c>
      <c r="T195" s="15"/>
      <c r="U195" s="15"/>
      <c r="V195" s="54">
        <v>38000000</v>
      </c>
      <c r="W195" s="54">
        <v>19988800</v>
      </c>
      <c r="X195" s="54">
        <v>18011200</v>
      </c>
    </row>
    <row r="196" spans="3:24" x14ac:dyDescent="0.25">
      <c r="C196" s="39">
        <v>2017</v>
      </c>
      <c r="D196" s="102" t="s">
        <v>1127</v>
      </c>
      <c r="E196" s="63" t="s">
        <v>1128</v>
      </c>
      <c r="F196" s="64">
        <v>43053</v>
      </c>
      <c r="G196" s="65" t="s">
        <v>756</v>
      </c>
      <c r="H196" s="94">
        <v>17250000</v>
      </c>
      <c r="I196" s="27">
        <v>22616488</v>
      </c>
      <c r="J196" s="105" t="s">
        <v>519</v>
      </c>
      <c r="K196" s="26">
        <v>0.3111007536231884</v>
      </c>
      <c r="L196" s="11" t="s">
        <v>465</v>
      </c>
      <c r="M196" s="15">
        <v>4</v>
      </c>
      <c r="N196" s="35" t="s">
        <v>93</v>
      </c>
      <c r="O196" s="15">
        <v>4</v>
      </c>
      <c r="P196" s="35" t="s">
        <v>457</v>
      </c>
      <c r="Q196" s="15"/>
      <c r="R196" s="24"/>
      <c r="S196" s="62" t="s">
        <v>447</v>
      </c>
      <c r="T196" s="15"/>
      <c r="U196" s="15"/>
      <c r="V196" s="54">
        <v>17250000</v>
      </c>
      <c r="W196" s="54">
        <v>22616488</v>
      </c>
      <c r="X196" s="54">
        <v>-5366488</v>
      </c>
    </row>
    <row r="197" spans="3:24" x14ac:dyDescent="0.25">
      <c r="C197" s="39">
        <v>2017</v>
      </c>
      <c r="D197" s="62" t="s">
        <v>1101</v>
      </c>
      <c r="E197" s="63" t="s">
        <v>1102</v>
      </c>
      <c r="F197" s="64">
        <v>43025</v>
      </c>
      <c r="G197" s="65" t="s">
        <v>34</v>
      </c>
      <c r="H197" s="94">
        <v>2800000</v>
      </c>
      <c r="I197" s="27">
        <v>2847000</v>
      </c>
      <c r="J197" s="27"/>
      <c r="K197" s="26">
        <v>1.6785714285714286E-2</v>
      </c>
      <c r="L197" s="11" t="s">
        <v>464</v>
      </c>
      <c r="M197" s="15">
        <v>9</v>
      </c>
      <c r="N197" s="35" t="s">
        <v>93</v>
      </c>
      <c r="O197" s="15">
        <v>4</v>
      </c>
      <c r="P197" s="35" t="s">
        <v>458</v>
      </c>
      <c r="Q197" s="15"/>
      <c r="R197" s="24"/>
      <c r="S197" s="62" t="s">
        <v>616</v>
      </c>
      <c r="T197" s="15"/>
      <c r="U197" s="15"/>
      <c r="V197" s="54">
        <v>2800000</v>
      </c>
      <c r="W197" s="54">
        <v>2847000</v>
      </c>
      <c r="X197" s="54">
        <v>-47000</v>
      </c>
    </row>
    <row r="198" spans="3:24" x14ac:dyDescent="0.25">
      <c r="C198" s="39">
        <v>2017</v>
      </c>
      <c r="D198" s="62" t="s">
        <v>1084</v>
      </c>
      <c r="E198" s="63" t="s">
        <v>1085</v>
      </c>
      <c r="F198" s="64">
        <v>43004</v>
      </c>
      <c r="G198" s="65" t="s">
        <v>190</v>
      </c>
      <c r="H198" s="94">
        <v>189900000</v>
      </c>
      <c r="I198" s="27">
        <v>154487000</v>
      </c>
      <c r="J198" s="27" t="s">
        <v>519</v>
      </c>
      <c r="K198" s="26">
        <v>-0.18648235913638758</v>
      </c>
      <c r="L198" s="11" t="s">
        <v>464</v>
      </c>
      <c r="M198" s="15">
        <v>5</v>
      </c>
      <c r="N198" s="35" t="s">
        <v>93</v>
      </c>
      <c r="O198" s="15">
        <v>3</v>
      </c>
      <c r="P198" s="35" t="s">
        <v>457</v>
      </c>
      <c r="Q198" s="15"/>
      <c r="R198" s="24"/>
      <c r="S198" s="62" t="s">
        <v>816</v>
      </c>
      <c r="T198" s="15"/>
      <c r="U198" s="15"/>
      <c r="V198" s="54">
        <v>189900000</v>
      </c>
      <c r="W198" s="54">
        <v>154487000</v>
      </c>
      <c r="X198" s="54">
        <v>35413000</v>
      </c>
    </row>
    <row r="199" spans="3:24" x14ac:dyDescent="0.25">
      <c r="C199" s="39">
        <v>2017</v>
      </c>
      <c r="D199" s="62" t="s">
        <v>1075</v>
      </c>
      <c r="E199" s="63" t="s">
        <v>1076</v>
      </c>
      <c r="F199" s="64">
        <v>42999</v>
      </c>
      <c r="G199" s="65" t="s">
        <v>34</v>
      </c>
      <c r="H199" s="94">
        <v>1250000</v>
      </c>
      <c r="I199" s="27">
        <v>876947</v>
      </c>
      <c r="J199" s="27"/>
      <c r="K199" s="26">
        <v>-0.2984424</v>
      </c>
      <c r="L199" s="11" t="s">
        <v>464</v>
      </c>
      <c r="M199" s="15">
        <v>13</v>
      </c>
      <c r="N199" s="35" t="s">
        <v>93</v>
      </c>
      <c r="O199" s="15">
        <v>3</v>
      </c>
      <c r="P199" s="35" t="s">
        <v>492</v>
      </c>
      <c r="Q199" s="15"/>
      <c r="R199" s="24"/>
      <c r="S199" s="62" t="s">
        <v>816</v>
      </c>
      <c r="T199" s="15"/>
      <c r="U199" s="15"/>
      <c r="V199" s="54">
        <v>1250000</v>
      </c>
      <c r="W199" s="54">
        <v>876947</v>
      </c>
      <c r="X199" s="54">
        <v>373053</v>
      </c>
    </row>
    <row r="200" spans="3:24" x14ac:dyDescent="0.25">
      <c r="C200" s="39">
        <v>2017</v>
      </c>
      <c r="D200" s="62" t="s">
        <v>1063</v>
      </c>
      <c r="E200" s="63" t="s">
        <v>1064</v>
      </c>
      <c r="F200" s="64">
        <v>42951</v>
      </c>
      <c r="G200" s="65" t="s">
        <v>34</v>
      </c>
      <c r="H200" s="94">
        <v>6040000</v>
      </c>
      <c r="I200" s="27">
        <v>4845475</v>
      </c>
      <c r="J200" s="27" t="s">
        <v>519</v>
      </c>
      <c r="K200" s="26">
        <v>-0.19776903973509935</v>
      </c>
      <c r="L200" s="11" t="s">
        <v>464</v>
      </c>
      <c r="M200" s="15">
        <v>8</v>
      </c>
      <c r="N200" s="35" t="s">
        <v>93</v>
      </c>
      <c r="O200" s="15">
        <v>3</v>
      </c>
      <c r="P200" s="35" t="s">
        <v>458</v>
      </c>
      <c r="Q200" s="15"/>
      <c r="R200" s="24"/>
      <c r="S200" s="62" t="s">
        <v>784</v>
      </c>
      <c r="T200" s="15"/>
      <c r="U200" s="15"/>
      <c r="V200" s="54">
        <v>6040000</v>
      </c>
      <c r="W200" s="54">
        <v>4845475</v>
      </c>
      <c r="X200" s="54">
        <v>1194525</v>
      </c>
    </row>
    <row r="201" spans="3:24" x14ac:dyDescent="0.25">
      <c r="C201" s="39">
        <v>2017</v>
      </c>
      <c r="D201" s="62" t="s">
        <v>1057</v>
      </c>
      <c r="E201" s="63" t="s">
        <v>1058</v>
      </c>
      <c r="F201" s="64">
        <v>42949</v>
      </c>
      <c r="G201" s="65" t="s">
        <v>34</v>
      </c>
      <c r="H201" s="94">
        <v>1650000</v>
      </c>
      <c r="I201" s="27">
        <v>1320718</v>
      </c>
      <c r="J201" s="27"/>
      <c r="K201" s="26">
        <v>-0.19956484848484848</v>
      </c>
      <c r="L201" s="11" t="s">
        <v>464</v>
      </c>
      <c r="M201" s="15">
        <v>4</v>
      </c>
      <c r="N201" s="35" t="s">
        <v>93</v>
      </c>
      <c r="O201" s="15">
        <v>3</v>
      </c>
      <c r="P201" s="35" t="s">
        <v>458</v>
      </c>
      <c r="Q201" s="15"/>
      <c r="R201" s="24"/>
      <c r="S201" s="62" t="s">
        <v>616</v>
      </c>
      <c r="T201" s="15"/>
      <c r="U201" s="15"/>
      <c r="V201" s="54">
        <v>1650000</v>
      </c>
      <c r="W201" s="54">
        <v>1320718</v>
      </c>
      <c r="X201" s="54">
        <v>329282</v>
      </c>
    </row>
    <row r="202" spans="3:24" x14ac:dyDescent="0.25">
      <c r="C202" s="39">
        <v>2017</v>
      </c>
      <c r="D202" s="62" t="s">
        <v>1052</v>
      </c>
      <c r="E202" s="63" t="s">
        <v>1053</v>
      </c>
      <c r="F202" s="64">
        <v>42948</v>
      </c>
      <c r="G202" s="65" t="s">
        <v>34</v>
      </c>
      <c r="H202" s="94">
        <v>1330000</v>
      </c>
      <c r="I202" s="27">
        <v>936000</v>
      </c>
      <c r="J202" s="27"/>
      <c r="K202" s="26">
        <v>-0.29624060150375942</v>
      </c>
      <c r="L202" s="11" t="s">
        <v>464</v>
      </c>
      <c r="M202" s="15">
        <v>6</v>
      </c>
      <c r="N202" s="35" t="s">
        <v>93</v>
      </c>
      <c r="O202" s="15">
        <v>3</v>
      </c>
      <c r="P202" s="35" t="s">
        <v>458</v>
      </c>
      <c r="Q202" s="15"/>
      <c r="R202" s="24"/>
      <c r="S202" s="62" t="s">
        <v>616</v>
      </c>
      <c r="T202" s="15"/>
      <c r="U202" s="15"/>
      <c r="V202" s="54">
        <v>1330000</v>
      </c>
      <c r="W202" s="54">
        <v>936000</v>
      </c>
      <c r="X202" s="54">
        <v>394000</v>
      </c>
    </row>
    <row r="203" spans="3:24" x14ac:dyDescent="0.25">
      <c r="C203" s="39">
        <v>2017</v>
      </c>
      <c r="D203" s="62" t="s">
        <v>1049</v>
      </c>
      <c r="E203" s="63" t="s">
        <v>1050</v>
      </c>
      <c r="F203" s="64">
        <v>42942</v>
      </c>
      <c r="G203" s="65" t="s">
        <v>34</v>
      </c>
      <c r="H203" s="94">
        <v>700000</v>
      </c>
      <c r="I203" s="27">
        <v>614770</v>
      </c>
      <c r="J203" s="27"/>
      <c r="K203" s="26">
        <v>-0.12175714285714286</v>
      </c>
      <c r="L203" s="11" t="s">
        <v>464</v>
      </c>
      <c r="M203" s="15">
        <v>2</v>
      </c>
      <c r="N203" s="35" t="s">
        <v>93</v>
      </c>
      <c r="O203" s="15">
        <v>3</v>
      </c>
      <c r="P203" s="35" t="s">
        <v>457</v>
      </c>
      <c r="Q203" s="15"/>
      <c r="R203" s="24"/>
      <c r="S203" s="62" t="s">
        <v>536</v>
      </c>
      <c r="T203" s="15"/>
      <c r="U203" s="15"/>
      <c r="V203" s="54">
        <v>700000</v>
      </c>
      <c r="W203" s="54">
        <v>614770</v>
      </c>
      <c r="X203" s="54">
        <v>85230</v>
      </c>
    </row>
    <row r="204" spans="3:24" x14ac:dyDescent="0.25">
      <c r="C204" s="39">
        <v>2017</v>
      </c>
      <c r="D204" s="62" t="s">
        <v>1047</v>
      </c>
      <c r="E204" s="63" t="s">
        <v>982</v>
      </c>
      <c r="F204" s="64">
        <v>42941</v>
      </c>
      <c r="G204" s="65" t="s">
        <v>34</v>
      </c>
      <c r="H204" s="94">
        <v>7200000</v>
      </c>
      <c r="I204" s="27">
        <v>1936000</v>
      </c>
      <c r="J204" s="105" t="s">
        <v>519</v>
      </c>
      <c r="K204" s="26">
        <v>-0.73111111111111116</v>
      </c>
      <c r="L204" s="11" t="s">
        <v>465</v>
      </c>
      <c r="M204" s="15">
        <v>4</v>
      </c>
      <c r="N204" s="35" t="s">
        <v>93</v>
      </c>
      <c r="O204" s="15">
        <v>3</v>
      </c>
      <c r="P204" s="35" t="s">
        <v>458</v>
      </c>
      <c r="Q204" s="15"/>
      <c r="R204" s="24"/>
      <c r="S204" s="62" t="s">
        <v>616</v>
      </c>
      <c r="T204" s="15"/>
      <c r="U204" s="15"/>
      <c r="V204" s="54">
        <v>7200000</v>
      </c>
      <c r="W204" s="54">
        <v>1936000</v>
      </c>
      <c r="X204" s="54">
        <v>5264000</v>
      </c>
    </row>
    <row r="205" spans="3:24" x14ac:dyDescent="0.25">
      <c r="C205" s="39">
        <v>2017</v>
      </c>
      <c r="D205" s="62" t="s">
        <v>1028</v>
      </c>
      <c r="E205" s="63" t="s">
        <v>1029</v>
      </c>
      <c r="F205" s="64">
        <v>42894</v>
      </c>
      <c r="G205" s="65" t="s">
        <v>756</v>
      </c>
      <c r="H205" s="94">
        <v>6445000</v>
      </c>
      <c r="I205" s="27">
        <v>7166666</v>
      </c>
      <c r="J205" s="105" t="s">
        <v>519</v>
      </c>
      <c r="K205" s="26">
        <v>0.11197300232738557</v>
      </c>
      <c r="L205" s="11" t="s">
        <v>465</v>
      </c>
      <c r="M205" s="15">
        <v>11</v>
      </c>
      <c r="N205" s="35" t="s">
        <v>93</v>
      </c>
      <c r="O205" s="15">
        <v>2</v>
      </c>
      <c r="P205" s="35" t="s">
        <v>458</v>
      </c>
      <c r="Q205" s="15"/>
      <c r="R205" s="24"/>
      <c r="S205" s="62" t="s">
        <v>784</v>
      </c>
      <c r="T205" s="15"/>
      <c r="U205" s="15"/>
      <c r="V205" s="54">
        <v>6445000</v>
      </c>
      <c r="W205" s="54">
        <v>7166666</v>
      </c>
      <c r="X205" s="54">
        <v>-721666</v>
      </c>
    </row>
    <row r="206" spans="3:24" x14ac:dyDescent="0.25">
      <c r="C206" s="39">
        <v>2017</v>
      </c>
      <c r="D206" s="62" t="s">
        <v>1009</v>
      </c>
      <c r="E206" s="63" t="s">
        <v>1010</v>
      </c>
      <c r="F206" s="64">
        <v>42880</v>
      </c>
      <c r="G206" s="65" t="s">
        <v>34</v>
      </c>
      <c r="H206" s="94">
        <v>2850000</v>
      </c>
      <c r="I206" s="27">
        <v>1808548</v>
      </c>
      <c r="J206" s="27"/>
      <c r="K206" s="26">
        <v>-0.36542175438596491</v>
      </c>
      <c r="L206" s="11" t="s">
        <v>465</v>
      </c>
      <c r="M206" s="15">
        <v>11</v>
      </c>
      <c r="N206" s="35" t="s">
        <v>93</v>
      </c>
      <c r="O206" s="15">
        <v>2</v>
      </c>
      <c r="P206" s="35" t="s">
        <v>458</v>
      </c>
      <c r="Q206" s="15"/>
      <c r="R206" s="24"/>
      <c r="S206" s="62" t="s">
        <v>442</v>
      </c>
      <c r="T206" s="15"/>
      <c r="U206" s="15"/>
      <c r="V206" s="54">
        <v>2850000</v>
      </c>
      <c r="W206" s="54">
        <v>1808548</v>
      </c>
      <c r="X206" s="54">
        <v>1041452</v>
      </c>
    </row>
    <row r="207" spans="3:24" x14ac:dyDescent="0.25">
      <c r="C207" s="39">
        <v>2017</v>
      </c>
      <c r="D207" s="62" t="s">
        <v>995</v>
      </c>
      <c r="E207" s="63" t="s">
        <v>632</v>
      </c>
      <c r="F207" s="64">
        <v>42851</v>
      </c>
      <c r="G207" s="65" t="s">
        <v>190</v>
      </c>
      <c r="H207" s="94">
        <v>3589000</v>
      </c>
      <c r="I207" s="27">
        <v>3875045</v>
      </c>
      <c r="J207" s="27"/>
      <c r="K207" s="26">
        <v>7.9700473669545829E-2</v>
      </c>
      <c r="L207" s="11" t="s">
        <v>464</v>
      </c>
      <c r="M207" s="15">
        <v>3</v>
      </c>
      <c r="N207" s="35" t="s">
        <v>93</v>
      </c>
      <c r="O207" s="15">
        <v>2</v>
      </c>
      <c r="P207" s="35" t="s">
        <v>457</v>
      </c>
      <c r="Q207" s="15"/>
      <c r="R207" s="24"/>
      <c r="S207" s="62" t="s">
        <v>447</v>
      </c>
      <c r="T207" s="15"/>
      <c r="U207" s="15"/>
      <c r="V207" s="54">
        <v>3589000</v>
      </c>
      <c r="W207" s="54">
        <v>3875045</v>
      </c>
      <c r="X207" s="54">
        <v>-286045</v>
      </c>
    </row>
    <row r="208" spans="3:24" x14ac:dyDescent="0.25">
      <c r="C208" s="39">
        <v>2017</v>
      </c>
      <c r="D208" s="62" t="s">
        <v>977</v>
      </c>
      <c r="E208" s="63" t="s">
        <v>978</v>
      </c>
      <c r="F208" s="64">
        <v>42831</v>
      </c>
      <c r="G208" s="65" t="s">
        <v>34</v>
      </c>
      <c r="H208" s="94">
        <v>1655000</v>
      </c>
      <c r="I208" s="27">
        <v>1398667</v>
      </c>
      <c r="J208" s="27"/>
      <c r="K208" s="26">
        <v>-0.15488398791540786</v>
      </c>
      <c r="L208" s="11" t="s">
        <v>464</v>
      </c>
      <c r="M208" s="15">
        <v>3</v>
      </c>
      <c r="N208" s="35" t="s">
        <v>93</v>
      </c>
      <c r="O208" s="15">
        <v>2</v>
      </c>
      <c r="P208" s="35" t="s">
        <v>492</v>
      </c>
      <c r="Q208" s="15"/>
      <c r="R208" s="24"/>
      <c r="S208" s="62" t="s">
        <v>816</v>
      </c>
      <c r="T208" s="15"/>
      <c r="U208" s="15"/>
      <c r="V208" s="54">
        <v>1655000</v>
      </c>
      <c r="W208" s="54">
        <v>1398667</v>
      </c>
      <c r="X208" s="54">
        <v>256333</v>
      </c>
    </row>
    <row r="209" spans="3:24" x14ac:dyDescent="0.25">
      <c r="C209" s="39">
        <v>2017</v>
      </c>
      <c r="D209" s="62" t="s">
        <v>966</v>
      </c>
      <c r="E209" s="63" t="s">
        <v>967</v>
      </c>
      <c r="F209" s="64">
        <v>42823</v>
      </c>
      <c r="G209" s="65" t="s">
        <v>34</v>
      </c>
      <c r="H209" s="27">
        <v>3700000</v>
      </c>
      <c r="I209" s="27">
        <v>2490000</v>
      </c>
      <c r="J209" s="27"/>
      <c r="K209" s="26">
        <v>-0.32702702702702702</v>
      </c>
      <c r="L209" s="11" t="s">
        <v>464</v>
      </c>
      <c r="M209" s="15">
        <v>7</v>
      </c>
      <c r="N209" s="35" t="s">
        <v>93</v>
      </c>
      <c r="O209" s="15">
        <v>1</v>
      </c>
      <c r="P209" s="35" t="s">
        <v>457</v>
      </c>
      <c r="Q209" s="15"/>
      <c r="R209" s="24" t="s">
        <v>976</v>
      </c>
      <c r="S209" s="62" t="s">
        <v>630</v>
      </c>
      <c r="T209" s="15"/>
      <c r="U209" s="15"/>
      <c r="V209" s="54">
        <v>3700000</v>
      </c>
      <c r="W209" s="54">
        <v>2490000</v>
      </c>
      <c r="X209" s="54">
        <v>1210000</v>
      </c>
    </row>
    <row r="210" spans="3:24" x14ac:dyDescent="0.25">
      <c r="C210" s="39">
        <v>2017</v>
      </c>
      <c r="D210" s="62" t="s">
        <v>964</v>
      </c>
      <c r="E210" s="63" t="s">
        <v>965</v>
      </c>
      <c r="F210" s="64">
        <v>42815</v>
      </c>
      <c r="G210" s="65" t="s">
        <v>190</v>
      </c>
      <c r="H210" s="27">
        <v>3750000</v>
      </c>
      <c r="I210" s="27">
        <v>2468147</v>
      </c>
      <c r="J210" s="27"/>
      <c r="K210" s="26">
        <v>-0.34182746666666669</v>
      </c>
      <c r="L210" s="11" t="s">
        <v>465</v>
      </c>
      <c r="M210" s="15">
        <v>3</v>
      </c>
      <c r="N210" s="35" t="s">
        <v>93</v>
      </c>
      <c r="O210" s="15">
        <v>1</v>
      </c>
      <c r="P210" s="35" t="s">
        <v>458</v>
      </c>
      <c r="Q210" s="15"/>
      <c r="R210" s="24"/>
      <c r="S210" s="62" t="s">
        <v>784</v>
      </c>
      <c r="T210" s="15"/>
      <c r="U210" s="15"/>
      <c r="V210" s="54">
        <v>3750000</v>
      </c>
      <c r="W210" s="54">
        <v>2468147</v>
      </c>
      <c r="X210" s="54">
        <v>1281853</v>
      </c>
    </row>
    <row r="211" spans="3:24" x14ac:dyDescent="0.25">
      <c r="C211" s="39">
        <v>2017</v>
      </c>
      <c r="D211" s="62" t="s">
        <v>981</v>
      </c>
      <c r="E211" s="63" t="s">
        <v>982</v>
      </c>
      <c r="F211" s="64">
        <v>42844</v>
      </c>
      <c r="G211" s="65" t="s">
        <v>190</v>
      </c>
      <c r="H211" s="27">
        <v>18870000</v>
      </c>
      <c r="I211" s="27">
        <v>19910000</v>
      </c>
      <c r="J211" s="27" t="s">
        <v>519</v>
      </c>
      <c r="K211" s="26">
        <v>5.5113937466878642E-2</v>
      </c>
      <c r="L211" s="11" t="s">
        <v>464</v>
      </c>
      <c r="M211" s="15">
        <v>3</v>
      </c>
      <c r="N211" s="35" t="s">
        <v>93</v>
      </c>
      <c r="O211" s="15">
        <v>1</v>
      </c>
      <c r="P211" s="35" t="s">
        <v>458</v>
      </c>
      <c r="Q211" s="15"/>
      <c r="R211" s="24"/>
      <c r="S211" s="62" t="s">
        <v>616</v>
      </c>
      <c r="T211" s="15"/>
      <c r="U211" s="15"/>
      <c r="V211" s="54">
        <v>18870000</v>
      </c>
      <c r="W211" s="54">
        <v>19910000</v>
      </c>
      <c r="X211" s="54">
        <v>-1040000</v>
      </c>
    </row>
    <row r="212" spans="3:24" x14ac:dyDescent="0.25">
      <c r="C212" s="39">
        <v>2017</v>
      </c>
      <c r="D212" s="62" t="s">
        <v>956</v>
      </c>
      <c r="E212" s="63" t="s">
        <v>957</v>
      </c>
      <c r="F212" s="64">
        <v>42810</v>
      </c>
      <c r="G212" s="65" t="s">
        <v>693</v>
      </c>
      <c r="H212" s="27">
        <v>1425000</v>
      </c>
      <c r="I212" s="27">
        <v>1087425</v>
      </c>
      <c r="J212" s="27"/>
      <c r="K212" s="26">
        <v>-0.23689473684210527</v>
      </c>
      <c r="L212" s="11" t="s">
        <v>464</v>
      </c>
      <c r="M212" s="15">
        <v>6</v>
      </c>
      <c r="N212" s="35" t="s">
        <v>93</v>
      </c>
      <c r="O212" s="15">
        <v>1</v>
      </c>
      <c r="P212" s="35" t="s">
        <v>492</v>
      </c>
      <c r="Q212" s="15"/>
      <c r="R212" s="24"/>
      <c r="S212" s="62" t="s">
        <v>816</v>
      </c>
      <c r="T212" s="15"/>
      <c r="U212" s="15"/>
      <c r="V212" s="54">
        <v>1425000</v>
      </c>
      <c r="W212" s="54">
        <v>1087425</v>
      </c>
      <c r="X212" s="54">
        <v>337575</v>
      </c>
    </row>
    <row r="213" spans="3:24" x14ac:dyDescent="0.25">
      <c r="C213" s="39">
        <v>2017</v>
      </c>
      <c r="D213" s="62" t="s">
        <v>914</v>
      </c>
      <c r="E213" s="63" t="s">
        <v>933</v>
      </c>
      <c r="F213" s="64">
        <v>42787</v>
      </c>
      <c r="G213" s="65" t="s">
        <v>190</v>
      </c>
      <c r="H213" s="94">
        <v>10393000</v>
      </c>
      <c r="I213" s="27">
        <v>7903950</v>
      </c>
      <c r="J213" s="105" t="s">
        <v>519</v>
      </c>
      <c r="K213" s="26">
        <v>-0.2394929279322621</v>
      </c>
      <c r="L213" s="11" t="s">
        <v>465</v>
      </c>
      <c r="M213" s="15">
        <v>3</v>
      </c>
      <c r="N213" s="35" t="s">
        <v>93</v>
      </c>
      <c r="O213" s="15">
        <v>1</v>
      </c>
      <c r="P213" s="35" t="s">
        <v>458</v>
      </c>
      <c r="Q213" s="15"/>
      <c r="R213" s="24" t="s">
        <v>932</v>
      </c>
      <c r="S213" s="62" t="s">
        <v>784</v>
      </c>
      <c r="T213" s="15"/>
      <c r="U213" s="15"/>
      <c r="V213" s="54">
        <v>10393000</v>
      </c>
      <c r="W213" s="54">
        <v>7903950</v>
      </c>
      <c r="X213" s="54">
        <v>2489050</v>
      </c>
    </row>
    <row r="214" spans="3:24" x14ac:dyDescent="0.25">
      <c r="C214" s="39">
        <v>2017</v>
      </c>
      <c r="D214" s="62" t="s">
        <v>880</v>
      </c>
      <c r="E214" s="63" t="s">
        <v>881</v>
      </c>
      <c r="F214" s="64">
        <v>42768</v>
      </c>
      <c r="G214" s="65" t="s">
        <v>34</v>
      </c>
      <c r="H214" s="94">
        <v>4800000</v>
      </c>
      <c r="I214" s="27">
        <v>3901193</v>
      </c>
      <c r="J214" s="27"/>
      <c r="K214" s="26">
        <v>-0.18725145833333334</v>
      </c>
      <c r="L214" s="11" t="s">
        <v>464</v>
      </c>
      <c r="M214" s="15">
        <v>14</v>
      </c>
      <c r="N214" s="35" t="s">
        <v>93</v>
      </c>
      <c r="O214" s="15">
        <v>1</v>
      </c>
      <c r="P214" s="35" t="s">
        <v>458</v>
      </c>
      <c r="Q214" s="15"/>
      <c r="R214" s="24"/>
      <c r="S214" s="62" t="s">
        <v>616</v>
      </c>
      <c r="T214" s="15"/>
      <c r="U214" s="15"/>
      <c r="V214" s="54">
        <v>4800000</v>
      </c>
      <c r="W214" s="54">
        <v>3901193</v>
      </c>
      <c r="X214" s="54">
        <v>898807</v>
      </c>
    </row>
    <row r="215" spans="3:24" x14ac:dyDescent="0.25">
      <c r="C215" s="39">
        <v>2017</v>
      </c>
      <c r="D215" s="62" t="s">
        <v>876</v>
      </c>
      <c r="E215" s="63" t="s">
        <v>877</v>
      </c>
      <c r="F215" s="64">
        <v>42765</v>
      </c>
      <c r="G215" s="65" t="s">
        <v>756</v>
      </c>
      <c r="H215" s="94">
        <v>6500000</v>
      </c>
      <c r="I215" s="27">
        <v>5987000</v>
      </c>
      <c r="J215" s="27" t="s">
        <v>519</v>
      </c>
      <c r="K215" s="26">
        <v>-7.8923076923076929E-2</v>
      </c>
      <c r="L215" s="11" t="s">
        <v>464</v>
      </c>
      <c r="M215" s="15">
        <v>5</v>
      </c>
      <c r="N215" s="35" t="s">
        <v>93</v>
      </c>
      <c r="O215" s="15">
        <v>1</v>
      </c>
      <c r="P215" s="35" t="s">
        <v>458</v>
      </c>
      <c r="Q215" s="15"/>
      <c r="R215" s="24"/>
      <c r="S215" s="62" t="s">
        <v>447</v>
      </c>
      <c r="T215" s="15"/>
      <c r="U215" s="15"/>
      <c r="V215" s="54">
        <v>6500000</v>
      </c>
      <c r="W215" s="54">
        <v>5987000</v>
      </c>
      <c r="X215" s="54">
        <v>513000</v>
      </c>
    </row>
    <row r="216" spans="3:24" x14ac:dyDescent="0.25">
      <c r="C216" s="39">
        <v>2017</v>
      </c>
      <c r="D216" s="62" t="s">
        <v>868</v>
      </c>
      <c r="E216" s="63" t="s">
        <v>869</v>
      </c>
      <c r="F216" s="64">
        <v>42761</v>
      </c>
      <c r="G216" s="65" t="s">
        <v>34</v>
      </c>
      <c r="H216" s="94">
        <v>5100000</v>
      </c>
      <c r="I216" s="27">
        <v>4640176</v>
      </c>
      <c r="J216" s="27" t="s">
        <v>519</v>
      </c>
      <c r="K216" s="26">
        <v>-9.0161568627450978E-2</v>
      </c>
      <c r="L216" s="11" t="s">
        <v>464</v>
      </c>
      <c r="M216" s="15">
        <v>7</v>
      </c>
      <c r="N216" s="35" t="s">
        <v>93</v>
      </c>
      <c r="O216" s="15">
        <v>1</v>
      </c>
      <c r="P216" s="35" t="s">
        <v>458</v>
      </c>
      <c r="Q216" s="15"/>
      <c r="R216" s="24"/>
      <c r="S216" s="62" t="s">
        <v>784</v>
      </c>
      <c r="T216" s="15"/>
      <c r="U216" s="15"/>
      <c r="V216" s="54">
        <v>5100000</v>
      </c>
      <c r="W216" s="54">
        <v>4640176</v>
      </c>
      <c r="X216" s="54">
        <v>459824</v>
      </c>
    </row>
    <row r="217" spans="3:24" x14ac:dyDescent="0.25">
      <c r="C217" s="39">
        <v>2017</v>
      </c>
      <c r="D217" s="62" t="s">
        <v>830</v>
      </c>
      <c r="E217" s="63" t="s">
        <v>831</v>
      </c>
      <c r="F217" s="64">
        <v>42746</v>
      </c>
      <c r="G217" s="65" t="s">
        <v>190</v>
      </c>
      <c r="H217" s="94">
        <v>12071025</v>
      </c>
      <c r="I217" s="27">
        <v>9977777</v>
      </c>
      <c r="J217" s="105" t="s">
        <v>519</v>
      </c>
      <c r="K217" s="26">
        <v>-0.17341095723022693</v>
      </c>
      <c r="L217" s="11" t="s">
        <v>465</v>
      </c>
      <c r="M217" s="15">
        <v>3</v>
      </c>
      <c r="N217" s="35" t="s">
        <v>93</v>
      </c>
      <c r="O217" s="15">
        <v>1</v>
      </c>
      <c r="P217" s="35" t="s">
        <v>458</v>
      </c>
      <c r="Q217" s="15"/>
      <c r="R217" s="24"/>
      <c r="S217" s="62" t="s">
        <v>616</v>
      </c>
      <c r="T217" s="15"/>
      <c r="U217" s="15"/>
      <c r="V217" s="54">
        <v>12071025</v>
      </c>
      <c r="W217" s="54">
        <v>9977777</v>
      </c>
      <c r="X217" s="54">
        <v>2093248</v>
      </c>
    </row>
    <row r="218" spans="3:24" x14ac:dyDescent="0.25">
      <c r="C218" s="39">
        <v>2017</v>
      </c>
      <c r="D218" s="62" t="s">
        <v>828</v>
      </c>
      <c r="E218" s="63" t="s">
        <v>829</v>
      </c>
      <c r="F218" s="64">
        <v>42739</v>
      </c>
      <c r="G218" s="65" t="s">
        <v>190</v>
      </c>
      <c r="H218" s="94">
        <v>28695000</v>
      </c>
      <c r="I218" s="27">
        <v>31768035</v>
      </c>
      <c r="J218" s="27" t="s">
        <v>519</v>
      </c>
      <c r="K218" s="26">
        <v>0.10709304756926294</v>
      </c>
      <c r="L218" s="11" t="s">
        <v>464</v>
      </c>
      <c r="M218" s="15">
        <v>2</v>
      </c>
      <c r="N218" s="35" t="s">
        <v>93</v>
      </c>
      <c r="O218" s="15">
        <v>1</v>
      </c>
      <c r="P218" s="35" t="s">
        <v>458</v>
      </c>
      <c r="Q218" s="15"/>
      <c r="R218" s="24"/>
      <c r="S218" s="62" t="s">
        <v>616</v>
      </c>
      <c r="T218" s="15"/>
      <c r="U218" s="15"/>
      <c r="V218" s="54">
        <v>28695000</v>
      </c>
      <c r="W218" s="54">
        <v>31768035</v>
      </c>
      <c r="X218" s="54">
        <v>-3073035</v>
      </c>
    </row>
    <row r="219" spans="3:24" x14ac:dyDescent="0.25">
      <c r="C219" s="39"/>
      <c r="E219" s="85"/>
      <c r="F219" s="85"/>
      <c r="G219" s="85"/>
      <c r="H219" s="86">
        <f>SUM(H193:H218)</f>
        <v>380835025</v>
      </c>
      <c r="I219" s="86">
        <f>SUM(I193:I218)</f>
        <v>327330377</v>
      </c>
      <c r="J219" s="85"/>
      <c r="K219" s="87">
        <f>+I219/H219</f>
        <v>0.85950701882002578</v>
      </c>
      <c r="L219" s="85">
        <f>COUNTA(L193:L218)</f>
        <v>25</v>
      </c>
      <c r="M219" s="88">
        <f>SUM(M193:M218)/L219</f>
        <v>5.8</v>
      </c>
      <c r="N219" s="89"/>
      <c r="O219" s="85"/>
      <c r="P219" s="119">
        <f>17/L219</f>
        <v>0.68</v>
      </c>
      <c r="Q219" s="85"/>
    </row>
    <row r="220" spans="3:24" x14ac:dyDescent="0.25">
      <c r="C220" s="39"/>
    </row>
    <row r="221" spans="3:24" x14ac:dyDescent="0.25">
      <c r="C221" s="39"/>
      <c r="D221" s="31" t="s">
        <v>839</v>
      </c>
    </row>
    <row r="222" spans="3:24" x14ac:dyDescent="0.25">
      <c r="C222" s="39">
        <v>2017</v>
      </c>
      <c r="D222" s="102" t="s">
        <v>1159</v>
      </c>
      <c r="E222" s="63" t="s">
        <v>1154</v>
      </c>
      <c r="F222" s="64">
        <v>43088</v>
      </c>
      <c r="G222" s="65" t="s">
        <v>693</v>
      </c>
      <c r="H222" s="94">
        <v>795000</v>
      </c>
      <c r="I222" s="27">
        <v>353700</v>
      </c>
      <c r="J222" s="27"/>
      <c r="K222" s="26">
        <v>-0.55509433962264154</v>
      </c>
      <c r="L222" s="11" t="s">
        <v>464</v>
      </c>
      <c r="M222" s="15">
        <v>8</v>
      </c>
      <c r="N222" s="35" t="s">
        <v>226</v>
      </c>
      <c r="O222" s="15">
        <v>4</v>
      </c>
      <c r="P222" s="35" t="s">
        <v>457</v>
      </c>
      <c r="Q222" s="15"/>
      <c r="R222" s="24"/>
      <c r="S222" s="62" t="s">
        <v>1153</v>
      </c>
      <c r="T222" s="15"/>
      <c r="U222" s="15"/>
      <c r="V222" s="54">
        <v>795000</v>
      </c>
      <c r="W222" s="54">
        <v>353700</v>
      </c>
      <c r="X222" s="54">
        <v>441300</v>
      </c>
    </row>
    <row r="223" spans="3:24" x14ac:dyDescent="0.25">
      <c r="C223" s="39">
        <v>2017</v>
      </c>
      <c r="D223" s="102" t="s">
        <v>1139</v>
      </c>
      <c r="E223" s="63" t="s">
        <v>1140</v>
      </c>
      <c r="F223" s="64">
        <v>43054</v>
      </c>
      <c r="G223" s="65" t="s">
        <v>34</v>
      </c>
      <c r="H223" s="94">
        <v>1350000</v>
      </c>
      <c r="I223" s="27">
        <v>2629000</v>
      </c>
      <c r="J223" s="27"/>
      <c r="K223" s="26">
        <v>0.94740740740740736</v>
      </c>
      <c r="L223" s="11" t="s">
        <v>465</v>
      </c>
      <c r="M223" s="15">
        <v>1</v>
      </c>
      <c r="N223" s="35" t="s">
        <v>226</v>
      </c>
      <c r="O223" s="15">
        <v>4</v>
      </c>
      <c r="P223" s="35" t="s">
        <v>457</v>
      </c>
      <c r="Q223" s="15"/>
      <c r="R223" s="24" t="s">
        <v>782</v>
      </c>
      <c r="S223" s="62" t="s">
        <v>784</v>
      </c>
      <c r="T223" s="15"/>
      <c r="U223" s="15"/>
      <c r="V223" s="54">
        <v>1350000</v>
      </c>
      <c r="W223" s="54">
        <v>2629000</v>
      </c>
      <c r="X223" s="54">
        <v>-1279000</v>
      </c>
    </row>
    <row r="224" spans="3:24" x14ac:dyDescent="0.25">
      <c r="C224" s="39">
        <v>2017</v>
      </c>
      <c r="D224" s="62" t="s">
        <v>1110</v>
      </c>
      <c r="E224" s="63" t="s">
        <v>1111</v>
      </c>
      <c r="F224" s="64">
        <v>43047</v>
      </c>
      <c r="G224" s="65" t="s">
        <v>34</v>
      </c>
      <c r="H224" s="94">
        <v>1650000</v>
      </c>
      <c r="I224" s="27">
        <v>2278990</v>
      </c>
      <c r="J224" s="27"/>
      <c r="K224" s="26">
        <v>0.3812060606060606</v>
      </c>
      <c r="L224" s="11" t="s">
        <v>465</v>
      </c>
      <c r="M224" s="15">
        <v>5</v>
      </c>
      <c r="N224" s="35" t="s">
        <v>226</v>
      </c>
      <c r="O224" s="15">
        <v>4</v>
      </c>
      <c r="P224" s="35" t="s">
        <v>457</v>
      </c>
      <c r="Q224" s="15"/>
      <c r="R224" s="24"/>
      <c r="S224" s="62" t="s">
        <v>784</v>
      </c>
      <c r="T224" s="15"/>
      <c r="U224" s="15"/>
      <c r="V224" s="54">
        <v>1650000</v>
      </c>
      <c r="W224" s="54">
        <v>2278990</v>
      </c>
      <c r="X224" s="54">
        <v>-628990</v>
      </c>
    </row>
    <row r="225" spans="3:27" x14ac:dyDescent="0.25">
      <c r="C225" s="39">
        <v>2017</v>
      </c>
      <c r="D225" s="62" t="s">
        <v>1091</v>
      </c>
      <c r="E225" s="63" t="s">
        <v>1092</v>
      </c>
      <c r="F225" s="64">
        <v>43006</v>
      </c>
      <c r="G225" s="65" t="s">
        <v>693</v>
      </c>
      <c r="H225" s="94">
        <v>609000</v>
      </c>
      <c r="I225" s="27">
        <v>579300</v>
      </c>
      <c r="J225" s="27"/>
      <c r="K225" s="26">
        <v>-4.8768472906403938E-2</v>
      </c>
      <c r="L225" s="11" t="s">
        <v>464</v>
      </c>
      <c r="M225" s="15">
        <v>4</v>
      </c>
      <c r="N225" s="35" t="s">
        <v>226</v>
      </c>
      <c r="O225" s="15">
        <v>3</v>
      </c>
      <c r="P225" s="35" t="s">
        <v>457</v>
      </c>
      <c r="Q225" s="15"/>
      <c r="R225" s="24"/>
      <c r="S225" s="62" t="s">
        <v>962</v>
      </c>
      <c r="T225" s="15"/>
      <c r="U225" s="15"/>
      <c r="V225" s="54">
        <v>609000</v>
      </c>
      <c r="W225" s="54">
        <v>579300</v>
      </c>
      <c r="X225" s="54">
        <v>29700</v>
      </c>
    </row>
    <row r="226" spans="3:27" x14ac:dyDescent="0.25">
      <c r="C226" s="39">
        <v>2017</v>
      </c>
      <c r="D226" s="62" t="s">
        <v>1089</v>
      </c>
      <c r="E226" s="63" t="s">
        <v>1090</v>
      </c>
      <c r="F226" s="64">
        <v>43005</v>
      </c>
      <c r="G226" s="65" t="s">
        <v>34</v>
      </c>
      <c r="H226" s="94">
        <v>1250000</v>
      </c>
      <c r="I226" s="27">
        <v>1068000</v>
      </c>
      <c r="J226" s="27"/>
      <c r="K226" s="26">
        <v>-0.14560000000000001</v>
      </c>
      <c r="L226" s="11" t="s">
        <v>464</v>
      </c>
      <c r="M226" s="15">
        <v>6</v>
      </c>
      <c r="N226" s="35" t="s">
        <v>226</v>
      </c>
      <c r="O226" s="15">
        <v>3</v>
      </c>
      <c r="P226" s="35" t="s">
        <v>457</v>
      </c>
      <c r="Q226" s="15"/>
      <c r="R226" s="24"/>
      <c r="S226" s="62" t="s">
        <v>784</v>
      </c>
      <c r="T226" s="15"/>
      <c r="U226" s="15"/>
      <c r="V226" s="54">
        <v>1250000</v>
      </c>
      <c r="W226" s="54">
        <v>1068000</v>
      </c>
      <c r="X226" s="54">
        <v>182000</v>
      </c>
    </row>
    <row r="227" spans="3:27" x14ac:dyDescent="0.25">
      <c r="C227" s="39">
        <v>2017</v>
      </c>
      <c r="D227" s="62" t="s">
        <v>1001</v>
      </c>
      <c r="E227" s="63" t="s">
        <v>1008</v>
      </c>
      <c r="F227" s="64">
        <v>42872</v>
      </c>
      <c r="G227" s="65" t="s">
        <v>34</v>
      </c>
      <c r="H227" s="94">
        <v>5000000</v>
      </c>
      <c r="I227" s="27">
        <v>5210665</v>
      </c>
      <c r="J227" s="27" t="s">
        <v>519</v>
      </c>
      <c r="K227" s="26">
        <v>4.2132999999999997E-2</v>
      </c>
      <c r="L227" s="11" t="s">
        <v>464</v>
      </c>
      <c r="M227" s="15">
        <v>9</v>
      </c>
      <c r="N227" s="35" t="s">
        <v>226</v>
      </c>
      <c r="O227" s="15">
        <v>2</v>
      </c>
      <c r="P227" s="35" t="s">
        <v>492</v>
      </c>
      <c r="Q227" s="15"/>
      <c r="R227" s="24"/>
      <c r="S227" s="62" t="s">
        <v>816</v>
      </c>
      <c r="T227" s="15"/>
      <c r="U227" s="15"/>
      <c r="V227" s="54">
        <v>5000000</v>
      </c>
      <c r="W227" s="54">
        <v>5210665</v>
      </c>
      <c r="X227" s="54">
        <v>-210665</v>
      </c>
    </row>
    <row r="228" spans="3:27" x14ac:dyDescent="0.25">
      <c r="C228" s="39">
        <v>2017</v>
      </c>
      <c r="D228" s="62" t="s">
        <v>991</v>
      </c>
      <c r="E228" s="63" t="s">
        <v>992</v>
      </c>
      <c r="F228" s="64">
        <v>42846</v>
      </c>
      <c r="G228" s="65" t="s">
        <v>34</v>
      </c>
      <c r="H228" s="94">
        <v>2060000</v>
      </c>
      <c r="I228" s="27">
        <v>2614625</v>
      </c>
      <c r="J228" s="27"/>
      <c r="K228" s="26">
        <v>0.26923543689320389</v>
      </c>
      <c r="L228" s="11" t="s">
        <v>465</v>
      </c>
      <c r="M228" s="15">
        <v>5</v>
      </c>
      <c r="N228" s="35" t="s">
        <v>226</v>
      </c>
      <c r="O228" s="15">
        <v>2</v>
      </c>
      <c r="P228" s="35" t="s">
        <v>457</v>
      </c>
      <c r="Q228" s="15"/>
      <c r="R228" s="24"/>
      <c r="S228" s="62" t="s">
        <v>630</v>
      </c>
      <c r="T228" s="15"/>
      <c r="U228" s="15"/>
      <c r="V228" s="54">
        <v>2060000</v>
      </c>
      <c r="W228" s="54">
        <v>2614625</v>
      </c>
      <c r="X228" s="54">
        <v>-554625</v>
      </c>
    </row>
    <row r="229" spans="3:27" x14ac:dyDescent="0.25">
      <c r="C229" s="39">
        <v>2017</v>
      </c>
      <c r="D229" s="62" t="s">
        <v>912</v>
      </c>
      <c r="E229" s="63" t="s">
        <v>935</v>
      </c>
      <c r="F229" s="64">
        <v>42789</v>
      </c>
      <c r="G229" s="65" t="s">
        <v>190</v>
      </c>
      <c r="H229" s="94">
        <v>479900000</v>
      </c>
      <c r="I229" s="27">
        <v>451841280</v>
      </c>
      <c r="J229" s="27" t="s">
        <v>519</v>
      </c>
      <c r="K229" s="26">
        <v>-5.8467847468222547E-2</v>
      </c>
      <c r="L229" s="11" t="s">
        <v>464</v>
      </c>
      <c r="M229" s="15">
        <v>5</v>
      </c>
      <c r="N229" s="35" t="s">
        <v>226</v>
      </c>
      <c r="O229" s="15">
        <v>1</v>
      </c>
      <c r="P229" s="35" t="s">
        <v>457</v>
      </c>
      <c r="Q229" s="15"/>
      <c r="R229" s="24"/>
      <c r="S229" s="62" t="s">
        <v>630</v>
      </c>
      <c r="T229" s="15"/>
      <c r="U229" s="15"/>
      <c r="V229" s="54">
        <v>479900000</v>
      </c>
      <c r="W229" s="54">
        <v>451841280</v>
      </c>
      <c r="X229" s="54">
        <v>28058720</v>
      </c>
    </row>
    <row r="230" spans="3:27" x14ac:dyDescent="0.25">
      <c r="C230" s="39">
        <v>2017</v>
      </c>
      <c r="D230" s="62" t="s">
        <v>898</v>
      </c>
      <c r="E230" s="63" t="s">
        <v>717</v>
      </c>
      <c r="F230" s="64">
        <v>42773</v>
      </c>
      <c r="G230" s="65" t="s">
        <v>190</v>
      </c>
      <c r="H230" s="94">
        <v>1965000</v>
      </c>
      <c r="I230" s="27">
        <v>1450000</v>
      </c>
      <c r="J230" s="27"/>
      <c r="K230" s="26">
        <v>-0.26208651399491095</v>
      </c>
      <c r="L230" s="11" t="s">
        <v>464</v>
      </c>
      <c r="M230" s="15">
        <v>6</v>
      </c>
      <c r="N230" s="35" t="s">
        <v>226</v>
      </c>
      <c r="O230" s="15">
        <v>1</v>
      </c>
      <c r="P230" s="35" t="s">
        <v>457</v>
      </c>
      <c r="Q230" s="15"/>
      <c r="R230" s="24" t="s">
        <v>900</v>
      </c>
      <c r="S230" s="62" t="s">
        <v>630</v>
      </c>
      <c r="T230" s="15"/>
      <c r="U230" s="15"/>
      <c r="V230" s="54">
        <v>1965000</v>
      </c>
      <c r="W230" s="54">
        <v>1450000</v>
      </c>
      <c r="X230" s="54">
        <v>515000</v>
      </c>
    </row>
    <row r="231" spans="3:27" x14ac:dyDescent="0.25">
      <c r="C231" s="39"/>
      <c r="E231" s="85"/>
      <c r="F231" s="85"/>
      <c r="G231" s="85"/>
      <c r="H231" s="86">
        <f>SUM(H221:H230)</f>
        <v>494579000</v>
      </c>
      <c r="I231" s="86">
        <f>SUM(I221:I230)</f>
        <v>468025560</v>
      </c>
      <c r="J231" s="85"/>
      <c r="K231" s="87">
        <f>+I231/H231</f>
        <v>0.94631102412354751</v>
      </c>
      <c r="L231" s="85">
        <f>COUNTA(L221:L230)</f>
        <v>9</v>
      </c>
      <c r="M231" s="88">
        <f>SUM(M221:M230)/L231</f>
        <v>5.4444444444444446</v>
      </c>
      <c r="N231" s="89"/>
      <c r="O231" s="85"/>
      <c r="P231" s="119">
        <f>6/L231</f>
        <v>0.66666666666666663</v>
      </c>
      <c r="Q231" s="85"/>
    </row>
    <row r="232" spans="3:27" x14ac:dyDescent="0.25">
      <c r="C232" s="39"/>
    </row>
    <row r="233" spans="3:27" x14ac:dyDescent="0.25">
      <c r="C233" s="39"/>
    </row>
    <row r="234" spans="3:27" x14ac:dyDescent="0.25">
      <c r="C234" s="39"/>
      <c r="F234" s="31"/>
      <c r="G234" s="36" t="s">
        <v>853</v>
      </c>
      <c r="H234" s="36" t="s">
        <v>854</v>
      </c>
      <c r="I234" s="36" t="s">
        <v>59</v>
      </c>
      <c r="J234" s="36" t="s">
        <v>60</v>
      </c>
      <c r="K234" s="36" t="s">
        <v>856</v>
      </c>
      <c r="L234" s="36" t="s">
        <v>62</v>
      </c>
      <c r="M234" s="37" t="s">
        <v>855</v>
      </c>
      <c r="N234" s="36"/>
      <c r="O234" s="36"/>
      <c r="P234" s="31"/>
      <c r="Q234" s="31"/>
    </row>
    <row r="235" spans="3:27" x14ac:dyDescent="0.25">
      <c r="C235" s="39"/>
      <c r="G235" t="s">
        <v>93</v>
      </c>
      <c r="H235" s="4">
        <f>+H219</f>
        <v>380835025</v>
      </c>
      <c r="I235" s="4">
        <f>+I219</f>
        <v>327330377</v>
      </c>
      <c r="J235" s="91">
        <f>+K219</f>
        <v>0.85950701882002578</v>
      </c>
      <c r="K235" s="120">
        <f>+P219</f>
        <v>0.68</v>
      </c>
      <c r="L235">
        <f>+L219</f>
        <v>25</v>
      </c>
      <c r="M235" s="84">
        <f>+M219</f>
        <v>5.8</v>
      </c>
    </row>
    <row r="236" spans="3:27" x14ac:dyDescent="0.25">
      <c r="C236" s="39"/>
      <c r="G236" t="s">
        <v>25</v>
      </c>
      <c r="H236" s="4">
        <f>+H191</f>
        <v>263865000</v>
      </c>
      <c r="I236" s="4">
        <f>+I191</f>
        <v>263750479</v>
      </c>
      <c r="J236" s="91">
        <f>+K191</f>
        <v>0.99956598639455785</v>
      </c>
      <c r="K236" s="120">
        <f>+P191</f>
        <v>0.625</v>
      </c>
      <c r="L236">
        <f>+L191</f>
        <v>32</v>
      </c>
      <c r="M236" s="84">
        <f>+M191</f>
        <v>4.8125</v>
      </c>
    </row>
    <row r="237" spans="3:27" s="11" customFormat="1" x14ac:dyDescent="0.25">
      <c r="C237" s="39"/>
      <c r="D237"/>
      <c r="E237"/>
      <c r="F237"/>
      <c r="G237" t="s">
        <v>226</v>
      </c>
      <c r="H237" s="4">
        <f>+H231</f>
        <v>494579000</v>
      </c>
      <c r="I237" s="4">
        <f>+I231</f>
        <v>468025560</v>
      </c>
      <c r="J237" s="91">
        <f>+K231</f>
        <v>0.94631102412354751</v>
      </c>
      <c r="K237" s="120">
        <f>+P231</f>
        <v>0.66666666666666663</v>
      </c>
      <c r="L237">
        <f>+L231</f>
        <v>9</v>
      </c>
      <c r="M237" s="84">
        <f>+M231</f>
        <v>5.4444444444444446</v>
      </c>
      <c r="O237"/>
      <c r="P237"/>
      <c r="Q237"/>
      <c r="R237"/>
      <c r="S237"/>
      <c r="T237"/>
      <c r="U237"/>
      <c r="V237"/>
      <c r="W237"/>
      <c r="X237"/>
      <c r="Y237"/>
      <c r="Z237"/>
      <c r="AA237"/>
    </row>
    <row r="238" spans="3:27" s="11" customFormat="1" x14ac:dyDescent="0.25">
      <c r="C238" s="39"/>
      <c r="D238"/>
      <c r="E238"/>
      <c r="F238"/>
      <c r="G238"/>
      <c r="H238"/>
      <c r="I238"/>
      <c r="J238"/>
      <c r="K238"/>
      <c r="L238"/>
      <c r="M238"/>
      <c r="O238"/>
      <c r="P238"/>
      <c r="Q238"/>
      <c r="R238"/>
      <c r="S238"/>
      <c r="T238"/>
      <c r="U238"/>
      <c r="V238"/>
      <c r="W238"/>
      <c r="X238"/>
      <c r="Y238"/>
      <c r="Z238"/>
      <c r="AA238"/>
    </row>
    <row r="239" spans="3:27" s="11" customFormat="1" x14ac:dyDescent="0.25">
      <c r="C239" s="113"/>
      <c r="D239" s="114"/>
      <c r="E239" s="114"/>
      <c r="F239" s="114"/>
      <c r="G239" s="114"/>
      <c r="H239" s="114"/>
      <c r="I239" s="114"/>
      <c r="J239" s="114"/>
      <c r="K239" s="114"/>
      <c r="L239" s="114"/>
      <c r="M239" s="114"/>
      <c r="N239" s="115"/>
      <c r="O239" s="114"/>
      <c r="P239" s="114"/>
      <c r="Q239" s="114"/>
      <c r="R239" s="114"/>
      <c r="S239" s="114"/>
      <c r="T239"/>
      <c r="U239"/>
      <c r="V239"/>
      <c r="W239"/>
      <c r="X239"/>
      <c r="Y239"/>
      <c r="Z239"/>
      <c r="AA239"/>
    </row>
    <row r="240" spans="3:27" s="11" customFormat="1" x14ac:dyDescent="0.25">
      <c r="C240" s="39"/>
      <c r="D240"/>
      <c r="E240"/>
      <c r="F240"/>
      <c r="G240"/>
      <c r="H240"/>
      <c r="I240"/>
      <c r="J240"/>
      <c r="K240"/>
      <c r="L240"/>
      <c r="M240"/>
      <c r="O240"/>
      <c r="P240"/>
      <c r="Q240"/>
      <c r="R240"/>
      <c r="S240"/>
      <c r="T240"/>
      <c r="U240"/>
      <c r="V240"/>
      <c r="W240"/>
      <c r="X240"/>
      <c r="Y240"/>
      <c r="Z240"/>
      <c r="AA240"/>
    </row>
    <row r="241" spans="3:19" x14ac:dyDescent="0.25">
      <c r="C241" s="39"/>
      <c r="E241" s="131" t="s">
        <v>1166</v>
      </c>
      <c r="F241" s="132" t="s">
        <v>842</v>
      </c>
      <c r="G241" s="132" t="s">
        <v>843</v>
      </c>
      <c r="H241" s="133">
        <f>SUM(F242:G250)</f>
        <v>66</v>
      </c>
      <c r="I241" s="137" t="s">
        <v>1167</v>
      </c>
    </row>
    <row r="242" spans="3:19" x14ac:dyDescent="0.25">
      <c r="C242" s="39"/>
      <c r="E242" s="133" t="s">
        <v>844</v>
      </c>
      <c r="F242" s="134">
        <v>4</v>
      </c>
      <c r="G242" s="134">
        <v>4</v>
      </c>
      <c r="H242" s="135">
        <f t="shared" ref="H242:H250" si="40">F242/(+F242+G242)</f>
        <v>0.5</v>
      </c>
      <c r="I242" s="136">
        <f>+(F242+G242)/$H$241</f>
        <v>0.12121212121212122</v>
      </c>
    </row>
    <row r="243" spans="3:19" x14ac:dyDescent="0.25">
      <c r="C243" s="39"/>
      <c r="E243" s="133" t="s">
        <v>845</v>
      </c>
      <c r="F243" s="134">
        <v>18</v>
      </c>
      <c r="G243" s="134">
        <v>7</v>
      </c>
      <c r="H243" s="135">
        <f t="shared" si="40"/>
        <v>0.72</v>
      </c>
      <c r="I243" s="136">
        <f t="shared" ref="I243:I250" si="41">+(F243+G243)/$H$241</f>
        <v>0.37878787878787878</v>
      </c>
    </row>
    <row r="244" spans="3:19" x14ac:dyDescent="0.25">
      <c r="C244" s="39"/>
      <c r="E244" s="133" t="s">
        <v>1162</v>
      </c>
      <c r="F244" s="134">
        <v>2</v>
      </c>
      <c r="G244" s="134">
        <v>0</v>
      </c>
      <c r="H244" s="135">
        <f t="shared" si="40"/>
        <v>1</v>
      </c>
      <c r="I244" s="136">
        <f t="shared" si="41"/>
        <v>3.0303030303030304E-2</v>
      </c>
    </row>
    <row r="245" spans="3:19" x14ac:dyDescent="0.25">
      <c r="C245" s="39"/>
      <c r="E245" s="133" t="s">
        <v>847</v>
      </c>
      <c r="F245" s="134">
        <v>4</v>
      </c>
      <c r="G245" s="134">
        <v>7</v>
      </c>
      <c r="H245" s="135">
        <f t="shared" si="40"/>
        <v>0.36363636363636365</v>
      </c>
      <c r="I245" s="136">
        <f t="shared" si="41"/>
        <v>0.16666666666666666</v>
      </c>
    </row>
    <row r="246" spans="3:19" x14ac:dyDescent="0.25">
      <c r="C246" s="39"/>
      <c r="E246" s="133" t="s">
        <v>848</v>
      </c>
      <c r="F246" s="134">
        <v>0</v>
      </c>
      <c r="G246" s="134">
        <v>1</v>
      </c>
      <c r="H246" s="135">
        <f t="shared" si="40"/>
        <v>0</v>
      </c>
      <c r="I246" s="136">
        <f t="shared" si="41"/>
        <v>1.5151515151515152E-2</v>
      </c>
    </row>
    <row r="247" spans="3:19" x14ac:dyDescent="0.25">
      <c r="C247" s="39"/>
      <c r="E247" s="133" t="s">
        <v>849</v>
      </c>
      <c r="F247" s="134">
        <v>10</v>
      </c>
      <c r="G247" s="134">
        <v>1</v>
      </c>
      <c r="H247" s="135">
        <f t="shared" si="40"/>
        <v>0.90909090909090906</v>
      </c>
      <c r="I247" s="136">
        <f t="shared" si="41"/>
        <v>0.16666666666666666</v>
      </c>
    </row>
    <row r="248" spans="3:19" x14ac:dyDescent="0.25">
      <c r="C248" s="39"/>
      <c r="E248" s="133" t="s">
        <v>1163</v>
      </c>
      <c r="F248" s="134">
        <v>0</v>
      </c>
      <c r="G248" s="134">
        <v>0</v>
      </c>
      <c r="H248" s="138" t="s">
        <v>1165</v>
      </c>
      <c r="I248" s="136">
        <f t="shared" si="41"/>
        <v>0</v>
      </c>
    </row>
    <row r="249" spans="3:19" x14ac:dyDescent="0.25">
      <c r="C249" s="39"/>
      <c r="E249" s="133" t="s">
        <v>1164</v>
      </c>
      <c r="F249" s="134">
        <v>1</v>
      </c>
      <c r="G249" s="134">
        <v>0</v>
      </c>
      <c r="H249" s="135">
        <f t="shared" si="40"/>
        <v>1</v>
      </c>
      <c r="I249" s="136">
        <f t="shared" si="41"/>
        <v>1.5151515151515152E-2</v>
      </c>
    </row>
    <row r="250" spans="3:19" x14ac:dyDescent="0.25">
      <c r="C250" s="39"/>
      <c r="E250" s="133" t="s">
        <v>846</v>
      </c>
      <c r="F250" s="134">
        <v>4</v>
      </c>
      <c r="G250" s="134">
        <v>3</v>
      </c>
      <c r="H250" s="135">
        <f t="shared" si="40"/>
        <v>0.5714285714285714</v>
      </c>
      <c r="I250" s="136">
        <f t="shared" si="41"/>
        <v>0.10606060606060606</v>
      </c>
    </row>
    <row r="251" spans="3:19" x14ac:dyDescent="0.25">
      <c r="C251" s="39"/>
      <c r="E251" s="2"/>
      <c r="F251" s="11"/>
      <c r="G251" s="11"/>
    </row>
    <row r="252" spans="3:19" x14ac:dyDescent="0.25">
      <c r="C252" s="39"/>
      <c r="F252" s="11"/>
      <c r="G252" s="11"/>
    </row>
    <row r="253" spans="3:19" x14ac:dyDescent="0.25">
      <c r="C253" s="39"/>
    </row>
    <row r="254" spans="3:19" x14ac:dyDescent="0.25">
      <c r="C254" s="39"/>
    </row>
    <row r="255" spans="3:19" x14ac:dyDescent="0.25">
      <c r="C255" s="116"/>
      <c r="D255" s="117"/>
      <c r="E255" s="117"/>
      <c r="F255" s="117"/>
      <c r="G255" s="117"/>
      <c r="H255" s="117"/>
      <c r="I255" s="117"/>
      <c r="J255" s="117"/>
      <c r="K255" s="117"/>
      <c r="L255" s="117"/>
      <c r="M255" s="117"/>
      <c r="N255" s="118"/>
      <c r="O255" s="117"/>
      <c r="P255" s="117"/>
      <c r="Q255" s="117"/>
      <c r="R255" s="117"/>
      <c r="S255" s="117"/>
    </row>
    <row r="256" spans="3:19" x14ac:dyDescent="0.25">
      <c r="C256" s="39"/>
    </row>
    <row r="257" spans="3:24" x14ac:dyDescent="0.25">
      <c r="C257" s="39"/>
    </row>
    <row r="258" spans="3:24" x14ac:dyDescent="0.25">
      <c r="C258" s="39">
        <v>2017</v>
      </c>
      <c r="D258" s="102" t="s">
        <v>1159</v>
      </c>
      <c r="E258" s="63" t="s">
        <v>1154</v>
      </c>
      <c r="F258" s="64">
        <v>43088</v>
      </c>
      <c r="G258" s="65" t="s">
        <v>693</v>
      </c>
      <c r="H258" s="94">
        <v>795000</v>
      </c>
      <c r="I258" s="27">
        <v>353700</v>
      </c>
      <c r="J258" s="27"/>
      <c r="K258" s="26">
        <v>-0.55509433962264154</v>
      </c>
      <c r="L258" s="11" t="s">
        <v>464</v>
      </c>
      <c r="M258" s="15">
        <v>8</v>
      </c>
      <c r="N258" s="35" t="s">
        <v>226</v>
      </c>
      <c r="O258" s="15">
        <v>4</v>
      </c>
      <c r="P258" s="35" t="s">
        <v>457</v>
      </c>
      <c r="Q258" s="15"/>
      <c r="R258" s="24"/>
      <c r="S258" s="62" t="s">
        <v>1153</v>
      </c>
      <c r="T258" s="15"/>
      <c r="U258" s="15"/>
      <c r="V258" s="54">
        <v>795000</v>
      </c>
      <c r="W258" s="54">
        <v>353700</v>
      </c>
      <c r="X258" s="54">
        <v>441300</v>
      </c>
    </row>
    <row r="259" spans="3:24" x14ac:dyDescent="0.25">
      <c r="C259" s="39">
        <v>2017</v>
      </c>
      <c r="D259" s="102" t="s">
        <v>1139</v>
      </c>
      <c r="E259" s="63" t="s">
        <v>1140</v>
      </c>
      <c r="F259" s="64">
        <v>43054</v>
      </c>
      <c r="G259" s="65" t="s">
        <v>34</v>
      </c>
      <c r="H259" s="94">
        <v>1350000</v>
      </c>
      <c r="I259" s="27">
        <v>2629000</v>
      </c>
      <c r="J259" s="27"/>
      <c r="K259" s="26">
        <v>0.94740740740740736</v>
      </c>
      <c r="L259" s="11" t="s">
        <v>465</v>
      </c>
      <c r="M259" s="15">
        <v>1</v>
      </c>
      <c r="N259" s="35" t="s">
        <v>226</v>
      </c>
      <c r="O259" s="15">
        <v>4</v>
      </c>
      <c r="P259" s="35" t="s">
        <v>457</v>
      </c>
      <c r="Q259" s="15"/>
      <c r="R259" s="24" t="s">
        <v>782</v>
      </c>
      <c r="S259" s="62" t="s">
        <v>784</v>
      </c>
      <c r="T259" s="15"/>
      <c r="U259" s="15"/>
      <c r="V259" s="54">
        <v>1350000</v>
      </c>
      <c r="W259" s="54">
        <v>2629000</v>
      </c>
      <c r="X259" s="54">
        <v>-1279000</v>
      </c>
    </row>
    <row r="260" spans="3:24" x14ac:dyDescent="0.25">
      <c r="C260" s="39">
        <v>2017</v>
      </c>
      <c r="D260" s="102" t="s">
        <v>1127</v>
      </c>
      <c r="E260" s="63" t="s">
        <v>1128</v>
      </c>
      <c r="F260" s="64">
        <v>43053</v>
      </c>
      <c r="G260" s="65" t="s">
        <v>756</v>
      </c>
      <c r="H260" s="94">
        <v>17250000</v>
      </c>
      <c r="I260" s="27">
        <v>22616488</v>
      </c>
      <c r="J260" s="105" t="s">
        <v>519</v>
      </c>
      <c r="K260" s="26">
        <v>0.3111007536231884</v>
      </c>
      <c r="L260" s="11" t="s">
        <v>465</v>
      </c>
      <c r="M260" s="15">
        <v>4</v>
      </c>
      <c r="N260" s="35" t="s">
        <v>93</v>
      </c>
      <c r="O260" s="15">
        <v>4</v>
      </c>
      <c r="P260" s="35" t="s">
        <v>457</v>
      </c>
      <c r="Q260" s="15"/>
      <c r="R260" s="24"/>
      <c r="S260" s="62" t="s">
        <v>447</v>
      </c>
      <c r="T260" s="15"/>
      <c r="U260" s="15"/>
      <c r="V260" s="54">
        <v>17250000</v>
      </c>
      <c r="W260" s="54">
        <v>22616488</v>
      </c>
      <c r="X260" s="54">
        <v>-5366488</v>
      </c>
    </row>
    <row r="261" spans="3:24" x14ac:dyDescent="0.25">
      <c r="C261" s="39">
        <v>2017</v>
      </c>
      <c r="D261" s="62" t="s">
        <v>1110</v>
      </c>
      <c r="E261" s="63" t="s">
        <v>1111</v>
      </c>
      <c r="F261" s="64">
        <v>43047</v>
      </c>
      <c r="G261" s="65" t="s">
        <v>34</v>
      </c>
      <c r="H261" s="94">
        <v>1650000</v>
      </c>
      <c r="I261" s="27">
        <v>2278990</v>
      </c>
      <c r="J261" s="27"/>
      <c r="K261" s="26">
        <v>0.3812060606060606</v>
      </c>
      <c r="L261" s="11" t="s">
        <v>465</v>
      </c>
      <c r="M261" s="15">
        <v>5</v>
      </c>
      <c r="N261" s="35" t="s">
        <v>226</v>
      </c>
      <c r="O261" s="15">
        <v>4</v>
      </c>
      <c r="P261" s="35" t="s">
        <v>457</v>
      </c>
      <c r="Q261" s="15"/>
      <c r="R261" s="24"/>
      <c r="S261" s="62" t="s">
        <v>784</v>
      </c>
      <c r="T261" s="15"/>
      <c r="U261" s="15"/>
      <c r="V261" s="54">
        <v>1650000</v>
      </c>
      <c r="W261" s="54">
        <v>2278990</v>
      </c>
      <c r="X261" s="54">
        <v>-628990</v>
      </c>
    </row>
    <row r="262" spans="3:24" x14ac:dyDescent="0.25">
      <c r="C262" s="39">
        <v>2017</v>
      </c>
      <c r="D262" s="62" t="s">
        <v>1091</v>
      </c>
      <c r="E262" s="63" t="s">
        <v>1092</v>
      </c>
      <c r="F262" s="64">
        <v>43006</v>
      </c>
      <c r="G262" s="65" t="s">
        <v>693</v>
      </c>
      <c r="H262" s="94">
        <v>609000</v>
      </c>
      <c r="I262" s="27">
        <v>579300</v>
      </c>
      <c r="J262" s="27"/>
      <c r="K262" s="26">
        <v>-4.8768472906403938E-2</v>
      </c>
      <c r="L262" s="11" t="s">
        <v>464</v>
      </c>
      <c r="M262" s="15">
        <v>4</v>
      </c>
      <c r="N262" s="35" t="s">
        <v>226</v>
      </c>
      <c r="O262" s="15">
        <v>3</v>
      </c>
      <c r="P262" s="35" t="s">
        <v>457</v>
      </c>
      <c r="Q262" s="15"/>
      <c r="R262" s="24"/>
      <c r="S262" s="62" t="s">
        <v>962</v>
      </c>
      <c r="T262" s="15"/>
      <c r="U262" s="15"/>
      <c r="V262" s="54">
        <v>609000</v>
      </c>
      <c r="W262" s="54">
        <v>579300</v>
      </c>
      <c r="X262" s="54">
        <v>29700</v>
      </c>
    </row>
    <row r="263" spans="3:24" x14ac:dyDescent="0.25">
      <c r="C263" s="39">
        <v>2017</v>
      </c>
      <c r="D263" s="62" t="s">
        <v>1089</v>
      </c>
      <c r="E263" s="63" t="s">
        <v>1090</v>
      </c>
      <c r="F263" s="64">
        <v>43005</v>
      </c>
      <c r="G263" s="65" t="s">
        <v>34</v>
      </c>
      <c r="H263" s="94">
        <v>1250000</v>
      </c>
      <c r="I263" s="27">
        <v>1068000</v>
      </c>
      <c r="J263" s="27"/>
      <c r="K263" s="26">
        <v>-0.14560000000000001</v>
      </c>
      <c r="L263" s="11" t="s">
        <v>464</v>
      </c>
      <c r="M263" s="15">
        <v>6</v>
      </c>
      <c r="N263" s="35" t="s">
        <v>226</v>
      </c>
      <c r="O263" s="15">
        <v>3</v>
      </c>
      <c r="P263" s="35" t="s">
        <v>457</v>
      </c>
      <c r="Q263" s="15"/>
      <c r="R263" s="24"/>
      <c r="S263" s="62" t="s">
        <v>784</v>
      </c>
      <c r="T263" s="15"/>
      <c r="U263" s="15"/>
      <c r="V263" s="54">
        <v>1250000</v>
      </c>
      <c r="W263" s="54">
        <v>1068000</v>
      </c>
      <c r="X263" s="54">
        <v>182000</v>
      </c>
    </row>
    <row r="264" spans="3:24" x14ac:dyDescent="0.25">
      <c r="C264" s="39">
        <v>2017</v>
      </c>
      <c r="D264" s="62" t="s">
        <v>1084</v>
      </c>
      <c r="E264" s="63" t="s">
        <v>1085</v>
      </c>
      <c r="F264" s="64">
        <v>43004</v>
      </c>
      <c r="G264" s="65" t="s">
        <v>190</v>
      </c>
      <c r="H264" s="94">
        <v>189900000</v>
      </c>
      <c r="I264" s="27">
        <v>154487000</v>
      </c>
      <c r="J264" s="27" t="s">
        <v>519</v>
      </c>
      <c r="K264" s="26">
        <v>-0.18648235913638758</v>
      </c>
      <c r="L264" s="11" t="s">
        <v>464</v>
      </c>
      <c r="M264" s="15">
        <v>5</v>
      </c>
      <c r="N264" s="35" t="s">
        <v>93</v>
      </c>
      <c r="O264" s="15">
        <v>3</v>
      </c>
      <c r="P264" s="35" t="s">
        <v>457</v>
      </c>
      <c r="Q264" s="15"/>
      <c r="R264" s="24"/>
      <c r="S264" s="62" t="s">
        <v>816</v>
      </c>
      <c r="T264" s="15"/>
      <c r="U264" s="15"/>
      <c r="V264" s="54">
        <v>189900000</v>
      </c>
      <c r="W264" s="54">
        <v>154487000</v>
      </c>
      <c r="X264" s="54">
        <v>35413000</v>
      </c>
    </row>
    <row r="265" spans="3:24" x14ac:dyDescent="0.25">
      <c r="C265" s="39">
        <v>2017</v>
      </c>
      <c r="D265" s="62" t="s">
        <v>1070</v>
      </c>
      <c r="E265" s="63" t="s">
        <v>1071</v>
      </c>
      <c r="F265" s="64">
        <v>42997</v>
      </c>
      <c r="G265" s="65" t="s">
        <v>34</v>
      </c>
      <c r="H265" s="94">
        <v>1326000</v>
      </c>
      <c r="I265" s="27">
        <v>1976491</v>
      </c>
      <c r="J265" s="27"/>
      <c r="K265" s="26">
        <v>0.49056636500754147</v>
      </c>
      <c r="L265" s="11" t="s">
        <v>465</v>
      </c>
      <c r="M265" s="15">
        <v>4</v>
      </c>
      <c r="N265" s="35" t="s">
        <v>25</v>
      </c>
      <c r="O265" s="15">
        <v>3</v>
      </c>
      <c r="P265" s="35" t="s">
        <v>457</v>
      </c>
      <c r="Q265" s="15"/>
      <c r="R265" s="24"/>
      <c r="S265" s="62" t="s">
        <v>784</v>
      </c>
      <c r="T265" s="15"/>
      <c r="U265" s="15"/>
      <c r="V265" s="54">
        <v>1326000</v>
      </c>
      <c r="W265" s="54">
        <v>1976491</v>
      </c>
      <c r="X265" s="54">
        <v>-650491</v>
      </c>
    </row>
    <row r="266" spans="3:24" x14ac:dyDescent="0.25">
      <c r="C266" s="39">
        <v>2017</v>
      </c>
      <c r="D266" s="62" t="s">
        <v>1049</v>
      </c>
      <c r="E266" s="63" t="s">
        <v>1050</v>
      </c>
      <c r="F266" s="64">
        <v>42942</v>
      </c>
      <c r="G266" s="65" t="s">
        <v>34</v>
      </c>
      <c r="H266" s="94">
        <v>700000</v>
      </c>
      <c r="I266" s="27">
        <v>614770</v>
      </c>
      <c r="J266" s="27"/>
      <c r="K266" s="26">
        <v>-0.12175714285714286</v>
      </c>
      <c r="L266" s="11" t="s">
        <v>464</v>
      </c>
      <c r="M266" s="15">
        <v>2</v>
      </c>
      <c r="N266" s="35" t="s">
        <v>93</v>
      </c>
      <c r="O266" s="15">
        <v>3</v>
      </c>
      <c r="P266" s="35" t="s">
        <v>457</v>
      </c>
      <c r="Q266" s="15"/>
      <c r="R266" s="24"/>
      <c r="S266" s="62" t="s">
        <v>536</v>
      </c>
      <c r="T266" s="15"/>
      <c r="U266" s="15"/>
      <c r="V266" s="54">
        <v>700000</v>
      </c>
      <c r="W266" s="54">
        <v>614770</v>
      </c>
      <c r="X266" s="54">
        <v>85230</v>
      </c>
    </row>
    <row r="267" spans="3:24" x14ac:dyDescent="0.25">
      <c r="C267" s="39">
        <v>2017</v>
      </c>
      <c r="D267" s="62" t="s">
        <v>1021</v>
      </c>
      <c r="E267" s="63" t="s">
        <v>1022</v>
      </c>
      <c r="F267" s="64">
        <v>42892</v>
      </c>
      <c r="G267" s="65" t="s">
        <v>34</v>
      </c>
      <c r="H267" s="94">
        <v>771000</v>
      </c>
      <c r="I267" s="27">
        <v>946600</v>
      </c>
      <c r="J267" s="27"/>
      <c r="K267" s="26">
        <v>0.22775616083009079</v>
      </c>
      <c r="L267" s="11" t="s">
        <v>465</v>
      </c>
      <c r="M267" s="15">
        <v>2</v>
      </c>
      <c r="N267" s="35" t="s">
        <v>25</v>
      </c>
      <c r="O267" s="15">
        <v>2</v>
      </c>
      <c r="P267" s="35" t="s">
        <v>457</v>
      </c>
      <c r="Q267" s="15"/>
      <c r="R267" s="24"/>
      <c r="S267" s="62" t="s">
        <v>630</v>
      </c>
      <c r="T267" s="15"/>
      <c r="U267" s="15"/>
      <c r="V267" s="54">
        <v>771000</v>
      </c>
      <c r="W267" s="54">
        <v>946600</v>
      </c>
      <c r="X267" s="54">
        <v>-175600</v>
      </c>
    </row>
    <row r="268" spans="3:24" x14ac:dyDescent="0.25">
      <c r="C268" s="39">
        <v>2017</v>
      </c>
      <c r="D268" s="62" t="s">
        <v>995</v>
      </c>
      <c r="E268" s="63" t="s">
        <v>632</v>
      </c>
      <c r="F268" s="64">
        <v>42851</v>
      </c>
      <c r="G268" s="65" t="s">
        <v>190</v>
      </c>
      <c r="H268" s="94">
        <v>3589000</v>
      </c>
      <c r="I268" s="27">
        <v>3875045</v>
      </c>
      <c r="J268" s="27"/>
      <c r="K268" s="26">
        <v>7.9700473669545829E-2</v>
      </c>
      <c r="L268" s="11" t="s">
        <v>464</v>
      </c>
      <c r="M268" s="15">
        <v>3</v>
      </c>
      <c r="N268" s="35" t="s">
        <v>93</v>
      </c>
      <c r="O268" s="15">
        <v>2</v>
      </c>
      <c r="P268" s="35" t="s">
        <v>457</v>
      </c>
      <c r="Q268" s="15"/>
      <c r="R268" s="24"/>
      <c r="S268" s="62" t="s">
        <v>447</v>
      </c>
      <c r="T268" s="15"/>
      <c r="U268" s="15"/>
      <c r="V268" s="54">
        <v>3589000</v>
      </c>
      <c r="W268" s="54">
        <v>3875045</v>
      </c>
      <c r="X268" s="54">
        <v>-286045</v>
      </c>
    </row>
    <row r="269" spans="3:24" x14ac:dyDescent="0.25">
      <c r="C269" s="39">
        <v>2017</v>
      </c>
      <c r="D269" s="62" t="s">
        <v>991</v>
      </c>
      <c r="E269" s="63" t="s">
        <v>992</v>
      </c>
      <c r="F269" s="64">
        <v>42846</v>
      </c>
      <c r="G269" s="65" t="s">
        <v>34</v>
      </c>
      <c r="H269" s="94">
        <v>2060000</v>
      </c>
      <c r="I269" s="27">
        <v>2614625</v>
      </c>
      <c r="J269" s="27"/>
      <c r="K269" s="26">
        <v>0.26923543689320389</v>
      </c>
      <c r="L269" s="11" t="s">
        <v>465</v>
      </c>
      <c r="M269" s="15">
        <v>5</v>
      </c>
      <c r="N269" s="35" t="s">
        <v>226</v>
      </c>
      <c r="O269" s="15">
        <v>2</v>
      </c>
      <c r="P269" s="35" t="s">
        <v>457</v>
      </c>
      <c r="Q269" s="15"/>
      <c r="R269" s="24"/>
      <c r="S269" s="62" t="s">
        <v>630</v>
      </c>
      <c r="T269" s="15"/>
      <c r="U269" s="15"/>
      <c r="V269" s="54">
        <v>2060000</v>
      </c>
      <c r="W269" s="54">
        <v>2614625</v>
      </c>
      <c r="X269" s="54">
        <v>-554625</v>
      </c>
    </row>
    <row r="270" spans="3:24" x14ac:dyDescent="0.25">
      <c r="C270" s="39">
        <v>2017</v>
      </c>
      <c r="D270" s="62" t="s">
        <v>966</v>
      </c>
      <c r="E270" s="63" t="s">
        <v>967</v>
      </c>
      <c r="F270" s="64">
        <v>42823</v>
      </c>
      <c r="G270" s="65" t="s">
        <v>34</v>
      </c>
      <c r="H270" s="27">
        <v>3700000</v>
      </c>
      <c r="I270" s="27">
        <v>2490000</v>
      </c>
      <c r="J270" s="27">
        <v>3185240</v>
      </c>
      <c r="K270" s="26">
        <v>-0.32702702702702702</v>
      </c>
      <c r="L270" s="11" t="s">
        <v>464</v>
      </c>
      <c r="M270" s="15">
        <v>7</v>
      </c>
      <c r="N270" s="35" t="s">
        <v>93</v>
      </c>
      <c r="O270" s="15">
        <v>1</v>
      </c>
      <c r="P270" s="35" t="s">
        <v>457</v>
      </c>
      <c r="Q270" s="15"/>
      <c r="R270" s="24" t="s">
        <v>976</v>
      </c>
      <c r="S270" s="62" t="s">
        <v>630</v>
      </c>
      <c r="T270" s="15"/>
      <c r="U270" s="15"/>
      <c r="V270" s="54">
        <v>3700000</v>
      </c>
      <c r="W270" s="54">
        <v>2490000</v>
      </c>
      <c r="X270" s="54">
        <v>1210000</v>
      </c>
    </row>
    <row r="271" spans="3:24" x14ac:dyDescent="0.25">
      <c r="C271" s="39">
        <v>2017</v>
      </c>
      <c r="D271" s="62" t="s">
        <v>941</v>
      </c>
      <c r="E271" s="63" t="s">
        <v>940</v>
      </c>
      <c r="F271" s="64">
        <v>42789</v>
      </c>
      <c r="G271" s="65" t="s">
        <v>693</v>
      </c>
      <c r="H271" s="27">
        <v>240000</v>
      </c>
      <c r="I271" s="27">
        <v>97300</v>
      </c>
      <c r="J271" s="27"/>
      <c r="K271" s="26">
        <v>-0.59458333333333335</v>
      </c>
      <c r="L271" s="11" t="s">
        <v>465</v>
      </c>
      <c r="M271" s="15">
        <v>6</v>
      </c>
      <c r="N271" s="35" t="s">
        <v>25</v>
      </c>
      <c r="O271" s="15">
        <v>1</v>
      </c>
      <c r="P271" s="35" t="s">
        <v>457</v>
      </c>
      <c r="Q271" s="15"/>
      <c r="R271" s="24"/>
      <c r="S271" s="62" t="s">
        <v>630</v>
      </c>
      <c r="T271" s="15"/>
      <c r="U271" s="15"/>
      <c r="V271" s="54">
        <v>240000</v>
      </c>
      <c r="W271" s="54">
        <v>97300</v>
      </c>
      <c r="X271" s="54">
        <v>142700</v>
      </c>
    </row>
    <row r="272" spans="3:24" x14ac:dyDescent="0.25">
      <c r="C272" s="39">
        <v>2017</v>
      </c>
      <c r="D272" s="62" t="s">
        <v>912</v>
      </c>
      <c r="E272" s="63" t="s">
        <v>935</v>
      </c>
      <c r="F272" s="64">
        <v>42789</v>
      </c>
      <c r="G272" s="65" t="s">
        <v>190</v>
      </c>
      <c r="H272" s="94">
        <v>479900000</v>
      </c>
      <c r="I272" s="27">
        <v>451841280</v>
      </c>
      <c r="J272" s="27" t="s">
        <v>519</v>
      </c>
      <c r="K272" s="26">
        <v>-5.8467847468222547E-2</v>
      </c>
      <c r="L272" s="11" t="s">
        <v>464</v>
      </c>
      <c r="M272" s="15">
        <v>5</v>
      </c>
      <c r="N272" s="35" t="s">
        <v>226</v>
      </c>
      <c r="O272" s="15">
        <v>1</v>
      </c>
      <c r="P272" s="35" t="s">
        <v>457</v>
      </c>
      <c r="Q272" s="15"/>
      <c r="R272" s="24"/>
      <c r="S272" s="62" t="s">
        <v>630</v>
      </c>
      <c r="T272" s="15"/>
      <c r="U272" s="15"/>
      <c r="V272" s="54">
        <v>479900000</v>
      </c>
      <c r="W272" s="54">
        <v>451841280</v>
      </c>
      <c r="X272" s="54">
        <v>28058720</v>
      </c>
    </row>
    <row r="273" spans="3:24" x14ac:dyDescent="0.25">
      <c r="C273" s="39">
        <v>2017</v>
      </c>
      <c r="D273" s="62" t="s">
        <v>898</v>
      </c>
      <c r="E273" s="63" t="s">
        <v>717</v>
      </c>
      <c r="F273" s="64">
        <v>42773</v>
      </c>
      <c r="G273" s="65" t="s">
        <v>190</v>
      </c>
      <c r="H273" s="94">
        <v>1965000</v>
      </c>
      <c r="I273" s="27">
        <v>1450000</v>
      </c>
      <c r="J273" s="27"/>
      <c r="K273" s="26">
        <v>-0.26208651399491095</v>
      </c>
      <c r="L273" s="11" t="s">
        <v>464</v>
      </c>
      <c r="M273" s="15">
        <v>6</v>
      </c>
      <c r="N273" s="35" t="s">
        <v>226</v>
      </c>
      <c r="O273" s="15">
        <v>1</v>
      </c>
      <c r="P273" s="35" t="s">
        <v>457</v>
      </c>
      <c r="Q273" s="15"/>
      <c r="R273" s="24" t="s">
        <v>900</v>
      </c>
      <c r="S273" s="62" t="s">
        <v>630</v>
      </c>
      <c r="T273" s="15"/>
      <c r="U273" s="15"/>
      <c r="V273" s="54">
        <v>1965000</v>
      </c>
      <c r="W273" s="54">
        <v>1450000</v>
      </c>
      <c r="X273" s="54">
        <v>515000</v>
      </c>
    </row>
    <row r="274" spans="3:24" x14ac:dyDescent="0.25">
      <c r="C274" s="39">
        <v>2017</v>
      </c>
      <c r="D274" s="62" t="s">
        <v>857</v>
      </c>
      <c r="E274" s="63" t="s">
        <v>858</v>
      </c>
      <c r="F274" s="64">
        <v>42753</v>
      </c>
      <c r="G274" s="65" t="s">
        <v>693</v>
      </c>
      <c r="H274" s="94">
        <v>1410000</v>
      </c>
      <c r="I274" s="27">
        <v>1399756</v>
      </c>
      <c r="J274" s="27"/>
      <c r="K274" s="26">
        <v>-7.2652482269503545E-3</v>
      </c>
      <c r="L274" s="11" t="s">
        <v>464</v>
      </c>
      <c r="M274" s="15">
        <v>3</v>
      </c>
      <c r="N274" s="35" t="s">
        <v>25</v>
      </c>
      <c r="O274" s="15">
        <v>1</v>
      </c>
      <c r="P274" s="35" t="s">
        <v>457</v>
      </c>
      <c r="Q274" s="15"/>
      <c r="R274" s="24"/>
      <c r="S274" s="62" t="s">
        <v>630</v>
      </c>
      <c r="T274" s="15"/>
      <c r="U274" s="15"/>
      <c r="V274" s="54">
        <v>1410000</v>
      </c>
      <c r="W274" s="54">
        <v>1399756</v>
      </c>
      <c r="X274" s="54">
        <v>10244</v>
      </c>
    </row>
    <row r="275" spans="3:24" x14ac:dyDescent="0.25">
      <c r="C275" s="39"/>
      <c r="E275" s="85"/>
      <c r="F275" s="85"/>
      <c r="G275" s="85"/>
      <c r="H275" s="86">
        <f>SUM(H258:H274)</f>
        <v>708465000</v>
      </c>
      <c r="I275" s="86">
        <f>SUM(I258:I274)</f>
        <v>651318345</v>
      </c>
      <c r="J275" s="85"/>
      <c r="K275" s="87">
        <f>+I275/H275</f>
        <v>0.91933736317249259</v>
      </c>
      <c r="L275" s="85">
        <f>COUNTA(L258:L274)</f>
        <v>17</v>
      </c>
      <c r="M275" s="88">
        <f>SUM(M258:M274)/L275</f>
        <v>4.4705882352941178</v>
      </c>
      <c r="N275" s="89"/>
      <c r="O275" s="85"/>
      <c r="P275" s="119">
        <f>10/L275</f>
        <v>0.58823529411764708</v>
      </c>
      <c r="Q275" s="85"/>
    </row>
    <row r="276" spans="3:24" x14ac:dyDescent="0.25">
      <c r="C276" s="39"/>
    </row>
    <row r="277" spans="3:24" x14ac:dyDescent="0.25">
      <c r="C277" s="39"/>
      <c r="E277" s="126" t="s">
        <v>1170</v>
      </c>
      <c r="F277" s="70" t="str">
        <f>"'15 final"</f>
        <v>'15 final</v>
      </c>
      <c r="G277" s="70" t="str">
        <f>"'16 final"</f>
        <v>'16 final</v>
      </c>
      <c r="H277" s="121" t="str">
        <f>"'17 final"</f>
        <v>'17 final</v>
      </c>
      <c r="P277" s="11"/>
    </row>
    <row r="278" spans="3:24" x14ac:dyDescent="0.25">
      <c r="C278" s="39"/>
      <c r="E278" s="71" t="s">
        <v>800</v>
      </c>
      <c r="F278" s="11">
        <v>9</v>
      </c>
      <c r="G278" s="11">
        <v>13</v>
      </c>
      <c r="H278" s="104">
        <f>+L275</f>
        <v>17</v>
      </c>
      <c r="P278" s="11"/>
    </row>
    <row r="279" spans="3:24" x14ac:dyDescent="0.25">
      <c r="C279" s="39"/>
      <c r="E279" s="72" t="s">
        <v>801</v>
      </c>
      <c r="F279" s="11">
        <v>6</v>
      </c>
      <c r="G279" s="11">
        <v>11</v>
      </c>
      <c r="H279" s="104">
        <f>+H278-H280</f>
        <v>14</v>
      </c>
      <c r="P279" s="11"/>
    </row>
    <row r="280" spans="3:24" x14ac:dyDescent="0.25">
      <c r="C280" s="39"/>
      <c r="E280" s="72" t="s">
        <v>802</v>
      </c>
      <c r="F280" s="11">
        <v>3</v>
      </c>
      <c r="G280" s="11">
        <v>2</v>
      </c>
      <c r="H280" s="104">
        <v>3</v>
      </c>
      <c r="P280" s="11"/>
    </row>
    <row r="281" spans="3:24" x14ac:dyDescent="0.25">
      <c r="C281" s="39"/>
      <c r="E281" s="72"/>
      <c r="F281" s="11"/>
      <c r="G281" s="11"/>
      <c r="H281" s="104"/>
      <c r="P281" s="11"/>
    </row>
    <row r="282" spans="3:24" x14ac:dyDescent="0.25">
      <c r="C282" s="39"/>
      <c r="E282" s="72" t="s">
        <v>1144</v>
      </c>
      <c r="F282" s="78">
        <v>38</v>
      </c>
      <c r="G282" s="78">
        <v>121</v>
      </c>
      <c r="H282" s="122">
        <f>+I275/1000000</f>
        <v>651.31834500000002</v>
      </c>
      <c r="P282" s="11"/>
    </row>
    <row r="283" spans="3:24" x14ac:dyDescent="0.25">
      <c r="C283" s="39"/>
      <c r="E283" s="72" t="s">
        <v>806</v>
      </c>
      <c r="F283" s="75">
        <v>5</v>
      </c>
      <c r="G283" s="75">
        <v>5.9</v>
      </c>
      <c r="H283" s="123">
        <f>+M275</f>
        <v>4.4705882352941178</v>
      </c>
      <c r="P283" s="11"/>
    </row>
    <row r="284" spans="3:24" x14ac:dyDescent="0.25">
      <c r="C284" s="39"/>
      <c r="E284" s="72" t="s">
        <v>807</v>
      </c>
      <c r="F284" s="74">
        <v>1.016</v>
      </c>
      <c r="G284" s="74">
        <v>0.78800000000000003</v>
      </c>
      <c r="H284" s="124">
        <f>+I275/H275</f>
        <v>0.91933736317249259</v>
      </c>
      <c r="P284" s="11"/>
    </row>
    <row r="285" spans="3:24" x14ac:dyDescent="0.25">
      <c r="C285" s="39"/>
      <c r="E285" s="72"/>
      <c r="F285" s="11"/>
      <c r="G285" s="11"/>
      <c r="H285" s="104"/>
      <c r="P285" s="11"/>
    </row>
    <row r="286" spans="3:24" x14ac:dyDescent="0.25">
      <c r="C286" s="39"/>
      <c r="E286" s="72" t="s">
        <v>803</v>
      </c>
      <c r="F286" s="74">
        <f>3/9</f>
        <v>0.33333333333333331</v>
      </c>
      <c r="G286" s="74">
        <f>7/13</f>
        <v>0.53846153846153844</v>
      </c>
      <c r="H286" s="108">
        <f>+P275</f>
        <v>0.58823529411764708</v>
      </c>
      <c r="P286" s="11"/>
    </row>
    <row r="287" spans="3:24" x14ac:dyDescent="0.25">
      <c r="C287" s="107"/>
      <c r="D287" s="52"/>
      <c r="E287" s="72" t="s">
        <v>804</v>
      </c>
      <c r="F287" s="74">
        <f>1/6</f>
        <v>0.16666666666666666</v>
      </c>
      <c r="G287" s="74">
        <f>6/11</f>
        <v>0.54545454545454541</v>
      </c>
      <c r="H287" s="108">
        <f>8/H279</f>
        <v>0.5714285714285714</v>
      </c>
      <c r="P287" s="11"/>
    </row>
    <row r="288" spans="3:24" x14ac:dyDescent="0.25">
      <c r="C288" s="107"/>
      <c r="D288" s="52"/>
      <c r="E288" s="72" t="s">
        <v>805</v>
      </c>
      <c r="F288" s="74">
        <f>2/3</f>
        <v>0.66666666666666663</v>
      </c>
      <c r="G288" s="74">
        <v>0.5</v>
      </c>
      <c r="H288" s="108">
        <f>2/H280</f>
        <v>0.66666666666666663</v>
      </c>
      <c r="P288" s="11"/>
    </row>
    <row r="289" spans="3:24" x14ac:dyDescent="0.25">
      <c r="C289" s="39"/>
      <c r="E289" s="72"/>
      <c r="F289" s="11"/>
      <c r="G289" s="11"/>
      <c r="H289" s="104"/>
      <c r="P289" s="11"/>
    </row>
    <row r="290" spans="3:24" x14ac:dyDescent="0.25">
      <c r="C290" s="39"/>
      <c r="E290" s="72" t="s">
        <v>1141</v>
      </c>
      <c r="F290" s="11">
        <v>3</v>
      </c>
      <c r="G290" s="11">
        <v>4</v>
      </c>
      <c r="H290" s="104">
        <v>5</v>
      </c>
    </row>
    <row r="291" spans="3:24" x14ac:dyDescent="0.25">
      <c r="E291" s="106" t="s">
        <v>1143</v>
      </c>
      <c r="F291" s="108">
        <f>+F290/F278</f>
        <v>0.33333333333333331</v>
      </c>
      <c r="G291" s="108">
        <f>+G290/G278</f>
        <v>0.30769230769230771</v>
      </c>
      <c r="H291" s="108">
        <f>+H290/H278</f>
        <v>0.29411764705882354</v>
      </c>
    </row>
    <row r="292" spans="3:24" x14ac:dyDescent="0.25">
      <c r="C292" s="39"/>
      <c r="E292" s="72" t="s">
        <v>1142</v>
      </c>
      <c r="F292" s="11">
        <v>1</v>
      </c>
      <c r="G292" s="11">
        <v>2</v>
      </c>
      <c r="H292" s="104">
        <v>0</v>
      </c>
    </row>
    <row r="293" spans="3:24" x14ac:dyDescent="0.25">
      <c r="C293" s="39"/>
      <c r="E293" s="106" t="s">
        <v>1169</v>
      </c>
      <c r="F293" s="108">
        <f t="shared" ref="F293:G293" si="42">+F292/F278</f>
        <v>0.1111111111111111</v>
      </c>
      <c r="G293" s="108">
        <f t="shared" si="42"/>
        <v>0.15384615384615385</v>
      </c>
      <c r="H293" s="108">
        <f>+H292/H278</f>
        <v>0</v>
      </c>
    </row>
    <row r="294" spans="3:24" x14ac:dyDescent="0.25">
      <c r="C294" s="39"/>
    </row>
    <row r="295" spans="3:24" x14ac:dyDescent="0.25">
      <c r="C295" s="39"/>
    </row>
    <row r="296" spans="3:24" x14ac:dyDescent="0.25">
      <c r="C296" s="39"/>
    </row>
    <row r="297" spans="3:24" x14ac:dyDescent="0.25">
      <c r="C297" s="39">
        <v>2017</v>
      </c>
      <c r="D297" s="102" t="s">
        <v>1150</v>
      </c>
      <c r="E297" s="63" t="s">
        <v>1151</v>
      </c>
      <c r="F297" s="64">
        <v>43083</v>
      </c>
      <c r="G297" s="65" t="s">
        <v>693</v>
      </c>
      <c r="H297" s="94">
        <v>979000</v>
      </c>
      <c r="I297" s="27">
        <v>1168000</v>
      </c>
      <c r="J297" s="27"/>
      <c r="K297" s="26">
        <v>0.1930541368743616</v>
      </c>
      <c r="L297" s="11" t="s">
        <v>465</v>
      </c>
      <c r="M297" s="15">
        <v>2</v>
      </c>
      <c r="N297" s="35" t="s">
        <v>25</v>
      </c>
      <c r="O297" s="15">
        <v>4</v>
      </c>
      <c r="P297" s="35" t="s">
        <v>458</v>
      </c>
      <c r="Q297" s="15"/>
      <c r="R297" s="24"/>
      <c r="S297" s="62" t="s">
        <v>784</v>
      </c>
      <c r="T297" s="15"/>
      <c r="U297" s="15"/>
      <c r="V297" s="54">
        <v>979000</v>
      </c>
      <c r="W297" s="54">
        <v>1168000</v>
      </c>
      <c r="X297" s="54">
        <v>-189000</v>
      </c>
    </row>
    <row r="298" spans="3:24" x14ac:dyDescent="0.25">
      <c r="C298" s="39">
        <v>2017</v>
      </c>
      <c r="D298" s="102" t="s">
        <v>1145</v>
      </c>
      <c r="E298" s="63" t="s">
        <v>1146</v>
      </c>
      <c r="F298" s="64">
        <v>43083</v>
      </c>
      <c r="G298" s="65" t="s">
        <v>190</v>
      </c>
      <c r="H298" s="94">
        <v>4872000</v>
      </c>
      <c r="I298" s="27">
        <v>3997350</v>
      </c>
      <c r="J298" s="27"/>
      <c r="K298" s="26">
        <v>-0.17952586206896551</v>
      </c>
      <c r="L298" s="11" t="s">
        <v>464</v>
      </c>
      <c r="M298" s="15">
        <v>5</v>
      </c>
      <c r="N298" s="35" t="s">
        <v>93</v>
      </c>
      <c r="O298" s="15">
        <v>4</v>
      </c>
      <c r="P298" s="35" t="s">
        <v>458</v>
      </c>
      <c r="Q298" s="15"/>
      <c r="R298" s="24"/>
      <c r="S298" s="62" t="s">
        <v>784</v>
      </c>
      <c r="T298" s="15"/>
      <c r="U298" s="15"/>
      <c r="V298" s="54">
        <v>4872000</v>
      </c>
      <c r="W298" s="54">
        <v>3997350</v>
      </c>
      <c r="X298" s="54">
        <v>874650</v>
      </c>
    </row>
    <row r="299" spans="3:24" x14ac:dyDescent="0.25">
      <c r="C299" s="39">
        <v>2017</v>
      </c>
      <c r="D299" s="102" t="s">
        <v>1136</v>
      </c>
      <c r="E299" s="63" t="s">
        <v>1137</v>
      </c>
      <c r="F299" s="64">
        <v>43074</v>
      </c>
      <c r="G299" s="65" t="s">
        <v>34</v>
      </c>
      <c r="H299" s="94">
        <v>1530000</v>
      </c>
      <c r="I299" s="27">
        <v>1189000</v>
      </c>
      <c r="J299" s="27"/>
      <c r="K299" s="26">
        <v>-0.22287581699346407</v>
      </c>
      <c r="L299" s="11" t="s">
        <v>464</v>
      </c>
      <c r="M299" s="15">
        <v>3</v>
      </c>
      <c r="N299" s="35" t="s">
        <v>25</v>
      </c>
      <c r="O299" s="15">
        <v>4</v>
      </c>
      <c r="P299" s="35" t="s">
        <v>458</v>
      </c>
      <c r="Q299" s="15"/>
      <c r="R299" s="24"/>
      <c r="S299" s="62" t="s">
        <v>616</v>
      </c>
      <c r="T299" s="15"/>
      <c r="U299" s="15"/>
      <c r="V299" s="54">
        <v>1530000</v>
      </c>
      <c r="W299" s="54">
        <v>1189000</v>
      </c>
      <c r="X299" s="54">
        <v>341000</v>
      </c>
    </row>
    <row r="300" spans="3:24" x14ac:dyDescent="0.25">
      <c r="C300" s="39">
        <v>2017</v>
      </c>
      <c r="D300" s="102" t="s">
        <v>1135</v>
      </c>
      <c r="E300" s="63" t="s">
        <v>982</v>
      </c>
      <c r="F300" s="64">
        <v>43074</v>
      </c>
      <c r="G300" s="65" t="s">
        <v>34</v>
      </c>
      <c r="H300" s="94">
        <v>38000000</v>
      </c>
      <c r="I300" s="27">
        <f>$I$56</f>
        <v>28470000</v>
      </c>
      <c r="J300" s="27"/>
      <c r="K300" s="26">
        <f>+$K$56</f>
        <v>-0.25078947368421051</v>
      </c>
      <c r="L300" s="78" t="str">
        <f>+$L$56</f>
        <v>GOOD</v>
      </c>
      <c r="M300" s="15">
        <f>+$M$56</f>
        <v>4</v>
      </c>
      <c r="N300" s="35" t="s">
        <v>93</v>
      </c>
      <c r="O300" s="15">
        <v>4</v>
      </c>
      <c r="P300" s="35" t="s">
        <v>458</v>
      </c>
      <c r="Q300" s="15"/>
      <c r="R300" s="24" t="str">
        <f>+$R$56</f>
        <v>1st and 2nd bidders disqualified.</v>
      </c>
      <c r="S300" s="62" t="s">
        <v>616</v>
      </c>
      <c r="T300" s="15"/>
      <c r="U300" s="15"/>
      <c r="V300" s="54">
        <v>38000000</v>
      </c>
      <c r="W300" s="54">
        <v>19988800</v>
      </c>
      <c r="X300" s="54">
        <v>18011200</v>
      </c>
    </row>
    <row r="301" spans="3:24" x14ac:dyDescent="0.25">
      <c r="C301" s="39">
        <v>2017</v>
      </c>
      <c r="D301" s="102" t="s">
        <v>1129</v>
      </c>
      <c r="E301" s="63" t="s">
        <v>1130</v>
      </c>
      <c r="F301" s="64">
        <v>43068</v>
      </c>
      <c r="G301" s="65" t="s">
        <v>34</v>
      </c>
      <c r="H301" s="94">
        <v>6600000</v>
      </c>
      <c r="I301" s="27">
        <v>5189333</v>
      </c>
      <c r="J301" s="27" t="s">
        <v>519</v>
      </c>
      <c r="K301" s="26">
        <v>-0.21373742424242423</v>
      </c>
      <c r="L301" s="11" t="s">
        <v>464</v>
      </c>
      <c r="M301" s="15">
        <v>7</v>
      </c>
      <c r="N301" s="35" t="s">
        <v>25</v>
      </c>
      <c r="O301" s="15">
        <v>4</v>
      </c>
      <c r="P301" s="35" t="s">
        <v>458</v>
      </c>
      <c r="Q301" s="15"/>
      <c r="R301" s="24"/>
      <c r="S301" s="62" t="s">
        <v>616</v>
      </c>
      <c r="T301" s="15"/>
      <c r="U301" s="15"/>
      <c r="V301" s="54">
        <v>6600000</v>
      </c>
      <c r="W301" s="54">
        <v>5189333</v>
      </c>
      <c r="X301" s="54">
        <v>1410667</v>
      </c>
    </row>
    <row r="302" spans="3:24" x14ac:dyDescent="0.25">
      <c r="C302" s="39">
        <v>2017</v>
      </c>
      <c r="D302" s="62" t="s">
        <v>1124</v>
      </c>
      <c r="E302" s="63" t="s">
        <v>1125</v>
      </c>
      <c r="F302" s="64">
        <v>43053</v>
      </c>
      <c r="G302" s="65" t="s">
        <v>693</v>
      </c>
      <c r="H302" s="94">
        <v>820000</v>
      </c>
      <c r="I302" s="27">
        <v>861500</v>
      </c>
      <c r="J302" s="27"/>
      <c r="K302" s="26">
        <v>5.0609756097560979E-2</v>
      </c>
      <c r="L302" s="11" t="s">
        <v>464</v>
      </c>
      <c r="M302" s="15">
        <v>4</v>
      </c>
      <c r="N302" s="35" t="s">
        <v>25</v>
      </c>
      <c r="O302" s="15">
        <v>4</v>
      </c>
      <c r="P302" s="35" t="s">
        <v>458</v>
      </c>
      <c r="Q302" s="15"/>
      <c r="R302" s="24"/>
      <c r="S302" s="62" t="s">
        <v>616</v>
      </c>
      <c r="T302" s="15"/>
      <c r="U302" s="15"/>
      <c r="V302" s="54">
        <v>820000</v>
      </c>
      <c r="W302" s="54">
        <v>861500</v>
      </c>
      <c r="X302" s="54">
        <v>-41500</v>
      </c>
    </row>
    <row r="303" spans="3:24" x14ac:dyDescent="0.25">
      <c r="C303" s="39">
        <v>2017</v>
      </c>
      <c r="D303" s="62" t="s">
        <v>1116</v>
      </c>
      <c r="E303" s="63" t="s">
        <v>1117</v>
      </c>
      <c r="F303" s="64">
        <v>43047</v>
      </c>
      <c r="G303" s="65" t="s">
        <v>190</v>
      </c>
      <c r="H303" s="94">
        <v>26900000</v>
      </c>
      <c r="I303" s="27">
        <v>26600000</v>
      </c>
      <c r="J303" s="27" t="s">
        <v>519</v>
      </c>
      <c r="K303" s="26">
        <v>-1.1152416356877323E-2</v>
      </c>
      <c r="L303" s="11" t="s">
        <v>464</v>
      </c>
      <c r="M303" s="15">
        <v>3</v>
      </c>
      <c r="N303" s="35" t="s">
        <v>25</v>
      </c>
      <c r="O303" s="15">
        <v>4</v>
      </c>
      <c r="P303" s="35" t="s">
        <v>458</v>
      </c>
      <c r="Q303" s="15"/>
      <c r="R303" s="24"/>
      <c r="S303" s="62" t="s">
        <v>616</v>
      </c>
      <c r="T303" s="15"/>
      <c r="U303" s="15"/>
      <c r="V303" s="54">
        <v>26900000</v>
      </c>
      <c r="W303" s="54">
        <v>26600000</v>
      </c>
      <c r="X303" s="54">
        <v>300000</v>
      </c>
    </row>
    <row r="304" spans="3:24" x14ac:dyDescent="0.25">
      <c r="C304" s="39">
        <v>2017</v>
      </c>
      <c r="D304" s="62" t="s">
        <v>1101</v>
      </c>
      <c r="E304" s="63" t="s">
        <v>1102</v>
      </c>
      <c r="F304" s="64">
        <v>43025</v>
      </c>
      <c r="G304" s="65" t="s">
        <v>34</v>
      </c>
      <c r="H304" s="94">
        <v>2800000</v>
      </c>
      <c r="I304" s="27">
        <v>2847000</v>
      </c>
      <c r="J304" s="27"/>
      <c r="K304" s="26">
        <v>1.6785714285714286E-2</v>
      </c>
      <c r="L304" s="11" t="s">
        <v>464</v>
      </c>
      <c r="M304" s="15">
        <v>9</v>
      </c>
      <c r="N304" s="35" t="s">
        <v>93</v>
      </c>
      <c r="O304" s="15">
        <v>4</v>
      </c>
      <c r="P304" s="35" t="s">
        <v>458</v>
      </c>
      <c r="Q304" s="15"/>
      <c r="R304" s="24"/>
      <c r="S304" s="62" t="s">
        <v>616</v>
      </c>
      <c r="T304" s="15"/>
      <c r="U304" s="15"/>
      <c r="V304" s="54">
        <v>2800000</v>
      </c>
      <c r="W304" s="54">
        <v>2847000</v>
      </c>
      <c r="X304" s="54">
        <v>-47000</v>
      </c>
    </row>
    <row r="305" spans="3:24" x14ac:dyDescent="0.25">
      <c r="C305" s="39">
        <v>2017</v>
      </c>
      <c r="D305" s="62" t="s">
        <v>1099</v>
      </c>
      <c r="E305" s="63" t="s">
        <v>1100</v>
      </c>
      <c r="F305" s="64">
        <v>43025</v>
      </c>
      <c r="G305" s="65" t="s">
        <v>34</v>
      </c>
      <c r="H305" s="94">
        <v>3000000</v>
      </c>
      <c r="I305" s="27">
        <v>2812500</v>
      </c>
      <c r="J305" s="27"/>
      <c r="K305" s="26">
        <v>-6.25E-2</v>
      </c>
      <c r="L305" s="11" t="s">
        <v>464</v>
      </c>
      <c r="M305" s="15">
        <v>2</v>
      </c>
      <c r="N305" s="35" t="s">
        <v>25</v>
      </c>
      <c r="O305" s="15">
        <v>4</v>
      </c>
      <c r="P305" s="35" t="s">
        <v>458</v>
      </c>
      <c r="Q305" s="15"/>
      <c r="R305" s="24"/>
      <c r="S305" s="62" t="s">
        <v>616</v>
      </c>
      <c r="T305" s="15"/>
      <c r="U305" s="15"/>
      <c r="V305" s="54">
        <v>3000000</v>
      </c>
      <c r="W305" s="54">
        <v>2812500</v>
      </c>
      <c r="X305" s="54">
        <v>187500</v>
      </c>
    </row>
    <row r="306" spans="3:24" x14ac:dyDescent="0.25">
      <c r="C306" s="39">
        <v>2017</v>
      </c>
      <c r="D306" s="62" t="s">
        <v>1093</v>
      </c>
      <c r="E306" s="63" t="s">
        <v>1094</v>
      </c>
      <c r="F306" s="64">
        <v>43013</v>
      </c>
      <c r="G306" s="65" t="s">
        <v>34</v>
      </c>
      <c r="H306" s="94">
        <v>970000</v>
      </c>
      <c r="I306" s="27">
        <v>1285000</v>
      </c>
      <c r="J306" s="27"/>
      <c r="K306" s="26">
        <v>0.32474226804123713</v>
      </c>
      <c r="L306" s="11" t="s">
        <v>465</v>
      </c>
      <c r="M306" s="15">
        <v>6</v>
      </c>
      <c r="N306" s="35" t="s">
        <v>25</v>
      </c>
      <c r="O306" s="15">
        <v>4</v>
      </c>
      <c r="P306" s="35" t="s">
        <v>458</v>
      </c>
      <c r="Q306" s="15"/>
      <c r="R306" s="24"/>
      <c r="S306" s="62" t="s">
        <v>616</v>
      </c>
      <c r="T306" s="15"/>
      <c r="U306" s="15"/>
      <c r="V306" s="54">
        <v>970000</v>
      </c>
      <c r="W306" s="54">
        <v>1285000</v>
      </c>
      <c r="X306" s="54">
        <v>-315000</v>
      </c>
    </row>
    <row r="307" spans="3:24" x14ac:dyDescent="0.25">
      <c r="C307" s="39">
        <v>2017</v>
      </c>
      <c r="D307" s="62" t="s">
        <v>1068</v>
      </c>
      <c r="E307" s="63" t="s">
        <v>1069</v>
      </c>
      <c r="F307" s="64">
        <v>42964</v>
      </c>
      <c r="G307" s="65" t="s">
        <v>190</v>
      </c>
      <c r="H307" s="94">
        <v>8500000</v>
      </c>
      <c r="I307" s="27">
        <v>5682000</v>
      </c>
      <c r="J307" s="105" t="s">
        <v>519</v>
      </c>
      <c r="K307" s="26">
        <v>-0.33152941176470591</v>
      </c>
      <c r="L307" s="11" t="s">
        <v>465</v>
      </c>
      <c r="M307" s="15">
        <v>3</v>
      </c>
      <c r="N307" s="35" t="s">
        <v>25</v>
      </c>
      <c r="O307" s="15">
        <v>3</v>
      </c>
      <c r="P307" s="35" t="s">
        <v>458</v>
      </c>
      <c r="Q307" s="15"/>
      <c r="R307" s="24"/>
      <c r="S307" s="62" t="s">
        <v>616</v>
      </c>
      <c r="T307" s="15"/>
      <c r="U307" s="15"/>
      <c r="V307" s="54">
        <v>8500000</v>
      </c>
      <c r="W307" s="54">
        <v>5682000</v>
      </c>
      <c r="X307" s="54">
        <v>2818000</v>
      </c>
    </row>
    <row r="308" spans="3:24" x14ac:dyDescent="0.25">
      <c r="C308" s="39">
        <v>2017</v>
      </c>
      <c r="D308" s="62" t="s">
        <v>1063</v>
      </c>
      <c r="E308" s="63" t="s">
        <v>1064</v>
      </c>
      <c r="F308" s="64">
        <v>42951</v>
      </c>
      <c r="G308" s="65" t="s">
        <v>34</v>
      </c>
      <c r="H308" s="94">
        <v>6040000</v>
      </c>
      <c r="I308" s="27">
        <v>4845475</v>
      </c>
      <c r="J308" s="27" t="s">
        <v>519</v>
      </c>
      <c r="K308" s="26">
        <v>-0.19776903973509935</v>
      </c>
      <c r="L308" s="11" t="s">
        <v>464</v>
      </c>
      <c r="M308" s="15">
        <v>8</v>
      </c>
      <c r="N308" s="35" t="s">
        <v>93</v>
      </c>
      <c r="O308" s="15">
        <v>3</v>
      </c>
      <c r="P308" s="35" t="s">
        <v>458</v>
      </c>
      <c r="Q308" s="15"/>
      <c r="R308" s="24"/>
      <c r="S308" s="62" t="s">
        <v>784</v>
      </c>
      <c r="T308" s="15"/>
      <c r="U308" s="15"/>
      <c r="V308" s="54">
        <v>6040000</v>
      </c>
      <c r="W308" s="54">
        <v>4845475</v>
      </c>
      <c r="X308" s="54">
        <v>1194525</v>
      </c>
    </row>
    <row r="309" spans="3:24" x14ac:dyDescent="0.25">
      <c r="C309" s="39">
        <v>2017</v>
      </c>
      <c r="D309" s="62" t="s">
        <v>1057</v>
      </c>
      <c r="E309" s="63" t="s">
        <v>1058</v>
      </c>
      <c r="F309" s="64">
        <v>42949</v>
      </c>
      <c r="G309" s="65" t="s">
        <v>34</v>
      </c>
      <c r="H309" s="94">
        <v>1650000</v>
      </c>
      <c r="I309" s="27">
        <v>1320718</v>
      </c>
      <c r="J309" s="27"/>
      <c r="K309" s="26">
        <v>-0.19956484848484848</v>
      </c>
      <c r="L309" s="11" t="s">
        <v>464</v>
      </c>
      <c r="M309" s="15">
        <v>4</v>
      </c>
      <c r="N309" s="35" t="s">
        <v>93</v>
      </c>
      <c r="O309" s="15">
        <v>3</v>
      </c>
      <c r="P309" s="35" t="s">
        <v>458</v>
      </c>
      <c r="Q309" s="15"/>
      <c r="R309" s="24"/>
      <c r="S309" s="62" t="s">
        <v>616</v>
      </c>
      <c r="T309" s="15"/>
      <c r="U309" s="15"/>
      <c r="V309" s="54">
        <v>1650000</v>
      </c>
      <c r="W309" s="54">
        <v>1320718</v>
      </c>
      <c r="X309" s="54">
        <v>329282</v>
      </c>
    </row>
    <row r="310" spans="3:24" x14ac:dyDescent="0.25">
      <c r="C310" s="39">
        <v>2017</v>
      </c>
      <c r="D310" s="62" t="s">
        <v>1052</v>
      </c>
      <c r="E310" s="63" t="s">
        <v>1053</v>
      </c>
      <c r="F310" s="64">
        <v>42948</v>
      </c>
      <c r="G310" s="65" t="s">
        <v>34</v>
      </c>
      <c r="H310" s="94">
        <v>1330000</v>
      </c>
      <c r="I310" s="27">
        <v>936000</v>
      </c>
      <c r="J310" s="27"/>
      <c r="K310" s="26">
        <v>-0.29624060150375942</v>
      </c>
      <c r="L310" s="11" t="s">
        <v>464</v>
      </c>
      <c r="M310" s="15">
        <v>6</v>
      </c>
      <c r="N310" s="35" t="s">
        <v>93</v>
      </c>
      <c r="O310" s="15">
        <v>3</v>
      </c>
      <c r="P310" s="35" t="s">
        <v>458</v>
      </c>
      <c r="Q310" s="15"/>
      <c r="R310" s="24"/>
      <c r="S310" s="62" t="s">
        <v>616</v>
      </c>
      <c r="T310" s="15"/>
      <c r="U310" s="15"/>
      <c r="V310" s="54">
        <v>1330000</v>
      </c>
      <c r="W310" s="54">
        <v>936000</v>
      </c>
      <c r="X310" s="54">
        <v>394000</v>
      </c>
    </row>
    <row r="311" spans="3:24" x14ac:dyDescent="0.25">
      <c r="C311" s="39">
        <v>2017</v>
      </c>
      <c r="D311" s="62" t="s">
        <v>1047</v>
      </c>
      <c r="E311" s="63" t="s">
        <v>982</v>
      </c>
      <c r="F311" s="64">
        <v>42941</v>
      </c>
      <c r="G311" s="65" t="s">
        <v>34</v>
      </c>
      <c r="H311" s="94">
        <v>7200000</v>
      </c>
      <c r="I311" s="27">
        <v>1936000</v>
      </c>
      <c r="J311" s="105" t="s">
        <v>519</v>
      </c>
      <c r="K311" s="26">
        <v>-0.73111111111111116</v>
      </c>
      <c r="L311" s="11" t="s">
        <v>465</v>
      </c>
      <c r="M311" s="15">
        <v>4</v>
      </c>
      <c r="N311" s="35" t="s">
        <v>93</v>
      </c>
      <c r="O311" s="15">
        <v>3</v>
      </c>
      <c r="P311" s="35" t="s">
        <v>458</v>
      </c>
      <c r="Q311" s="15"/>
      <c r="R311" s="24"/>
      <c r="S311" s="62" t="s">
        <v>616</v>
      </c>
      <c r="T311" s="15"/>
      <c r="U311" s="15"/>
      <c r="V311" s="54">
        <v>7200000</v>
      </c>
      <c r="W311" s="54">
        <v>1936000</v>
      </c>
      <c r="X311" s="54">
        <v>5264000</v>
      </c>
    </row>
    <row r="312" spans="3:24" x14ac:dyDescent="0.25">
      <c r="C312" s="101">
        <v>2017</v>
      </c>
      <c r="D312" s="62" t="s">
        <v>1038</v>
      </c>
      <c r="E312" s="63" t="s">
        <v>1039</v>
      </c>
      <c r="F312" s="64">
        <v>42901</v>
      </c>
      <c r="G312" s="65" t="s">
        <v>693</v>
      </c>
      <c r="H312" s="94">
        <v>850000</v>
      </c>
      <c r="I312" s="27">
        <v>887000</v>
      </c>
      <c r="J312" s="27"/>
      <c r="K312" s="26">
        <v>4.3529411764705879E-2</v>
      </c>
      <c r="L312" s="11" t="s">
        <v>464</v>
      </c>
      <c r="M312" s="15">
        <v>3</v>
      </c>
      <c r="N312" s="35" t="s">
        <v>25</v>
      </c>
      <c r="O312" s="15">
        <v>2</v>
      </c>
      <c r="P312" s="35" t="s">
        <v>458</v>
      </c>
      <c r="Q312" s="15"/>
      <c r="R312" s="24"/>
      <c r="S312" s="62" t="s">
        <v>616</v>
      </c>
      <c r="T312" s="15"/>
      <c r="U312" s="15"/>
      <c r="V312" s="54">
        <v>850000</v>
      </c>
      <c r="W312" s="54">
        <v>887000</v>
      </c>
      <c r="X312" s="54">
        <v>-37000</v>
      </c>
    </row>
    <row r="313" spans="3:24" x14ac:dyDescent="0.25">
      <c r="C313" s="39">
        <v>2017</v>
      </c>
      <c r="D313" s="62" t="s">
        <v>1035</v>
      </c>
      <c r="E313" s="63" t="s">
        <v>1036</v>
      </c>
      <c r="F313" s="64">
        <v>42900</v>
      </c>
      <c r="G313" s="65" t="s">
        <v>756</v>
      </c>
      <c r="H313" s="94">
        <v>2900000</v>
      </c>
      <c r="I313" s="27">
        <v>1157000</v>
      </c>
      <c r="J313" s="27"/>
      <c r="K313" s="26">
        <v>-0.6010344827586207</v>
      </c>
      <c r="L313" s="11" t="s">
        <v>465</v>
      </c>
      <c r="M313" s="15">
        <v>5</v>
      </c>
      <c r="N313" s="35" t="s">
        <v>25</v>
      </c>
      <c r="O313" s="15">
        <v>2</v>
      </c>
      <c r="P313" s="35" t="s">
        <v>458</v>
      </c>
      <c r="Q313" s="15"/>
      <c r="R313" s="24"/>
      <c r="S313" s="62" t="s">
        <v>447</v>
      </c>
      <c r="T313" s="15"/>
      <c r="U313" s="15"/>
      <c r="V313" s="54">
        <v>2900000</v>
      </c>
      <c r="W313" s="54">
        <v>1157000</v>
      </c>
      <c r="X313" s="54">
        <v>1743000</v>
      </c>
    </row>
    <row r="314" spans="3:24" x14ac:dyDescent="0.25">
      <c r="C314" s="39">
        <v>2017</v>
      </c>
      <c r="D314" s="62" t="s">
        <v>1028</v>
      </c>
      <c r="E314" s="63" t="s">
        <v>1029</v>
      </c>
      <c r="F314" s="64">
        <v>42894</v>
      </c>
      <c r="G314" s="65" t="s">
        <v>756</v>
      </c>
      <c r="H314" s="94">
        <v>6445000</v>
      </c>
      <c r="I314" s="27">
        <v>7166666</v>
      </c>
      <c r="J314" s="105" t="s">
        <v>519</v>
      </c>
      <c r="K314" s="26">
        <v>0.11197300232738557</v>
      </c>
      <c r="L314" s="11" t="s">
        <v>465</v>
      </c>
      <c r="M314" s="15">
        <v>11</v>
      </c>
      <c r="N314" s="35" t="s">
        <v>93</v>
      </c>
      <c r="O314" s="15">
        <v>2</v>
      </c>
      <c r="P314" s="35" t="s">
        <v>458</v>
      </c>
      <c r="Q314" s="15"/>
      <c r="R314" s="24"/>
      <c r="S314" s="62" t="s">
        <v>784</v>
      </c>
      <c r="T314" s="15"/>
      <c r="U314" s="15"/>
      <c r="V314" s="54">
        <v>6445000</v>
      </c>
      <c r="W314" s="54">
        <v>7166666</v>
      </c>
      <c r="X314" s="54">
        <v>-721666</v>
      </c>
    </row>
    <row r="315" spans="3:24" x14ac:dyDescent="0.25">
      <c r="C315" s="39">
        <v>2017</v>
      </c>
      <c r="D315" s="62" t="s">
        <v>1025</v>
      </c>
      <c r="E315" s="63" t="s">
        <v>1026</v>
      </c>
      <c r="F315" s="64">
        <v>42893</v>
      </c>
      <c r="G315" s="65" t="s">
        <v>693</v>
      </c>
      <c r="H315" s="94">
        <v>650000</v>
      </c>
      <c r="I315" s="27">
        <v>865508</v>
      </c>
      <c r="J315" s="27"/>
      <c r="K315" s="26">
        <v>0.3315507692307692</v>
      </c>
      <c r="L315" s="11" t="s">
        <v>465</v>
      </c>
      <c r="M315" s="15">
        <v>3</v>
      </c>
      <c r="N315" s="35" t="s">
        <v>25</v>
      </c>
      <c r="O315" s="15">
        <v>2</v>
      </c>
      <c r="P315" s="35" t="s">
        <v>458</v>
      </c>
      <c r="Q315" s="15"/>
      <c r="R315" s="24"/>
      <c r="S315" s="62" t="s">
        <v>616</v>
      </c>
      <c r="T315" s="15"/>
      <c r="U315" s="15"/>
      <c r="V315" s="54">
        <v>650000</v>
      </c>
      <c r="W315" s="54">
        <v>865508</v>
      </c>
      <c r="X315" s="54">
        <v>-215508</v>
      </c>
    </row>
    <row r="316" spans="3:24" x14ac:dyDescent="0.25">
      <c r="C316" s="39">
        <v>2017</v>
      </c>
      <c r="D316" s="62" t="s">
        <v>1023</v>
      </c>
      <c r="E316" s="63" t="s">
        <v>1024</v>
      </c>
      <c r="F316" s="64">
        <v>42893</v>
      </c>
      <c r="G316" s="65" t="s">
        <v>693</v>
      </c>
      <c r="H316" s="94">
        <v>1070000</v>
      </c>
      <c r="I316" s="27">
        <v>758000</v>
      </c>
      <c r="J316" s="27"/>
      <c r="K316" s="26">
        <v>-0.29158878504672897</v>
      </c>
      <c r="L316" s="11" t="s">
        <v>465</v>
      </c>
      <c r="M316" s="15">
        <v>5</v>
      </c>
      <c r="N316" s="35" t="s">
        <v>25</v>
      </c>
      <c r="O316" s="15">
        <v>2</v>
      </c>
      <c r="P316" s="35" t="s">
        <v>458</v>
      </c>
      <c r="Q316" s="15"/>
      <c r="R316" s="24"/>
      <c r="S316" s="62" t="s">
        <v>616</v>
      </c>
      <c r="T316" s="15"/>
      <c r="U316" s="15"/>
      <c r="V316" s="54">
        <v>1070000</v>
      </c>
      <c r="W316" s="54">
        <v>758000</v>
      </c>
      <c r="X316" s="54">
        <v>312000</v>
      </c>
    </row>
    <row r="317" spans="3:24" x14ac:dyDescent="0.25">
      <c r="C317" s="39">
        <v>2017</v>
      </c>
      <c r="D317" s="62" t="s">
        <v>1014</v>
      </c>
      <c r="E317" s="63" t="s">
        <v>1015</v>
      </c>
      <c r="F317" s="64">
        <v>42886</v>
      </c>
      <c r="G317" s="65" t="s">
        <v>34</v>
      </c>
      <c r="H317" s="94">
        <v>1140000</v>
      </c>
      <c r="I317" s="27">
        <v>904780</v>
      </c>
      <c r="J317" s="27"/>
      <c r="K317" s="26">
        <v>-0.20633333333333334</v>
      </c>
      <c r="L317" s="11" t="s">
        <v>464</v>
      </c>
      <c r="M317" s="15">
        <v>9</v>
      </c>
      <c r="N317" s="35" t="s">
        <v>25</v>
      </c>
      <c r="O317" s="15">
        <v>2</v>
      </c>
      <c r="P317" s="35" t="s">
        <v>458</v>
      </c>
      <c r="Q317" s="15"/>
      <c r="R317" s="24"/>
      <c r="S317" s="62" t="s">
        <v>616</v>
      </c>
      <c r="T317" s="15"/>
      <c r="U317" s="15"/>
      <c r="V317" s="54">
        <v>1140000</v>
      </c>
      <c r="W317" s="54">
        <v>904780</v>
      </c>
      <c r="X317" s="54">
        <v>235220</v>
      </c>
    </row>
    <row r="318" spans="3:24" x14ac:dyDescent="0.25">
      <c r="C318" s="39">
        <v>2017</v>
      </c>
      <c r="D318" s="62" t="s">
        <v>1009</v>
      </c>
      <c r="E318" s="63" t="s">
        <v>1010</v>
      </c>
      <c r="F318" s="64">
        <v>42880</v>
      </c>
      <c r="G318" s="65" t="s">
        <v>34</v>
      </c>
      <c r="H318" s="94">
        <v>2850000</v>
      </c>
      <c r="I318" s="27">
        <v>1808548</v>
      </c>
      <c r="J318" s="27"/>
      <c r="K318" s="26">
        <v>-0.36542175438596491</v>
      </c>
      <c r="L318" s="11" t="s">
        <v>465</v>
      </c>
      <c r="M318" s="15">
        <v>11</v>
      </c>
      <c r="N318" s="35" t="s">
        <v>93</v>
      </c>
      <c r="O318" s="15">
        <v>2</v>
      </c>
      <c r="P318" s="35" t="s">
        <v>458</v>
      </c>
      <c r="Q318" s="15"/>
      <c r="R318" s="24"/>
      <c r="S318" s="62" t="s">
        <v>442</v>
      </c>
      <c r="T318" s="15"/>
      <c r="U318" s="15"/>
      <c r="V318" s="54">
        <v>2850000</v>
      </c>
      <c r="W318" s="54">
        <v>1808548</v>
      </c>
      <c r="X318" s="54">
        <v>1041452</v>
      </c>
    </row>
    <row r="319" spans="3:24" x14ac:dyDescent="0.25">
      <c r="C319" s="39">
        <v>2017</v>
      </c>
      <c r="D319" s="62" t="s">
        <v>986</v>
      </c>
      <c r="E319" s="63" t="s">
        <v>982</v>
      </c>
      <c r="F319" s="64">
        <v>42845</v>
      </c>
      <c r="G319" s="65" t="s">
        <v>190</v>
      </c>
      <c r="H319" s="94">
        <v>12630000</v>
      </c>
      <c r="I319" s="27">
        <v>10849023</v>
      </c>
      <c r="J319" s="27" t="s">
        <v>519</v>
      </c>
      <c r="K319" s="26">
        <v>-0.14101163895486934</v>
      </c>
      <c r="L319" s="11" t="s">
        <v>464</v>
      </c>
      <c r="M319" s="15">
        <v>2</v>
      </c>
      <c r="N319" s="35" t="s">
        <v>25</v>
      </c>
      <c r="O319" s="15">
        <v>2</v>
      </c>
      <c r="P319" s="35" t="s">
        <v>458</v>
      </c>
      <c r="Q319" s="15"/>
      <c r="R319" s="24"/>
      <c r="S319" s="62" t="s">
        <v>616</v>
      </c>
      <c r="T319" s="15"/>
      <c r="U319" s="15"/>
      <c r="V319" s="54">
        <v>12630000</v>
      </c>
      <c r="W319" s="54">
        <v>10849023</v>
      </c>
      <c r="X319" s="54">
        <v>1780977</v>
      </c>
    </row>
    <row r="320" spans="3:24" x14ac:dyDescent="0.25">
      <c r="C320" s="39">
        <v>2017</v>
      </c>
      <c r="D320" s="62" t="s">
        <v>981</v>
      </c>
      <c r="E320" s="63" t="s">
        <v>982</v>
      </c>
      <c r="F320" s="64">
        <v>42844</v>
      </c>
      <c r="G320" s="65" t="s">
        <v>190</v>
      </c>
      <c r="H320" s="94">
        <v>18870000</v>
      </c>
      <c r="I320" s="27">
        <v>19910000</v>
      </c>
      <c r="J320" s="27" t="s">
        <v>519</v>
      </c>
      <c r="K320" s="26">
        <v>5.5113937466878642E-2</v>
      </c>
      <c r="L320" s="11" t="s">
        <v>464</v>
      </c>
      <c r="M320" s="15">
        <v>3</v>
      </c>
      <c r="N320" s="35" t="s">
        <v>25</v>
      </c>
      <c r="O320" s="15">
        <v>2</v>
      </c>
      <c r="P320" s="35" t="s">
        <v>458</v>
      </c>
      <c r="Q320" s="15"/>
      <c r="R320" s="24"/>
      <c r="S320" s="62" t="s">
        <v>616</v>
      </c>
      <c r="T320" s="15"/>
      <c r="U320" s="15"/>
      <c r="V320" s="54">
        <v>18870000</v>
      </c>
      <c r="W320" s="54">
        <v>19910000</v>
      </c>
      <c r="X320" s="54">
        <v>-1040000</v>
      </c>
    </row>
    <row r="321" spans="3:24" x14ac:dyDescent="0.25">
      <c r="C321" s="39">
        <v>2017</v>
      </c>
      <c r="D321" s="62" t="s">
        <v>964</v>
      </c>
      <c r="E321" s="63" t="s">
        <v>965</v>
      </c>
      <c r="F321" s="64">
        <v>42815</v>
      </c>
      <c r="G321" s="65" t="s">
        <v>190</v>
      </c>
      <c r="H321" s="27">
        <v>3750000</v>
      </c>
      <c r="I321" s="27">
        <v>2468147</v>
      </c>
      <c r="J321" s="27"/>
      <c r="K321" s="26">
        <v>-0.34182746666666669</v>
      </c>
      <c r="L321" s="11" t="s">
        <v>465</v>
      </c>
      <c r="M321" s="15">
        <v>3</v>
      </c>
      <c r="N321" s="35" t="s">
        <v>93</v>
      </c>
      <c r="O321" s="15">
        <v>1</v>
      </c>
      <c r="P321" s="35" t="s">
        <v>458</v>
      </c>
      <c r="Q321" s="15"/>
      <c r="R321" s="24"/>
      <c r="S321" s="62" t="s">
        <v>784</v>
      </c>
      <c r="T321" s="15"/>
      <c r="U321" s="15"/>
      <c r="V321" s="54">
        <v>3750000</v>
      </c>
      <c r="W321" s="54">
        <v>2468147</v>
      </c>
      <c r="X321" s="54">
        <v>1281853</v>
      </c>
    </row>
    <row r="322" spans="3:24" x14ac:dyDescent="0.25">
      <c r="C322" s="39">
        <v>2017</v>
      </c>
      <c r="D322" s="62" t="s">
        <v>914</v>
      </c>
      <c r="E322" s="63" t="s">
        <v>933</v>
      </c>
      <c r="F322" s="64">
        <v>42787</v>
      </c>
      <c r="G322" s="65" t="s">
        <v>190</v>
      </c>
      <c r="H322" s="94">
        <v>10393000</v>
      </c>
      <c r="I322" s="27">
        <v>7903950</v>
      </c>
      <c r="J322" s="105" t="s">
        <v>519</v>
      </c>
      <c r="K322" s="26">
        <v>-0.2394929279322621</v>
      </c>
      <c r="L322" s="11" t="s">
        <v>465</v>
      </c>
      <c r="M322" s="15">
        <v>3</v>
      </c>
      <c r="N322" s="35" t="s">
        <v>93</v>
      </c>
      <c r="O322" s="15">
        <v>1</v>
      </c>
      <c r="P322" s="35" t="s">
        <v>458</v>
      </c>
      <c r="Q322" s="15"/>
      <c r="R322" s="24" t="s">
        <v>932</v>
      </c>
      <c r="S322" s="62" t="s">
        <v>784</v>
      </c>
      <c r="T322" s="15"/>
      <c r="U322" s="15"/>
      <c r="V322" s="54">
        <v>10393000</v>
      </c>
      <c r="W322" s="54">
        <v>7903950</v>
      </c>
      <c r="X322" s="54">
        <v>2489050</v>
      </c>
    </row>
    <row r="323" spans="3:24" x14ac:dyDescent="0.25">
      <c r="C323" s="39">
        <v>2017</v>
      </c>
      <c r="D323" s="62" t="s">
        <v>916</v>
      </c>
      <c r="E323" s="63" t="s">
        <v>917</v>
      </c>
      <c r="F323" s="64">
        <v>42780</v>
      </c>
      <c r="G323" s="65" t="s">
        <v>34</v>
      </c>
      <c r="H323" s="94">
        <v>2580000</v>
      </c>
      <c r="I323" s="27">
        <v>1386000</v>
      </c>
      <c r="J323" s="27"/>
      <c r="K323" s="26">
        <v>-0.46279069767441861</v>
      </c>
      <c r="L323" s="11" t="s">
        <v>464</v>
      </c>
      <c r="M323" s="15">
        <v>16</v>
      </c>
      <c r="N323" s="35" t="s">
        <v>25</v>
      </c>
      <c r="O323" s="15">
        <v>1</v>
      </c>
      <c r="P323" s="35" t="s">
        <v>458</v>
      </c>
      <c r="Q323" s="15"/>
      <c r="R323" s="24" t="s">
        <v>1020</v>
      </c>
      <c r="S323" s="62" t="s">
        <v>616</v>
      </c>
      <c r="T323" s="15"/>
      <c r="U323" s="15"/>
      <c r="V323" s="54">
        <v>2580000</v>
      </c>
      <c r="W323" s="54">
        <v>1386000</v>
      </c>
      <c r="X323" s="54">
        <v>1194000</v>
      </c>
    </row>
    <row r="324" spans="3:24" x14ac:dyDescent="0.25">
      <c r="C324" s="39">
        <v>2017</v>
      </c>
      <c r="D324" s="62" t="s">
        <v>901</v>
      </c>
      <c r="E324" s="63" t="s">
        <v>902</v>
      </c>
      <c r="F324" s="64">
        <v>42774</v>
      </c>
      <c r="G324" s="65" t="s">
        <v>34</v>
      </c>
      <c r="H324" s="94">
        <v>970000</v>
      </c>
      <c r="I324" s="27">
        <v>756482</v>
      </c>
      <c r="J324" s="27"/>
      <c r="K324" s="26">
        <v>-0.22012164948453608</v>
      </c>
      <c r="L324" s="11" t="s">
        <v>464</v>
      </c>
      <c r="M324" s="15">
        <v>9</v>
      </c>
      <c r="N324" s="35" t="s">
        <v>25</v>
      </c>
      <c r="O324" s="15">
        <v>1</v>
      </c>
      <c r="P324" s="35" t="s">
        <v>458</v>
      </c>
      <c r="Q324" s="15"/>
      <c r="R324" s="24"/>
      <c r="S324" s="62" t="s">
        <v>616</v>
      </c>
      <c r="T324" s="15"/>
      <c r="U324" s="15"/>
      <c r="V324" s="54">
        <v>970000</v>
      </c>
      <c r="W324" s="54">
        <v>756482</v>
      </c>
      <c r="X324" s="54">
        <v>213518</v>
      </c>
    </row>
    <row r="325" spans="3:24" x14ac:dyDescent="0.25">
      <c r="C325" s="39">
        <v>2017</v>
      </c>
      <c r="D325" s="62" t="s">
        <v>880</v>
      </c>
      <c r="E325" s="63" t="s">
        <v>881</v>
      </c>
      <c r="F325" s="64">
        <v>42768</v>
      </c>
      <c r="G325" s="65" t="s">
        <v>34</v>
      </c>
      <c r="H325" s="94">
        <v>4800000</v>
      </c>
      <c r="I325" s="27">
        <v>3901193</v>
      </c>
      <c r="J325" s="27"/>
      <c r="K325" s="26">
        <v>-0.18725145833333334</v>
      </c>
      <c r="L325" s="11" t="s">
        <v>464</v>
      </c>
      <c r="M325" s="15">
        <v>14</v>
      </c>
      <c r="N325" s="35" t="s">
        <v>93</v>
      </c>
      <c r="O325" s="15">
        <v>1</v>
      </c>
      <c r="P325" s="35" t="s">
        <v>458</v>
      </c>
      <c r="Q325" s="15"/>
      <c r="R325" s="24"/>
      <c r="S325" s="62" t="s">
        <v>616</v>
      </c>
      <c r="T325" s="15"/>
      <c r="U325" s="15"/>
      <c r="V325" s="54">
        <v>4800000</v>
      </c>
      <c r="W325" s="54">
        <v>3901193</v>
      </c>
      <c r="X325" s="54">
        <v>898807</v>
      </c>
    </row>
    <row r="326" spans="3:24" x14ac:dyDescent="0.25">
      <c r="C326" s="39">
        <v>2017</v>
      </c>
      <c r="D326" s="62" t="s">
        <v>876</v>
      </c>
      <c r="E326" s="63" t="s">
        <v>877</v>
      </c>
      <c r="F326" s="64">
        <v>42765</v>
      </c>
      <c r="G326" s="65" t="s">
        <v>756</v>
      </c>
      <c r="H326" s="94">
        <v>6500000</v>
      </c>
      <c r="I326" s="27">
        <v>5987000</v>
      </c>
      <c r="J326" s="27" t="s">
        <v>519</v>
      </c>
      <c r="K326" s="26">
        <v>-7.8923076923076929E-2</v>
      </c>
      <c r="L326" s="11" t="s">
        <v>464</v>
      </c>
      <c r="M326" s="15">
        <v>5</v>
      </c>
      <c r="N326" s="35" t="s">
        <v>93</v>
      </c>
      <c r="O326" s="15">
        <v>1</v>
      </c>
      <c r="P326" s="35" t="s">
        <v>458</v>
      </c>
      <c r="Q326" s="15"/>
      <c r="R326" s="24"/>
      <c r="S326" s="62" t="s">
        <v>447</v>
      </c>
      <c r="T326" s="15"/>
      <c r="U326" s="15"/>
      <c r="V326" s="54">
        <v>6500000</v>
      </c>
      <c r="W326" s="54">
        <v>5987000</v>
      </c>
      <c r="X326" s="54">
        <v>513000</v>
      </c>
    </row>
    <row r="327" spans="3:24" x14ac:dyDescent="0.25">
      <c r="C327" s="39">
        <v>2017</v>
      </c>
      <c r="D327" s="62" t="s">
        <v>868</v>
      </c>
      <c r="E327" s="63" t="s">
        <v>869</v>
      </c>
      <c r="F327" s="64">
        <v>42761</v>
      </c>
      <c r="G327" s="65" t="s">
        <v>34</v>
      </c>
      <c r="H327" s="94">
        <v>5100000</v>
      </c>
      <c r="I327" s="27">
        <v>4640176</v>
      </c>
      <c r="J327" s="27" t="s">
        <v>519</v>
      </c>
      <c r="K327" s="26">
        <v>-9.0161568627450978E-2</v>
      </c>
      <c r="L327" s="11" t="s">
        <v>464</v>
      </c>
      <c r="M327" s="15">
        <v>7</v>
      </c>
      <c r="N327" s="35" t="s">
        <v>93</v>
      </c>
      <c r="O327" s="15">
        <v>1</v>
      </c>
      <c r="P327" s="35" t="s">
        <v>458</v>
      </c>
      <c r="Q327" s="15"/>
      <c r="R327" s="24"/>
      <c r="S327" s="62" t="s">
        <v>784</v>
      </c>
      <c r="T327" s="15"/>
      <c r="U327" s="15"/>
      <c r="V327" s="54">
        <v>5100000</v>
      </c>
      <c r="W327" s="54">
        <v>4640176</v>
      </c>
      <c r="X327" s="54">
        <v>459824</v>
      </c>
    </row>
    <row r="328" spans="3:24" x14ac:dyDescent="0.25">
      <c r="C328" s="39">
        <v>2017</v>
      </c>
      <c r="D328" s="62" t="s">
        <v>862</v>
      </c>
      <c r="E328" s="63" t="s">
        <v>863</v>
      </c>
      <c r="F328" s="64">
        <v>42759</v>
      </c>
      <c r="G328" s="65" t="s">
        <v>190</v>
      </c>
      <c r="H328" s="94">
        <v>69800000</v>
      </c>
      <c r="I328" s="27">
        <v>67107000</v>
      </c>
      <c r="J328" s="27" t="s">
        <v>519</v>
      </c>
      <c r="K328" s="26">
        <v>-3.8581661891117482E-2</v>
      </c>
      <c r="L328" s="11" t="s">
        <v>464</v>
      </c>
      <c r="M328" s="15">
        <v>9</v>
      </c>
      <c r="N328" s="35" t="s">
        <v>25</v>
      </c>
      <c r="O328" s="15">
        <v>1</v>
      </c>
      <c r="P328" s="35" t="s">
        <v>458</v>
      </c>
      <c r="Q328" s="15"/>
      <c r="R328" s="24"/>
      <c r="S328" s="62" t="s">
        <v>616</v>
      </c>
      <c r="T328" s="15"/>
      <c r="U328" s="15"/>
      <c r="V328" s="54">
        <v>69800000</v>
      </c>
      <c r="W328" s="54">
        <v>67107000</v>
      </c>
      <c r="X328" s="54">
        <v>2693000</v>
      </c>
    </row>
    <row r="329" spans="3:24" x14ac:dyDescent="0.25">
      <c r="C329" s="39">
        <v>2017</v>
      </c>
      <c r="D329" s="62" t="s">
        <v>830</v>
      </c>
      <c r="E329" s="63" t="s">
        <v>831</v>
      </c>
      <c r="F329" s="64">
        <v>42746</v>
      </c>
      <c r="G329" s="65" t="s">
        <v>190</v>
      </c>
      <c r="H329" s="94">
        <v>12071025</v>
      </c>
      <c r="I329" s="27">
        <v>9977777</v>
      </c>
      <c r="J329" s="105" t="s">
        <v>519</v>
      </c>
      <c r="K329" s="26">
        <v>-0.17341095723022693</v>
      </c>
      <c r="L329" s="11" t="s">
        <v>465</v>
      </c>
      <c r="M329" s="15">
        <v>3</v>
      </c>
      <c r="N329" s="35" t="s">
        <v>93</v>
      </c>
      <c r="O329" s="15">
        <v>1</v>
      </c>
      <c r="P329" s="35" t="s">
        <v>458</v>
      </c>
      <c r="Q329" s="15"/>
      <c r="R329" s="24"/>
      <c r="S329" s="62" t="s">
        <v>616</v>
      </c>
      <c r="T329" s="15"/>
      <c r="U329" s="15"/>
      <c r="V329" s="54">
        <v>12071025</v>
      </c>
      <c r="W329" s="54">
        <v>9977777</v>
      </c>
      <c r="X329" s="54">
        <v>2093248</v>
      </c>
    </row>
    <row r="330" spans="3:24" x14ac:dyDescent="0.25">
      <c r="C330" s="39">
        <v>2017</v>
      </c>
      <c r="D330" s="62" t="s">
        <v>828</v>
      </c>
      <c r="E330" s="63" t="s">
        <v>829</v>
      </c>
      <c r="F330" s="64">
        <v>42739</v>
      </c>
      <c r="G330" s="65" t="s">
        <v>190</v>
      </c>
      <c r="H330" s="94">
        <v>28695000</v>
      </c>
      <c r="I330" s="27">
        <v>31768035</v>
      </c>
      <c r="J330" s="27" t="s">
        <v>519</v>
      </c>
      <c r="K330" s="26">
        <v>0.10709304756926294</v>
      </c>
      <c r="L330" s="11" t="s">
        <v>464</v>
      </c>
      <c r="M330" s="15">
        <v>2</v>
      </c>
      <c r="N330" s="35" t="s">
        <v>93</v>
      </c>
      <c r="O330" s="15">
        <v>1</v>
      </c>
      <c r="P330" s="35" t="s">
        <v>458</v>
      </c>
      <c r="Q330" s="15"/>
      <c r="R330" s="24"/>
      <c r="S330" s="62" t="s">
        <v>616</v>
      </c>
      <c r="T330" s="15"/>
      <c r="U330" s="15"/>
      <c r="V330" s="54">
        <v>28695000</v>
      </c>
      <c r="W330" s="54">
        <v>31768035</v>
      </c>
      <c r="X330" s="54">
        <v>-3073035</v>
      </c>
    </row>
    <row r="331" spans="3:24" x14ac:dyDescent="0.25">
      <c r="C331" s="39"/>
      <c r="E331" s="85"/>
      <c r="F331" s="85"/>
      <c r="G331" s="85"/>
      <c r="H331" s="86">
        <f>SUM(H297:H330)</f>
        <v>303255025</v>
      </c>
      <c r="I331" s="86">
        <f>SUM(I297:I330)</f>
        <v>269342161</v>
      </c>
      <c r="J331" s="85"/>
      <c r="K331" s="87">
        <f>+I331/H331</f>
        <v>0.88817047961530071</v>
      </c>
      <c r="L331" s="85">
        <f>COUNTA(L297:L330)</f>
        <v>34</v>
      </c>
      <c r="M331" s="88">
        <f>SUM(M297:M330)/L331</f>
        <v>5.6764705882352944</v>
      </c>
      <c r="N331" s="89"/>
      <c r="O331" s="85"/>
      <c r="P331" s="119">
        <f>21/L331</f>
        <v>0.61764705882352944</v>
      </c>
      <c r="Q331" s="85"/>
    </row>
    <row r="332" spans="3:24" x14ac:dyDescent="0.25">
      <c r="C332" s="39"/>
    </row>
    <row r="333" spans="3:24" x14ac:dyDescent="0.25">
      <c r="C333" s="39"/>
      <c r="E333" s="126" t="s">
        <v>1178</v>
      </c>
      <c r="F333" s="70" t="str">
        <f>"'15 final"</f>
        <v>'15 final</v>
      </c>
      <c r="G333" s="70" t="str">
        <f>"'16 final"</f>
        <v>'16 final</v>
      </c>
      <c r="H333" s="121" t="str">
        <f>"'17 final"</f>
        <v>'17 final</v>
      </c>
      <c r="P333" s="11"/>
    </row>
    <row r="334" spans="3:24" x14ac:dyDescent="0.25">
      <c r="C334" s="39"/>
      <c r="E334" s="71" t="s">
        <v>800</v>
      </c>
      <c r="F334" s="11">
        <v>18</v>
      </c>
      <c r="G334" s="11">
        <v>13</v>
      </c>
      <c r="H334" s="104">
        <f>+L331</f>
        <v>34</v>
      </c>
      <c r="P334" s="11"/>
    </row>
    <row r="335" spans="3:24" x14ac:dyDescent="0.25">
      <c r="C335" s="39"/>
      <c r="E335" s="72" t="s">
        <v>801</v>
      </c>
      <c r="F335" s="11">
        <v>14</v>
      </c>
      <c r="G335" s="11">
        <v>11</v>
      </c>
      <c r="H335" s="104">
        <f>+H334-H336</f>
        <v>19</v>
      </c>
      <c r="P335" s="11"/>
    </row>
    <row r="336" spans="3:24" x14ac:dyDescent="0.25">
      <c r="C336" s="39"/>
      <c r="E336" s="72" t="s">
        <v>802</v>
      </c>
      <c r="F336" s="11">
        <v>4</v>
      </c>
      <c r="G336" s="11">
        <v>2</v>
      </c>
      <c r="H336" s="104">
        <v>15</v>
      </c>
      <c r="P336" s="11"/>
    </row>
    <row r="337" spans="3:16" x14ac:dyDescent="0.25">
      <c r="C337" s="39"/>
      <c r="E337" s="72"/>
      <c r="F337" s="11"/>
      <c r="G337" s="11"/>
      <c r="H337" s="104"/>
      <c r="P337" s="11"/>
    </row>
    <row r="338" spans="3:16" x14ac:dyDescent="0.25">
      <c r="C338" s="39"/>
      <c r="E338" s="72" t="s">
        <v>1144</v>
      </c>
      <c r="F338" s="78">
        <v>73</v>
      </c>
      <c r="G338" s="78">
        <v>105</v>
      </c>
      <c r="H338" s="122">
        <f>+I331/1000000</f>
        <v>269.34216099999998</v>
      </c>
      <c r="I338" s="94"/>
      <c r="P338" s="11"/>
    </row>
    <row r="339" spans="3:16" x14ac:dyDescent="0.25">
      <c r="C339" s="39"/>
      <c r="E339" s="72" t="s">
        <v>806</v>
      </c>
      <c r="F339" s="75">
        <v>6.5</v>
      </c>
      <c r="G339" s="75">
        <v>6.1</v>
      </c>
      <c r="H339" s="123">
        <f>+M331</f>
        <v>5.6764705882352944</v>
      </c>
      <c r="P339" s="11"/>
    </row>
    <row r="340" spans="3:16" x14ac:dyDescent="0.25">
      <c r="C340" s="39"/>
      <c r="E340" s="72" t="s">
        <v>807</v>
      </c>
      <c r="F340" s="74">
        <v>0.95899999999999996</v>
      </c>
      <c r="G340" s="74">
        <v>0.88100000000000001</v>
      </c>
      <c r="H340" s="124">
        <f>+I331/H331</f>
        <v>0.88817047961530071</v>
      </c>
      <c r="P340" s="11"/>
    </row>
    <row r="341" spans="3:16" x14ac:dyDescent="0.25">
      <c r="C341" s="39"/>
      <c r="E341" s="72"/>
      <c r="F341" s="11"/>
      <c r="G341" s="11"/>
      <c r="H341" s="104"/>
      <c r="P341" s="11"/>
    </row>
    <row r="342" spans="3:16" x14ac:dyDescent="0.25">
      <c r="C342" s="39"/>
      <c r="E342" s="72" t="s">
        <v>803</v>
      </c>
      <c r="F342" s="74">
        <f>9/F334</f>
        <v>0.5</v>
      </c>
      <c r="G342" s="74">
        <f>7/13</f>
        <v>0.53846153846153844</v>
      </c>
      <c r="H342" s="108">
        <f>+P331</f>
        <v>0.61764705882352944</v>
      </c>
      <c r="P342" s="11"/>
    </row>
    <row r="343" spans="3:16" x14ac:dyDescent="0.25">
      <c r="C343" s="107"/>
      <c r="D343" s="52"/>
      <c r="E343" s="72" t="s">
        <v>804</v>
      </c>
      <c r="F343" s="74">
        <v>0.5</v>
      </c>
      <c r="G343" s="74">
        <f>6/11</f>
        <v>0.54545454545454541</v>
      </c>
      <c r="H343" s="108">
        <f>12/H335</f>
        <v>0.63157894736842102</v>
      </c>
      <c r="P343" s="11"/>
    </row>
    <row r="344" spans="3:16" x14ac:dyDescent="0.25">
      <c r="C344" s="107"/>
      <c r="D344" s="52"/>
      <c r="E344" s="72" t="s">
        <v>805</v>
      </c>
      <c r="F344" s="74">
        <v>0.5</v>
      </c>
      <c r="G344" s="74">
        <v>0.5</v>
      </c>
      <c r="H344" s="108">
        <f>9/H336</f>
        <v>0.6</v>
      </c>
      <c r="P344" s="11"/>
    </row>
    <row r="345" spans="3:16" x14ac:dyDescent="0.25">
      <c r="C345" s="39"/>
      <c r="E345" s="72"/>
      <c r="F345" s="11"/>
      <c r="G345" s="11"/>
      <c r="H345" s="104"/>
      <c r="P345" s="11"/>
    </row>
    <row r="346" spans="3:16" x14ac:dyDescent="0.25">
      <c r="C346" s="39"/>
      <c r="E346" s="72" t="s">
        <v>1141</v>
      </c>
      <c r="F346" s="11">
        <v>6</v>
      </c>
      <c r="G346" s="11">
        <v>4</v>
      </c>
      <c r="H346" s="104">
        <v>13</v>
      </c>
    </row>
    <row r="347" spans="3:16" x14ac:dyDescent="0.25">
      <c r="E347" s="106" t="s">
        <v>1143</v>
      </c>
      <c r="F347" s="108">
        <f>+F346/F334</f>
        <v>0.33333333333333331</v>
      </c>
      <c r="G347" s="108">
        <f>+G346/G334</f>
        <v>0.30769230769230771</v>
      </c>
      <c r="H347" s="108">
        <f>+H346/H334</f>
        <v>0.38235294117647056</v>
      </c>
    </row>
    <row r="348" spans="3:16" x14ac:dyDescent="0.25">
      <c r="C348" s="39"/>
      <c r="E348" s="72" t="s">
        <v>1142</v>
      </c>
      <c r="F348" s="11">
        <v>2</v>
      </c>
      <c r="G348" s="11">
        <v>0</v>
      </c>
      <c r="H348" s="104">
        <v>0</v>
      </c>
    </row>
    <row r="349" spans="3:16" x14ac:dyDescent="0.25">
      <c r="C349" s="39"/>
      <c r="E349" s="106" t="s">
        <v>1169</v>
      </c>
      <c r="F349" s="108">
        <f t="shared" ref="F349:G349" si="43">+F348/F334</f>
        <v>0.1111111111111111</v>
      </c>
      <c r="G349" s="108">
        <f t="shared" si="43"/>
        <v>0</v>
      </c>
      <c r="H349" s="108">
        <f>+H348/H334</f>
        <v>0</v>
      </c>
    </row>
    <row r="350" spans="3:16" x14ac:dyDescent="0.25">
      <c r="C350" s="39"/>
    </row>
    <row r="351" spans="3:16" x14ac:dyDescent="0.25">
      <c r="C351" s="39"/>
    </row>
    <row r="352" spans="3:16" x14ac:dyDescent="0.25">
      <c r="C352" s="39"/>
    </row>
    <row r="353" spans="3:24" x14ac:dyDescent="0.25">
      <c r="C353" s="39">
        <v>2017</v>
      </c>
      <c r="D353" s="102" t="s">
        <v>1147</v>
      </c>
      <c r="E353" s="63" t="s">
        <v>1148</v>
      </c>
      <c r="F353" s="64">
        <v>43083</v>
      </c>
      <c r="G353" s="65"/>
      <c r="H353" s="94"/>
      <c r="I353" s="27"/>
      <c r="J353" s="27"/>
      <c r="K353" s="26"/>
      <c r="L353" s="11"/>
      <c r="M353" s="15"/>
      <c r="N353" s="35"/>
      <c r="O353" s="15"/>
      <c r="P353" s="35"/>
      <c r="Q353" s="15"/>
      <c r="R353" s="24" t="s">
        <v>227</v>
      </c>
      <c r="S353" s="62" t="s">
        <v>816</v>
      </c>
      <c r="T353" s="15"/>
      <c r="U353" s="15"/>
      <c r="V353" s="54">
        <v>1765000</v>
      </c>
      <c r="W353" s="54">
        <v>2248420</v>
      </c>
      <c r="X353" s="54">
        <v>-483420</v>
      </c>
    </row>
    <row r="354" spans="3:24" x14ac:dyDescent="0.25">
      <c r="C354" s="39">
        <v>2017</v>
      </c>
      <c r="D354" s="62" t="s">
        <v>1118</v>
      </c>
      <c r="E354" s="63" t="s">
        <v>1119</v>
      </c>
      <c r="F354" s="64">
        <v>43048</v>
      </c>
      <c r="G354" s="65" t="s">
        <v>34</v>
      </c>
      <c r="H354" s="94">
        <v>4860000</v>
      </c>
      <c r="I354" s="27">
        <v>3418000</v>
      </c>
      <c r="J354" s="27"/>
      <c r="K354" s="26">
        <v>-0.29670781893004117</v>
      </c>
      <c r="L354" s="11" t="s">
        <v>464</v>
      </c>
      <c r="M354" s="15">
        <v>8</v>
      </c>
      <c r="N354" s="35" t="s">
        <v>25</v>
      </c>
      <c r="O354" s="15">
        <v>4</v>
      </c>
      <c r="P354" s="35" t="s">
        <v>492</v>
      </c>
      <c r="Q354" s="15"/>
      <c r="R354" s="24"/>
      <c r="S354" s="62" t="s">
        <v>816</v>
      </c>
      <c r="T354" s="15"/>
      <c r="U354" s="15"/>
      <c r="V354" s="54">
        <v>4860000</v>
      </c>
      <c r="W354" s="54">
        <v>3418000</v>
      </c>
      <c r="X354" s="54">
        <v>1442000</v>
      </c>
    </row>
    <row r="355" spans="3:24" x14ac:dyDescent="0.25">
      <c r="C355" s="39">
        <v>2017</v>
      </c>
      <c r="D355" s="62" t="s">
        <v>1075</v>
      </c>
      <c r="E355" s="63" t="s">
        <v>1076</v>
      </c>
      <c r="F355" s="64">
        <v>42999</v>
      </c>
      <c r="G355" s="65" t="s">
        <v>34</v>
      </c>
      <c r="H355" s="94">
        <v>1250000</v>
      </c>
      <c r="I355" s="27">
        <v>876947</v>
      </c>
      <c r="J355" s="27"/>
      <c r="K355" s="26">
        <v>-0.2984424</v>
      </c>
      <c r="L355" s="11" t="s">
        <v>464</v>
      </c>
      <c r="M355" s="15">
        <v>13</v>
      </c>
      <c r="N355" s="35" t="s">
        <v>93</v>
      </c>
      <c r="O355" s="15">
        <v>3</v>
      </c>
      <c r="P355" s="35" t="s">
        <v>492</v>
      </c>
      <c r="Q355" s="15"/>
      <c r="R355" s="24"/>
      <c r="S355" s="62" t="s">
        <v>816</v>
      </c>
      <c r="T355" s="15"/>
      <c r="U355" s="15"/>
      <c r="V355" s="54">
        <v>1250000</v>
      </c>
      <c r="W355" s="54">
        <v>876947</v>
      </c>
      <c r="X355" s="54">
        <v>373053</v>
      </c>
    </row>
    <row r="356" spans="3:24" x14ac:dyDescent="0.25">
      <c r="C356" s="39">
        <v>2017</v>
      </c>
      <c r="D356" s="62" t="s">
        <v>1060</v>
      </c>
      <c r="E356" s="63" t="s">
        <v>1061</v>
      </c>
      <c r="F356" s="64">
        <v>42950</v>
      </c>
      <c r="G356" s="65" t="s">
        <v>190</v>
      </c>
      <c r="H356" s="94">
        <v>13720000</v>
      </c>
      <c r="I356" s="27">
        <v>11539200</v>
      </c>
      <c r="J356" s="27" t="s">
        <v>519</v>
      </c>
      <c r="K356" s="26">
        <v>-0.15895043731778424</v>
      </c>
      <c r="L356" s="11" t="s">
        <v>464</v>
      </c>
      <c r="M356" s="15">
        <v>4</v>
      </c>
      <c r="N356" s="35" t="s">
        <v>25</v>
      </c>
      <c r="O356" s="15">
        <v>3</v>
      </c>
      <c r="P356" s="35" t="s">
        <v>492</v>
      </c>
      <c r="Q356" s="15"/>
      <c r="R356" s="24"/>
      <c r="S356" s="62" t="s">
        <v>816</v>
      </c>
      <c r="T356" s="15"/>
      <c r="U356" s="15"/>
      <c r="V356" s="54">
        <v>13720000</v>
      </c>
      <c r="W356" s="54">
        <v>11539200</v>
      </c>
      <c r="X356" s="54">
        <v>2180800</v>
      </c>
    </row>
    <row r="357" spans="3:24" x14ac:dyDescent="0.25">
      <c r="C357" s="39">
        <v>2017</v>
      </c>
      <c r="D357" s="62" t="s">
        <v>1001</v>
      </c>
      <c r="E357" s="63" t="s">
        <v>1008</v>
      </c>
      <c r="F357" s="64">
        <v>42872</v>
      </c>
      <c r="G357" s="65" t="s">
        <v>34</v>
      </c>
      <c r="H357" s="94">
        <v>5000000</v>
      </c>
      <c r="I357" s="27">
        <v>5210665</v>
      </c>
      <c r="J357" s="27" t="s">
        <v>519</v>
      </c>
      <c r="K357" s="26">
        <v>4.2132999999999997E-2</v>
      </c>
      <c r="L357" s="11" t="s">
        <v>464</v>
      </c>
      <c r="M357" s="15">
        <v>9</v>
      </c>
      <c r="N357" s="35" t="s">
        <v>226</v>
      </c>
      <c r="O357" s="15">
        <v>2</v>
      </c>
      <c r="P357" s="35" t="s">
        <v>492</v>
      </c>
      <c r="Q357" s="15"/>
      <c r="R357" s="24"/>
      <c r="S357" s="62" t="s">
        <v>816</v>
      </c>
      <c r="T357" s="15"/>
      <c r="U357" s="15"/>
      <c r="V357" s="54">
        <v>5000000</v>
      </c>
      <c r="W357" s="54">
        <v>5210665</v>
      </c>
      <c r="X357" s="54">
        <v>-210665</v>
      </c>
    </row>
    <row r="358" spans="3:24" x14ac:dyDescent="0.25">
      <c r="C358" s="39">
        <v>2017</v>
      </c>
      <c r="D358" s="62" t="s">
        <v>999</v>
      </c>
      <c r="E358" s="63" t="s">
        <v>1000</v>
      </c>
      <c r="F358" s="64">
        <v>42871</v>
      </c>
      <c r="G358" s="65" t="s">
        <v>34</v>
      </c>
      <c r="H358" s="94">
        <v>9000000</v>
      </c>
      <c r="I358" s="27">
        <v>10805265</v>
      </c>
      <c r="J358" s="105" t="s">
        <v>519</v>
      </c>
      <c r="K358" s="26">
        <v>0.20058500000000001</v>
      </c>
      <c r="L358" s="11" t="s">
        <v>465</v>
      </c>
      <c r="M358" s="15">
        <v>2</v>
      </c>
      <c r="N358" s="35" t="s">
        <v>25</v>
      </c>
      <c r="O358" s="15">
        <v>2</v>
      </c>
      <c r="P358" s="35" t="s">
        <v>492</v>
      </c>
      <c r="Q358" s="15"/>
      <c r="R358" s="24"/>
      <c r="S358" s="62" t="s">
        <v>816</v>
      </c>
      <c r="T358" s="15"/>
      <c r="U358" s="15"/>
      <c r="V358" s="54">
        <v>9000000</v>
      </c>
      <c r="W358" s="54">
        <v>10805265</v>
      </c>
      <c r="X358" s="54">
        <v>-1805265</v>
      </c>
    </row>
    <row r="359" spans="3:24" x14ac:dyDescent="0.25">
      <c r="C359" s="39">
        <v>2017</v>
      </c>
      <c r="D359" s="62" t="s">
        <v>989</v>
      </c>
      <c r="E359" s="63" t="s">
        <v>879</v>
      </c>
      <c r="F359" s="64">
        <v>42845</v>
      </c>
      <c r="G359" s="65" t="s">
        <v>693</v>
      </c>
      <c r="H359" s="94">
        <v>2625000</v>
      </c>
      <c r="I359" s="27">
        <v>2472675</v>
      </c>
      <c r="J359" s="27"/>
      <c r="K359" s="26">
        <v>-5.8028571428571429E-2</v>
      </c>
      <c r="L359" s="11" t="s">
        <v>464</v>
      </c>
      <c r="M359" s="15">
        <v>6</v>
      </c>
      <c r="N359" s="35" t="s">
        <v>25</v>
      </c>
      <c r="O359" s="15">
        <v>2</v>
      </c>
      <c r="P359" s="35" t="s">
        <v>492</v>
      </c>
      <c r="Q359" s="15"/>
      <c r="R359" s="24"/>
      <c r="S359" s="62" t="s">
        <v>816</v>
      </c>
      <c r="T359" s="15"/>
      <c r="U359" s="15"/>
      <c r="V359" s="54">
        <v>2625000</v>
      </c>
      <c r="W359" s="54">
        <v>2472675</v>
      </c>
      <c r="X359" s="54">
        <v>152325</v>
      </c>
    </row>
    <row r="360" spans="3:24" x14ac:dyDescent="0.25">
      <c r="C360" s="39">
        <v>2017</v>
      </c>
      <c r="D360" s="62" t="s">
        <v>987</v>
      </c>
      <c r="E360" s="63" t="s">
        <v>988</v>
      </c>
      <c r="F360" s="64">
        <v>42845</v>
      </c>
      <c r="G360" s="65" t="s">
        <v>34</v>
      </c>
      <c r="H360" s="94">
        <v>1520000</v>
      </c>
      <c r="I360" s="27">
        <v>994200</v>
      </c>
      <c r="J360" s="27"/>
      <c r="K360" s="26">
        <v>-0.34592105263157896</v>
      </c>
      <c r="L360" s="11" t="s">
        <v>464</v>
      </c>
      <c r="M360" s="15">
        <v>4</v>
      </c>
      <c r="N360" s="35" t="s">
        <v>25</v>
      </c>
      <c r="O360" s="15">
        <v>2</v>
      </c>
      <c r="P360" s="35" t="s">
        <v>492</v>
      </c>
      <c r="Q360" s="15"/>
      <c r="R360" s="24"/>
      <c r="S360" s="62" t="s">
        <v>816</v>
      </c>
      <c r="T360" s="15"/>
      <c r="U360" s="15"/>
      <c r="V360" s="54">
        <v>1520000</v>
      </c>
      <c r="W360" s="54">
        <v>994200</v>
      </c>
      <c r="X360" s="54">
        <v>525800</v>
      </c>
    </row>
    <row r="361" spans="3:24" x14ac:dyDescent="0.25">
      <c r="C361" s="39">
        <v>2017</v>
      </c>
      <c r="D361" s="62" t="s">
        <v>977</v>
      </c>
      <c r="E361" s="63" t="s">
        <v>978</v>
      </c>
      <c r="F361" s="64">
        <v>42831</v>
      </c>
      <c r="G361" s="65" t="s">
        <v>34</v>
      </c>
      <c r="H361" s="94">
        <v>1655000</v>
      </c>
      <c r="I361" s="27">
        <v>1398667</v>
      </c>
      <c r="J361" s="27"/>
      <c r="K361" s="26">
        <v>-0.15488398791540786</v>
      </c>
      <c r="L361" s="11" t="s">
        <v>464</v>
      </c>
      <c r="M361" s="15">
        <v>3</v>
      </c>
      <c r="N361" s="35" t="s">
        <v>93</v>
      </c>
      <c r="O361" s="15">
        <v>2</v>
      </c>
      <c r="P361" s="35" t="s">
        <v>492</v>
      </c>
      <c r="Q361" s="15"/>
      <c r="R361" s="24"/>
      <c r="S361" s="62" t="s">
        <v>816</v>
      </c>
      <c r="T361" s="15"/>
      <c r="U361" s="15"/>
      <c r="V361" s="54">
        <v>1655000</v>
      </c>
      <c r="W361" s="54">
        <v>1398667</v>
      </c>
      <c r="X361" s="54">
        <v>256333</v>
      </c>
    </row>
    <row r="362" spans="3:24" x14ac:dyDescent="0.25">
      <c r="C362" s="39">
        <v>2017</v>
      </c>
      <c r="D362" s="62" t="s">
        <v>956</v>
      </c>
      <c r="E362" s="63" t="s">
        <v>957</v>
      </c>
      <c r="F362" s="64">
        <v>42810</v>
      </c>
      <c r="G362" s="65" t="s">
        <v>693</v>
      </c>
      <c r="H362" s="27">
        <v>1425000</v>
      </c>
      <c r="I362" s="27">
        <v>1087425</v>
      </c>
      <c r="J362" s="27"/>
      <c r="K362" s="26">
        <v>-0.23689473684210527</v>
      </c>
      <c r="L362" s="11" t="s">
        <v>464</v>
      </c>
      <c r="M362" s="15">
        <v>6</v>
      </c>
      <c r="N362" s="35" t="s">
        <v>93</v>
      </c>
      <c r="O362" s="15">
        <v>1</v>
      </c>
      <c r="P362" s="35" t="s">
        <v>492</v>
      </c>
      <c r="Q362" s="15"/>
      <c r="R362" s="24"/>
      <c r="S362" s="62" t="s">
        <v>816</v>
      </c>
      <c r="T362" s="15"/>
      <c r="U362" s="15"/>
      <c r="V362" s="54">
        <v>1425000</v>
      </c>
      <c r="W362" s="54">
        <v>1087425</v>
      </c>
      <c r="X362" s="54">
        <v>337575</v>
      </c>
    </row>
    <row r="363" spans="3:24" x14ac:dyDescent="0.25">
      <c r="C363" s="39">
        <v>2017</v>
      </c>
      <c r="D363" s="62" t="s">
        <v>832</v>
      </c>
      <c r="E363" s="63" t="s">
        <v>833</v>
      </c>
      <c r="F363" s="64">
        <v>42752</v>
      </c>
      <c r="G363" s="65" t="s">
        <v>34</v>
      </c>
      <c r="H363" s="94">
        <v>4200000</v>
      </c>
      <c r="I363" s="27">
        <v>3987114</v>
      </c>
      <c r="J363" s="27"/>
      <c r="K363" s="26">
        <v>-5.0687142857142854E-2</v>
      </c>
      <c r="L363" s="11" t="s">
        <v>464</v>
      </c>
      <c r="M363" s="15">
        <v>3</v>
      </c>
      <c r="N363" s="35" t="s">
        <v>25</v>
      </c>
      <c r="O363" s="15">
        <v>1</v>
      </c>
      <c r="P363" s="35" t="s">
        <v>492</v>
      </c>
      <c r="Q363" s="15"/>
      <c r="R363" s="24"/>
      <c r="S363" s="62" t="s">
        <v>816</v>
      </c>
      <c r="T363" s="15"/>
      <c r="U363" s="15"/>
      <c r="V363" s="54">
        <v>4200000</v>
      </c>
      <c r="W363" s="54">
        <v>3987114</v>
      </c>
      <c r="X363" s="54">
        <v>212886</v>
      </c>
    </row>
    <row r="364" spans="3:24" x14ac:dyDescent="0.25">
      <c r="C364" s="39"/>
      <c r="E364" s="85"/>
      <c r="F364" s="85"/>
      <c r="G364" s="85"/>
      <c r="H364" s="86">
        <f>SUM(H353:H363)</f>
        <v>45255000</v>
      </c>
      <c r="I364" s="86">
        <f>SUM(I353:I363)</f>
        <v>41790158</v>
      </c>
      <c r="J364" s="85"/>
      <c r="K364" s="87">
        <f>+I364/H364</f>
        <v>0.92343736603690196</v>
      </c>
      <c r="L364" s="85">
        <f>COUNTA(L353:L363)</f>
        <v>10</v>
      </c>
      <c r="M364" s="88">
        <f>SUM(M353:M363)/L364</f>
        <v>5.8</v>
      </c>
      <c r="N364" s="89"/>
      <c r="O364" s="85"/>
      <c r="P364" s="119">
        <f>9/L364</f>
        <v>0.9</v>
      </c>
      <c r="Q364" s="85"/>
    </row>
    <row r="365" spans="3:24" x14ac:dyDescent="0.25">
      <c r="C365" s="39"/>
    </row>
    <row r="366" spans="3:24" x14ac:dyDescent="0.25">
      <c r="C366" s="39"/>
      <c r="E366" s="126" t="s">
        <v>1171</v>
      </c>
      <c r="F366" s="70" t="str">
        <f>"'15 final"</f>
        <v>'15 final</v>
      </c>
      <c r="G366" s="70" t="str">
        <f>"'16 final"</f>
        <v>'16 final</v>
      </c>
      <c r="H366" s="121" t="str">
        <f>"'17 final"</f>
        <v>'17 final</v>
      </c>
      <c r="P366" s="11"/>
    </row>
    <row r="367" spans="3:24" x14ac:dyDescent="0.25">
      <c r="C367" s="39"/>
      <c r="E367" s="71" t="s">
        <v>800</v>
      </c>
      <c r="F367" s="11">
        <v>8</v>
      </c>
      <c r="G367" s="11">
        <v>10</v>
      </c>
      <c r="H367" s="104">
        <f>+L364</f>
        <v>10</v>
      </c>
      <c r="P367" s="11"/>
    </row>
    <row r="368" spans="3:24" x14ac:dyDescent="0.25">
      <c r="C368" s="39"/>
      <c r="E368" s="72" t="s">
        <v>801</v>
      </c>
      <c r="F368" s="11">
        <v>4</v>
      </c>
      <c r="G368" s="11">
        <v>7</v>
      </c>
      <c r="H368" s="104">
        <f>+H367-H369</f>
        <v>7</v>
      </c>
      <c r="P368" s="11"/>
    </row>
    <row r="369" spans="3:16" x14ac:dyDescent="0.25">
      <c r="C369" s="39"/>
      <c r="E369" s="72" t="s">
        <v>802</v>
      </c>
      <c r="F369" s="11">
        <v>4</v>
      </c>
      <c r="G369" s="11">
        <v>3</v>
      </c>
      <c r="H369" s="104">
        <v>3</v>
      </c>
      <c r="P369" s="11"/>
    </row>
    <row r="370" spans="3:16" x14ac:dyDescent="0.25">
      <c r="C370" s="39"/>
      <c r="E370" s="72"/>
      <c r="F370" s="11"/>
      <c r="G370" s="11"/>
      <c r="H370" s="104"/>
      <c r="P370" s="11"/>
    </row>
    <row r="371" spans="3:16" x14ac:dyDescent="0.25">
      <c r="C371" s="39"/>
      <c r="E371" s="72" t="s">
        <v>1144</v>
      </c>
      <c r="F371" s="78">
        <v>53</v>
      </c>
      <c r="G371" s="78">
        <v>81</v>
      </c>
      <c r="H371" s="122">
        <f>+I364/1000000</f>
        <v>41.790157999999998</v>
      </c>
      <c r="P371" s="11"/>
    </row>
    <row r="372" spans="3:16" x14ac:dyDescent="0.25">
      <c r="C372" s="39"/>
      <c r="E372" s="72" t="s">
        <v>806</v>
      </c>
      <c r="F372" s="75">
        <v>8.75</v>
      </c>
      <c r="G372" s="75">
        <v>6.9</v>
      </c>
      <c r="H372" s="123">
        <f>+M364</f>
        <v>5.8</v>
      </c>
      <c r="P372" s="11"/>
    </row>
    <row r="373" spans="3:16" x14ac:dyDescent="0.25">
      <c r="C373" s="39"/>
      <c r="E373" s="72" t="s">
        <v>807</v>
      </c>
      <c r="F373" s="74">
        <v>0.97399999999999998</v>
      </c>
      <c r="G373" s="74">
        <v>0.81599999999999995</v>
      </c>
      <c r="H373" s="124">
        <f>+I364/H364</f>
        <v>0.92343736603690196</v>
      </c>
      <c r="P373" s="11"/>
    </row>
    <row r="374" spans="3:16" x14ac:dyDescent="0.25">
      <c r="C374" s="39"/>
      <c r="E374" s="72"/>
      <c r="F374" s="11"/>
      <c r="G374" s="11"/>
      <c r="H374" s="104"/>
      <c r="P374" s="11"/>
    </row>
    <row r="375" spans="3:16" x14ac:dyDescent="0.25">
      <c r="C375" s="39"/>
      <c r="E375" s="72" t="s">
        <v>803</v>
      </c>
      <c r="F375" s="74">
        <f>7/8</f>
        <v>0.875</v>
      </c>
      <c r="G375" s="74">
        <v>0.8</v>
      </c>
      <c r="H375" s="108">
        <f>+P364</f>
        <v>0.9</v>
      </c>
      <c r="P375" s="11"/>
    </row>
    <row r="376" spans="3:16" x14ac:dyDescent="0.25">
      <c r="C376" s="107"/>
      <c r="D376" s="52"/>
      <c r="E376" s="72" t="s">
        <v>804</v>
      </c>
      <c r="F376" s="74">
        <v>0.75</v>
      </c>
      <c r="G376" s="74">
        <f>6/7</f>
        <v>0.8571428571428571</v>
      </c>
      <c r="H376" s="108">
        <f>7/H368</f>
        <v>1</v>
      </c>
      <c r="P376" s="11"/>
    </row>
    <row r="377" spans="3:16" x14ac:dyDescent="0.25">
      <c r="C377" s="107"/>
      <c r="D377" s="52"/>
      <c r="E377" s="72" t="s">
        <v>805</v>
      </c>
      <c r="F377" s="74">
        <v>1</v>
      </c>
      <c r="G377" s="74">
        <v>0.66700000000000004</v>
      </c>
      <c r="H377" s="108">
        <f>2/H369</f>
        <v>0.66666666666666663</v>
      </c>
      <c r="P377" s="11"/>
    </row>
    <row r="378" spans="3:16" x14ac:dyDescent="0.25">
      <c r="C378" s="39"/>
      <c r="E378" s="72"/>
      <c r="F378" s="11"/>
      <c r="G378" s="11"/>
      <c r="H378" s="104"/>
      <c r="P378" s="11"/>
    </row>
    <row r="379" spans="3:16" x14ac:dyDescent="0.25">
      <c r="C379" s="39"/>
      <c r="E379" s="72" t="s">
        <v>1141</v>
      </c>
      <c r="F379" s="11">
        <v>1</v>
      </c>
      <c r="G379" s="11">
        <v>0</v>
      </c>
      <c r="H379" s="104">
        <v>4</v>
      </c>
    </row>
    <row r="380" spans="3:16" x14ac:dyDescent="0.25">
      <c r="E380" s="106" t="s">
        <v>1143</v>
      </c>
      <c r="F380" s="108">
        <f>+F379/F367</f>
        <v>0.125</v>
      </c>
      <c r="G380" s="74">
        <v>0</v>
      </c>
      <c r="H380" s="108">
        <f>+H379/H367</f>
        <v>0.4</v>
      </c>
    </row>
    <row r="381" spans="3:16" x14ac:dyDescent="0.25">
      <c r="C381" s="39"/>
      <c r="E381" s="72" t="s">
        <v>1142</v>
      </c>
      <c r="F381" s="11">
        <v>1</v>
      </c>
      <c r="G381" s="11">
        <v>0</v>
      </c>
      <c r="H381" s="104">
        <v>1</v>
      </c>
    </row>
    <row r="382" spans="3:16" x14ac:dyDescent="0.25">
      <c r="C382" s="39"/>
      <c r="E382" s="106" t="s">
        <v>1169</v>
      </c>
      <c r="F382" s="108">
        <f t="shared" ref="F382:G382" si="44">+F381/F367</f>
        <v>0.125</v>
      </c>
      <c r="G382" s="108">
        <f t="shared" si="44"/>
        <v>0</v>
      </c>
      <c r="H382" s="108">
        <f>+H381/H367</f>
        <v>0.1</v>
      </c>
    </row>
    <row r="383" spans="3:16" x14ac:dyDescent="0.25">
      <c r="C383" s="39"/>
    </row>
    <row r="384" spans="3:16" x14ac:dyDescent="0.25">
      <c r="C384" s="39"/>
    </row>
    <row r="385" spans="3:24" x14ac:dyDescent="0.25">
      <c r="C385" s="39"/>
    </row>
    <row r="386" spans="3:24" x14ac:dyDescent="0.25">
      <c r="C386" s="39">
        <v>2017</v>
      </c>
      <c r="D386" s="62" t="s">
        <v>1107</v>
      </c>
      <c r="E386" s="63" t="s">
        <v>1109</v>
      </c>
      <c r="F386" s="64">
        <v>43034</v>
      </c>
      <c r="G386" s="65" t="s">
        <v>756</v>
      </c>
      <c r="H386" s="94">
        <v>2194000</v>
      </c>
      <c r="I386" s="27">
        <v>1361078</v>
      </c>
      <c r="J386" s="27"/>
      <c r="K386" s="26">
        <v>-0.3796362807657247</v>
      </c>
      <c r="L386" s="11" t="s">
        <v>465</v>
      </c>
      <c r="M386" s="15">
        <v>6</v>
      </c>
      <c r="N386" s="35" t="s">
        <v>25</v>
      </c>
      <c r="O386" s="15">
        <v>4</v>
      </c>
      <c r="P386" s="35" t="s">
        <v>459</v>
      </c>
      <c r="Q386" s="15"/>
      <c r="R386" s="24"/>
      <c r="S386" s="62" t="s">
        <v>447</v>
      </c>
      <c r="T386" s="15"/>
      <c r="U386" s="15"/>
      <c r="V386" s="54">
        <v>2194000</v>
      </c>
      <c r="W386" s="54">
        <v>1361078</v>
      </c>
      <c r="X386" s="54">
        <v>832922</v>
      </c>
    </row>
    <row r="387" spans="3:24" x14ac:dyDescent="0.25">
      <c r="C387" s="101">
        <v>2017</v>
      </c>
      <c r="D387" s="62" t="s">
        <v>1042</v>
      </c>
      <c r="E387" s="63" t="s">
        <v>1043</v>
      </c>
      <c r="F387" s="64">
        <v>42913</v>
      </c>
      <c r="G387" s="65" t="s">
        <v>190</v>
      </c>
      <c r="H387" s="94">
        <v>1480000</v>
      </c>
      <c r="I387" s="27">
        <v>1483000</v>
      </c>
      <c r="J387" s="27"/>
      <c r="K387" s="26">
        <v>2.0270270270270271E-3</v>
      </c>
      <c r="L387" s="11" t="s">
        <v>464</v>
      </c>
      <c r="M387" s="15">
        <v>7</v>
      </c>
      <c r="N387" s="35" t="s">
        <v>25</v>
      </c>
      <c r="O387" s="15">
        <v>2</v>
      </c>
      <c r="P387" s="35" t="s">
        <v>459</v>
      </c>
      <c r="Q387" s="15"/>
      <c r="R387" s="24"/>
      <c r="S387" s="62" t="s">
        <v>447</v>
      </c>
      <c r="T387" s="15"/>
      <c r="U387" s="15"/>
      <c r="V387" s="54">
        <v>1480000</v>
      </c>
      <c r="W387" s="54">
        <v>1483000</v>
      </c>
      <c r="X387" s="54">
        <v>-3000</v>
      </c>
    </row>
    <row r="388" spans="3:24" x14ac:dyDescent="0.25">
      <c r="C388" s="39">
        <v>2017</v>
      </c>
      <c r="D388" s="62" t="s">
        <v>1018</v>
      </c>
      <c r="E388" s="63" t="s">
        <v>1019</v>
      </c>
      <c r="F388" s="64">
        <v>42873</v>
      </c>
      <c r="G388" s="65" t="s">
        <v>756</v>
      </c>
      <c r="H388" s="94">
        <v>29400000</v>
      </c>
      <c r="I388" s="27">
        <v>40981000</v>
      </c>
      <c r="J388" s="105" t="s">
        <v>519</v>
      </c>
      <c r="K388" s="26">
        <v>0.39391156462585036</v>
      </c>
      <c r="L388" s="11" t="s">
        <v>465</v>
      </c>
      <c r="M388" s="15">
        <v>2</v>
      </c>
      <c r="N388" s="35" t="s">
        <v>25</v>
      </c>
      <c r="O388" s="15">
        <v>2</v>
      </c>
      <c r="P388" s="35" t="s">
        <v>459</v>
      </c>
      <c r="Q388" s="15"/>
      <c r="R388" s="24"/>
      <c r="S388" s="62" t="s">
        <v>447</v>
      </c>
      <c r="T388" s="15"/>
      <c r="U388" s="15"/>
      <c r="V388" s="54">
        <v>29400000</v>
      </c>
      <c r="W388" s="54">
        <v>40981000</v>
      </c>
      <c r="X388" s="54">
        <v>-11581000</v>
      </c>
    </row>
    <row r="389" spans="3:24" x14ac:dyDescent="0.25">
      <c r="C389" s="39">
        <v>2017</v>
      </c>
      <c r="D389" s="62" t="s">
        <v>983</v>
      </c>
      <c r="E389" s="63" t="s">
        <v>985</v>
      </c>
      <c r="F389" s="64">
        <v>42844</v>
      </c>
      <c r="G389" s="65" t="s">
        <v>190</v>
      </c>
      <c r="H389" s="94">
        <v>30360000</v>
      </c>
      <c r="I389" s="27">
        <v>32920674</v>
      </c>
      <c r="J389" s="27" t="s">
        <v>519</v>
      </c>
      <c r="K389" s="26">
        <v>8.4343675889328062E-2</v>
      </c>
      <c r="L389" s="11" t="s">
        <v>464</v>
      </c>
      <c r="M389" s="15">
        <v>3</v>
      </c>
      <c r="N389" s="35" t="s">
        <v>25</v>
      </c>
      <c r="O389" s="15">
        <v>2</v>
      </c>
      <c r="P389" s="35" t="s">
        <v>459</v>
      </c>
      <c r="Q389" s="15"/>
      <c r="R389" s="24"/>
      <c r="S389" s="62" t="s">
        <v>447</v>
      </c>
      <c r="T389" s="15"/>
      <c r="U389" s="15"/>
      <c r="V389" s="54">
        <v>30360000</v>
      </c>
      <c r="W389" s="54">
        <v>32920674</v>
      </c>
      <c r="X389" s="54">
        <v>-2560674</v>
      </c>
    </row>
    <row r="390" spans="3:24" x14ac:dyDescent="0.25">
      <c r="C390" s="39"/>
      <c r="E390" s="85"/>
      <c r="F390" s="85"/>
      <c r="G390" s="85"/>
      <c r="H390" s="86">
        <f>SUM(H386:H389)</f>
        <v>63434000</v>
      </c>
      <c r="I390" s="86">
        <f>SUM(I386:I389)</f>
        <v>76745752</v>
      </c>
      <c r="J390" s="85"/>
      <c r="K390" s="87">
        <f>+I390/H390</f>
        <v>1.2098520036573446</v>
      </c>
      <c r="L390" s="85">
        <f>COUNTA(L386:L389)</f>
        <v>4</v>
      </c>
      <c r="M390" s="88">
        <f>SUM(M386:M389)/L390</f>
        <v>4.5</v>
      </c>
      <c r="N390" s="89"/>
      <c r="O390" s="85"/>
      <c r="P390" s="119">
        <f>2/L390</f>
        <v>0.5</v>
      </c>
      <c r="Q390" s="85"/>
    </row>
    <row r="391" spans="3:24" x14ac:dyDescent="0.25">
      <c r="C391" s="39"/>
    </row>
    <row r="392" spans="3:24" x14ac:dyDescent="0.25">
      <c r="C392" s="39"/>
      <c r="E392" s="126" t="s">
        <v>1172</v>
      </c>
      <c r="F392" s="70" t="str">
        <f>"'15 final"</f>
        <v>'15 final</v>
      </c>
      <c r="G392" s="70" t="str">
        <f>"'16 final"</f>
        <v>'16 final</v>
      </c>
      <c r="H392" s="121" t="str">
        <f>"'17 final"</f>
        <v>'17 final</v>
      </c>
      <c r="P392" s="11"/>
    </row>
    <row r="393" spans="3:24" x14ac:dyDescent="0.25">
      <c r="C393" s="39"/>
      <c r="E393" s="71" t="s">
        <v>800</v>
      </c>
      <c r="F393" s="11">
        <v>4</v>
      </c>
      <c r="G393" s="11">
        <v>6</v>
      </c>
      <c r="H393" s="104">
        <f>+L390</f>
        <v>4</v>
      </c>
      <c r="P393" s="11"/>
    </row>
    <row r="394" spans="3:24" x14ac:dyDescent="0.25">
      <c r="C394" s="39"/>
      <c r="E394" s="72" t="s">
        <v>801</v>
      </c>
      <c r="F394" s="11">
        <v>4</v>
      </c>
      <c r="G394" s="11">
        <v>5</v>
      </c>
      <c r="H394" s="104">
        <f>+H393-H395</f>
        <v>2</v>
      </c>
      <c r="P394" s="11"/>
    </row>
    <row r="395" spans="3:24" x14ac:dyDescent="0.25">
      <c r="C395" s="39"/>
      <c r="E395" s="72" t="s">
        <v>802</v>
      </c>
      <c r="F395" s="11">
        <v>0</v>
      </c>
      <c r="G395" s="11">
        <v>1</v>
      </c>
      <c r="H395" s="104">
        <v>2</v>
      </c>
      <c r="P395" s="11"/>
    </row>
    <row r="396" spans="3:24" x14ac:dyDescent="0.25">
      <c r="C396" s="39"/>
      <c r="E396" s="72"/>
      <c r="F396" s="11"/>
      <c r="G396" s="11"/>
      <c r="H396" s="104"/>
      <c r="P396" s="11"/>
    </row>
    <row r="397" spans="3:24" x14ac:dyDescent="0.25">
      <c r="C397" s="39"/>
      <c r="E397" s="72" t="s">
        <v>1144</v>
      </c>
      <c r="F397" s="78">
        <v>14</v>
      </c>
      <c r="G397" s="78">
        <v>32</v>
      </c>
      <c r="H397" s="122">
        <f>+I390/1000000</f>
        <v>76.745751999999996</v>
      </c>
      <c r="P397" s="11"/>
    </row>
    <row r="398" spans="3:24" x14ac:dyDescent="0.25">
      <c r="C398" s="39"/>
      <c r="E398" s="72" t="s">
        <v>806</v>
      </c>
      <c r="F398" s="75">
        <v>2.8</v>
      </c>
      <c r="G398" s="75">
        <v>4.33</v>
      </c>
      <c r="H398" s="123">
        <f>+M390</f>
        <v>4.5</v>
      </c>
      <c r="P398" s="11"/>
    </row>
    <row r="399" spans="3:24" x14ac:dyDescent="0.25">
      <c r="C399" s="39"/>
      <c r="E399" s="72" t="s">
        <v>807</v>
      </c>
      <c r="F399" s="74">
        <v>1.3169999999999999</v>
      </c>
      <c r="G399" s="74">
        <v>0.90100000000000002</v>
      </c>
      <c r="H399" s="124">
        <f>+I390/H390</f>
        <v>1.2098520036573446</v>
      </c>
      <c r="P399" s="11"/>
    </row>
    <row r="400" spans="3:24" x14ac:dyDescent="0.25">
      <c r="C400" s="39"/>
      <c r="E400" s="72"/>
      <c r="F400" s="11"/>
      <c r="G400" s="11"/>
      <c r="H400" s="104"/>
      <c r="P400" s="11"/>
    </row>
    <row r="401" spans="2:24" x14ac:dyDescent="0.25">
      <c r="C401" s="39"/>
      <c r="E401" s="72" t="s">
        <v>803</v>
      </c>
      <c r="F401" s="74">
        <v>0.25</v>
      </c>
      <c r="G401" s="74">
        <f>4/6</f>
        <v>0.66666666666666663</v>
      </c>
      <c r="H401" s="108">
        <f>+P390</f>
        <v>0.5</v>
      </c>
      <c r="P401" s="11"/>
    </row>
    <row r="402" spans="2:24" x14ac:dyDescent="0.25">
      <c r="C402" s="107"/>
      <c r="D402" s="52"/>
      <c r="E402" s="72" t="s">
        <v>804</v>
      </c>
      <c r="F402" s="74">
        <v>0.25</v>
      </c>
      <c r="G402" s="74">
        <f>3/5</f>
        <v>0.6</v>
      </c>
      <c r="H402" s="108">
        <f>1/H394</f>
        <v>0.5</v>
      </c>
      <c r="P402" s="11"/>
    </row>
    <row r="403" spans="2:24" x14ac:dyDescent="0.25">
      <c r="C403" s="107"/>
      <c r="D403" s="52"/>
      <c r="E403" s="72" t="s">
        <v>805</v>
      </c>
      <c r="F403" s="127" t="s">
        <v>1173</v>
      </c>
      <c r="G403" s="74">
        <v>1</v>
      </c>
      <c r="H403" s="108">
        <f>1/H395</f>
        <v>0.5</v>
      </c>
      <c r="P403" s="11"/>
    </row>
    <row r="404" spans="2:24" x14ac:dyDescent="0.25">
      <c r="C404" s="39"/>
      <c r="E404" s="72"/>
      <c r="F404" s="11"/>
      <c r="G404" s="11"/>
      <c r="H404" s="104"/>
      <c r="P404" s="11"/>
    </row>
    <row r="405" spans="2:24" x14ac:dyDescent="0.25">
      <c r="C405" s="39"/>
      <c r="E405" s="72" t="s">
        <v>1141</v>
      </c>
      <c r="F405" s="11">
        <v>4</v>
      </c>
      <c r="G405" s="11">
        <v>3</v>
      </c>
      <c r="H405" s="104">
        <v>2</v>
      </c>
    </row>
    <row r="406" spans="2:24" x14ac:dyDescent="0.25">
      <c r="E406" s="106" t="s">
        <v>1143</v>
      </c>
      <c r="F406" s="74">
        <f>F405/F393</f>
        <v>1</v>
      </c>
      <c r="G406" s="74">
        <f>G405/G393</f>
        <v>0.5</v>
      </c>
      <c r="H406" s="108">
        <f>+H405/H393</f>
        <v>0.5</v>
      </c>
    </row>
    <row r="407" spans="2:24" x14ac:dyDescent="0.25">
      <c r="C407" s="39"/>
      <c r="E407" s="72" t="s">
        <v>1142</v>
      </c>
      <c r="F407" s="11">
        <v>1</v>
      </c>
      <c r="G407" s="11">
        <v>1</v>
      </c>
      <c r="H407" s="104">
        <v>0</v>
      </c>
    </row>
    <row r="408" spans="2:24" x14ac:dyDescent="0.25">
      <c r="C408" s="39"/>
      <c r="E408" s="106" t="s">
        <v>1169</v>
      </c>
      <c r="F408" s="108">
        <f t="shared" ref="F408:G408" si="45">+F407/F393</f>
        <v>0.25</v>
      </c>
      <c r="G408" s="108">
        <f t="shared" si="45"/>
        <v>0.16666666666666666</v>
      </c>
      <c r="H408" s="108">
        <f>+H407/H393</f>
        <v>0</v>
      </c>
    </row>
    <row r="409" spans="2:24" x14ac:dyDescent="0.25">
      <c r="C409" s="39"/>
    </row>
    <row r="410" spans="2:24" x14ac:dyDescent="0.25">
      <c r="C410" s="39"/>
    </row>
    <row r="411" spans="2:24" x14ac:dyDescent="0.25">
      <c r="B411" s="128"/>
      <c r="C411" s="129"/>
      <c r="D411" s="128"/>
      <c r="E411" s="128"/>
      <c r="F411" s="128"/>
      <c r="G411" s="128"/>
      <c r="H411" s="128"/>
      <c r="I411" s="128"/>
      <c r="J411" s="128"/>
      <c r="K411" s="128"/>
      <c r="L411" s="128"/>
      <c r="M411" s="128"/>
      <c r="N411" s="130"/>
      <c r="O411" s="128"/>
      <c r="P411" s="128"/>
      <c r="Q411" s="128"/>
      <c r="R411" s="128"/>
    </row>
    <row r="412" spans="2:24" x14ac:dyDescent="0.25">
      <c r="C412" s="39"/>
    </row>
    <row r="413" spans="2:24" x14ac:dyDescent="0.25">
      <c r="C413" s="39"/>
    </row>
    <row r="414" spans="2:24" x14ac:dyDescent="0.25">
      <c r="C414" s="39"/>
      <c r="D414" s="15"/>
      <c r="E414" s="24"/>
      <c r="F414" s="25"/>
      <c r="G414" s="46"/>
      <c r="H414" s="27"/>
      <c r="I414" s="27"/>
      <c r="J414" s="27"/>
      <c r="K414" s="26"/>
      <c r="L414" s="11"/>
      <c r="M414" s="62"/>
      <c r="P414" s="11"/>
      <c r="V414" s="54"/>
      <c r="W414" s="54"/>
      <c r="X414" s="54"/>
    </row>
    <row r="415" spans="2:24" x14ac:dyDescent="0.25">
      <c r="C415" s="39"/>
    </row>
    <row r="416" spans="2:24" x14ac:dyDescent="0.25">
      <c r="C416" s="39"/>
    </row>
    <row r="417" spans="3:24" x14ac:dyDescent="0.25">
      <c r="C417" s="39"/>
    </row>
    <row r="418" spans="3:24" x14ac:dyDescent="0.25">
      <c r="C418" s="39">
        <v>2017</v>
      </c>
      <c r="D418" s="102" t="str">
        <f>+'LT-234.193'!$F$4</f>
        <v>LT-234.193</v>
      </c>
      <c r="E418" s="63" t="str">
        <f>+'LT-234.193'!$F$5</f>
        <v>Latent Salt Damage Repairs</v>
      </c>
      <c r="F418" s="64">
        <f>+'LT-234.193'!$F$6</f>
        <v>43054</v>
      </c>
      <c r="G418" s="65" t="str">
        <f>+'LT-234.193'!$G$7</f>
        <v>Public</v>
      </c>
      <c r="H418" s="94">
        <f>+'LT-234.193'!$F$7</f>
        <v>1350000</v>
      </c>
      <c r="I418" s="27">
        <f>+'LT-234.193'!$F$8</f>
        <v>2629000</v>
      </c>
      <c r="J418" s="27"/>
      <c r="K418" s="26">
        <f>+'LT-234.193'!$G$9</f>
        <v>0.94740740740740736</v>
      </c>
      <c r="L418" s="11" t="str">
        <f>+'LT-234.193'!$F$11</f>
        <v>FAIL</v>
      </c>
      <c r="M418" s="62">
        <f>+'LT-234.193'!$H$12</f>
        <v>1</v>
      </c>
      <c r="N418" s="35" t="s">
        <v>226</v>
      </c>
      <c r="O418" s="15">
        <v>4</v>
      </c>
      <c r="P418" s="35" t="s">
        <v>457</v>
      </c>
      <c r="Q418" s="15"/>
      <c r="R418" s="24" t="s">
        <v>782</v>
      </c>
      <c r="S418" s="62" t="str">
        <f>+'LT-234.193'!$J$4</f>
        <v>Joe Lucin</v>
      </c>
      <c r="T418" s="15"/>
      <c r="U418" s="15"/>
      <c r="V418" s="54">
        <f>+H418</f>
        <v>1350000</v>
      </c>
      <c r="W418" s="54">
        <f>+I418</f>
        <v>2629000</v>
      </c>
      <c r="X418" s="54">
        <f>+V418-W418</f>
        <v>-1279000</v>
      </c>
    </row>
    <row r="419" spans="3:24" x14ac:dyDescent="0.25">
      <c r="C419" s="39"/>
    </row>
    <row r="420" spans="3:24" x14ac:dyDescent="0.25">
      <c r="C420" s="39"/>
    </row>
    <row r="421" spans="3:24" x14ac:dyDescent="0.25">
      <c r="C421" s="39">
        <v>2017</v>
      </c>
      <c r="D421" s="102" t="s">
        <v>1150</v>
      </c>
      <c r="E421" s="63" t="s">
        <v>1151</v>
      </c>
      <c r="F421" s="64">
        <v>43083</v>
      </c>
      <c r="G421" s="65" t="s">
        <v>693</v>
      </c>
      <c r="H421" s="94">
        <v>979000</v>
      </c>
      <c r="I421" s="27">
        <v>1168000</v>
      </c>
      <c r="J421" s="27"/>
      <c r="K421" s="26">
        <v>0.1930541368743616</v>
      </c>
      <c r="L421" s="11" t="s">
        <v>465</v>
      </c>
      <c r="M421" s="62">
        <v>2</v>
      </c>
      <c r="N421" s="35" t="s">
        <v>25</v>
      </c>
      <c r="O421" s="15">
        <v>4</v>
      </c>
      <c r="P421" s="35" t="s">
        <v>458</v>
      </c>
      <c r="Q421" s="15"/>
      <c r="R421" s="24"/>
      <c r="S421" s="62" t="s">
        <v>784</v>
      </c>
      <c r="T421" s="15"/>
      <c r="U421" s="15"/>
      <c r="V421" s="54">
        <v>979000</v>
      </c>
      <c r="W421" s="54">
        <v>1168000</v>
      </c>
      <c r="X421" s="54">
        <v>-189000</v>
      </c>
    </row>
    <row r="422" spans="3:24" x14ac:dyDescent="0.25">
      <c r="C422" s="39">
        <v>2017</v>
      </c>
      <c r="D422" s="62" t="s">
        <v>1099</v>
      </c>
      <c r="E422" s="63" t="s">
        <v>1100</v>
      </c>
      <c r="F422" s="64">
        <v>43025</v>
      </c>
      <c r="G422" s="65" t="s">
        <v>34</v>
      </c>
      <c r="H422" s="94">
        <v>3000000</v>
      </c>
      <c r="I422" s="27">
        <v>2812500</v>
      </c>
      <c r="J422" s="27"/>
      <c r="K422" s="26">
        <v>-6.25E-2</v>
      </c>
      <c r="L422" s="11" t="s">
        <v>464</v>
      </c>
      <c r="M422" s="62">
        <v>2</v>
      </c>
      <c r="N422" s="35" t="s">
        <v>25</v>
      </c>
      <c r="O422" s="15">
        <v>4</v>
      </c>
      <c r="P422" s="35" t="s">
        <v>458</v>
      </c>
      <c r="Q422" s="15"/>
      <c r="R422" s="24"/>
      <c r="S422" s="62" t="s">
        <v>616</v>
      </c>
      <c r="T422" s="15"/>
      <c r="U422" s="15"/>
      <c r="V422" s="54">
        <v>3000000</v>
      </c>
      <c r="W422" s="54">
        <v>2812500</v>
      </c>
      <c r="X422" s="54">
        <v>187500</v>
      </c>
    </row>
    <row r="423" spans="3:24" x14ac:dyDescent="0.25">
      <c r="C423" s="39">
        <v>2017</v>
      </c>
      <c r="D423" s="62" t="s">
        <v>1049</v>
      </c>
      <c r="E423" s="63" t="s">
        <v>1050</v>
      </c>
      <c r="F423" s="64">
        <v>42942</v>
      </c>
      <c r="G423" s="65" t="s">
        <v>34</v>
      </c>
      <c r="H423" s="94">
        <v>700000</v>
      </c>
      <c r="I423" s="27">
        <v>614770</v>
      </c>
      <c r="J423" s="27"/>
      <c r="K423" s="26">
        <v>-0.12175714285714286</v>
      </c>
      <c r="L423" s="11" t="s">
        <v>464</v>
      </c>
      <c r="M423" s="62">
        <v>2</v>
      </c>
      <c r="N423" s="35" t="s">
        <v>93</v>
      </c>
      <c r="O423" s="15">
        <v>3</v>
      </c>
      <c r="P423" s="35" t="s">
        <v>457</v>
      </c>
      <c r="Q423" s="15"/>
      <c r="R423" s="24"/>
      <c r="S423" s="62" t="s">
        <v>536</v>
      </c>
      <c r="T423" s="15"/>
      <c r="U423" s="15"/>
      <c r="V423" s="54">
        <v>700000</v>
      </c>
      <c r="W423" s="54">
        <v>614770</v>
      </c>
      <c r="X423" s="54">
        <v>85230</v>
      </c>
    </row>
    <row r="424" spans="3:24" x14ac:dyDescent="0.25">
      <c r="C424" s="39">
        <v>2017</v>
      </c>
      <c r="D424" s="62" t="s">
        <v>1021</v>
      </c>
      <c r="E424" s="63" t="s">
        <v>1022</v>
      </c>
      <c r="F424" s="64">
        <v>42892</v>
      </c>
      <c r="G424" s="65" t="s">
        <v>34</v>
      </c>
      <c r="H424" s="94">
        <v>771000</v>
      </c>
      <c r="I424" s="27">
        <v>946600</v>
      </c>
      <c r="J424" s="27"/>
      <c r="K424" s="26">
        <v>0.22775616083009079</v>
      </c>
      <c r="L424" s="11" t="s">
        <v>465</v>
      </c>
      <c r="M424" s="62">
        <v>2</v>
      </c>
      <c r="N424" s="35" t="s">
        <v>25</v>
      </c>
      <c r="O424" s="15">
        <v>2</v>
      </c>
      <c r="P424" s="35" t="s">
        <v>457</v>
      </c>
      <c r="Q424" s="15"/>
      <c r="R424" s="24"/>
      <c r="S424" s="62" t="s">
        <v>630</v>
      </c>
      <c r="T424" s="15"/>
      <c r="U424" s="15"/>
      <c r="V424" s="54">
        <v>771000</v>
      </c>
      <c r="W424" s="54">
        <v>946600</v>
      </c>
      <c r="X424" s="54">
        <v>-175600</v>
      </c>
    </row>
    <row r="425" spans="3:24" x14ac:dyDescent="0.25">
      <c r="C425" s="39">
        <v>2017</v>
      </c>
      <c r="D425" s="62" t="s">
        <v>1018</v>
      </c>
      <c r="E425" s="63" t="s">
        <v>1019</v>
      </c>
      <c r="F425" s="64">
        <v>42873</v>
      </c>
      <c r="G425" s="65" t="s">
        <v>756</v>
      </c>
      <c r="H425" s="94">
        <v>29400000</v>
      </c>
      <c r="I425" s="27">
        <v>40981000</v>
      </c>
      <c r="J425" s="105" t="s">
        <v>519</v>
      </c>
      <c r="K425" s="26">
        <v>0.39391156462585036</v>
      </c>
      <c r="L425" s="11" t="s">
        <v>465</v>
      </c>
      <c r="M425" s="62">
        <v>2</v>
      </c>
      <c r="N425" s="35" t="s">
        <v>25</v>
      </c>
      <c r="O425" s="15">
        <v>2</v>
      </c>
      <c r="P425" s="35" t="s">
        <v>459</v>
      </c>
      <c r="Q425" s="15"/>
      <c r="R425" s="24"/>
      <c r="S425" s="62" t="s">
        <v>447</v>
      </c>
      <c r="T425" s="15"/>
      <c r="U425" s="15"/>
      <c r="V425" s="54">
        <v>29400000</v>
      </c>
      <c r="W425" s="54">
        <v>40981000</v>
      </c>
      <c r="X425" s="54">
        <v>-11581000</v>
      </c>
    </row>
    <row r="426" spans="3:24" x14ac:dyDescent="0.25">
      <c r="C426" s="39">
        <v>2017</v>
      </c>
      <c r="D426" s="62" t="s">
        <v>999</v>
      </c>
      <c r="E426" s="63" t="s">
        <v>1000</v>
      </c>
      <c r="F426" s="64">
        <v>42871</v>
      </c>
      <c r="G426" s="65" t="s">
        <v>34</v>
      </c>
      <c r="H426" s="94">
        <v>9000000</v>
      </c>
      <c r="I426" s="27">
        <v>10805265</v>
      </c>
      <c r="J426" s="105" t="s">
        <v>519</v>
      </c>
      <c r="K426" s="26">
        <v>0.20058500000000001</v>
      </c>
      <c r="L426" s="11" t="s">
        <v>465</v>
      </c>
      <c r="M426" s="62">
        <v>2</v>
      </c>
      <c r="N426" s="35" t="s">
        <v>25</v>
      </c>
      <c r="O426" s="15">
        <v>2</v>
      </c>
      <c r="P426" s="35" t="s">
        <v>492</v>
      </c>
      <c r="Q426" s="15"/>
      <c r="R426" s="24"/>
      <c r="S426" s="62" t="s">
        <v>816</v>
      </c>
      <c r="T426" s="15"/>
      <c r="U426" s="15"/>
      <c r="V426" s="54">
        <v>9000000</v>
      </c>
      <c r="W426" s="54">
        <v>10805265</v>
      </c>
      <c r="X426" s="54">
        <v>-1805265</v>
      </c>
    </row>
    <row r="427" spans="3:24" x14ac:dyDescent="0.25">
      <c r="C427" s="39">
        <v>2017</v>
      </c>
      <c r="D427" s="62" t="s">
        <v>986</v>
      </c>
      <c r="E427" s="63" t="s">
        <v>982</v>
      </c>
      <c r="F427" s="64">
        <v>42845</v>
      </c>
      <c r="G427" s="65" t="s">
        <v>190</v>
      </c>
      <c r="H427" s="94">
        <v>12630000</v>
      </c>
      <c r="I427" s="27">
        <v>10849023</v>
      </c>
      <c r="J427" s="27" t="s">
        <v>519</v>
      </c>
      <c r="K427" s="26">
        <v>-0.14101163895486934</v>
      </c>
      <c r="L427" s="11" t="s">
        <v>464</v>
      </c>
      <c r="M427" s="62">
        <v>2</v>
      </c>
      <c r="N427" s="35" t="s">
        <v>25</v>
      </c>
      <c r="O427" s="15">
        <v>2</v>
      </c>
      <c r="P427" s="35" t="s">
        <v>458</v>
      </c>
      <c r="Q427" s="15"/>
      <c r="R427" s="24"/>
      <c r="S427" s="62" t="s">
        <v>616</v>
      </c>
      <c r="T427" s="15"/>
      <c r="U427" s="15"/>
      <c r="V427" s="54">
        <v>12630000</v>
      </c>
      <c r="W427" s="54">
        <v>10849023</v>
      </c>
      <c r="X427" s="54">
        <v>1780977</v>
      </c>
    </row>
    <row r="428" spans="3:24" x14ac:dyDescent="0.25">
      <c r="C428" s="39">
        <v>2017</v>
      </c>
      <c r="D428" s="62" t="s">
        <v>828</v>
      </c>
      <c r="E428" s="63" t="s">
        <v>829</v>
      </c>
      <c r="F428" s="64">
        <v>42739</v>
      </c>
      <c r="G428" s="65" t="s">
        <v>190</v>
      </c>
      <c r="H428" s="94">
        <v>28695000</v>
      </c>
      <c r="I428" s="27">
        <v>31768035</v>
      </c>
      <c r="J428" s="27" t="s">
        <v>519</v>
      </c>
      <c r="K428" s="26">
        <v>0.10709304756926294</v>
      </c>
      <c r="L428" s="11" t="s">
        <v>464</v>
      </c>
      <c r="M428" s="62">
        <v>2</v>
      </c>
      <c r="N428" s="35" t="s">
        <v>93</v>
      </c>
      <c r="O428" s="15">
        <v>1</v>
      </c>
      <c r="P428" s="35" t="s">
        <v>458</v>
      </c>
      <c r="Q428" s="15"/>
      <c r="R428" s="24"/>
      <c r="S428" s="62" t="s">
        <v>616</v>
      </c>
      <c r="T428" s="15"/>
      <c r="U428" s="15"/>
      <c r="V428" s="54">
        <v>28695000</v>
      </c>
      <c r="W428" s="54">
        <v>31768035</v>
      </c>
      <c r="X428" s="54">
        <v>-3073035</v>
      </c>
    </row>
    <row r="429" spans="3:24" x14ac:dyDescent="0.25">
      <c r="C429" s="39"/>
    </row>
    <row r="430" spans="3:24" x14ac:dyDescent="0.25">
      <c r="C430" s="39"/>
    </row>
    <row r="431" spans="3:24" s="52" customFormat="1" x14ac:dyDescent="0.25">
      <c r="C431" s="101">
        <v>2017</v>
      </c>
      <c r="D431" s="102" t="s">
        <v>1136</v>
      </c>
      <c r="E431" s="63" t="s">
        <v>1137</v>
      </c>
      <c r="F431" s="64">
        <v>43074</v>
      </c>
      <c r="G431" s="65" t="s">
        <v>34</v>
      </c>
      <c r="H431" s="94">
        <v>1530000</v>
      </c>
      <c r="I431" s="94">
        <v>1189000</v>
      </c>
      <c r="J431" s="94"/>
      <c r="K431" s="153">
        <v>-0.22287581699346407</v>
      </c>
      <c r="L431" s="11" t="s">
        <v>464</v>
      </c>
      <c r="M431" s="62">
        <v>3</v>
      </c>
      <c r="N431" s="154" t="s">
        <v>25</v>
      </c>
      <c r="O431" s="62">
        <v>4</v>
      </c>
      <c r="P431" s="154" t="s">
        <v>458</v>
      </c>
      <c r="Q431" s="62"/>
      <c r="R431" s="63"/>
      <c r="S431" s="62" t="s">
        <v>616</v>
      </c>
      <c r="T431" s="62"/>
      <c r="U431" s="62"/>
      <c r="V431" s="155">
        <v>1530000</v>
      </c>
      <c r="W431" s="155">
        <v>1189000</v>
      </c>
      <c r="X431" s="155">
        <v>341000</v>
      </c>
    </row>
    <row r="432" spans="3:24" s="52" customFormat="1" x14ac:dyDescent="0.25">
      <c r="C432" s="101">
        <v>2017</v>
      </c>
      <c r="D432" s="62" t="s">
        <v>1116</v>
      </c>
      <c r="E432" s="63" t="s">
        <v>1117</v>
      </c>
      <c r="F432" s="64">
        <v>43047</v>
      </c>
      <c r="G432" s="65" t="s">
        <v>190</v>
      </c>
      <c r="H432" s="94">
        <v>26900000</v>
      </c>
      <c r="I432" s="94">
        <v>26600000</v>
      </c>
      <c r="J432" s="94" t="s">
        <v>519</v>
      </c>
      <c r="K432" s="153">
        <v>-1.1152416356877323E-2</v>
      </c>
      <c r="L432" s="11" t="s">
        <v>464</v>
      </c>
      <c r="M432" s="62">
        <v>3</v>
      </c>
      <c r="N432" s="154" t="s">
        <v>25</v>
      </c>
      <c r="O432" s="62">
        <v>4</v>
      </c>
      <c r="P432" s="154" t="s">
        <v>458</v>
      </c>
      <c r="Q432" s="62"/>
      <c r="R432" s="63"/>
      <c r="S432" s="62" t="s">
        <v>616</v>
      </c>
      <c r="T432" s="62"/>
      <c r="U432" s="62"/>
      <c r="V432" s="155">
        <v>26900000</v>
      </c>
      <c r="W432" s="155">
        <v>26600000</v>
      </c>
      <c r="X432" s="155">
        <v>300000</v>
      </c>
    </row>
    <row r="433" spans="3:24" s="52" customFormat="1" x14ac:dyDescent="0.25">
      <c r="C433" s="101">
        <v>2017</v>
      </c>
      <c r="D433" s="62" t="s">
        <v>1068</v>
      </c>
      <c r="E433" s="63" t="s">
        <v>1069</v>
      </c>
      <c r="F433" s="64">
        <v>42964</v>
      </c>
      <c r="G433" s="65" t="s">
        <v>190</v>
      </c>
      <c r="H433" s="94">
        <v>8500000</v>
      </c>
      <c r="I433" s="94">
        <v>5682000</v>
      </c>
      <c r="J433" s="94" t="s">
        <v>519</v>
      </c>
      <c r="K433" s="153">
        <v>-0.33152941176470591</v>
      </c>
      <c r="L433" s="11" t="s">
        <v>465</v>
      </c>
      <c r="M433" s="62">
        <v>3</v>
      </c>
      <c r="N433" s="154" t="s">
        <v>25</v>
      </c>
      <c r="O433" s="62">
        <v>3</v>
      </c>
      <c r="P433" s="154" t="s">
        <v>458</v>
      </c>
      <c r="Q433" s="62"/>
      <c r="R433" s="63"/>
      <c r="S433" s="62" t="s">
        <v>616</v>
      </c>
      <c r="T433" s="62"/>
      <c r="U433" s="62"/>
      <c r="V433" s="155">
        <v>8500000</v>
      </c>
      <c r="W433" s="155">
        <v>5682000</v>
      </c>
      <c r="X433" s="155">
        <v>2818000</v>
      </c>
    </row>
    <row r="434" spans="3:24" s="52" customFormat="1" x14ac:dyDescent="0.25">
      <c r="C434" s="101">
        <v>2017</v>
      </c>
      <c r="D434" s="62" t="s">
        <v>1038</v>
      </c>
      <c r="E434" s="63" t="s">
        <v>1039</v>
      </c>
      <c r="F434" s="64">
        <v>42901</v>
      </c>
      <c r="G434" s="65" t="s">
        <v>693</v>
      </c>
      <c r="H434" s="94">
        <v>850000</v>
      </c>
      <c r="I434" s="94">
        <v>887000</v>
      </c>
      <c r="J434" s="94"/>
      <c r="K434" s="153">
        <v>4.3529411764705879E-2</v>
      </c>
      <c r="L434" s="11" t="s">
        <v>464</v>
      </c>
      <c r="M434" s="62">
        <v>3</v>
      </c>
      <c r="N434" s="154" t="s">
        <v>25</v>
      </c>
      <c r="O434" s="62">
        <v>2</v>
      </c>
      <c r="P434" s="154" t="s">
        <v>458</v>
      </c>
      <c r="Q434" s="62"/>
      <c r="R434" s="63"/>
      <c r="S434" s="62" t="s">
        <v>616</v>
      </c>
      <c r="T434" s="62"/>
      <c r="U434" s="62"/>
      <c r="V434" s="155">
        <v>850000</v>
      </c>
      <c r="W434" s="155">
        <v>887000</v>
      </c>
      <c r="X434" s="155">
        <v>-37000</v>
      </c>
    </row>
    <row r="435" spans="3:24" s="52" customFormat="1" x14ac:dyDescent="0.25">
      <c r="C435" s="101">
        <v>2017</v>
      </c>
      <c r="D435" s="62" t="s">
        <v>1025</v>
      </c>
      <c r="E435" s="63" t="s">
        <v>1026</v>
      </c>
      <c r="F435" s="64">
        <v>42893</v>
      </c>
      <c r="G435" s="65" t="s">
        <v>693</v>
      </c>
      <c r="H435" s="94">
        <v>650000</v>
      </c>
      <c r="I435" s="94">
        <v>865508</v>
      </c>
      <c r="J435" s="94"/>
      <c r="K435" s="153">
        <v>0.3315507692307692</v>
      </c>
      <c r="L435" s="11" t="s">
        <v>465</v>
      </c>
      <c r="M435" s="62">
        <v>3</v>
      </c>
      <c r="N435" s="154" t="s">
        <v>25</v>
      </c>
      <c r="O435" s="62">
        <v>2</v>
      </c>
      <c r="P435" s="154" t="s">
        <v>458</v>
      </c>
      <c r="Q435" s="62"/>
      <c r="R435" s="63"/>
      <c r="S435" s="62" t="s">
        <v>616</v>
      </c>
      <c r="T435" s="62"/>
      <c r="U435" s="62"/>
      <c r="V435" s="155">
        <v>650000</v>
      </c>
      <c r="W435" s="155">
        <v>865508</v>
      </c>
      <c r="X435" s="155">
        <v>-215508</v>
      </c>
    </row>
    <row r="436" spans="3:24" s="52" customFormat="1" x14ac:dyDescent="0.25">
      <c r="C436" s="101">
        <v>2017</v>
      </c>
      <c r="D436" s="62" t="s">
        <v>995</v>
      </c>
      <c r="E436" s="63" t="s">
        <v>632</v>
      </c>
      <c r="F436" s="64">
        <v>42851</v>
      </c>
      <c r="G436" s="65" t="s">
        <v>190</v>
      </c>
      <c r="H436" s="94">
        <v>3589000</v>
      </c>
      <c r="I436" s="94">
        <v>3875045</v>
      </c>
      <c r="J436" s="94"/>
      <c r="K436" s="153">
        <v>7.9700473669545829E-2</v>
      </c>
      <c r="L436" s="11" t="s">
        <v>464</v>
      </c>
      <c r="M436" s="62">
        <v>3</v>
      </c>
      <c r="N436" s="154" t="s">
        <v>93</v>
      </c>
      <c r="O436" s="62">
        <v>2</v>
      </c>
      <c r="P436" s="154" t="s">
        <v>457</v>
      </c>
      <c r="Q436" s="62"/>
      <c r="R436" s="63"/>
      <c r="S436" s="62" t="s">
        <v>447</v>
      </c>
      <c r="T436" s="62"/>
      <c r="U436" s="62"/>
      <c r="V436" s="155">
        <v>3589000</v>
      </c>
      <c r="W436" s="155">
        <v>3875045</v>
      </c>
      <c r="X436" s="155">
        <v>-286045</v>
      </c>
    </row>
    <row r="437" spans="3:24" s="52" customFormat="1" x14ac:dyDescent="0.25">
      <c r="C437" s="101">
        <v>2017</v>
      </c>
      <c r="D437" s="62" t="s">
        <v>983</v>
      </c>
      <c r="E437" s="63" t="s">
        <v>985</v>
      </c>
      <c r="F437" s="64">
        <v>42844</v>
      </c>
      <c r="G437" s="65" t="s">
        <v>190</v>
      </c>
      <c r="H437" s="94">
        <v>30360000</v>
      </c>
      <c r="I437" s="94">
        <v>32920674</v>
      </c>
      <c r="J437" s="94" t="s">
        <v>519</v>
      </c>
      <c r="K437" s="153">
        <v>8.4343675889328062E-2</v>
      </c>
      <c r="L437" s="11" t="s">
        <v>464</v>
      </c>
      <c r="M437" s="62">
        <v>3</v>
      </c>
      <c r="N437" s="154" t="s">
        <v>25</v>
      </c>
      <c r="O437" s="62">
        <v>2</v>
      </c>
      <c r="P437" s="154" t="s">
        <v>459</v>
      </c>
      <c r="Q437" s="62"/>
      <c r="R437" s="63"/>
      <c r="S437" s="62" t="s">
        <v>447</v>
      </c>
      <c r="T437" s="62"/>
      <c r="U437" s="62"/>
      <c r="V437" s="155">
        <v>30360000</v>
      </c>
      <c r="W437" s="155">
        <v>32920674</v>
      </c>
      <c r="X437" s="155">
        <v>-2560674</v>
      </c>
    </row>
    <row r="438" spans="3:24" s="52" customFormat="1" x14ac:dyDescent="0.25">
      <c r="C438" s="101">
        <v>2017</v>
      </c>
      <c r="D438" s="62" t="s">
        <v>981</v>
      </c>
      <c r="E438" s="63" t="s">
        <v>982</v>
      </c>
      <c r="F438" s="64">
        <v>42844</v>
      </c>
      <c r="G438" s="65" t="s">
        <v>190</v>
      </c>
      <c r="H438" s="94">
        <v>18870000</v>
      </c>
      <c r="I438" s="94">
        <v>19910000</v>
      </c>
      <c r="J438" s="94" t="s">
        <v>519</v>
      </c>
      <c r="K438" s="153">
        <v>5.5113937466878642E-2</v>
      </c>
      <c r="L438" s="11" t="s">
        <v>464</v>
      </c>
      <c r="M438" s="62">
        <v>3</v>
      </c>
      <c r="N438" s="154" t="s">
        <v>25</v>
      </c>
      <c r="O438" s="62">
        <v>2</v>
      </c>
      <c r="P438" s="154" t="s">
        <v>458</v>
      </c>
      <c r="Q438" s="62"/>
      <c r="R438" s="63"/>
      <c r="S438" s="62" t="s">
        <v>616</v>
      </c>
      <c r="T438" s="62"/>
      <c r="U438" s="62"/>
      <c r="V438" s="155">
        <v>18870000</v>
      </c>
      <c r="W438" s="155">
        <v>19910000</v>
      </c>
      <c r="X438" s="155">
        <v>-1040000</v>
      </c>
    </row>
    <row r="439" spans="3:24" s="52" customFormat="1" x14ac:dyDescent="0.25">
      <c r="C439" s="101">
        <v>2017</v>
      </c>
      <c r="D439" s="62" t="s">
        <v>977</v>
      </c>
      <c r="E439" s="63" t="s">
        <v>978</v>
      </c>
      <c r="F439" s="64">
        <v>42831</v>
      </c>
      <c r="G439" s="65" t="s">
        <v>34</v>
      </c>
      <c r="H439" s="94">
        <v>1655000</v>
      </c>
      <c r="I439" s="94">
        <v>1398667</v>
      </c>
      <c r="J439" s="94"/>
      <c r="K439" s="153">
        <v>-0.15488398791540786</v>
      </c>
      <c r="L439" s="11" t="s">
        <v>464</v>
      </c>
      <c r="M439" s="62">
        <v>3</v>
      </c>
      <c r="N439" s="154" t="s">
        <v>93</v>
      </c>
      <c r="O439" s="62">
        <v>2</v>
      </c>
      <c r="P439" s="154" t="s">
        <v>492</v>
      </c>
      <c r="Q439" s="62"/>
      <c r="R439" s="63"/>
      <c r="S439" s="62" t="s">
        <v>816</v>
      </c>
      <c r="T439" s="62"/>
      <c r="U439" s="62"/>
      <c r="V439" s="155">
        <v>1655000</v>
      </c>
      <c r="W439" s="155">
        <v>1398667</v>
      </c>
      <c r="X439" s="155">
        <v>256333</v>
      </c>
    </row>
    <row r="440" spans="3:24" s="52" customFormat="1" x14ac:dyDescent="0.25">
      <c r="C440" s="101">
        <v>2017</v>
      </c>
      <c r="D440" s="62" t="s">
        <v>964</v>
      </c>
      <c r="E440" s="63" t="s">
        <v>965</v>
      </c>
      <c r="F440" s="64">
        <v>42815</v>
      </c>
      <c r="G440" s="65" t="s">
        <v>190</v>
      </c>
      <c r="H440" s="94">
        <v>3750000</v>
      </c>
      <c r="I440" s="94">
        <v>2468147</v>
      </c>
      <c r="J440" s="94"/>
      <c r="K440" s="153">
        <v>-0.34182746666666669</v>
      </c>
      <c r="L440" s="11" t="s">
        <v>465</v>
      </c>
      <c r="M440" s="62">
        <v>3</v>
      </c>
      <c r="N440" s="154" t="s">
        <v>93</v>
      </c>
      <c r="O440" s="62">
        <v>1</v>
      </c>
      <c r="P440" s="154" t="s">
        <v>458</v>
      </c>
      <c r="Q440" s="62"/>
      <c r="R440" s="63"/>
      <c r="S440" s="62" t="s">
        <v>784</v>
      </c>
      <c r="T440" s="62"/>
      <c r="U440" s="62"/>
      <c r="V440" s="155">
        <v>3750000</v>
      </c>
      <c r="W440" s="155">
        <v>2468147</v>
      </c>
      <c r="X440" s="155">
        <v>1281853</v>
      </c>
    </row>
    <row r="441" spans="3:24" s="52" customFormat="1" x14ac:dyDescent="0.25">
      <c r="C441" s="101">
        <v>2017</v>
      </c>
      <c r="D441" s="62" t="s">
        <v>914</v>
      </c>
      <c r="E441" s="63" t="s">
        <v>933</v>
      </c>
      <c r="F441" s="64">
        <v>42787</v>
      </c>
      <c r="G441" s="65" t="s">
        <v>190</v>
      </c>
      <c r="H441" s="94">
        <v>10393000</v>
      </c>
      <c r="I441" s="94">
        <v>7903950</v>
      </c>
      <c r="J441" s="94" t="s">
        <v>519</v>
      </c>
      <c r="K441" s="153">
        <v>-0.2394929279322621</v>
      </c>
      <c r="L441" s="11" t="s">
        <v>465</v>
      </c>
      <c r="M441" s="62">
        <v>3</v>
      </c>
      <c r="N441" s="154" t="s">
        <v>93</v>
      </c>
      <c r="O441" s="62">
        <v>1</v>
      </c>
      <c r="P441" s="154" t="s">
        <v>458</v>
      </c>
      <c r="Q441" s="62"/>
      <c r="R441" s="63" t="s">
        <v>932</v>
      </c>
      <c r="S441" s="62" t="s">
        <v>784</v>
      </c>
      <c r="T441" s="62"/>
      <c r="U441" s="62"/>
      <c r="V441" s="155">
        <v>10393000</v>
      </c>
      <c r="W441" s="155">
        <v>7903950</v>
      </c>
      <c r="X441" s="155">
        <v>2489050</v>
      </c>
    </row>
    <row r="442" spans="3:24" s="52" customFormat="1" x14ac:dyDescent="0.25">
      <c r="C442" s="101">
        <v>2017</v>
      </c>
      <c r="D442" s="62" t="s">
        <v>857</v>
      </c>
      <c r="E442" s="63" t="s">
        <v>858</v>
      </c>
      <c r="F442" s="64">
        <v>42753</v>
      </c>
      <c r="G442" s="65" t="s">
        <v>693</v>
      </c>
      <c r="H442" s="94">
        <v>1410000</v>
      </c>
      <c r="I442" s="94">
        <v>1399756</v>
      </c>
      <c r="J442" s="94"/>
      <c r="K442" s="153">
        <v>-7.2652482269503545E-3</v>
      </c>
      <c r="L442" s="11" t="s">
        <v>464</v>
      </c>
      <c r="M442" s="62">
        <v>3</v>
      </c>
      <c r="N442" s="154" t="s">
        <v>25</v>
      </c>
      <c r="O442" s="62">
        <v>1</v>
      </c>
      <c r="P442" s="154" t="s">
        <v>457</v>
      </c>
      <c r="Q442" s="62"/>
      <c r="R442" s="63"/>
      <c r="S442" s="62" t="s">
        <v>630</v>
      </c>
      <c r="T442" s="62"/>
      <c r="U442" s="62"/>
      <c r="V442" s="155">
        <v>1410000</v>
      </c>
      <c r="W442" s="155">
        <v>1399756</v>
      </c>
      <c r="X442" s="155">
        <v>10244</v>
      </c>
    </row>
    <row r="443" spans="3:24" s="52" customFormat="1" x14ac:dyDescent="0.25">
      <c r="C443" s="101">
        <v>2017</v>
      </c>
      <c r="D443" s="62" t="s">
        <v>832</v>
      </c>
      <c r="E443" s="63" t="s">
        <v>833</v>
      </c>
      <c r="F443" s="64">
        <v>42752</v>
      </c>
      <c r="G443" s="65" t="s">
        <v>34</v>
      </c>
      <c r="H443" s="94">
        <v>4200000</v>
      </c>
      <c r="I443" s="94">
        <v>3987114</v>
      </c>
      <c r="J443" s="94"/>
      <c r="K443" s="153">
        <v>-5.0687142857142854E-2</v>
      </c>
      <c r="L443" s="11" t="s">
        <v>464</v>
      </c>
      <c r="M443" s="62">
        <v>3</v>
      </c>
      <c r="N443" s="154" t="s">
        <v>25</v>
      </c>
      <c r="O443" s="62">
        <v>1</v>
      </c>
      <c r="P443" s="154" t="s">
        <v>492</v>
      </c>
      <c r="Q443" s="62"/>
      <c r="R443" s="63"/>
      <c r="S443" s="62" t="s">
        <v>816</v>
      </c>
      <c r="T443" s="62"/>
      <c r="U443" s="62"/>
      <c r="V443" s="155">
        <v>4200000</v>
      </c>
      <c r="W443" s="155">
        <v>3987114</v>
      </c>
      <c r="X443" s="155">
        <v>212886</v>
      </c>
    </row>
    <row r="444" spans="3:24" s="52" customFormat="1" x14ac:dyDescent="0.25">
      <c r="C444" s="101">
        <v>2017</v>
      </c>
      <c r="D444" s="62" t="s">
        <v>830</v>
      </c>
      <c r="E444" s="63" t="s">
        <v>831</v>
      </c>
      <c r="F444" s="64">
        <v>42746</v>
      </c>
      <c r="G444" s="65" t="s">
        <v>190</v>
      </c>
      <c r="H444" s="94">
        <v>12071025</v>
      </c>
      <c r="I444" s="94">
        <v>9977777</v>
      </c>
      <c r="J444" s="94" t="s">
        <v>519</v>
      </c>
      <c r="K444" s="153">
        <v>-0.17341095723022693</v>
      </c>
      <c r="L444" s="11" t="s">
        <v>465</v>
      </c>
      <c r="M444" s="62">
        <v>3</v>
      </c>
      <c r="N444" s="154" t="s">
        <v>93</v>
      </c>
      <c r="O444" s="62">
        <v>1</v>
      </c>
      <c r="P444" s="154" t="s">
        <v>458</v>
      </c>
      <c r="Q444" s="62"/>
      <c r="R444" s="63"/>
      <c r="S444" s="62" t="s">
        <v>616</v>
      </c>
      <c r="T444" s="62"/>
      <c r="U444" s="62"/>
      <c r="V444" s="155">
        <v>12071025</v>
      </c>
      <c r="W444" s="155">
        <v>9977777</v>
      </c>
      <c r="X444" s="155">
        <v>2093248</v>
      </c>
    </row>
    <row r="445" spans="3:24" x14ac:dyDescent="0.25">
      <c r="C445" s="39"/>
      <c r="L445" s="11"/>
    </row>
    <row r="446" spans="3:24" x14ac:dyDescent="0.25">
      <c r="C446" s="39"/>
      <c r="L446" s="11"/>
    </row>
    <row r="447" spans="3:24" s="52" customFormat="1" x14ac:dyDescent="0.25">
      <c r="C447" s="101">
        <v>2017</v>
      </c>
      <c r="D447" s="102" t="s">
        <v>1135</v>
      </c>
      <c r="E447" s="63" t="s">
        <v>982</v>
      </c>
      <c r="F447" s="64">
        <v>43074</v>
      </c>
      <c r="G447" s="65" t="s">
        <v>34</v>
      </c>
      <c r="H447" s="94">
        <v>38000000</v>
      </c>
      <c r="I447" s="27">
        <f>$I$56</f>
        <v>28470000</v>
      </c>
      <c r="J447" s="27"/>
      <c r="K447" s="26">
        <f>+$K$56</f>
        <v>-0.25078947368421051</v>
      </c>
      <c r="L447" s="78" t="str">
        <f>+$L$56</f>
        <v>GOOD</v>
      </c>
      <c r="M447" s="15">
        <f>+$M$56</f>
        <v>4</v>
      </c>
      <c r="N447" s="35" t="s">
        <v>93</v>
      </c>
      <c r="O447" s="15">
        <v>4</v>
      </c>
      <c r="P447" s="35" t="s">
        <v>458</v>
      </c>
      <c r="Q447" s="15"/>
      <c r="R447" s="24" t="str">
        <f>+$R$56</f>
        <v>1st and 2nd bidders disqualified.</v>
      </c>
      <c r="S447" s="62" t="s">
        <v>616</v>
      </c>
      <c r="T447" s="62"/>
      <c r="U447" s="62"/>
      <c r="V447" s="155">
        <v>38000000</v>
      </c>
      <c r="W447" s="155">
        <v>19988800</v>
      </c>
      <c r="X447" s="155">
        <v>18011200</v>
      </c>
    </row>
    <row r="448" spans="3:24" s="52" customFormat="1" x14ac:dyDescent="0.25">
      <c r="C448" s="101">
        <v>2017</v>
      </c>
      <c r="D448" s="102" t="s">
        <v>1127</v>
      </c>
      <c r="E448" s="63" t="s">
        <v>1128</v>
      </c>
      <c r="F448" s="64">
        <v>43053</v>
      </c>
      <c r="G448" s="65" t="s">
        <v>756</v>
      </c>
      <c r="H448" s="94">
        <v>17250000</v>
      </c>
      <c r="I448" s="94">
        <v>22616488</v>
      </c>
      <c r="J448" s="94" t="s">
        <v>519</v>
      </c>
      <c r="K448" s="153">
        <v>0.3111007536231884</v>
      </c>
      <c r="L448" s="104" t="s">
        <v>465</v>
      </c>
      <c r="M448" s="62">
        <v>4</v>
      </c>
      <c r="N448" s="154" t="s">
        <v>93</v>
      </c>
      <c r="O448" s="62">
        <v>4</v>
      </c>
      <c r="P448" s="154" t="s">
        <v>457</v>
      </c>
      <c r="Q448" s="62"/>
      <c r="R448" s="63"/>
      <c r="S448" s="62" t="s">
        <v>447</v>
      </c>
      <c r="T448" s="62"/>
      <c r="U448" s="62"/>
      <c r="V448" s="155">
        <v>17250000</v>
      </c>
      <c r="W448" s="155">
        <v>22616488</v>
      </c>
      <c r="X448" s="155">
        <v>-5366488</v>
      </c>
    </row>
    <row r="449" spans="3:24" s="52" customFormat="1" x14ac:dyDescent="0.25">
      <c r="C449" s="101">
        <v>2017</v>
      </c>
      <c r="D449" s="62" t="s">
        <v>1124</v>
      </c>
      <c r="E449" s="63" t="s">
        <v>1125</v>
      </c>
      <c r="F449" s="64">
        <v>43053</v>
      </c>
      <c r="G449" s="65" t="s">
        <v>693</v>
      </c>
      <c r="H449" s="94">
        <v>820000</v>
      </c>
      <c r="I449" s="94">
        <v>861500</v>
      </c>
      <c r="J449" s="94"/>
      <c r="K449" s="153">
        <v>5.0609756097560979E-2</v>
      </c>
      <c r="L449" s="104" t="s">
        <v>464</v>
      </c>
      <c r="M449" s="62">
        <v>4</v>
      </c>
      <c r="N449" s="154" t="s">
        <v>25</v>
      </c>
      <c r="O449" s="62">
        <v>4</v>
      </c>
      <c r="P449" s="154" t="s">
        <v>458</v>
      </c>
      <c r="Q449" s="62"/>
      <c r="R449" s="63"/>
      <c r="S449" s="62" t="s">
        <v>616</v>
      </c>
      <c r="T449" s="62"/>
      <c r="U449" s="62"/>
      <c r="V449" s="155">
        <v>820000</v>
      </c>
      <c r="W449" s="155">
        <v>861500</v>
      </c>
      <c r="X449" s="155">
        <v>-41500</v>
      </c>
    </row>
    <row r="450" spans="3:24" s="52" customFormat="1" x14ac:dyDescent="0.25">
      <c r="C450" s="101">
        <v>2017</v>
      </c>
      <c r="D450" s="62" t="s">
        <v>1091</v>
      </c>
      <c r="E450" s="63" t="s">
        <v>1092</v>
      </c>
      <c r="F450" s="64">
        <v>43006</v>
      </c>
      <c r="G450" s="65" t="s">
        <v>693</v>
      </c>
      <c r="H450" s="94">
        <v>609000</v>
      </c>
      <c r="I450" s="94">
        <v>579300</v>
      </c>
      <c r="J450" s="94"/>
      <c r="K450" s="153">
        <v>-4.8768472906403938E-2</v>
      </c>
      <c r="L450" s="104" t="s">
        <v>464</v>
      </c>
      <c r="M450" s="62">
        <v>4</v>
      </c>
      <c r="N450" s="154" t="s">
        <v>226</v>
      </c>
      <c r="O450" s="62">
        <v>3</v>
      </c>
      <c r="P450" s="154" t="s">
        <v>457</v>
      </c>
      <c r="Q450" s="62"/>
      <c r="R450" s="63"/>
      <c r="S450" s="62" t="s">
        <v>962</v>
      </c>
      <c r="T450" s="62"/>
      <c r="U450" s="62"/>
      <c r="V450" s="155">
        <v>609000</v>
      </c>
      <c r="W450" s="155">
        <v>579300</v>
      </c>
      <c r="X450" s="155">
        <v>29700</v>
      </c>
    </row>
    <row r="451" spans="3:24" s="52" customFormat="1" x14ac:dyDescent="0.25">
      <c r="C451" s="101">
        <v>2017</v>
      </c>
      <c r="D451" s="62" t="s">
        <v>1070</v>
      </c>
      <c r="E451" s="63" t="s">
        <v>1071</v>
      </c>
      <c r="F451" s="64">
        <v>42997</v>
      </c>
      <c r="G451" s="65" t="s">
        <v>34</v>
      </c>
      <c r="H451" s="94">
        <v>1326000</v>
      </c>
      <c r="I451" s="94">
        <v>1976491</v>
      </c>
      <c r="J451" s="94"/>
      <c r="K451" s="153">
        <v>0.49056636500754147</v>
      </c>
      <c r="L451" s="104" t="s">
        <v>465</v>
      </c>
      <c r="M451" s="62">
        <v>4</v>
      </c>
      <c r="N451" s="154" t="s">
        <v>25</v>
      </c>
      <c r="O451" s="62">
        <v>3</v>
      </c>
      <c r="P451" s="154" t="s">
        <v>457</v>
      </c>
      <c r="Q451" s="62"/>
      <c r="R451" s="63"/>
      <c r="S451" s="62" t="s">
        <v>784</v>
      </c>
      <c r="T451" s="62"/>
      <c r="U451" s="62"/>
      <c r="V451" s="155">
        <v>1326000</v>
      </c>
      <c r="W451" s="155">
        <v>1976491</v>
      </c>
      <c r="X451" s="155">
        <v>-650491</v>
      </c>
    </row>
    <row r="452" spans="3:24" s="52" customFormat="1" x14ac:dyDescent="0.25">
      <c r="C452" s="101">
        <v>2017</v>
      </c>
      <c r="D452" s="62" t="s">
        <v>1060</v>
      </c>
      <c r="E452" s="63" t="s">
        <v>1061</v>
      </c>
      <c r="F452" s="64">
        <v>42950</v>
      </c>
      <c r="G452" s="65" t="s">
        <v>190</v>
      </c>
      <c r="H452" s="94">
        <v>13720000</v>
      </c>
      <c r="I452" s="94">
        <v>11539200</v>
      </c>
      <c r="J452" s="94" t="s">
        <v>519</v>
      </c>
      <c r="K452" s="153">
        <v>-0.15895043731778424</v>
      </c>
      <c r="L452" s="104" t="s">
        <v>464</v>
      </c>
      <c r="M452" s="62">
        <v>4</v>
      </c>
      <c r="N452" s="154" t="s">
        <v>25</v>
      </c>
      <c r="O452" s="62">
        <v>3</v>
      </c>
      <c r="P452" s="154" t="s">
        <v>492</v>
      </c>
      <c r="Q452" s="62"/>
      <c r="R452" s="63"/>
      <c r="S452" s="62" t="s">
        <v>816</v>
      </c>
      <c r="T452" s="62"/>
      <c r="U452" s="62"/>
      <c r="V452" s="155">
        <v>13720000</v>
      </c>
      <c r="W452" s="155">
        <v>11539200</v>
      </c>
      <c r="X452" s="155">
        <v>2180800</v>
      </c>
    </row>
    <row r="453" spans="3:24" s="52" customFormat="1" x14ac:dyDescent="0.25">
      <c r="C453" s="101">
        <v>2017</v>
      </c>
      <c r="D453" s="62" t="s">
        <v>1057</v>
      </c>
      <c r="E453" s="63" t="s">
        <v>1058</v>
      </c>
      <c r="F453" s="64">
        <v>42949</v>
      </c>
      <c r="G453" s="65" t="s">
        <v>34</v>
      </c>
      <c r="H453" s="94">
        <v>1650000</v>
      </c>
      <c r="I453" s="94">
        <v>1320718</v>
      </c>
      <c r="J453" s="94"/>
      <c r="K453" s="153">
        <v>-0.19956484848484848</v>
      </c>
      <c r="L453" s="104" t="s">
        <v>464</v>
      </c>
      <c r="M453" s="62">
        <v>4</v>
      </c>
      <c r="N453" s="154" t="s">
        <v>93</v>
      </c>
      <c r="O453" s="62">
        <v>3</v>
      </c>
      <c r="P453" s="154" t="s">
        <v>458</v>
      </c>
      <c r="Q453" s="62"/>
      <c r="R453" s="63"/>
      <c r="S453" s="62" t="s">
        <v>616</v>
      </c>
      <c r="T453" s="62"/>
      <c r="U453" s="62"/>
      <c r="V453" s="155">
        <v>1650000</v>
      </c>
      <c r="W453" s="155">
        <v>1320718</v>
      </c>
      <c r="X453" s="155">
        <v>329282</v>
      </c>
    </row>
    <row r="454" spans="3:24" s="52" customFormat="1" x14ac:dyDescent="0.25">
      <c r="C454" s="101">
        <v>2017</v>
      </c>
      <c r="D454" s="62" t="s">
        <v>1047</v>
      </c>
      <c r="E454" s="63" t="s">
        <v>982</v>
      </c>
      <c r="F454" s="64">
        <v>42941</v>
      </c>
      <c r="G454" s="65" t="s">
        <v>34</v>
      </c>
      <c r="H454" s="94">
        <v>7200000</v>
      </c>
      <c r="I454" s="94">
        <v>1936000</v>
      </c>
      <c r="J454" s="94" t="s">
        <v>519</v>
      </c>
      <c r="K454" s="153">
        <v>-0.73111111111111116</v>
      </c>
      <c r="L454" s="104" t="s">
        <v>465</v>
      </c>
      <c r="M454" s="62">
        <v>4</v>
      </c>
      <c r="N454" s="154" t="s">
        <v>93</v>
      </c>
      <c r="O454" s="62">
        <v>3</v>
      </c>
      <c r="P454" s="154" t="s">
        <v>458</v>
      </c>
      <c r="Q454" s="62"/>
      <c r="R454" s="63"/>
      <c r="S454" s="62" t="s">
        <v>616</v>
      </c>
      <c r="T454" s="62"/>
      <c r="U454" s="62"/>
      <c r="V454" s="155">
        <v>7200000</v>
      </c>
      <c r="W454" s="155">
        <v>1936000</v>
      </c>
      <c r="X454" s="155">
        <v>5264000</v>
      </c>
    </row>
    <row r="455" spans="3:24" s="52" customFormat="1" x14ac:dyDescent="0.25">
      <c r="C455" s="101">
        <v>2017</v>
      </c>
      <c r="D455" s="62" t="s">
        <v>987</v>
      </c>
      <c r="E455" s="63" t="s">
        <v>988</v>
      </c>
      <c r="F455" s="64">
        <v>42845</v>
      </c>
      <c r="G455" s="65" t="s">
        <v>34</v>
      </c>
      <c r="H455" s="94">
        <v>1520000</v>
      </c>
      <c r="I455" s="94">
        <v>994200</v>
      </c>
      <c r="J455" s="94"/>
      <c r="K455" s="153">
        <v>-0.34592105263157896</v>
      </c>
      <c r="L455" s="104" t="s">
        <v>464</v>
      </c>
      <c r="M455" s="62">
        <v>4</v>
      </c>
      <c r="N455" s="154" t="s">
        <v>25</v>
      </c>
      <c r="O455" s="62">
        <v>2</v>
      </c>
      <c r="P455" s="154" t="s">
        <v>492</v>
      </c>
      <c r="Q455" s="62"/>
      <c r="R455" s="63"/>
      <c r="S455" s="62" t="s">
        <v>816</v>
      </c>
      <c r="T455" s="62"/>
      <c r="U455" s="62"/>
      <c r="V455" s="155">
        <v>1520000</v>
      </c>
      <c r="W455" s="155">
        <v>994200</v>
      </c>
      <c r="X455" s="155">
        <v>525800</v>
      </c>
    </row>
    <row r="456" spans="3:24" s="52" customFormat="1" x14ac:dyDescent="0.25">
      <c r="C456" s="101"/>
      <c r="L456" s="104"/>
      <c r="N456" s="104"/>
    </row>
    <row r="457" spans="3:24" s="52" customFormat="1" x14ac:dyDescent="0.25">
      <c r="C457" s="101"/>
      <c r="L457" s="104"/>
      <c r="N457" s="104"/>
    </row>
    <row r="458" spans="3:24" s="52" customFormat="1" x14ac:dyDescent="0.25">
      <c r="C458" s="101">
        <v>2017</v>
      </c>
      <c r="D458" s="102" t="s">
        <v>1145</v>
      </c>
      <c r="E458" s="63" t="s">
        <v>1146</v>
      </c>
      <c r="F458" s="64">
        <v>43083</v>
      </c>
      <c r="G458" s="65" t="s">
        <v>190</v>
      </c>
      <c r="H458" s="94">
        <v>4872000</v>
      </c>
      <c r="I458" s="94">
        <v>3997350</v>
      </c>
      <c r="J458" s="94"/>
      <c r="K458" s="153">
        <v>-0.17952586206896551</v>
      </c>
      <c r="L458" s="104" t="s">
        <v>464</v>
      </c>
      <c r="M458" s="62">
        <v>5</v>
      </c>
      <c r="N458" s="154" t="s">
        <v>93</v>
      </c>
      <c r="O458" s="62">
        <v>4</v>
      </c>
      <c r="P458" s="154" t="s">
        <v>458</v>
      </c>
      <c r="Q458" s="62"/>
      <c r="R458" s="63"/>
      <c r="S458" s="62" t="s">
        <v>784</v>
      </c>
      <c r="T458" s="62"/>
      <c r="U458" s="62"/>
      <c r="V458" s="155">
        <v>4872000</v>
      </c>
      <c r="W458" s="155">
        <v>3997350</v>
      </c>
      <c r="X458" s="155">
        <v>874650</v>
      </c>
    </row>
    <row r="459" spans="3:24" s="52" customFormat="1" x14ac:dyDescent="0.25">
      <c r="C459" s="101">
        <v>2017</v>
      </c>
      <c r="D459" s="62" t="s">
        <v>1110</v>
      </c>
      <c r="E459" s="63" t="s">
        <v>1111</v>
      </c>
      <c r="F459" s="64">
        <v>43047</v>
      </c>
      <c r="G459" s="65" t="s">
        <v>34</v>
      </c>
      <c r="H459" s="94">
        <v>1650000</v>
      </c>
      <c r="I459" s="94">
        <v>2278990</v>
      </c>
      <c r="J459" s="94"/>
      <c r="K459" s="153">
        <v>0.3812060606060606</v>
      </c>
      <c r="L459" s="104" t="s">
        <v>465</v>
      </c>
      <c r="M459" s="62">
        <v>5</v>
      </c>
      <c r="N459" s="154" t="s">
        <v>226</v>
      </c>
      <c r="O459" s="62">
        <v>4</v>
      </c>
      <c r="P459" s="154" t="s">
        <v>457</v>
      </c>
      <c r="Q459" s="62"/>
      <c r="R459" s="63"/>
      <c r="S459" s="62" t="s">
        <v>784</v>
      </c>
      <c r="T459" s="62"/>
      <c r="U459" s="62"/>
      <c r="V459" s="155">
        <v>1650000</v>
      </c>
      <c r="W459" s="155">
        <v>2278990</v>
      </c>
      <c r="X459" s="155">
        <v>-628990</v>
      </c>
    </row>
    <row r="460" spans="3:24" s="52" customFormat="1" x14ac:dyDescent="0.25">
      <c r="C460" s="101">
        <v>2017</v>
      </c>
      <c r="D460" s="62" t="s">
        <v>1084</v>
      </c>
      <c r="E460" s="63" t="s">
        <v>1085</v>
      </c>
      <c r="F460" s="64">
        <v>43004</v>
      </c>
      <c r="G460" s="65" t="s">
        <v>190</v>
      </c>
      <c r="H460" s="94">
        <v>189900000</v>
      </c>
      <c r="I460" s="94">
        <v>154487000</v>
      </c>
      <c r="J460" s="94" t="s">
        <v>519</v>
      </c>
      <c r="K460" s="153">
        <v>-0.18648235913638758</v>
      </c>
      <c r="L460" s="104" t="s">
        <v>464</v>
      </c>
      <c r="M460" s="62">
        <v>5</v>
      </c>
      <c r="N460" s="154" t="s">
        <v>93</v>
      </c>
      <c r="O460" s="62">
        <v>3</v>
      </c>
      <c r="P460" s="154" t="s">
        <v>457</v>
      </c>
      <c r="Q460" s="62"/>
      <c r="R460" s="63"/>
      <c r="S460" s="62" t="s">
        <v>816</v>
      </c>
      <c r="T460" s="62"/>
      <c r="U460" s="62"/>
      <c r="V460" s="155">
        <v>189900000</v>
      </c>
      <c r="W460" s="155">
        <v>154487000</v>
      </c>
      <c r="X460" s="155">
        <v>35413000</v>
      </c>
    </row>
    <row r="461" spans="3:24" s="52" customFormat="1" x14ac:dyDescent="0.25">
      <c r="C461" s="101">
        <v>2017</v>
      </c>
      <c r="D461" s="62" t="s">
        <v>1035</v>
      </c>
      <c r="E461" s="63" t="s">
        <v>1036</v>
      </c>
      <c r="F461" s="64">
        <v>42900</v>
      </c>
      <c r="G461" s="65" t="s">
        <v>756</v>
      </c>
      <c r="H461" s="94">
        <v>2900000</v>
      </c>
      <c r="I461" s="94">
        <v>1157000</v>
      </c>
      <c r="J461" s="94"/>
      <c r="K461" s="153">
        <v>-0.6010344827586207</v>
      </c>
      <c r="L461" s="104" t="s">
        <v>465</v>
      </c>
      <c r="M461" s="62">
        <v>5</v>
      </c>
      <c r="N461" s="154" t="s">
        <v>25</v>
      </c>
      <c r="O461" s="62">
        <v>2</v>
      </c>
      <c r="P461" s="154" t="s">
        <v>458</v>
      </c>
      <c r="Q461" s="62"/>
      <c r="R461" s="63"/>
      <c r="S461" s="62" t="s">
        <v>447</v>
      </c>
      <c r="T461" s="62"/>
      <c r="U461" s="62"/>
      <c r="V461" s="155">
        <v>2900000</v>
      </c>
      <c r="W461" s="155">
        <v>1157000</v>
      </c>
      <c r="X461" s="155">
        <v>1743000</v>
      </c>
    </row>
    <row r="462" spans="3:24" s="52" customFormat="1" x14ac:dyDescent="0.25">
      <c r="C462" s="101">
        <v>2017</v>
      </c>
      <c r="D462" s="62" t="s">
        <v>1023</v>
      </c>
      <c r="E462" s="63" t="s">
        <v>1024</v>
      </c>
      <c r="F462" s="64">
        <v>42893</v>
      </c>
      <c r="G462" s="65" t="s">
        <v>693</v>
      </c>
      <c r="H462" s="94">
        <v>1070000</v>
      </c>
      <c r="I462" s="94">
        <v>758000</v>
      </c>
      <c r="J462" s="94"/>
      <c r="K462" s="153">
        <v>-0.29158878504672897</v>
      </c>
      <c r="L462" s="104" t="s">
        <v>465</v>
      </c>
      <c r="M462" s="62">
        <v>5</v>
      </c>
      <c r="N462" s="154" t="s">
        <v>25</v>
      </c>
      <c r="O462" s="62">
        <v>2</v>
      </c>
      <c r="P462" s="154" t="s">
        <v>458</v>
      </c>
      <c r="Q462" s="62"/>
      <c r="R462" s="63"/>
      <c r="S462" s="62" t="s">
        <v>616</v>
      </c>
      <c r="T462" s="62"/>
      <c r="U462" s="62"/>
      <c r="V462" s="155">
        <v>1070000</v>
      </c>
      <c r="W462" s="155">
        <v>758000</v>
      </c>
      <c r="X462" s="155">
        <v>312000</v>
      </c>
    </row>
    <row r="463" spans="3:24" s="52" customFormat="1" x14ac:dyDescent="0.25">
      <c r="C463" s="101">
        <v>2017</v>
      </c>
      <c r="D463" s="62" t="s">
        <v>991</v>
      </c>
      <c r="E463" s="63" t="s">
        <v>992</v>
      </c>
      <c r="F463" s="64">
        <v>42846</v>
      </c>
      <c r="G463" s="65" t="s">
        <v>34</v>
      </c>
      <c r="H463" s="94">
        <v>2060000</v>
      </c>
      <c r="I463" s="94">
        <v>2614625</v>
      </c>
      <c r="J463" s="94"/>
      <c r="K463" s="153">
        <v>0.26923543689320389</v>
      </c>
      <c r="L463" s="104" t="s">
        <v>465</v>
      </c>
      <c r="M463" s="62">
        <v>5</v>
      </c>
      <c r="N463" s="154" t="s">
        <v>226</v>
      </c>
      <c r="O463" s="62">
        <v>2</v>
      </c>
      <c r="P463" s="154" t="s">
        <v>457</v>
      </c>
      <c r="Q463" s="62"/>
      <c r="R463" s="63"/>
      <c r="S463" s="62" t="s">
        <v>630</v>
      </c>
      <c r="T463" s="62"/>
      <c r="U463" s="62"/>
      <c r="V463" s="155">
        <v>2060000</v>
      </c>
      <c r="W463" s="155">
        <v>2614625</v>
      </c>
      <c r="X463" s="155">
        <v>-554625</v>
      </c>
    </row>
    <row r="464" spans="3:24" s="52" customFormat="1" x14ac:dyDescent="0.25">
      <c r="C464" s="101">
        <v>2017</v>
      </c>
      <c r="D464" s="62" t="s">
        <v>912</v>
      </c>
      <c r="E464" s="63" t="s">
        <v>935</v>
      </c>
      <c r="F464" s="64">
        <v>42789</v>
      </c>
      <c r="G464" s="65" t="s">
        <v>190</v>
      </c>
      <c r="H464" s="94">
        <v>479900000</v>
      </c>
      <c r="I464" s="94">
        <v>451841280</v>
      </c>
      <c r="J464" s="94" t="s">
        <v>519</v>
      </c>
      <c r="K464" s="153">
        <v>-5.8467847468222547E-2</v>
      </c>
      <c r="L464" s="104" t="s">
        <v>464</v>
      </c>
      <c r="M464" s="62">
        <v>5</v>
      </c>
      <c r="N464" s="154" t="s">
        <v>226</v>
      </c>
      <c r="O464" s="62">
        <v>1</v>
      </c>
      <c r="P464" s="154" t="s">
        <v>457</v>
      </c>
      <c r="Q464" s="62"/>
      <c r="R464" s="63"/>
      <c r="S464" s="62" t="s">
        <v>630</v>
      </c>
      <c r="T464" s="62"/>
      <c r="U464" s="62"/>
      <c r="V464" s="155">
        <v>479900000</v>
      </c>
      <c r="W464" s="155">
        <v>451841280</v>
      </c>
      <c r="X464" s="155">
        <v>28058720</v>
      </c>
    </row>
    <row r="465" spans="3:24" s="52" customFormat="1" x14ac:dyDescent="0.25">
      <c r="C465" s="101">
        <v>2017</v>
      </c>
      <c r="D465" s="62" t="s">
        <v>876</v>
      </c>
      <c r="E465" s="63" t="s">
        <v>877</v>
      </c>
      <c r="F465" s="64">
        <v>42765</v>
      </c>
      <c r="G465" s="65" t="s">
        <v>756</v>
      </c>
      <c r="H465" s="94">
        <v>6500000</v>
      </c>
      <c r="I465" s="94">
        <v>5987000</v>
      </c>
      <c r="J465" s="94" t="s">
        <v>519</v>
      </c>
      <c r="K465" s="153">
        <v>-7.8923076923076929E-2</v>
      </c>
      <c r="L465" s="104" t="s">
        <v>464</v>
      </c>
      <c r="M465" s="62">
        <v>5</v>
      </c>
      <c r="N465" s="154" t="s">
        <v>93</v>
      </c>
      <c r="O465" s="62">
        <v>1</v>
      </c>
      <c r="P465" s="154" t="s">
        <v>458</v>
      </c>
      <c r="Q465" s="62"/>
      <c r="R465" s="63"/>
      <c r="S465" s="62" t="s">
        <v>447</v>
      </c>
      <c r="T465" s="62"/>
      <c r="U465" s="62"/>
      <c r="V465" s="155">
        <v>6500000</v>
      </c>
      <c r="W465" s="155">
        <v>5987000</v>
      </c>
      <c r="X465" s="155">
        <v>513000</v>
      </c>
    </row>
    <row r="466" spans="3:24" s="52" customFormat="1" x14ac:dyDescent="0.25">
      <c r="C466" s="101"/>
      <c r="L466" s="104"/>
      <c r="N466" s="104"/>
    </row>
    <row r="467" spans="3:24" s="52" customFormat="1" x14ac:dyDescent="0.25">
      <c r="C467" s="101"/>
      <c r="L467" s="104"/>
      <c r="N467" s="104"/>
    </row>
    <row r="468" spans="3:24" s="52" customFormat="1" x14ac:dyDescent="0.25">
      <c r="C468" s="101">
        <v>2017</v>
      </c>
      <c r="D468" s="62" t="s">
        <v>1107</v>
      </c>
      <c r="E468" s="63" t="s">
        <v>1109</v>
      </c>
      <c r="F468" s="64">
        <v>43034</v>
      </c>
      <c r="G468" s="65" t="s">
        <v>756</v>
      </c>
      <c r="H468" s="94">
        <v>2194000</v>
      </c>
      <c r="I468" s="94">
        <v>1361078</v>
      </c>
      <c r="J468" s="94"/>
      <c r="K468" s="153">
        <v>-0.3796362807657247</v>
      </c>
      <c r="L468" s="104" t="s">
        <v>465</v>
      </c>
      <c r="M468" s="62">
        <v>6</v>
      </c>
      <c r="N468" s="154" t="s">
        <v>25</v>
      </c>
      <c r="O468" s="62">
        <v>4</v>
      </c>
      <c r="P468" s="154" t="s">
        <v>459</v>
      </c>
      <c r="Q468" s="62"/>
      <c r="R468" s="63"/>
      <c r="S468" s="62" t="s">
        <v>447</v>
      </c>
      <c r="T468" s="62"/>
      <c r="U468" s="62"/>
      <c r="V468" s="155">
        <v>2194000</v>
      </c>
      <c r="W468" s="155">
        <v>1361078</v>
      </c>
      <c r="X468" s="155">
        <v>832922</v>
      </c>
    </row>
    <row r="469" spans="3:24" s="52" customFormat="1" x14ac:dyDescent="0.25">
      <c r="C469" s="101">
        <v>2017</v>
      </c>
      <c r="D469" s="62" t="s">
        <v>1093</v>
      </c>
      <c r="E469" s="63" t="s">
        <v>1094</v>
      </c>
      <c r="F469" s="64">
        <v>43013</v>
      </c>
      <c r="G469" s="65" t="s">
        <v>34</v>
      </c>
      <c r="H469" s="94">
        <v>970000</v>
      </c>
      <c r="I469" s="94">
        <v>1285000</v>
      </c>
      <c r="J469" s="94"/>
      <c r="K469" s="153">
        <v>0.32474226804123713</v>
      </c>
      <c r="L469" s="104" t="s">
        <v>465</v>
      </c>
      <c r="M469" s="62">
        <v>6</v>
      </c>
      <c r="N469" s="154" t="s">
        <v>25</v>
      </c>
      <c r="O469" s="62">
        <v>4</v>
      </c>
      <c r="P469" s="154" t="s">
        <v>458</v>
      </c>
      <c r="Q469" s="62"/>
      <c r="R469" s="63"/>
      <c r="S469" s="62" t="s">
        <v>616</v>
      </c>
      <c r="T469" s="62"/>
      <c r="U469" s="62"/>
      <c r="V469" s="155">
        <v>970000</v>
      </c>
      <c r="W469" s="155">
        <v>1285000</v>
      </c>
      <c r="X469" s="155">
        <v>-315000</v>
      </c>
    </row>
    <row r="470" spans="3:24" s="52" customFormat="1" x14ac:dyDescent="0.25">
      <c r="C470" s="101">
        <v>2017</v>
      </c>
      <c r="D470" s="62" t="s">
        <v>1089</v>
      </c>
      <c r="E470" s="63" t="s">
        <v>1090</v>
      </c>
      <c r="F470" s="64">
        <v>43005</v>
      </c>
      <c r="G470" s="65" t="s">
        <v>34</v>
      </c>
      <c r="H470" s="94">
        <v>1250000</v>
      </c>
      <c r="I470" s="94">
        <v>1068000</v>
      </c>
      <c r="J470" s="94"/>
      <c r="K470" s="153">
        <v>-0.14560000000000001</v>
      </c>
      <c r="L470" s="104" t="s">
        <v>464</v>
      </c>
      <c r="M470" s="62">
        <v>6</v>
      </c>
      <c r="N470" s="154" t="s">
        <v>226</v>
      </c>
      <c r="O470" s="62">
        <v>3</v>
      </c>
      <c r="P470" s="154" t="s">
        <v>457</v>
      </c>
      <c r="Q470" s="62"/>
      <c r="R470" s="63"/>
      <c r="S470" s="62" t="s">
        <v>784</v>
      </c>
      <c r="T470" s="62"/>
      <c r="U470" s="62"/>
      <c r="V470" s="155">
        <v>1250000</v>
      </c>
      <c r="W470" s="155">
        <v>1068000</v>
      </c>
      <c r="X470" s="155">
        <v>182000</v>
      </c>
    </row>
    <row r="471" spans="3:24" s="52" customFormat="1" x14ac:dyDescent="0.25">
      <c r="C471" s="101">
        <v>2017</v>
      </c>
      <c r="D471" s="62" t="s">
        <v>1052</v>
      </c>
      <c r="E471" s="63" t="s">
        <v>1053</v>
      </c>
      <c r="F471" s="64">
        <v>42948</v>
      </c>
      <c r="G471" s="65" t="s">
        <v>34</v>
      </c>
      <c r="H471" s="94">
        <v>1330000</v>
      </c>
      <c r="I471" s="94">
        <v>936000</v>
      </c>
      <c r="J471" s="94"/>
      <c r="K471" s="153">
        <v>-0.29624060150375942</v>
      </c>
      <c r="L471" s="104" t="s">
        <v>464</v>
      </c>
      <c r="M471" s="62">
        <v>6</v>
      </c>
      <c r="N471" s="154" t="s">
        <v>93</v>
      </c>
      <c r="O471" s="62">
        <v>3</v>
      </c>
      <c r="P471" s="154" t="s">
        <v>458</v>
      </c>
      <c r="Q471" s="62"/>
      <c r="R471" s="63"/>
      <c r="S471" s="62" t="s">
        <v>616</v>
      </c>
      <c r="T471" s="62"/>
      <c r="U471" s="62"/>
      <c r="V471" s="155">
        <v>1330000</v>
      </c>
      <c r="W471" s="155">
        <v>936000</v>
      </c>
      <c r="X471" s="155">
        <v>394000</v>
      </c>
    </row>
    <row r="472" spans="3:24" s="52" customFormat="1" x14ac:dyDescent="0.25">
      <c r="C472" s="101">
        <v>2017</v>
      </c>
      <c r="D472" s="62" t="s">
        <v>989</v>
      </c>
      <c r="E472" s="63" t="s">
        <v>879</v>
      </c>
      <c r="F472" s="64">
        <v>42845</v>
      </c>
      <c r="G472" s="65" t="s">
        <v>693</v>
      </c>
      <c r="H472" s="94">
        <v>2625000</v>
      </c>
      <c r="I472" s="94">
        <v>2472675</v>
      </c>
      <c r="J472" s="94"/>
      <c r="K472" s="153">
        <v>-5.8028571428571429E-2</v>
      </c>
      <c r="L472" s="104" t="s">
        <v>464</v>
      </c>
      <c r="M472" s="62">
        <v>6</v>
      </c>
      <c r="N472" s="154" t="s">
        <v>25</v>
      </c>
      <c r="O472" s="62">
        <v>2</v>
      </c>
      <c r="P472" s="154" t="s">
        <v>492</v>
      </c>
      <c r="Q472" s="62"/>
      <c r="R472" s="63"/>
      <c r="S472" s="62" t="s">
        <v>816</v>
      </c>
      <c r="T472" s="62"/>
      <c r="U472" s="62"/>
      <c r="V472" s="155">
        <v>2625000</v>
      </c>
      <c r="W472" s="155">
        <v>2472675</v>
      </c>
      <c r="X472" s="155">
        <v>152325</v>
      </c>
    </row>
    <row r="473" spans="3:24" s="52" customFormat="1" x14ac:dyDescent="0.25">
      <c r="C473" s="101">
        <v>2017</v>
      </c>
      <c r="D473" s="62" t="s">
        <v>956</v>
      </c>
      <c r="E473" s="63" t="s">
        <v>957</v>
      </c>
      <c r="F473" s="64">
        <v>42810</v>
      </c>
      <c r="G473" s="65" t="s">
        <v>693</v>
      </c>
      <c r="H473" s="94">
        <v>1425000</v>
      </c>
      <c r="I473" s="94">
        <v>1087425</v>
      </c>
      <c r="J473" s="94"/>
      <c r="K473" s="153">
        <v>-0.23689473684210527</v>
      </c>
      <c r="L473" s="104" t="s">
        <v>464</v>
      </c>
      <c r="M473" s="62">
        <v>6</v>
      </c>
      <c r="N473" s="154" t="s">
        <v>93</v>
      </c>
      <c r="O473" s="62">
        <v>1</v>
      </c>
      <c r="P473" s="154" t="s">
        <v>492</v>
      </c>
      <c r="Q473" s="62"/>
      <c r="R473" s="63"/>
      <c r="S473" s="62" t="s">
        <v>816</v>
      </c>
      <c r="T473" s="62"/>
      <c r="U473" s="62"/>
      <c r="V473" s="155">
        <v>1425000</v>
      </c>
      <c r="W473" s="155">
        <v>1087425</v>
      </c>
      <c r="X473" s="155">
        <v>337575</v>
      </c>
    </row>
    <row r="474" spans="3:24" s="52" customFormat="1" x14ac:dyDescent="0.25">
      <c r="C474" s="101">
        <v>2017</v>
      </c>
      <c r="D474" s="62" t="s">
        <v>941</v>
      </c>
      <c r="E474" s="63" t="s">
        <v>940</v>
      </c>
      <c r="F474" s="64">
        <v>42789</v>
      </c>
      <c r="G474" s="65" t="s">
        <v>693</v>
      </c>
      <c r="H474" s="94">
        <v>240000</v>
      </c>
      <c r="I474" s="94">
        <v>97300</v>
      </c>
      <c r="J474" s="94"/>
      <c r="K474" s="153">
        <v>-0.59458333333333335</v>
      </c>
      <c r="L474" s="104" t="s">
        <v>465</v>
      </c>
      <c r="M474" s="62">
        <v>6</v>
      </c>
      <c r="N474" s="154" t="s">
        <v>25</v>
      </c>
      <c r="O474" s="62">
        <v>1</v>
      </c>
      <c r="P474" s="154" t="s">
        <v>457</v>
      </c>
      <c r="Q474" s="62"/>
      <c r="R474" s="63"/>
      <c r="S474" s="62" t="s">
        <v>630</v>
      </c>
      <c r="T474" s="62"/>
      <c r="U474" s="62"/>
      <c r="V474" s="155">
        <v>240000</v>
      </c>
      <c r="W474" s="155">
        <v>97300</v>
      </c>
      <c r="X474" s="155">
        <v>142700</v>
      </c>
    </row>
    <row r="475" spans="3:24" s="52" customFormat="1" x14ac:dyDescent="0.25">
      <c r="C475" s="101">
        <v>2017</v>
      </c>
      <c r="D475" s="62" t="s">
        <v>898</v>
      </c>
      <c r="E475" s="63" t="s">
        <v>717</v>
      </c>
      <c r="F475" s="64">
        <v>42773</v>
      </c>
      <c r="G475" s="65" t="s">
        <v>190</v>
      </c>
      <c r="H475" s="94">
        <v>1965000</v>
      </c>
      <c r="I475" s="94">
        <v>1450000</v>
      </c>
      <c r="J475" s="94"/>
      <c r="K475" s="153">
        <v>-0.26208651399491095</v>
      </c>
      <c r="L475" s="104" t="s">
        <v>464</v>
      </c>
      <c r="M475" s="62">
        <v>6</v>
      </c>
      <c r="N475" s="154" t="s">
        <v>226</v>
      </c>
      <c r="O475" s="62">
        <v>1</v>
      </c>
      <c r="P475" s="154" t="s">
        <v>457</v>
      </c>
      <c r="Q475" s="62"/>
      <c r="R475" s="63" t="s">
        <v>900</v>
      </c>
      <c r="S475" s="62" t="s">
        <v>630</v>
      </c>
      <c r="T475" s="62"/>
      <c r="U475" s="62"/>
      <c r="V475" s="155">
        <v>1965000</v>
      </c>
      <c r="W475" s="155">
        <v>1450000</v>
      </c>
      <c r="X475" s="155">
        <v>515000</v>
      </c>
    </row>
    <row r="476" spans="3:24" s="52" customFormat="1" x14ac:dyDescent="0.25">
      <c r="C476" s="101"/>
      <c r="L476" s="104"/>
      <c r="N476" s="104"/>
    </row>
    <row r="477" spans="3:24" s="52" customFormat="1" x14ac:dyDescent="0.25">
      <c r="C477" s="101"/>
      <c r="L477" s="104"/>
      <c r="N477" s="104"/>
    </row>
    <row r="478" spans="3:24" s="52" customFormat="1" x14ac:dyDescent="0.25">
      <c r="C478" s="101">
        <v>2017</v>
      </c>
      <c r="D478" s="102" t="s">
        <v>1129</v>
      </c>
      <c r="E478" s="63" t="s">
        <v>1130</v>
      </c>
      <c r="F478" s="64">
        <v>43068</v>
      </c>
      <c r="G478" s="65" t="s">
        <v>34</v>
      </c>
      <c r="H478" s="94">
        <v>6600000</v>
      </c>
      <c r="I478" s="94">
        <v>5189333</v>
      </c>
      <c r="J478" s="94" t="s">
        <v>519</v>
      </c>
      <c r="K478" s="153">
        <v>-0.21373742424242423</v>
      </c>
      <c r="L478" s="104" t="s">
        <v>464</v>
      </c>
      <c r="M478" s="62">
        <v>7</v>
      </c>
      <c r="N478" s="154" t="s">
        <v>25</v>
      </c>
      <c r="O478" s="62">
        <v>4</v>
      </c>
      <c r="P478" s="154" t="s">
        <v>458</v>
      </c>
      <c r="Q478" s="62"/>
      <c r="R478" s="63"/>
      <c r="S478" s="62" t="s">
        <v>616</v>
      </c>
      <c r="T478" s="62"/>
      <c r="U478" s="62"/>
      <c r="V478" s="155">
        <v>6600000</v>
      </c>
      <c r="W478" s="155">
        <v>5189333</v>
      </c>
      <c r="X478" s="155">
        <v>1410667</v>
      </c>
    </row>
    <row r="479" spans="3:24" s="52" customFormat="1" x14ac:dyDescent="0.25">
      <c r="C479" s="101">
        <v>2017</v>
      </c>
      <c r="D479" s="62" t="s">
        <v>1042</v>
      </c>
      <c r="E479" s="63" t="s">
        <v>1043</v>
      </c>
      <c r="F479" s="64">
        <v>42913</v>
      </c>
      <c r="G479" s="65" t="s">
        <v>190</v>
      </c>
      <c r="H479" s="94">
        <v>1480000</v>
      </c>
      <c r="I479" s="94">
        <v>1483000</v>
      </c>
      <c r="J479" s="94"/>
      <c r="K479" s="153">
        <v>2.0270270270270271E-3</v>
      </c>
      <c r="L479" s="104" t="s">
        <v>464</v>
      </c>
      <c r="M479" s="62">
        <v>7</v>
      </c>
      <c r="N479" s="154" t="s">
        <v>25</v>
      </c>
      <c r="O479" s="62">
        <v>2</v>
      </c>
      <c r="P479" s="154" t="s">
        <v>459</v>
      </c>
      <c r="Q479" s="62"/>
      <c r="R479" s="63"/>
      <c r="S479" s="62" t="s">
        <v>447</v>
      </c>
      <c r="T479" s="62"/>
      <c r="U479" s="62"/>
      <c r="V479" s="155">
        <v>1480000</v>
      </c>
      <c r="W479" s="155">
        <v>1483000</v>
      </c>
      <c r="X479" s="155">
        <v>-3000</v>
      </c>
    </row>
    <row r="480" spans="3:24" s="52" customFormat="1" x14ac:dyDescent="0.25">
      <c r="C480" s="101">
        <v>2017</v>
      </c>
      <c r="D480" s="62" t="s">
        <v>966</v>
      </c>
      <c r="E480" s="63" t="s">
        <v>967</v>
      </c>
      <c r="F480" s="64">
        <v>42823</v>
      </c>
      <c r="G480" s="65" t="s">
        <v>34</v>
      </c>
      <c r="H480" s="94">
        <v>3700000</v>
      </c>
      <c r="I480" s="94">
        <v>2490000</v>
      </c>
      <c r="J480" s="94"/>
      <c r="K480" s="153">
        <v>-0.32702702702702702</v>
      </c>
      <c r="L480" s="104" t="s">
        <v>464</v>
      </c>
      <c r="M480" s="62">
        <v>7</v>
      </c>
      <c r="N480" s="154" t="s">
        <v>93</v>
      </c>
      <c r="O480" s="62">
        <v>1</v>
      </c>
      <c r="P480" s="154" t="s">
        <v>457</v>
      </c>
      <c r="Q480" s="62"/>
      <c r="R480" s="63" t="s">
        <v>976</v>
      </c>
      <c r="S480" s="62" t="s">
        <v>630</v>
      </c>
      <c r="T480" s="62"/>
      <c r="U480" s="62"/>
      <c r="V480" s="155">
        <v>3700000</v>
      </c>
      <c r="W480" s="155">
        <v>2490000</v>
      </c>
      <c r="X480" s="155">
        <v>1210000</v>
      </c>
    </row>
    <row r="481" spans="3:24" s="52" customFormat="1" x14ac:dyDescent="0.25">
      <c r="C481" s="101">
        <v>2017</v>
      </c>
      <c r="D481" s="62" t="s">
        <v>868</v>
      </c>
      <c r="E481" s="63" t="s">
        <v>869</v>
      </c>
      <c r="F481" s="64">
        <v>42761</v>
      </c>
      <c r="G481" s="65" t="s">
        <v>34</v>
      </c>
      <c r="H481" s="94">
        <v>5100000</v>
      </c>
      <c r="I481" s="94">
        <v>4640176</v>
      </c>
      <c r="J481" s="94" t="s">
        <v>519</v>
      </c>
      <c r="K481" s="153">
        <v>-9.0161568627450978E-2</v>
      </c>
      <c r="L481" s="104" t="s">
        <v>464</v>
      </c>
      <c r="M481" s="62">
        <v>7</v>
      </c>
      <c r="N481" s="154" t="s">
        <v>93</v>
      </c>
      <c r="O481" s="62">
        <v>1</v>
      </c>
      <c r="P481" s="154" t="s">
        <v>458</v>
      </c>
      <c r="Q481" s="62"/>
      <c r="R481" s="63"/>
      <c r="S481" s="62" t="s">
        <v>784</v>
      </c>
      <c r="T481" s="62"/>
      <c r="U481" s="62"/>
      <c r="V481" s="155">
        <v>5100000</v>
      </c>
      <c r="W481" s="155">
        <v>4640176</v>
      </c>
      <c r="X481" s="155">
        <v>459824</v>
      </c>
    </row>
    <row r="482" spans="3:24" s="52" customFormat="1" x14ac:dyDescent="0.25">
      <c r="C482" s="101"/>
      <c r="L482" s="104"/>
      <c r="N482" s="104"/>
    </row>
    <row r="483" spans="3:24" s="52" customFormat="1" x14ac:dyDescent="0.25">
      <c r="C483" s="101"/>
      <c r="L483" s="104"/>
      <c r="N483" s="104"/>
    </row>
    <row r="484" spans="3:24" s="52" customFormat="1" x14ac:dyDescent="0.25">
      <c r="C484" s="101">
        <v>2017</v>
      </c>
      <c r="D484" s="102" t="s">
        <v>1159</v>
      </c>
      <c r="E484" s="63" t="s">
        <v>1154</v>
      </c>
      <c r="F484" s="64">
        <v>43088</v>
      </c>
      <c r="G484" s="65" t="s">
        <v>693</v>
      </c>
      <c r="H484" s="94">
        <v>795000</v>
      </c>
      <c r="I484" s="94">
        <v>353700</v>
      </c>
      <c r="J484" s="94"/>
      <c r="K484" s="153">
        <v>-0.55509433962264154</v>
      </c>
      <c r="L484" s="104" t="s">
        <v>464</v>
      </c>
      <c r="M484" s="62">
        <v>8</v>
      </c>
      <c r="N484" s="154" t="s">
        <v>226</v>
      </c>
      <c r="O484" s="62">
        <v>4</v>
      </c>
      <c r="P484" s="154" t="s">
        <v>457</v>
      </c>
      <c r="Q484" s="62"/>
      <c r="R484" s="63"/>
      <c r="S484" s="62" t="s">
        <v>1153</v>
      </c>
      <c r="T484" s="62"/>
      <c r="U484" s="62"/>
      <c r="V484" s="155">
        <v>795000</v>
      </c>
      <c r="W484" s="155">
        <v>353700</v>
      </c>
      <c r="X484" s="155">
        <v>441300</v>
      </c>
    </row>
    <row r="485" spans="3:24" s="52" customFormat="1" x14ac:dyDescent="0.25">
      <c r="C485" s="101">
        <v>2017</v>
      </c>
      <c r="D485" s="62" t="s">
        <v>1118</v>
      </c>
      <c r="E485" s="63" t="s">
        <v>1119</v>
      </c>
      <c r="F485" s="64">
        <v>43048</v>
      </c>
      <c r="G485" s="65" t="s">
        <v>34</v>
      </c>
      <c r="H485" s="94">
        <v>4860000</v>
      </c>
      <c r="I485" s="94">
        <v>3418000</v>
      </c>
      <c r="J485" s="94"/>
      <c r="K485" s="153">
        <v>-0.29670781893004117</v>
      </c>
      <c r="L485" s="104" t="s">
        <v>464</v>
      </c>
      <c r="M485" s="62">
        <v>8</v>
      </c>
      <c r="N485" s="154" t="s">
        <v>25</v>
      </c>
      <c r="O485" s="62">
        <v>4</v>
      </c>
      <c r="P485" s="154" t="s">
        <v>492</v>
      </c>
      <c r="Q485" s="62"/>
      <c r="R485" s="63"/>
      <c r="S485" s="62" t="s">
        <v>816</v>
      </c>
      <c r="T485" s="62"/>
      <c r="U485" s="62"/>
      <c r="V485" s="155">
        <v>4860000</v>
      </c>
      <c r="W485" s="155">
        <v>3418000</v>
      </c>
      <c r="X485" s="155">
        <v>1442000</v>
      </c>
    </row>
    <row r="486" spans="3:24" s="52" customFormat="1" x14ac:dyDescent="0.25">
      <c r="C486" s="101">
        <v>2017</v>
      </c>
      <c r="D486" s="62" t="s">
        <v>1063</v>
      </c>
      <c r="E486" s="63" t="s">
        <v>1064</v>
      </c>
      <c r="F486" s="64">
        <v>42951</v>
      </c>
      <c r="G486" s="65" t="s">
        <v>34</v>
      </c>
      <c r="H486" s="94">
        <v>6040000</v>
      </c>
      <c r="I486" s="94">
        <v>4845475</v>
      </c>
      <c r="J486" s="94" t="s">
        <v>519</v>
      </c>
      <c r="K486" s="153">
        <v>-0.19776903973509935</v>
      </c>
      <c r="L486" s="104" t="s">
        <v>464</v>
      </c>
      <c r="M486" s="62">
        <v>8</v>
      </c>
      <c r="N486" s="154" t="s">
        <v>93</v>
      </c>
      <c r="O486" s="62">
        <v>3</v>
      </c>
      <c r="P486" s="154" t="s">
        <v>458</v>
      </c>
      <c r="Q486" s="62"/>
      <c r="R486" s="63"/>
      <c r="S486" s="62" t="s">
        <v>784</v>
      </c>
      <c r="T486" s="62"/>
      <c r="U486" s="62"/>
      <c r="V486" s="155">
        <v>6040000</v>
      </c>
      <c r="W486" s="155">
        <v>4845475</v>
      </c>
      <c r="X486" s="155">
        <v>1194525</v>
      </c>
    </row>
    <row r="487" spans="3:24" s="52" customFormat="1" x14ac:dyDescent="0.25">
      <c r="C487" s="101"/>
      <c r="L487" s="104"/>
      <c r="N487" s="104"/>
    </row>
    <row r="488" spans="3:24" s="52" customFormat="1" x14ac:dyDescent="0.25">
      <c r="C488" s="101"/>
      <c r="L488" s="104"/>
      <c r="N488" s="104"/>
    </row>
    <row r="489" spans="3:24" s="52" customFormat="1" x14ac:dyDescent="0.25">
      <c r="C489" s="101">
        <v>2017</v>
      </c>
      <c r="D489" s="62" t="s">
        <v>1101</v>
      </c>
      <c r="E489" s="63" t="s">
        <v>1102</v>
      </c>
      <c r="F489" s="64">
        <v>43025</v>
      </c>
      <c r="G489" s="65" t="s">
        <v>34</v>
      </c>
      <c r="H489" s="94">
        <v>2800000</v>
      </c>
      <c r="I489" s="94">
        <v>2847000</v>
      </c>
      <c r="J489" s="94"/>
      <c r="K489" s="153">
        <v>1.6785714285714286E-2</v>
      </c>
      <c r="L489" s="104" t="s">
        <v>464</v>
      </c>
      <c r="M489" s="62">
        <v>9</v>
      </c>
      <c r="N489" s="154" t="s">
        <v>93</v>
      </c>
      <c r="O489" s="62">
        <v>4</v>
      </c>
      <c r="P489" s="154" t="s">
        <v>458</v>
      </c>
      <c r="Q489" s="62"/>
      <c r="R489" s="63"/>
      <c r="S489" s="62" t="s">
        <v>616</v>
      </c>
      <c r="T489" s="62"/>
      <c r="U489" s="62"/>
      <c r="V489" s="155">
        <v>2800000</v>
      </c>
      <c r="W489" s="155">
        <v>2847000</v>
      </c>
      <c r="X489" s="155">
        <v>-47000</v>
      </c>
    </row>
    <row r="490" spans="3:24" s="52" customFormat="1" x14ac:dyDescent="0.25">
      <c r="C490" s="101">
        <v>2017</v>
      </c>
      <c r="D490" s="62" t="s">
        <v>1014</v>
      </c>
      <c r="E490" s="63" t="s">
        <v>1015</v>
      </c>
      <c r="F490" s="64">
        <v>42886</v>
      </c>
      <c r="G490" s="65" t="s">
        <v>34</v>
      </c>
      <c r="H490" s="94">
        <v>1140000</v>
      </c>
      <c r="I490" s="94">
        <v>904780</v>
      </c>
      <c r="J490" s="94"/>
      <c r="K490" s="153">
        <v>-0.20633333333333334</v>
      </c>
      <c r="L490" s="104" t="s">
        <v>464</v>
      </c>
      <c r="M490" s="62">
        <v>9</v>
      </c>
      <c r="N490" s="154" t="s">
        <v>25</v>
      </c>
      <c r="O490" s="62">
        <v>2</v>
      </c>
      <c r="P490" s="154" t="s">
        <v>458</v>
      </c>
      <c r="Q490" s="62"/>
      <c r="R490" s="63"/>
      <c r="S490" s="62" t="s">
        <v>616</v>
      </c>
      <c r="T490" s="62"/>
      <c r="U490" s="62"/>
      <c r="V490" s="155">
        <v>1140000</v>
      </c>
      <c r="W490" s="155">
        <v>904780</v>
      </c>
      <c r="X490" s="155">
        <v>235220</v>
      </c>
    </row>
    <row r="491" spans="3:24" s="52" customFormat="1" x14ac:dyDescent="0.25">
      <c r="C491" s="101">
        <v>2017</v>
      </c>
      <c r="D491" s="62" t="s">
        <v>1001</v>
      </c>
      <c r="E491" s="63" t="s">
        <v>1008</v>
      </c>
      <c r="F491" s="64">
        <v>42872</v>
      </c>
      <c r="G491" s="65" t="s">
        <v>34</v>
      </c>
      <c r="H491" s="94">
        <v>5000000</v>
      </c>
      <c r="I491" s="94">
        <v>5210665</v>
      </c>
      <c r="J491" s="94" t="s">
        <v>519</v>
      </c>
      <c r="K491" s="153">
        <v>4.2132999999999997E-2</v>
      </c>
      <c r="L491" s="104" t="s">
        <v>464</v>
      </c>
      <c r="M491" s="62">
        <v>9</v>
      </c>
      <c r="N491" s="154" t="s">
        <v>226</v>
      </c>
      <c r="O491" s="62">
        <v>2</v>
      </c>
      <c r="P491" s="154" t="s">
        <v>492</v>
      </c>
      <c r="Q491" s="62"/>
      <c r="R491" s="63"/>
      <c r="S491" s="62" t="s">
        <v>816</v>
      </c>
      <c r="T491" s="62"/>
      <c r="U491" s="62"/>
      <c r="V491" s="155">
        <v>5000000</v>
      </c>
      <c r="W491" s="155">
        <v>5210665</v>
      </c>
      <c r="X491" s="155">
        <v>-210665</v>
      </c>
    </row>
    <row r="492" spans="3:24" s="52" customFormat="1" x14ac:dyDescent="0.25">
      <c r="C492" s="101">
        <v>2017</v>
      </c>
      <c r="D492" s="62" t="s">
        <v>901</v>
      </c>
      <c r="E492" s="63" t="s">
        <v>902</v>
      </c>
      <c r="F492" s="64">
        <v>42774</v>
      </c>
      <c r="G492" s="65" t="s">
        <v>34</v>
      </c>
      <c r="H492" s="94">
        <v>970000</v>
      </c>
      <c r="I492" s="94">
        <v>756482</v>
      </c>
      <c r="J492" s="94"/>
      <c r="K492" s="153">
        <v>-0.22012164948453608</v>
      </c>
      <c r="L492" s="104" t="s">
        <v>464</v>
      </c>
      <c r="M492" s="62">
        <v>9</v>
      </c>
      <c r="N492" s="154" t="s">
        <v>25</v>
      </c>
      <c r="O492" s="62">
        <v>1</v>
      </c>
      <c r="P492" s="154" t="s">
        <v>458</v>
      </c>
      <c r="Q492" s="62"/>
      <c r="R492" s="63"/>
      <c r="S492" s="62" t="s">
        <v>616</v>
      </c>
      <c r="T492" s="62"/>
      <c r="U492" s="62"/>
      <c r="V492" s="155">
        <v>970000</v>
      </c>
      <c r="W492" s="155">
        <v>756482</v>
      </c>
      <c r="X492" s="155">
        <v>213518</v>
      </c>
    </row>
    <row r="493" spans="3:24" s="52" customFormat="1" x14ac:dyDescent="0.25">
      <c r="C493" s="101">
        <v>2017</v>
      </c>
      <c r="D493" s="62" t="s">
        <v>862</v>
      </c>
      <c r="E493" s="63" t="s">
        <v>863</v>
      </c>
      <c r="F493" s="64">
        <v>42759</v>
      </c>
      <c r="G493" s="65" t="s">
        <v>190</v>
      </c>
      <c r="H493" s="94">
        <v>69800000</v>
      </c>
      <c r="I493" s="94">
        <v>67107000</v>
      </c>
      <c r="J493" s="94" t="s">
        <v>519</v>
      </c>
      <c r="K493" s="153">
        <v>-3.8581661891117482E-2</v>
      </c>
      <c r="L493" s="104" t="s">
        <v>464</v>
      </c>
      <c r="M493" s="62">
        <v>9</v>
      </c>
      <c r="N493" s="154" t="s">
        <v>25</v>
      </c>
      <c r="O493" s="62">
        <v>1</v>
      </c>
      <c r="P493" s="154" t="s">
        <v>458</v>
      </c>
      <c r="Q493" s="62"/>
      <c r="R493" s="63"/>
      <c r="S493" s="62" t="s">
        <v>616</v>
      </c>
      <c r="T493" s="62"/>
      <c r="U493" s="62"/>
      <c r="V493" s="155">
        <v>69800000</v>
      </c>
      <c r="W493" s="155">
        <v>67107000</v>
      </c>
      <c r="X493" s="155">
        <v>2693000</v>
      </c>
    </row>
    <row r="494" spans="3:24" s="52" customFormat="1" x14ac:dyDescent="0.25">
      <c r="C494" s="101"/>
      <c r="L494" s="104"/>
      <c r="N494" s="104"/>
    </row>
    <row r="495" spans="3:24" s="52" customFormat="1" x14ac:dyDescent="0.25">
      <c r="C495" s="101"/>
      <c r="L495" s="104"/>
      <c r="N495" s="104"/>
    </row>
    <row r="496" spans="3:24" s="52" customFormat="1" x14ac:dyDescent="0.25">
      <c r="C496" s="101">
        <v>2017</v>
      </c>
      <c r="D496" s="62" t="str">
        <f>+'BP-694.510'!$F$4</f>
        <v>BP-694.510</v>
      </c>
      <c r="E496" s="63" t="str">
        <f>+'BP-694.510'!$F$5</f>
        <v>Brooklyn Pier 10 Concrete Girder Repairs</v>
      </c>
      <c r="F496" s="64">
        <f>+'BP-694.510'!$F$6</f>
        <v>42999</v>
      </c>
      <c r="G496" s="65" t="str">
        <f>+'BP-694.510'!$G$7</f>
        <v>Public</v>
      </c>
      <c r="H496" s="94">
        <f>+'BP-694.510'!$F$7</f>
        <v>1250000</v>
      </c>
      <c r="I496" s="94">
        <f>+'BP-694.510'!$F$8</f>
        <v>876947</v>
      </c>
      <c r="J496" s="94"/>
      <c r="K496" s="153">
        <f>+'BP-694.510'!$G$9</f>
        <v>-0.2984424</v>
      </c>
      <c r="L496" s="104" t="str">
        <f>+'BP-694.510'!$F$11</f>
        <v>GOOD</v>
      </c>
      <c r="M496" s="62">
        <f>+'BP-694.510'!$H$12</f>
        <v>13</v>
      </c>
      <c r="N496" s="154" t="s">
        <v>93</v>
      </c>
      <c r="O496" s="62">
        <v>3</v>
      </c>
      <c r="P496" s="154" t="s">
        <v>492</v>
      </c>
      <c r="Q496" s="62"/>
      <c r="R496" s="63"/>
      <c r="S496" s="62" t="str">
        <f>+'BP-694.510'!$J$4</f>
        <v>Ed Minall</v>
      </c>
      <c r="T496" s="62"/>
      <c r="U496" s="62"/>
      <c r="V496" s="155">
        <f t="shared" ref="V496:W500" si="46">+H496</f>
        <v>1250000</v>
      </c>
      <c r="W496" s="155">
        <f t="shared" si="46"/>
        <v>876947</v>
      </c>
      <c r="X496" s="155">
        <f t="shared" ref="X496:X500" si="47">+V496-W496</f>
        <v>373053</v>
      </c>
    </row>
    <row r="497" spans="3:24" s="52" customFormat="1" x14ac:dyDescent="0.25">
      <c r="C497" s="101">
        <v>2017</v>
      </c>
      <c r="D497" s="62" t="str">
        <f>+'LGA-774.235'!$F$4</f>
        <v>LGA-774.235</v>
      </c>
      <c r="E497" s="63" t="str">
        <f>+'LGA-774.235'!$F$5</f>
        <v>Emergency Generators at Various Locations</v>
      </c>
      <c r="F497" s="64">
        <f>+'LGA-774.235'!$F$6</f>
        <v>42894</v>
      </c>
      <c r="G497" s="65" t="str">
        <f>+'LGA-774.235'!$G$7</f>
        <v>VVP</v>
      </c>
      <c r="H497" s="94">
        <f>+'LGA-774.235'!$F$7</f>
        <v>6445000</v>
      </c>
      <c r="I497" s="94">
        <f>+'LGA-774.235'!$F$8</f>
        <v>7166666</v>
      </c>
      <c r="J497" s="94" t="s">
        <v>519</v>
      </c>
      <c r="K497" s="153">
        <f>+'LGA-774.235'!$G$9</f>
        <v>0.11197300232738557</v>
      </c>
      <c r="L497" s="104" t="str">
        <f>+'LGA-774.235'!$F$11</f>
        <v>FAIL</v>
      </c>
      <c r="M497" s="62">
        <f>+'LGA-774.235'!$H$12</f>
        <v>11</v>
      </c>
      <c r="N497" s="154" t="s">
        <v>93</v>
      </c>
      <c r="O497" s="62">
        <v>2</v>
      </c>
      <c r="P497" s="154" t="s">
        <v>458</v>
      </c>
      <c r="Q497" s="62"/>
      <c r="R497" s="63"/>
      <c r="S497" s="62" t="str">
        <f>+'LGA-774.235'!$J$4</f>
        <v>Joe Lucin</v>
      </c>
      <c r="T497" s="62"/>
      <c r="U497" s="62"/>
      <c r="V497" s="155">
        <f t="shared" si="46"/>
        <v>6445000</v>
      </c>
      <c r="W497" s="155">
        <f t="shared" si="46"/>
        <v>7166666</v>
      </c>
      <c r="X497" s="155">
        <f t="shared" si="47"/>
        <v>-721666</v>
      </c>
    </row>
    <row r="498" spans="3:24" s="52" customFormat="1" x14ac:dyDescent="0.25">
      <c r="C498" s="101">
        <v>2017</v>
      </c>
      <c r="D498" s="62" t="str">
        <f>+'JFK-154.019'!$F$4</f>
        <v>JFK-154.019</v>
      </c>
      <c r="E498" s="63" t="str">
        <f>+'JFK-154.019'!$F$5</f>
        <v>Install Gate/Check Valves for Exist Stormwater Outfalls 2-3-4-5-6</v>
      </c>
      <c r="F498" s="64">
        <f>+'JFK-154.019'!$F$6</f>
        <v>42880</v>
      </c>
      <c r="G498" s="65" t="str">
        <f>+'JFK-154.019'!$G$7</f>
        <v>Public</v>
      </c>
      <c r="H498" s="94">
        <f>+'JFK-154.019'!$F$7</f>
        <v>2850000</v>
      </c>
      <c r="I498" s="94">
        <f>+'JFK-154.019'!$F$8</f>
        <v>1808548</v>
      </c>
      <c r="J498" s="94"/>
      <c r="K498" s="153">
        <f>+'JFK-154.019'!$G$9</f>
        <v>-0.36542175438596491</v>
      </c>
      <c r="L498" s="104" t="str">
        <f>+'JFK-154.019'!$F$11</f>
        <v>FAIL</v>
      </c>
      <c r="M498" s="62">
        <f>+'JFK-154.019'!$H$12</f>
        <v>11</v>
      </c>
      <c r="N498" s="154" t="s">
        <v>93</v>
      </c>
      <c r="O498" s="62">
        <v>2</v>
      </c>
      <c r="P498" s="154" t="s">
        <v>458</v>
      </c>
      <c r="Q498" s="62"/>
      <c r="R498" s="63"/>
      <c r="S498" s="62" t="str">
        <f>+'JFK-154.019'!$J$4</f>
        <v>Wen Chang</v>
      </c>
      <c r="T498" s="62"/>
      <c r="U498" s="62"/>
      <c r="V498" s="155">
        <f t="shared" si="46"/>
        <v>2850000</v>
      </c>
      <c r="W498" s="155">
        <f t="shared" si="46"/>
        <v>1808548</v>
      </c>
      <c r="X498" s="155">
        <f t="shared" si="47"/>
        <v>1041452</v>
      </c>
    </row>
    <row r="499" spans="3:24" s="52" customFormat="1" x14ac:dyDescent="0.25">
      <c r="C499" s="101">
        <v>2017</v>
      </c>
      <c r="D499" s="62" t="str">
        <f>+'TEB-144.045'!$F$4</f>
        <v>TEB-144.045</v>
      </c>
      <c r="E499" s="63" t="str">
        <f>+'TEB-144.045'!$F$5</f>
        <v>Storm Drainage System Rehab Phase 1</v>
      </c>
      <c r="F499" s="64">
        <f>+'TEB-144.045'!$F$6</f>
        <v>42780</v>
      </c>
      <c r="G499" s="65" t="str">
        <f>+'TEB-144.045'!$G$7</f>
        <v>Public</v>
      </c>
      <c r="H499" s="94">
        <f>+'TEB-144.045'!$F$7</f>
        <v>2580000</v>
      </c>
      <c r="I499" s="94">
        <f>+'TEB-144.045'!$F$8</f>
        <v>1386000</v>
      </c>
      <c r="J499" s="94"/>
      <c r="K499" s="153">
        <f>+'TEB-144.045'!$G$9</f>
        <v>-0.46279069767441861</v>
      </c>
      <c r="L499" s="104" t="str">
        <f>+'TEB-144.045'!$F$11</f>
        <v>GOOD</v>
      </c>
      <c r="M499" s="62">
        <f>+'TEB-144.045'!$H$12</f>
        <v>16</v>
      </c>
      <c r="N499" s="154" t="s">
        <v>25</v>
      </c>
      <c r="O499" s="62">
        <v>1</v>
      </c>
      <c r="P499" s="154" t="s">
        <v>458</v>
      </c>
      <c r="Q499" s="62"/>
      <c r="R499" s="63" t="s">
        <v>1020</v>
      </c>
      <c r="S499" s="62" t="str">
        <f>+'EWR-924.375'!$J$4</f>
        <v>Henry Yu</v>
      </c>
      <c r="T499" s="62"/>
      <c r="U499" s="62"/>
      <c r="V499" s="155">
        <f t="shared" si="46"/>
        <v>2580000</v>
      </c>
      <c r="W499" s="155">
        <f t="shared" si="46"/>
        <v>1386000</v>
      </c>
      <c r="X499" s="155">
        <f t="shared" si="47"/>
        <v>1194000</v>
      </c>
    </row>
    <row r="500" spans="3:24" s="52" customFormat="1" x14ac:dyDescent="0.25">
      <c r="C500" s="101">
        <v>2017</v>
      </c>
      <c r="D500" s="62" t="str">
        <f>+'JFK-124.009'!$F$4</f>
        <v>JFK-124.009</v>
      </c>
      <c r="E500" s="63" t="str">
        <f>+'JFK-124.009'!$F$5</f>
        <v>Bldg 14 Roof Replacement, East Wing</v>
      </c>
      <c r="F500" s="64">
        <f>+'JFK-124.009'!$F$6</f>
        <v>42768</v>
      </c>
      <c r="G500" s="65" t="str">
        <f>+'JFK-124.009'!$G$7</f>
        <v>Public</v>
      </c>
      <c r="H500" s="94">
        <f>+'JFK-124.009'!$F$7</f>
        <v>4800000</v>
      </c>
      <c r="I500" s="94">
        <f>+'JFK-124.009'!$F$8</f>
        <v>3901193</v>
      </c>
      <c r="J500" s="94"/>
      <c r="K500" s="153">
        <f>+'JFK-124.009'!$G$9</f>
        <v>-0.18725145833333334</v>
      </c>
      <c r="L500" s="104" t="str">
        <f>+'JFK-124.009'!$F$11</f>
        <v>GOOD</v>
      </c>
      <c r="M500" s="62">
        <f>+'JFK-124.009'!$H$12</f>
        <v>14</v>
      </c>
      <c r="N500" s="154" t="s">
        <v>93</v>
      </c>
      <c r="O500" s="62">
        <v>1</v>
      </c>
      <c r="P500" s="154" t="s">
        <v>458</v>
      </c>
      <c r="Q500" s="62"/>
      <c r="R500" s="63"/>
      <c r="S500" s="62" t="str">
        <f>+'JFK-124.009'!$J$4</f>
        <v>Henry Yu</v>
      </c>
      <c r="T500" s="62"/>
      <c r="U500" s="62"/>
      <c r="V500" s="155">
        <f t="shared" si="46"/>
        <v>4800000</v>
      </c>
      <c r="W500" s="155">
        <f t="shared" si="46"/>
        <v>3901193</v>
      </c>
      <c r="X500" s="155">
        <f t="shared" si="47"/>
        <v>898807</v>
      </c>
    </row>
    <row r="501" spans="3:24" s="52" customFormat="1" x14ac:dyDescent="0.25">
      <c r="C501" s="101"/>
      <c r="N501" s="104"/>
    </row>
    <row r="502" spans="3:24" x14ac:dyDescent="0.25">
      <c r="C502" s="39"/>
    </row>
    <row r="503" spans="3:24" x14ac:dyDescent="0.25">
      <c r="C503" s="39"/>
      <c r="K503" s="11"/>
    </row>
    <row r="504" spans="3:24" x14ac:dyDescent="0.25">
      <c r="C504" s="39"/>
    </row>
    <row r="505" spans="3:24" x14ac:dyDescent="0.25">
      <c r="C505" s="39"/>
      <c r="E505" s="158" t="s">
        <v>1195</v>
      </c>
      <c r="F505" s="159" t="s">
        <v>1194</v>
      </c>
      <c r="G505" s="159" t="s">
        <v>39</v>
      </c>
      <c r="H505" s="160" t="s">
        <v>842</v>
      </c>
    </row>
    <row r="506" spans="3:24" x14ac:dyDescent="0.25">
      <c r="C506" s="39"/>
      <c r="E506" s="161" t="s">
        <v>1184</v>
      </c>
      <c r="F506" s="162">
        <f>H506/G506</f>
        <v>0</v>
      </c>
      <c r="G506" s="156">
        <v>1</v>
      </c>
      <c r="H506" s="157">
        <v>0</v>
      </c>
    </row>
    <row r="507" spans="3:24" x14ac:dyDescent="0.25">
      <c r="C507" s="39"/>
      <c r="E507" s="161" t="s">
        <v>1185</v>
      </c>
      <c r="F507" s="162">
        <f t="shared" ref="F507:F515" si="48">H507/G507</f>
        <v>0.5</v>
      </c>
      <c r="G507" s="156">
        <f>COUNTA(L421:L428)</f>
        <v>8</v>
      </c>
      <c r="H507" s="157">
        <v>4</v>
      </c>
    </row>
    <row r="508" spans="3:24" x14ac:dyDescent="0.25">
      <c r="C508" s="39"/>
      <c r="E508" s="161" t="s">
        <v>1186</v>
      </c>
      <c r="F508" s="162">
        <f t="shared" si="48"/>
        <v>0.6428571428571429</v>
      </c>
      <c r="G508" s="156">
        <f>COUNTA(L431:L444)</f>
        <v>14</v>
      </c>
      <c r="H508" s="157">
        <v>9</v>
      </c>
    </row>
    <row r="509" spans="3:24" x14ac:dyDescent="0.25">
      <c r="C509" s="39"/>
      <c r="E509" s="161" t="s">
        <v>1187</v>
      </c>
      <c r="F509" s="162">
        <f t="shared" si="48"/>
        <v>0.66666666666666663</v>
      </c>
      <c r="G509" s="156">
        <f>COUNTA(L447:L455)</f>
        <v>9</v>
      </c>
      <c r="H509" s="157">
        <v>6</v>
      </c>
    </row>
    <row r="510" spans="3:24" x14ac:dyDescent="0.25">
      <c r="C510" s="39"/>
      <c r="E510" s="161" t="s">
        <v>1188</v>
      </c>
      <c r="F510" s="162">
        <f t="shared" si="48"/>
        <v>0.5</v>
      </c>
      <c r="G510" s="156">
        <f>COUNTA(L458:L465)</f>
        <v>8</v>
      </c>
      <c r="H510" s="157">
        <v>4</v>
      </c>
    </row>
    <row r="511" spans="3:24" x14ac:dyDescent="0.25">
      <c r="C511" s="39"/>
      <c r="E511" s="161" t="s">
        <v>1189</v>
      </c>
      <c r="F511" s="162">
        <f t="shared" si="48"/>
        <v>0.625</v>
      </c>
      <c r="G511" s="156">
        <f>COUNTA(L468:L475)</f>
        <v>8</v>
      </c>
      <c r="H511" s="157">
        <v>5</v>
      </c>
    </row>
    <row r="512" spans="3:24" x14ac:dyDescent="0.25">
      <c r="C512" s="39"/>
      <c r="E512" s="161" t="s">
        <v>1190</v>
      </c>
      <c r="F512" s="162">
        <f t="shared" si="48"/>
        <v>1</v>
      </c>
      <c r="G512" s="156">
        <f>COUNTA(L478:L481)</f>
        <v>4</v>
      </c>
      <c r="H512" s="157">
        <v>4</v>
      </c>
    </row>
    <row r="513" spans="2:24" x14ac:dyDescent="0.25">
      <c r="C513" s="39"/>
      <c r="E513" s="161" t="s">
        <v>1191</v>
      </c>
      <c r="F513" s="162">
        <f t="shared" si="48"/>
        <v>1</v>
      </c>
      <c r="G513" s="156">
        <f>COUNTA(L484:L486)</f>
        <v>3</v>
      </c>
      <c r="H513" s="157">
        <v>3</v>
      </c>
    </row>
    <row r="514" spans="2:24" x14ac:dyDescent="0.25">
      <c r="C514" s="39"/>
      <c r="E514" s="161" t="s">
        <v>1192</v>
      </c>
      <c r="F514" s="162">
        <f t="shared" si="48"/>
        <v>1</v>
      </c>
      <c r="G514" s="156">
        <f>COUNTA(L489:L493)</f>
        <v>5</v>
      </c>
      <c r="H514" s="157">
        <v>5</v>
      </c>
    </row>
    <row r="515" spans="2:24" x14ac:dyDescent="0.25">
      <c r="C515" s="39"/>
      <c r="E515" s="161" t="s">
        <v>1193</v>
      </c>
      <c r="F515" s="162">
        <f t="shared" si="48"/>
        <v>0.6</v>
      </c>
      <c r="G515" s="156">
        <f>COUNTA(L496:L500)</f>
        <v>5</v>
      </c>
      <c r="H515" s="157">
        <v>3</v>
      </c>
      <c r="K515" s="52"/>
    </row>
    <row r="516" spans="2:24" x14ac:dyDescent="0.25">
      <c r="C516" s="39"/>
      <c r="K516" s="52"/>
    </row>
    <row r="517" spans="2:24" x14ac:dyDescent="0.25">
      <c r="C517" s="39"/>
      <c r="K517" s="52"/>
    </row>
    <row r="518" spans="2:24" x14ac:dyDescent="0.25">
      <c r="C518" s="39"/>
    </row>
    <row r="519" spans="2:24" x14ac:dyDescent="0.25">
      <c r="C519" s="39"/>
    </row>
    <row r="520" spans="2:24" x14ac:dyDescent="0.25">
      <c r="B520" s="139"/>
      <c r="C520" s="140"/>
      <c r="D520" s="139"/>
      <c r="E520" s="139"/>
      <c r="F520" s="139"/>
      <c r="G520" s="139"/>
      <c r="H520" s="139"/>
      <c r="I520" s="139"/>
      <c r="J520" s="139"/>
      <c r="K520" s="139"/>
      <c r="L520" s="139"/>
      <c r="M520" s="139"/>
      <c r="N520" s="141"/>
      <c r="O520" s="139"/>
      <c r="P520" s="139"/>
      <c r="Q520" s="139"/>
      <c r="R520" s="139"/>
      <c r="S520" s="139"/>
    </row>
    <row r="521" spans="2:24" x14ac:dyDescent="0.25">
      <c r="C521" s="39"/>
    </row>
    <row r="522" spans="2:24" x14ac:dyDescent="0.25">
      <c r="C522" s="39"/>
    </row>
    <row r="523" spans="2:24" x14ac:dyDescent="0.25">
      <c r="C523" s="39"/>
    </row>
    <row r="524" spans="2:24" x14ac:dyDescent="0.25">
      <c r="C524" s="39">
        <v>2017</v>
      </c>
      <c r="D524" s="102" t="s">
        <v>1159</v>
      </c>
      <c r="E524" s="63" t="s">
        <v>1154</v>
      </c>
      <c r="F524" s="64">
        <v>43088</v>
      </c>
      <c r="G524" s="65" t="s">
        <v>693</v>
      </c>
      <c r="H524" s="94">
        <v>795000</v>
      </c>
      <c r="I524" s="27">
        <v>353700</v>
      </c>
      <c r="J524" s="27"/>
      <c r="K524" s="26">
        <v>-0.55509433962264154</v>
      </c>
      <c r="L524" s="11" t="s">
        <v>464</v>
      </c>
      <c r="M524" s="15">
        <v>8</v>
      </c>
      <c r="N524" s="35" t="s">
        <v>226</v>
      </c>
      <c r="O524" s="15">
        <v>4</v>
      </c>
      <c r="P524" s="35" t="s">
        <v>457</v>
      </c>
      <c r="Q524" s="15"/>
      <c r="R524" s="24"/>
      <c r="S524" s="62" t="s">
        <v>1153</v>
      </c>
      <c r="T524" s="15"/>
      <c r="U524" s="15"/>
      <c r="V524" s="54">
        <v>795000</v>
      </c>
      <c r="W524" s="54">
        <v>353700</v>
      </c>
      <c r="X524" s="54">
        <v>441300</v>
      </c>
    </row>
    <row r="525" spans="2:24" x14ac:dyDescent="0.25">
      <c r="C525" s="39">
        <v>2017</v>
      </c>
      <c r="D525" s="102" t="s">
        <v>1150</v>
      </c>
      <c r="E525" s="63" t="s">
        <v>1151</v>
      </c>
      <c r="F525" s="64">
        <v>43083</v>
      </c>
      <c r="G525" s="65" t="s">
        <v>693</v>
      </c>
      <c r="H525" s="94">
        <v>979000</v>
      </c>
      <c r="I525" s="27">
        <v>1168000</v>
      </c>
      <c r="J525" s="27"/>
      <c r="K525" s="26">
        <v>0.1930541368743616</v>
      </c>
      <c r="L525" s="11" t="s">
        <v>465</v>
      </c>
      <c r="M525" s="15">
        <v>2</v>
      </c>
      <c r="N525" s="35" t="s">
        <v>25</v>
      </c>
      <c r="O525" s="15">
        <v>4</v>
      </c>
      <c r="P525" s="35" t="s">
        <v>458</v>
      </c>
      <c r="Q525" s="15"/>
      <c r="R525" s="24"/>
      <c r="S525" s="62" t="s">
        <v>784</v>
      </c>
      <c r="T525" s="15"/>
      <c r="U525" s="15"/>
      <c r="V525" s="54">
        <v>979000</v>
      </c>
      <c r="W525" s="54">
        <v>1168000</v>
      </c>
      <c r="X525" s="54">
        <v>-189000</v>
      </c>
    </row>
    <row r="526" spans="2:24" x14ac:dyDescent="0.25">
      <c r="C526" s="39">
        <v>2017</v>
      </c>
      <c r="D526" s="62" t="s">
        <v>1124</v>
      </c>
      <c r="E526" s="63" t="s">
        <v>1125</v>
      </c>
      <c r="F526" s="64">
        <v>43053</v>
      </c>
      <c r="G526" s="65" t="s">
        <v>693</v>
      </c>
      <c r="H526" s="94">
        <v>820000</v>
      </c>
      <c r="I526" s="27">
        <v>861500</v>
      </c>
      <c r="J526" s="27"/>
      <c r="K526" s="26">
        <v>5.0609756097560979E-2</v>
      </c>
      <c r="L526" s="11" t="s">
        <v>464</v>
      </c>
      <c r="M526" s="15">
        <v>4</v>
      </c>
      <c r="N526" s="35" t="s">
        <v>25</v>
      </c>
      <c r="O526" s="15">
        <v>4</v>
      </c>
      <c r="P526" s="35" t="s">
        <v>458</v>
      </c>
      <c r="Q526" s="15"/>
      <c r="R526" s="24"/>
      <c r="S526" s="62" t="s">
        <v>616</v>
      </c>
      <c r="T526" s="15"/>
      <c r="U526" s="15"/>
      <c r="V526" s="54">
        <v>820000</v>
      </c>
      <c r="W526" s="54">
        <v>861500</v>
      </c>
      <c r="X526" s="54">
        <v>-41500</v>
      </c>
    </row>
    <row r="527" spans="2:24" x14ac:dyDescent="0.25">
      <c r="C527" s="39">
        <v>2017</v>
      </c>
      <c r="D527" s="62" t="s">
        <v>1091</v>
      </c>
      <c r="E527" s="63" t="s">
        <v>1092</v>
      </c>
      <c r="F527" s="64">
        <v>43006</v>
      </c>
      <c r="G527" s="65" t="s">
        <v>693</v>
      </c>
      <c r="H527" s="94">
        <v>609000</v>
      </c>
      <c r="I527" s="27">
        <v>579300</v>
      </c>
      <c r="J527" s="27"/>
      <c r="K527" s="26">
        <v>-4.8768472906403938E-2</v>
      </c>
      <c r="L527" s="11" t="s">
        <v>464</v>
      </c>
      <c r="M527" s="15">
        <v>4</v>
      </c>
      <c r="N527" s="35" t="s">
        <v>226</v>
      </c>
      <c r="O527" s="15">
        <v>3</v>
      </c>
      <c r="P527" s="35" t="s">
        <v>457</v>
      </c>
      <c r="Q527" s="15"/>
      <c r="R527" s="24"/>
      <c r="S527" s="62" t="s">
        <v>962</v>
      </c>
      <c r="T527" s="15"/>
      <c r="U527" s="15"/>
      <c r="V527" s="54">
        <v>609000</v>
      </c>
      <c r="W527" s="54">
        <v>579300</v>
      </c>
      <c r="X527" s="54">
        <v>29700</v>
      </c>
    </row>
    <row r="528" spans="2:24" x14ac:dyDescent="0.25">
      <c r="C528" s="101">
        <v>2017</v>
      </c>
      <c r="D528" s="62" t="s">
        <v>1038</v>
      </c>
      <c r="E528" s="63" t="s">
        <v>1039</v>
      </c>
      <c r="F528" s="64">
        <v>42901</v>
      </c>
      <c r="G528" s="65" t="s">
        <v>693</v>
      </c>
      <c r="H528" s="94">
        <v>850000</v>
      </c>
      <c r="I528" s="27">
        <v>887000</v>
      </c>
      <c r="J528" s="27"/>
      <c r="K528" s="26">
        <v>4.3529411764705879E-2</v>
      </c>
      <c r="L528" s="11" t="s">
        <v>464</v>
      </c>
      <c r="M528" s="15">
        <v>3</v>
      </c>
      <c r="N528" s="35" t="s">
        <v>25</v>
      </c>
      <c r="O528" s="15">
        <v>2</v>
      </c>
      <c r="P528" s="35" t="s">
        <v>458</v>
      </c>
      <c r="Q528" s="15"/>
      <c r="R528" s="24"/>
      <c r="S528" s="62" t="s">
        <v>616</v>
      </c>
      <c r="T528" s="15"/>
      <c r="U528" s="15"/>
      <c r="V528" s="54">
        <v>850000</v>
      </c>
      <c r="W528" s="54">
        <v>887000</v>
      </c>
      <c r="X528" s="54">
        <v>-37000</v>
      </c>
    </row>
    <row r="529" spans="3:24" x14ac:dyDescent="0.25">
      <c r="C529" s="39">
        <v>2017</v>
      </c>
      <c r="D529" s="62" t="s">
        <v>1025</v>
      </c>
      <c r="E529" s="63" t="s">
        <v>1026</v>
      </c>
      <c r="F529" s="64">
        <v>42893</v>
      </c>
      <c r="G529" s="65" t="s">
        <v>693</v>
      </c>
      <c r="H529" s="94">
        <v>650000</v>
      </c>
      <c r="I529" s="27">
        <v>865508</v>
      </c>
      <c r="J529" s="27"/>
      <c r="K529" s="26">
        <v>0.3315507692307692</v>
      </c>
      <c r="L529" s="11" t="s">
        <v>465</v>
      </c>
      <c r="M529" s="15">
        <v>3</v>
      </c>
      <c r="N529" s="35" t="s">
        <v>25</v>
      </c>
      <c r="O529" s="15">
        <v>2</v>
      </c>
      <c r="P529" s="35" t="s">
        <v>458</v>
      </c>
      <c r="Q529" s="15"/>
      <c r="R529" s="24"/>
      <c r="S529" s="62" t="s">
        <v>616</v>
      </c>
      <c r="T529" s="15"/>
      <c r="U529" s="15"/>
      <c r="V529" s="54">
        <v>650000</v>
      </c>
      <c r="W529" s="54">
        <v>865508</v>
      </c>
      <c r="X529" s="54">
        <v>-215508</v>
      </c>
    </row>
    <row r="530" spans="3:24" x14ac:dyDescent="0.25">
      <c r="C530" s="39">
        <v>2017</v>
      </c>
      <c r="D530" s="62" t="s">
        <v>1023</v>
      </c>
      <c r="E530" s="63" t="s">
        <v>1024</v>
      </c>
      <c r="F530" s="64">
        <v>42893</v>
      </c>
      <c r="G530" s="65" t="s">
        <v>693</v>
      </c>
      <c r="H530" s="94">
        <v>1070000</v>
      </c>
      <c r="I530" s="27">
        <v>758000</v>
      </c>
      <c r="J530" s="27"/>
      <c r="K530" s="26">
        <v>-0.29158878504672897</v>
      </c>
      <c r="L530" s="11" t="s">
        <v>465</v>
      </c>
      <c r="M530" s="15">
        <v>5</v>
      </c>
      <c r="N530" s="35" t="s">
        <v>25</v>
      </c>
      <c r="O530" s="15">
        <v>2</v>
      </c>
      <c r="P530" s="35" t="s">
        <v>458</v>
      </c>
      <c r="Q530" s="15"/>
      <c r="R530" s="24"/>
      <c r="S530" s="62" t="s">
        <v>616</v>
      </c>
      <c r="T530" s="15"/>
      <c r="U530" s="15"/>
      <c r="V530" s="54">
        <v>1070000</v>
      </c>
      <c r="W530" s="54">
        <v>758000</v>
      </c>
      <c r="X530" s="54">
        <v>312000</v>
      </c>
    </row>
    <row r="531" spans="3:24" x14ac:dyDescent="0.25">
      <c r="C531" s="39">
        <v>2017</v>
      </c>
      <c r="D531" s="62" t="s">
        <v>989</v>
      </c>
      <c r="E531" s="63" t="s">
        <v>879</v>
      </c>
      <c r="F531" s="64">
        <v>42845</v>
      </c>
      <c r="G531" s="65" t="s">
        <v>693</v>
      </c>
      <c r="H531" s="94">
        <v>2625000</v>
      </c>
      <c r="I531" s="27">
        <v>2472675</v>
      </c>
      <c r="J531" s="27"/>
      <c r="K531" s="26">
        <v>-5.8028571428571429E-2</v>
      </c>
      <c r="L531" s="11" t="s">
        <v>464</v>
      </c>
      <c r="M531" s="15">
        <v>6</v>
      </c>
      <c r="N531" s="35" t="s">
        <v>25</v>
      </c>
      <c r="O531" s="15">
        <v>2</v>
      </c>
      <c r="P531" s="35" t="s">
        <v>492</v>
      </c>
      <c r="Q531" s="15"/>
      <c r="R531" s="24"/>
      <c r="S531" s="62" t="s">
        <v>816</v>
      </c>
      <c r="T531" s="15"/>
      <c r="U531" s="15"/>
      <c r="V531" s="54">
        <v>2625000</v>
      </c>
      <c r="W531" s="54">
        <v>2472675</v>
      </c>
      <c r="X531" s="54">
        <v>152325</v>
      </c>
    </row>
    <row r="532" spans="3:24" x14ac:dyDescent="0.25">
      <c r="C532" s="39">
        <v>2017</v>
      </c>
      <c r="D532" s="62" t="s">
        <v>956</v>
      </c>
      <c r="E532" s="63" t="s">
        <v>957</v>
      </c>
      <c r="F532" s="64">
        <v>42810</v>
      </c>
      <c r="G532" s="65" t="s">
        <v>693</v>
      </c>
      <c r="H532" s="27">
        <v>1425000</v>
      </c>
      <c r="I532" s="27">
        <v>1087425</v>
      </c>
      <c r="J532" s="27"/>
      <c r="K532" s="26">
        <v>-0.23689473684210527</v>
      </c>
      <c r="L532" s="11" t="s">
        <v>464</v>
      </c>
      <c r="M532" s="15">
        <v>6</v>
      </c>
      <c r="N532" s="35" t="s">
        <v>93</v>
      </c>
      <c r="O532" s="15">
        <v>1</v>
      </c>
      <c r="P532" s="35" t="s">
        <v>492</v>
      </c>
      <c r="Q532" s="15"/>
      <c r="R532" s="24"/>
      <c r="S532" s="62" t="s">
        <v>816</v>
      </c>
      <c r="T532" s="15"/>
      <c r="U532" s="15"/>
      <c r="V532" s="54">
        <v>1425000</v>
      </c>
      <c r="W532" s="54">
        <v>1087425</v>
      </c>
      <c r="X532" s="54">
        <v>337575</v>
      </c>
    </row>
    <row r="533" spans="3:24" x14ac:dyDescent="0.25">
      <c r="C533" s="39">
        <v>2017</v>
      </c>
      <c r="D533" s="62" t="s">
        <v>941</v>
      </c>
      <c r="E533" s="63" t="s">
        <v>940</v>
      </c>
      <c r="F533" s="64">
        <v>42789</v>
      </c>
      <c r="G533" s="65" t="s">
        <v>693</v>
      </c>
      <c r="H533" s="27">
        <v>240000</v>
      </c>
      <c r="I533" s="27">
        <v>97300</v>
      </c>
      <c r="J533" s="27"/>
      <c r="K533" s="26">
        <v>-0.59458333333333335</v>
      </c>
      <c r="L533" s="11" t="s">
        <v>465</v>
      </c>
      <c r="M533" s="15">
        <v>6</v>
      </c>
      <c r="N533" s="35" t="s">
        <v>25</v>
      </c>
      <c r="O533" s="15">
        <v>1</v>
      </c>
      <c r="P533" s="35" t="s">
        <v>457</v>
      </c>
      <c r="Q533" s="15"/>
      <c r="R533" s="24"/>
      <c r="S533" s="62" t="s">
        <v>630</v>
      </c>
      <c r="T533" s="15"/>
      <c r="U533" s="15"/>
      <c r="V533" s="54">
        <v>240000</v>
      </c>
      <c r="W533" s="54">
        <v>97300</v>
      </c>
      <c r="X533" s="54">
        <v>142700</v>
      </c>
    </row>
    <row r="534" spans="3:24" x14ac:dyDescent="0.25">
      <c r="C534" s="39">
        <v>2017</v>
      </c>
      <c r="D534" s="62" t="s">
        <v>857</v>
      </c>
      <c r="E534" s="63" t="s">
        <v>858</v>
      </c>
      <c r="F534" s="64">
        <v>42753</v>
      </c>
      <c r="G534" s="65" t="s">
        <v>693</v>
      </c>
      <c r="H534" s="94">
        <v>1410000</v>
      </c>
      <c r="I534" s="27">
        <v>1399756</v>
      </c>
      <c r="J534" s="27"/>
      <c r="K534" s="26">
        <v>-7.2652482269503545E-3</v>
      </c>
      <c r="L534" s="11" t="s">
        <v>464</v>
      </c>
      <c r="M534" s="15">
        <v>3</v>
      </c>
      <c r="N534" s="35" t="s">
        <v>25</v>
      </c>
      <c r="O534" s="15">
        <v>1</v>
      </c>
      <c r="P534" s="35" t="s">
        <v>457</v>
      </c>
      <c r="Q534" s="15"/>
      <c r="R534" s="24"/>
      <c r="S534" s="62" t="s">
        <v>630</v>
      </c>
      <c r="T534" s="15"/>
      <c r="U534" s="15"/>
      <c r="V534" s="54">
        <v>1410000</v>
      </c>
      <c r="W534" s="54">
        <v>1399756</v>
      </c>
      <c r="X534" s="54">
        <v>10244</v>
      </c>
    </row>
    <row r="535" spans="3:24" x14ac:dyDescent="0.25">
      <c r="C535" s="39"/>
    </row>
    <row r="536" spans="3:24" x14ac:dyDescent="0.25">
      <c r="C536" s="39"/>
    </row>
    <row r="537" spans="3:24" x14ac:dyDescent="0.25">
      <c r="C537" s="39"/>
    </row>
    <row r="538" spans="3:24" x14ac:dyDescent="0.25">
      <c r="C538" s="39">
        <v>2017</v>
      </c>
      <c r="D538" s="102" t="s">
        <v>1145</v>
      </c>
      <c r="E538" s="63" t="s">
        <v>1146</v>
      </c>
      <c r="F538" s="64">
        <v>43083</v>
      </c>
      <c r="G538" s="65" t="s">
        <v>190</v>
      </c>
      <c r="H538" s="94">
        <v>4872000</v>
      </c>
      <c r="I538" s="27">
        <v>3997350</v>
      </c>
      <c r="J538" s="27"/>
      <c r="K538" s="26">
        <v>-0.17952586206896551</v>
      </c>
      <c r="L538" s="11" t="s">
        <v>464</v>
      </c>
      <c r="M538" s="15">
        <v>5</v>
      </c>
      <c r="N538" s="35" t="s">
        <v>93</v>
      </c>
      <c r="O538" s="15">
        <v>4</v>
      </c>
      <c r="P538" s="35" t="s">
        <v>458</v>
      </c>
      <c r="Q538" s="15"/>
      <c r="R538" s="24"/>
      <c r="S538" s="62" t="s">
        <v>784</v>
      </c>
      <c r="T538" s="15"/>
      <c r="U538" s="15"/>
      <c r="V538" s="54">
        <v>4872000</v>
      </c>
      <c r="W538" s="54">
        <v>3997350</v>
      </c>
      <c r="X538" s="54">
        <v>874650</v>
      </c>
    </row>
    <row r="539" spans="3:24" x14ac:dyDescent="0.25">
      <c r="C539" s="39">
        <v>2017</v>
      </c>
      <c r="D539" s="62" t="s">
        <v>1116</v>
      </c>
      <c r="E539" s="63" t="s">
        <v>1117</v>
      </c>
      <c r="F539" s="64">
        <v>43047</v>
      </c>
      <c r="G539" s="65" t="s">
        <v>190</v>
      </c>
      <c r="H539" s="94">
        <v>26900000</v>
      </c>
      <c r="I539" s="27">
        <v>26600000</v>
      </c>
      <c r="J539" s="27" t="s">
        <v>519</v>
      </c>
      <c r="K539" s="26">
        <v>-1.1152416356877323E-2</v>
      </c>
      <c r="L539" s="11" t="s">
        <v>464</v>
      </c>
      <c r="M539" s="15">
        <v>3</v>
      </c>
      <c r="N539" s="35" t="s">
        <v>25</v>
      </c>
      <c r="O539" s="15">
        <v>4</v>
      </c>
      <c r="P539" s="35" t="s">
        <v>458</v>
      </c>
      <c r="Q539" s="15"/>
      <c r="R539" s="24"/>
      <c r="S539" s="62" t="s">
        <v>616</v>
      </c>
      <c r="T539" s="15"/>
      <c r="U539" s="15"/>
      <c r="V539" s="54">
        <v>26900000</v>
      </c>
      <c r="W539" s="54">
        <v>26600000</v>
      </c>
      <c r="X539" s="54">
        <v>300000</v>
      </c>
    </row>
    <row r="540" spans="3:24" x14ac:dyDescent="0.25">
      <c r="C540" s="39">
        <v>2017</v>
      </c>
      <c r="D540" s="62" t="s">
        <v>1084</v>
      </c>
      <c r="E540" s="63" t="s">
        <v>1085</v>
      </c>
      <c r="F540" s="64">
        <v>43004</v>
      </c>
      <c r="G540" s="65" t="s">
        <v>190</v>
      </c>
      <c r="H540" s="94">
        <v>189900000</v>
      </c>
      <c r="I540" s="27">
        <v>154487000</v>
      </c>
      <c r="J540" s="27" t="s">
        <v>519</v>
      </c>
      <c r="K540" s="26">
        <v>-0.18648235913638758</v>
      </c>
      <c r="L540" s="11" t="s">
        <v>464</v>
      </c>
      <c r="M540" s="15">
        <v>5</v>
      </c>
      <c r="N540" s="35" t="s">
        <v>93</v>
      </c>
      <c r="O540" s="15">
        <v>3</v>
      </c>
      <c r="P540" s="35" t="s">
        <v>457</v>
      </c>
      <c r="Q540" s="15"/>
      <c r="R540" s="24"/>
      <c r="S540" s="62" t="s">
        <v>816</v>
      </c>
      <c r="T540" s="15"/>
      <c r="U540" s="15"/>
      <c r="V540" s="54">
        <v>189900000</v>
      </c>
      <c r="W540" s="54">
        <v>154487000</v>
      </c>
      <c r="X540" s="54">
        <v>35413000</v>
      </c>
    </row>
    <row r="541" spans="3:24" x14ac:dyDescent="0.25">
      <c r="C541" s="39">
        <v>2017</v>
      </c>
      <c r="D541" s="62" t="s">
        <v>1068</v>
      </c>
      <c r="E541" s="63" t="s">
        <v>1069</v>
      </c>
      <c r="F541" s="64">
        <v>42964</v>
      </c>
      <c r="G541" s="65" t="s">
        <v>190</v>
      </c>
      <c r="H541" s="94">
        <v>8500000</v>
      </c>
      <c r="I541" s="27">
        <v>5682000</v>
      </c>
      <c r="J541" s="105" t="s">
        <v>519</v>
      </c>
      <c r="K541" s="26">
        <v>-0.33152941176470591</v>
      </c>
      <c r="L541" s="11" t="s">
        <v>465</v>
      </c>
      <c r="M541" s="15">
        <v>3</v>
      </c>
      <c r="N541" s="35" t="s">
        <v>25</v>
      </c>
      <c r="O541" s="15">
        <v>3</v>
      </c>
      <c r="P541" s="35" t="s">
        <v>458</v>
      </c>
      <c r="Q541" s="15"/>
      <c r="R541" s="24"/>
      <c r="S541" s="62" t="s">
        <v>616</v>
      </c>
      <c r="T541" s="15"/>
      <c r="U541" s="15"/>
      <c r="V541" s="54">
        <v>8500000</v>
      </c>
      <c r="W541" s="54">
        <v>5682000</v>
      </c>
      <c r="X541" s="54">
        <v>2818000</v>
      </c>
    </row>
    <row r="542" spans="3:24" x14ac:dyDescent="0.25">
      <c r="C542" s="39">
        <v>2017</v>
      </c>
      <c r="D542" s="62" t="s">
        <v>1060</v>
      </c>
      <c r="E542" s="63" t="s">
        <v>1061</v>
      </c>
      <c r="F542" s="64">
        <v>42950</v>
      </c>
      <c r="G542" s="65" t="s">
        <v>190</v>
      </c>
      <c r="H542" s="94">
        <v>13720000</v>
      </c>
      <c r="I542" s="27">
        <v>11539200</v>
      </c>
      <c r="J542" s="27" t="s">
        <v>519</v>
      </c>
      <c r="K542" s="26">
        <v>-0.15895043731778424</v>
      </c>
      <c r="L542" s="11" t="s">
        <v>464</v>
      </c>
      <c r="M542" s="15">
        <v>4</v>
      </c>
      <c r="N542" s="35" t="s">
        <v>25</v>
      </c>
      <c r="O542" s="15">
        <v>3</v>
      </c>
      <c r="P542" s="35" t="s">
        <v>492</v>
      </c>
      <c r="Q542" s="15"/>
      <c r="R542" s="24"/>
      <c r="S542" s="62" t="s">
        <v>816</v>
      </c>
      <c r="T542" s="15"/>
      <c r="U542" s="15"/>
      <c r="V542" s="54">
        <v>13720000</v>
      </c>
      <c r="W542" s="54">
        <v>11539200</v>
      </c>
      <c r="X542" s="54">
        <v>2180800</v>
      </c>
    </row>
    <row r="543" spans="3:24" x14ac:dyDescent="0.25">
      <c r="C543" s="101">
        <v>2017</v>
      </c>
      <c r="D543" s="62" t="s">
        <v>1042</v>
      </c>
      <c r="E543" s="63" t="s">
        <v>1043</v>
      </c>
      <c r="F543" s="64">
        <v>42913</v>
      </c>
      <c r="G543" s="65" t="s">
        <v>190</v>
      </c>
      <c r="H543" s="94">
        <v>1480000</v>
      </c>
      <c r="I543" s="27">
        <v>1483000</v>
      </c>
      <c r="J543" s="27"/>
      <c r="K543" s="26">
        <v>2.0270270270270271E-3</v>
      </c>
      <c r="L543" s="11" t="s">
        <v>464</v>
      </c>
      <c r="M543" s="15">
        <v>7</v>
      </c>
      <c r="N543" s="35" t="s">
        <v>25</v>
      </c>
      <c r="O543" s="15">
        <v>2</v>
      </c>
      <c r="P543" s="35" t="s">
        <v>459</v>
      </c>
      <c r="Q543" s="15"/>
      <c r="R543" s="24"/>
      <c r="S543" s="62" t="s">
        <v>447</v>
      </c>
      <c r="T543" s="15"/>
      <c r="U543" s="15"/>
      <c r="V543" s="54">
        <v>1480000</v>
      </c>
      <c r="W543" s="54">
        <v>1483000</v>
      </c>
      <c r="X543" s="54">
        <v>-3000</v>
      </c>
    </row>
    <row r="544" spans="3:24" x14ac:dyDescent="0.25">
      <c r="C544" s="39">
        <v>2017</v>
      </c>
      <c r="D544" s="62" t="s">
        <v>995</v>
      </c>
      <c r="E544" s="63" t="s">
        <v>632</v>
      </c>
      <c r="F544" s="64">
        <v>42851</v>
      </c>
      <c r="G544" s="65" t="s">
        <v>190</v>
      </c>
      <c r="H544" s="94">
        <v>3589000</v>
      </c>
      <c r="I544" s="27">
        <v>3875045</v>
      </c>
      <c r="J544" s="27"/>
      <c r="K544" s="26">
        <v>7.9700473669545829E-2</v>
      </c>
      <c r="L544" s="11" t="s">
        <v>464</v>
      </c>
      <c r="M544" s="15">
        <v>3</v>
      </c>
      <c r="N544" s="35" t="s">
        <v>93</v>
      </c>
      <c r="O544" s="15">
        <v>2</v>
      </c>
      <c r="P544" s="35" t="s">
        <v>457</v>
      </c>
      <c r="Q544" s="15"/>
      <c r="R544" s="24"/>
      <c r="S544" s="62" t="s">
        <v>447</v>
      </c>
      <c r="T544" s="15"/>
      <c r="U544" s="15"/>
      <c r="V544" s="54">
        <v>3589000</v>
      </c>
      <c r="W544" s="54">
        <v>3875045</v>
      </c>
      <c r="X544" s="54">
        <v>-286045</v>
      </c>
    </row>
    <row r="545" spans="3:24" x14ac:dyDescent="0.25">
      <c r="C545" s="39">
        <v>2017</v>
      </c>
      <c r="D545" s="62" t="s">
        <v>986</v>
      </c>
      <c r="E545" s="63" t="s">
        <v>982</v>
      </c>
      <c r="F545" s="64">
        <v>42845</v>
      </c>
      <c r="G545" s="65" t="s">
        <v>190</v>
      </c>
      <c r="H545" s="94">
        <v>12630000</v>
      </c>
      <c r="I545" s="27">
        <v>10849023</v>
      </c>
      <c r="J545" s="27" t="s">
        <v>519</v>
      </c>
      <c r="K545" s="26">
        <v>-0.14101163895486934</v>
      </c>
      <c r="L545" s="11" t="s">
        <v>464</v>
      </c>
      <c r="M545" s="15">
        <v>2</v>
      </c>
      <c r="N545" s="35" t="s">
        <v>25</v>
      </c>
      <c r="O545" s="15">
        <v>2</v>
      </c>
      <c r="P545" s="35" t="s">
        <v>458</v>
      </c>
      <c r="Q545" s="15"/>
      <c r="R545" s="24" t="s">
        <v>1196</v>
      </c>
      <c r="S545" s="62" t="s">
        <v>616</v>
      </c>
      <c r="T545" s="15"/>
      <c r="U545" s="15"/>
      <c r="V545" s="54">
        <v>12630000</v>
      </c>
      <c r="W545" s="54">
        <v>10849023</v>
      </c>
      <c r="X545" s="54">
        <v>1780977</v>
      </c>
    </row>
    <row r="546" spans="3:24" x14ac:dyDescent="0.25">
      <c r="C546" s="39">
        <v>2017</v>
      </c>
      <c r="D546" s="62" t="s">
        <v>983</v>
      </c>
      <c r="E546" s="63" t="s">
        <v>985</v>
      </c>
      <c r="F546" s="64">
        <v>42844</v>
      </c>
      <c r="G546" s="65" t="s">
        <v>190</v>
      </c>
      <c r="H546" s="94">
        <v>30360000</v>
      </c>
      <c r="I546" s="27">
        <v>32920674</v>
      </c>
      <c r="J546" s="27" t="s">
        <v>519</v>
      </c>
      <c r="K546" s="26">
        <v>8.4343675889328062E-2</v>
      </c>
      <c r="L546" s="11" t="s">
        <v>464</v>
      </c>
      <c r="M546" s="15">
        <v>3</v>
      </c>
      <c r="N546" s="35" t="s">
        <v>25</v>
      </c>
      <c r="O546" s="15">
        <v>2</v>
      </c>
      <c r="P546" s="35" t="s">
        <v>459</v>
      </c>
      <c r="Q546" s="15"/>
      <c r="R546" s="24"/>
      <c r="S546" s="62" t="s">
        <v>447</v>
      </c>
      <c r="T546" s="15"/>
      <c r="U546" s="15"/>
      <c r="V546" s="54">
        <v>30360000</v>
      </c>
      <c r="W546" s="54">
        <v>32920674</v>
      </c>
      <c r="X546" s="54">
        <v>-2560674</v>
      </c>
    </row>
    <row r="547" spans="3:24" x14ac:dyDescent="0.25">
      <c r="C547" s="39">
        <v>2017</v>
      </c>
      <c r="D547" s="62" t="s">
        <v>981</v>
      </c>
      <c r="E547" s="63" t="s">
        <v>982</v>
      </c>
      <c r="F547" s="64">
        <v>42844</v>
      </c>
      <c r="G547" s="65" t="s">
        <v>190</v>
      </c>
      <c r="H547" s="94">
        <v>18870000</v>
      </c>
      <c r="I547" s="27">
        <v>19910000</v>
      </c>
      <c r="J547" s="27" t="s">
        <v>519</v>
      </c>
      <c r="K547" s="26">
        <v>5.5113937466878642E-2</v>
      </c>
      <c r="L547" s="11" t="s">
        <v>464</v>
      </c>
      <c r="M547" s="15">
        <v>3</v>
      </c>
      <c r="N547" s="35" t="s">
        <v>25</v>
      </c>
      <c r="O547" s="15">
        <v>2</v>
      </c>
      <c r="P547" s="35" t="s">
        <v>458</v>
      </c>
      <c r="Q547" s="15"/>
      <c r="R547" s="24"/>
      <c r="S547" s="62" t="s">
        <v>616</v>
      </c>
      <c r="T547" s="15"/>
      <c r="U547" s="15"/>
      <c r="V547" s="54">
        <v>18870000</v>
      </c>
      <c r="W547" s="54">
        <v>19910000</v>
      </c>
      <c r="X547" s="54">
        <v>-1040000</v>
      </c>
    </row>
    <row r="548" spans="3:24" x14ac:dyDescent="0.25">
      <c r="C548" s="39">
        <v>2017</v>
      </c>
      <c r="D548" s="62" t="s">
        <v>964</v>
      </c>
      <c r="E548" s="63" t="s">
        <v>965</v>
      </c>
      <c r="F548" s="64">
        <v>42815</v>
      </c>
      <c r="G548" s="65" t="s">
        <v>190</v>
      </c>
      <c r="H548" s="27">
        <v>3750000</v>
      </c>
      <c r="I548" s="27">
        <v>2468147</v>
      </c>
      <c r="J548" s="27"/>
      <c r="K548" s="26">
        <v>-0.34182746666666669</v>
      </c>
      <c r="L548" s="11" t="s">
        <v>465</v>
      </c>
      <c r="M548" s="15">
        <v>3</v>
      </c>
      <c r="N548" s="35" t="s">
        <v>93</v>
      </c>
      <c r="O548" s="15">
        <v>1</v>
      </c>
      <c r="P548" s="35" t="s">
        <v>458</v>
      </c>
      <c r="Q548" s="15"/>
      <c r="R548" s="24"/>
      <c r="S548" s="62" t="s">
        <v>784</v>
      </c>
      <c r="T548" s="15"/>
      <c r="U548" s="15"/>
      <c r="V548" s="54">
        <v>3750000</v>
      </c>
      <c r="W548" s="54">
        <v>2468147</v>
      </c>
      <c r="X548" s="54">
        <v>1281853</v>
      </c>
    </row>
    <row r="549" spans="3:24" x14ac:dyDescent="0.25">
      <c r="C549" s="39">
        <v>2017</v>
      </c>
      <c r="D549" s="62" t="s">
        <v>912</v>
      </c>
      <c r="E549" s="63" t="s">
        <v>935</v>
      </c>
      <c r="F549" s="64">
        <v>42789</v>
      </c>
      <c r="G549" s="65" t="s">
        <v>190</v>
      </c>
      <c r="H549" s="94">
        <v>479900000</v>
      </c>
      <c r="I549" s="27">
        <v>451841280</v>
      </c>
      <c r="J549" s="27" t="s">
        <v>519</v>
      </c>
      <c r="K549" s="26">
        <v>-5.8467847468222547E-2</v>
      </c>
      <c r="L549" s="11" t="s">
        <v>464</v>
      </c>
      <c r="M549" s="15">
        <v>5</v>
      </c>
      <c r="N549" s="35" t="s">
        <v>226</v>
      </c>
      <c r="O549" s="15">
        <v>1</v>
      </c>
      <c r="P549" s="35" t="s">
        <v>457</v>
      </c>
      <c r="Q549" s="15"/>
      <c r="R549" s="24"/>
      <c r="S549" s="62" t="s">
        <v>630</v>
      </c>
      <c r="T549" s="15"/>
      <c r="U549" s="15"/>
      <c r="V549" s="54">
        <v>479900000</v>
      </c>
      <c r="W549" s="54">
        <v>451841280</v>
      </c>
      <c r="X549" s="54">
        <v>28058720</v>
      </c>
    </row>
    <row r="550" spans="3:24" x14ac:dyDescent="0.25">
      <c r="C550" s="39">
        <v>2017</v>
      </c>
      <c r="D550" s="62" t="s">
        <v>914</v>
      </c>
      <c r="E550" s="63" t="s">
        <v>933</v>
      </c>
      <c r="F550" s="64">
        <v>42787</v>
      </c>
      <c r="G550" s="65" t="s">
        <v>190</v>
      </c>
      <c r="H550" s="94">
        <v>10393000</v>
      </c>
      <c r="I550" s="27">
        <v>7903950</v>
      </c>
      <c r="J550" s="105" t="s">
        <v>519</v>
      </c>
      <c r="K550" s="26">
        <v>-0.2394929279322621</v>
      </c>
      <c r="L550" s="11" t="s">
        <v>465</v>
      </c>
      <c r="M550" s="15">
        <v>3</v>
      </c>
      <c r="N550" s="35" t="s">
        <v>93</v>
      </c>
      <c r="O550" s="15">
        <v>1</v>
      </c>
      <c r="P550" s="35" t="s">
        <v>458</v>
      </c>
      <c r="Q550" s="15"/>
      <c r="R550" s="24" t="s">
        <v>932</v>
      </c>
      <c r="S550" s="62" t="s">
        <v>784</v>
      </c>
      <c r="T550" s="15"/>
      <c r="U550" s="15"/>
      <c r="V550" s="54">
        <v>10393000</v>
      </c>
      <c r="W550" s="54">
        <v>7903950</v>
      </c>
      <c r="X550" s="54">
        <v>2489050</v>
      </c>
    </row>
    <row r="551" spans="3:24" x14ac:dyDescent="0.25">
      <c r="C551" s="39">
        <v>2017</v>
      </c>
      <c r="D551" s="62" t="s">
        <v>898</v>
      </c>
      <c r="E551" s="63" t="s">
        <v>717</v>
      </c>
      <c r="F551" s="64">
        <v>42773</v>
      </c>
      <c r="G551" s="65" t="s">
        <v>190</v>
      </c>
      <c r="H551" s="94">
        <v>1965000</v>
      </c>
      <c r="I551" s="27">
        <v>1450000</v>
      </c>
      <c r="J551" s="27"/>
      <c r="K551" s="26">
        <v>-0.26208651399491095</v>
      </c>
      <c r="L551" s="11" t="s">
        <v>464</v>
      </c>
      <c r="M551" s="15">
        <v>6</v>
      </c>
      <c r="N551" s="35" t="s">
        <v>226</v>
      </c>
      <c r="O551" s="15">
        <v>1</v>
      </c>
      <c r="P551" s="35" t="s">
        <v>457</v>
      </c>
      <c r="Q551" s="15"/>
      <c r="R551" s="24" t="s">
        <v>900</v>
      </c>
      <c r="S551" s="62" t="s">
        <v>630</v>
      </c>
      <c r="T551" s="15"/>
      <c r="U551" s="15"/>
      <c r="V551" s="54">
        <v>1965000</v>
      </c>
      <c r="W551" s="54">
        <v>1450000</v>
      </c>
      <c r="X551" s="54">
        <v>515000</v>
      </c>
    </row>
    <row r="552" spans="3:24" x14ac:dyDescent="0.25">
      <c r="C552" s="39">
        <v>2017</v>
      </c>
      <c r="D552" s="62" t="s">
        <v>862</v>
      </c>
      <c r="E552" s="63" t="s">
        <v>863</v>
      </c>
      <c r="F552" s="64">
        <v>42759</v>
      </c>
      <c r="G552" s="65" t="s">
        <v>190</v>
      </c>
      <c r="H552" s="94">
        <v>69800000</v>
      </c>
      <c r="I552" s="27">
        <v>67107000</v>
      </c>
      <c r="J552" s="27" t="s">
        <v>519</v>
      </c>
      <c r="K552" s="26">
        <v>-3.8581661891117482E-2</v>
      </c>
      <c r="L552" s="11" t="s">
        <v>464</v>
      </c>
      <c r="M552" s="15">
        <v>9</v>
      </c>
      <c r="N552" s="35" t="s">
        <v>25</v>
      </c>
      <c r="O552" s="15">
        <v>1</v>
      </c>
      <c r="P552" s="35" t="s">
        <v>458</v>
      </c>
      <c r="Q552" s="15"/>
      <c r="R552" s="24"/>
      <c r="S552" s="62" t="s">
        <v>616</v>
      </c>
      <c r="T552" s="15"/>
      <c r="U552" s="15"/>
      <c r="V552" s="54">
        <v>69800000</v>
      </c>
      <c r="W552" s="54">
        <v>67107000</v>
      </c>
      <c r="X552" s="54">
        <v>2693000</v>
      </c>
    </row>
    <row r="553" spans="3:24" x14ac:dyDescent="0.25">
      <c r="C553" s="39">
        <v>2017</v>
      </c>
      <c r="D553" s="62" t="s">
        <v>830</v>
      </c>
      <c r="E553" s="63" t="s">
        <v>831</v>
      </c>
      <c r="F553" s="64">
        <v>42746</v>
      </c>
      <c r="G553" s="65" t="s">
        <v>190</v>
      </c>
      <c r="H553" s="94">
        <v>12071025</v>
      </c>
      <c r="I553" s="27">
        <v>9977777</v>
      </c>
      <c r="J553" s="105" t="s">
        <v>519</v>
      </c>
      <c r="K553" s="26">
        <v>-0.17341095723022693</v>
      </c>
      <c r="L553" s="11" t="s">
        <v>465</v>
      </c>
      <c r="M553" s="15">
        <v>3</v>
      </c>
      <c r="N553" s="35" t="s">
        <v>93</v>
      </c>
      <c r="O553" s="15">
        <v>1</v>
      </c>
      <c r="P553" s="35" t="s">
        <v>458</v>
      </c>
      <c r="Q553" s="15"/>
      <c r="R553" s="24"/>
      <c r="S553" s="62" t="s">
        <v>616</v>
      </c>
      <c r="T553" s="15"/>
      <c r="U553" s="15"/>
      <c r="V553" s="54">
        <v>12071025</v>
      </c>
      <c r="W553" s="54">
        <v>9977777</v>
      </c>
      <c r="X553" s="54">
        <v>2093248</v>
      </c>
    </row>
    <row r="554" spans="3:24" x14ac:dyDescent="0.25">
      <c r="C554" s="39">
        <v>2017</v>
      </c>
      <c r="D554" s="62" t="s">
        <v>828</v>
      </c>
      <c r="E554" s="63" t="s">
        <v>829</v>
      </c>
      <c r="F554" s="64">
        <v>42739</v>
      </c>
      <c r="G554" s="65" t="s">
        <v>190</v>
      </c>
      <c r="H554" s="94">
        <v>28695000</v>
      </c>
      <c r="I554" s="27">
        <v>31768035</v>
      </c>
      <c r="J554" s="27" t="s">
        <v>519</v>
      </c>
      <c r="K554" s="26">
        <v>0.10709304756926294</v>
      </c>
      <c r="L554" s="11" t="s">
        <v>464</v>
      </c>
      <c r="M554" s="15">
        <v>2</v>
      </c>
      <c r="N554" s="35" t="s">
        <v>93</v>
      </c>
      <c r="O554" s="15">
        <v>1</v>
      </c>
      <c r="P554" s="35" t="s">
        <v>458</v>
      </c>
      <c r="Q554" s="15"/>
      <c r="R554" s="24"/>
      <c r="S554" s="62" t="s">
        <v>616</v>
      </c>
      <c r="T554" s="15"/>
      <c r="U554" s="15"/>
      <c r="V554" s="54">
        <v>28695000</v>
      </c>
      <c r="W554" s="54">
        <v>31768035</v>
      </c>
      <c r="X554" s="54">
        <v>-3073035</v>
      </c>
    </row>
    <row r="555" spans="3:24" x14ac:dyDescent="0.25">
      <c r="C555" s="39"/>
    </row>
    <row r="556" spans="3:24" x14ac:dyDescent="0.25">
      <c r="C556" s="39"/>
    </row>
    <row r="557" spans="3:24" x14ac:dyDescent="0.25">
      <c r="C557" s="39"/>
    </row>
    <row r="558" spans="3:24" x14ac:dyDescent="0.25">
      <c r="C558" s="39">
        <v>2017</v>
      </c>
      <c r="D558" s="102" t="s">
        <v>1127</v>
      </c>
      <c r="E558" s="63" t="s">
        <v>1128</v>
      </c>
      <c r="F558" s="64">
        <v>43053</v>
      </c>
      <c r="G558" s="65" t="s">
        <v>756</v>
      </c>
      <c r="H558" s="94">
        <v>17250000</v>
      </c>
      <c r="I558" s="27">
        <v>22616488</v>
      </c>
      <c r="J558" s="105" t="s">
        <v>519</v>
      </c>
      <c r="K558" s="26">
        <v>0.3111007536231884</v>
      </c>
      <c r="L558" s="11" t="s">
        <v>465</v>
      </c>
      <c r="M558" s="15">
        <v>4</v>
      </c>
      <c r="N558" s="35" t="s">
        <v>93</v>
      </c>
      <c r="O558" s="15">
        <v>4</v>
      </c>
      <c r="P558" s="35" t="s">
        <v>457</v>
      </c>
      <c r="Q558" s="15"/>
      <c r="R558" s="24"/>
      <c r="S558" s="62" t="s">
        <v>447</v>
      </c>
      <c r="T558" s="15"/>
      <c r="U558" s="15"/>
      <c r="V558" s="54">
        <v>17250000</v>
      </c>
      <c r="W558" s="54">
        <v>22616488</v>
      </c>
      <c r="X558" s="54">
        <v>-5366488</v>
      </c>
    </row>
    <row r="559" spans="3:24" x14ac:dyDescent="0.25">
      <c r="C559" s="39">
        <v>2017</v>
      </c>
      <c r="D559" s="62" t="s">
        <v>1107</v>
      </c>
      <c r="E559" s="63" t="s">
        <v>1109</v>
      </c>
      <c r="F559" s="64">
        <v>43034</v>
      </c>
      <c r="G559" s="65" t="s">
        <v>756</v>
      </c>
      <c r="H559" s="94">
        <v>2194000</v>
      </c>
      <c r="I559" s="27">
        <v>1361078</v>
      </c>
      <c r="J559" s="27"/>
      <c r="K559" s="26">
        <v>-0.3796362807657247</v>
      </c>
      <c r="L559" s="11" t="s">
        <v>465</v>
      </c>
      <c r="M559" s="15">
        <v>6</v>
      </c>
      <c r="N559" s="35" t="s">
        <v>25</v>
      </c>
      <c r="O559" s="15">
        <v>4</v>
      </c>
      <c r="P559" s="35" t="s">
        <v>459</v>
      </c>
      <c r="Q559" s="15"/>
      <c r="R559" s="24"/>
      <c r="S559" s="62" t="s">
        <v>447</v>
      </c>
      <c r="T559" s="15"/>
      <c r="U559" s="15"/>
      <c r="V559" s="54">
        <v>2194000</v>
      </c>
      <c r="W559" s="54">
        <v>1361078</v>
      </c>
      <c r="X559" s="54">
        <v>832922</v>
      </c>
    </row>
    <row r="560" spans="3:24" x14ac:dyDescent="0.25">
      <c r="C560" s="39">
        <v>2017</v>
      </c>
      <c r="D560" s="62" t="s">
        <v>1035</v>
      </c>
      <c r="E560" s="63" t="s">
        <v>1036</v>
      </c>
      <c r="F560" s="64">
        <v>42900</v>
      </c>
      <c r="G560" s="65" t="s">
        <v>756</v>
      </c>
      <c r="H560" s="94">
        <v>2900000</v>
      </c>
      <c r="I560" s="27">
        <v>1157000</v>
      </c>
      <c r="J560" s="27"/>
      <c r="K560" s="26">
        <v>-0.6010344827586207</v>
      </c>
      <c r="L560" s="11" t="s">
        <v>465</v>
      </c>
      <c r="M560" s="15">
        <v>5</v>
      </c>
      <c r="N560" s="35" t="s">
        <v>25</v>
      </c>
      <c r="O560" s="15">
        <v>2</v>
      </c>
      <c r="P560" s="35" t="s">
        <v>458</v>
      </c>
      <c r="Q560" s="15"/>
      <c r="R560" s="24"/>
      <c r="S560" s="62" t="s">
        <v>447</v>
      </c>
      <c r="T560" s="15"/>
      <c r="U560" s="15"/>
      <c r="V560" s="54">
        <v>2900000</v>
      </c>
      <c r="W560" s="54">
        <v>1157000</v>
      </c>
      <c r="X560" s="54">
        <v>1743000</v>
      </c>
    </row>
    <row r="561" spans="3:24" x14ac:dyDescent="0.25">
      <c r="C561" s="39">
        <v>2017</v>
      </c>
      <c r="D561" s="62" t="s">
        <v>1028</v>
      </c>
      <c r="E561" s="63" t="s">
        <v>1029</v>
      </c>
      <c r="F561" s="64">
        <v>42894</v>
      </c>
      <c r="G561" s="65" t="s">
        <v>756</v>
      </c>
      <c r="H561" s="94">
        <v>6445000</v>
      </c>
      <c r="I561" s="27">
        <v>7166666</v>
      </c>
      <c r="J561" s="105" t="s">
        <v>519</v>
      </c>
      <c r="K561" s="26">
        <v>0.11197300232738557</v>
      </c>
      <c r="L561" s="11" t="s">
        <v>465</v>
      </c>
      <c r="M561" s="15">
        <v>11</v>
      </c>
      <c r="N561" s="35" t="s">
        <v>93</v>
      </c>
      <c r="O561" s="15">
        <v>2</v>
      </c>
      <c r="P561" s="35" t="s">
        <v>458</v>
      </c>
      <c r="Q561" s="15"/>
      <c r="R561" s="24"/>
      <c r="S561" s="62" t="s">
        <v>784</v>
      </c>
      <c r="T561" s="15"/>
      <c r="U561" s="15"/>
      <c r="V561" s="54">
        <v>6445000</v>
      </c>
      <c r="W561" s="54">
        <v>7166666</v>
      </c>
      <c r="X561" s="54">
        <v>-721666</v>
      </c>
    </row>
    <row r="562" spans="3:24" x14ac:dyDescent="0.25">
      <c r="C562" s="39">
        <v>2017</v>
      </c>
      <c r="D562" s="62" t="s">
        <v>1018</v>
      </c>
      <c r="E562" s="63" t="s">
        <v>1019</v>
      </c>
      <c r="F562" s="64">
        <v>42873</v>
      </c>
      <c r="G562" s="65" t="s">
        <v>756</v>
      </c>
      <c r="H562" s="94">
        <v>29400000</v>
      </c>
      <c r="I562" s="27">
        <v>40981000</v>
      </c>
      <c r="J562" s="105" t="s">
        <v>519</v>
      </c>
      <c r="K562" s="26">
        <v>0.39391156462585036</v>
      </c>
      <c r="L562" s="11" t="s">
        <v>465</v>
      </c>
      <c r="M562" s="15">
        <v>2</v>
      </c>
      <c r="N562" s="35" t="s">
        <v>25</v>
      </c>
      <c r="O562" s="15">
        <v>2</v>
      </c>
      <c r="P562" s="35" t="s">
        <v>459</v>
      </c>
      <c r="Q562" s="15"/>
      <c r="R562" s="24"/>
      <c r="S562" s="62" t="s">
        <v>447</v>
      </c>
      <c r="T562" s="15"/>
      <c r="U562" s="15"/>
      <c r="V562" s="54">
        <v>29400000</v>
      </c>
      <c r="W562" s="54">
        <v>40981000</v>
      </c>
      <c r="X562" s="54">
        <v>-11581000</v>
      </c>
    </row>
    <row r="563" spans="3:24" x14ac:dyDescent="0.25">
      <c r="C563" s="39">
        <v>2017</v>
      </c>
      <c r="D563" s="62" t="s">
        <v>876</v>
      </c>
      <c r="E563" s="63" t="s">
        <v>877</v>
      </c>
      <c r="F563" s="64">
        <v>42765</v>
      </c>
      <c r="G563" s="65" t="s">
        <v>756</v>
      </c>
      <c r="H563" s="94">
        <v>6500000</v>
      </c>
      <c r="I563" s="27">
        <v>5987000</v>
      </c>
      <c r="J563" s="27" t="s">
        <v>519</v>
      </c>
      <c r="K563" s="26">
        <v>-7.8923076923076929E-2</v>
      </c>
      <c r="L563" s="11" t="s">
        <v>464</v>
      </c>
      <c r="M563" s="15">
        <v>5</v>
      </c>
      <c r="N563" s="35" t="s">
        <v>93</v>
      </c>
      <c r="O563" s="15">
        <v>1</v>
      </c>
      <c r="P563" s="35" t="s">
        <v>458</v>
      </c>
      <c r="Q563" s="15"/>
      <c r="R563" s="24"/>
      <c r="S563" s="62" t="s">
        <v>447</v>
      </c>
      <c r="T563" s="15"/>
      <c r="U563" s="15"/>
      <c r="V563" s="54">
        <v>6500000</v>
      </c>
      <c r="W563" s="54">
        <v>5987000</v>
      </c>
      <c r="X563" s="54">
        <v>513000</v>
      </c>
    </row>
    <row r="564" spans="3:24" x14ac:dyDescent="0.25">
      <c r="C564" s="39"/>
    </row>
    <row r="565" spans="3:24" x14ac:dyDescent="0.25">
      <c r="C565" s="39"/>
    </row>
    <row r="566" spans="3:24" x14ac:dyDescent="0.25">
      <c r="C566" s="39"/>
    </row>
    <row r="567" spans="3:24" x14ac:dyDescent="0.25">
      <c r="C567" s="39">
        <v>2017</v>
      </c>
      <c r="D567" s="102" t="s">
        <v>1147</v>
      </c>
      <c r="E567" s="63" t="s">
        <v>1148</v>
      </c>
      <c r="F567" s="64">
        <v>43083</v>
      </c>
      <c r="G567" s="65"/>
      <c r="H567" s="94"/>
      <c r="I567" s="27"/>
      <c r="J567" s="27"/>
      <c r="K567" s="26"/>
      <c r="L567" s="11"/>
      <c r="M567" s="15"/>
      <c r="N567" s="35"/>
      <c r="O567" s="15"/>
      <c r="P567" s="35"/>
      <c r="Q567" s="15"/>
      <c r="R567" s="24" t="s">
        <v>227</v>
      </c>
      <c r="S567" s="62" t="s">
        <v>816</v>
      </c>
      <c r="T567" s="15"/>
      <c r="U567" s="15"/>
      <c r="V567" s="54">
        <v>1765000</v>
      </c>
      <c r="W567" s="54">
        <v>2248420</v>
      </c>
      <c r="X567" s="54">
        <v>-483420</v>
      </c>
    </row>
    <row r="568" spans="3:24" x14ac:dyDescent="0.25">
      <c r="C568" s="39">
        <v>2017</v>
      </c>
      <c r="D568" s="102" t="s">
        <v>1136</v>
      </c>
      <c r="E568" s="63" t="s">
        <v>1137</v>
      </c>
      <c r="F568" s="64">
        <v>43074</v>
      </c>
      <c r="G568" s="65" t="s">
        <v>34</v>
      </c>
      <c r="H568" s="94">
        <v>1530000</v>
      </c>
      <c r="I568" s="27">
        <v>1189000</v>
      </c>
      <c r="J568" s="27"/>
      <c r="K568" s="26">
        <v>-0.22287581699346407</v>
      </c>
      <c r="L568" s="11" t="s">
        <v>464</v>
      </c>
      <c r="M568" s="15">
        <v>3</v>
      </c>
      <c r="N568" s="35" t="s">
        <v>25</v>
      </c>
      <c r="O568" s="15">
        <v>4</v>
      </c>
      <c r="P568" s="35" t="s">
        <v>458</v>
      </c>
      <c r="Q568" s="15"/>
      <c r="R568" s="24"/>
      <c r="S568" s="62" t="s">
        <v>616</v>
      </c>
      <c r="T568" s="15"/>
      <c r="U568" s="15"/>
      <c r="V568" s="54">
        <v>1530000</v>
      </c>
      <c r="W568" s="54">
        <v>1189000</v>
      </c>
      <c r="X568" s="54">
        <v>341000</v>
      </c>
    </row>
    <row r="569" spans="3:24" x14ac:dyDescent="0.25">
      <c r="C569" s="39">
        <v>2017</v>
      </c>
      <c r="D569" s="102" t="s">
        <v>1135</v>
      </c>
      <c r="E569" s="63" t="s">
        <v>982</v>
      </c>
      <c r="F569" s="64">
        <v>43074</v>
      </c>
      <c r="G569" s="65" t="s">
        <v>34</v>
      </c>
      <c r="H569" s="94">
        <v>38000000</v>
      </c>
      <c r="I569" s="27">
        <f>$I$56</f>
        <v>28470000</v>
      </c>
      <c r="J569" s="27"/>
      <c r="K569" s="26">
        <f>+$K$56</f>
        <v>-0.25078947368421051</v>
      </c>
      <c r="L569" s="78" t="str">
        <f>+$L$56</f>
        <v>GOOD</v>
      </c>
      <c r="M569" s="15">
        <f>+$M$56</f>
        <v>4</v>
      </c>
      <c r="N569" s="35" t="s">
        <v>93</v>
      </c>
      <c r="O569" s="15">
        <v>4</v>
      </c>
      <c r="P569" s="35" t="s">
        <v>458</v>
      </c>
      <c r="Q569" s="15"/>
      <c r="R569" s="24" t="str">
        <f>+$R$56</f>
        <v>1st and 2nd bidders disqualified.</v>
      </c>
      <c r="S569" s="62" t="s">
        <v>616</v>
      </c>
      <c r="T569" s="15"/>
      <c r="U569" s="15"/>
      <c r="V569" s="54">
        <v>38000000</v>
      </c>
      <c r="W569" s="54">
        <v>19988800</v>
      </c>
      <c r="X569" s="54">
        <v>18011200</v>
      </c>
    </row>
    <row r="570" spans="3:24" x14ac:dyDescent="0.25">
      <c r="C570" s="39">
        <v>2017</v>
      </c>
      <c r="D570" s="102" t="s">
        <v>1129</v>
      </c>
      <c r="E570" s="63" t="s">
        <v>1130</v>
      </c>
      <c r="F570" s="64">
        <v>43068</v>
      </c>
      <c r="G570" s="65" t="s">
        <v>34</v>
      </c>
      <c r="H570" s="94">
        <v>6600000</v>
      </c>
      <c r="I570" s="27">
        <v>5189333</v>
      </c>
      <c r="J570" s="27" t="s">
        <v>519</v>
      </c>
      <c r="K570" s="26">
        <v>-0.21373742424242423</v>
      </c>
      <c r="L570" s="11" t="s">
        <v>464</v>
      </c>
      <c r="M570" s="15">
        <v>7</v>
      </c>
      <c r="N570" s="35" t="s">
        <v>25</v>
      </c>
      <c r="O570" s="15">
        <v>4</v>
      </c>
      <c r="P570" s="35" t="s">
        <v>458</v>
      </c>
      <c r="Q570" s="15"/>
      <c r="R570" s="24"/>
      <c r="S570" s="62" t="s">
        <v>616</v>
      </c>
      <c r="T570" s="15"/>
      <c r="U570" s="15"/>
      <c r="V570" s="54">
        <v>6600000</v>
      </c>
      <c r="W570" s="54">
        <v>5189333</v>
      </c>
      <c r="X570" s="54">
        <v>1410667</v>
      </c>
    </row>
    <row r="571" spans="3:24" x14ac:dyDescent="0.25">
      <c r="C571" s="39">
        <v>2017</v>
      </c>
      <c r="D571" s="102" t="s">
        <v>1139</v>
      </c>
      <c r="E571" s="63" t="s">
        <v>1140</v>
      </c>
      <c r="F571" s="64">
        <v>43054</v>
      </c>
      <c r="G571" s="65" t="s">
        <v>34</v>
      </c>
      <c r="H571" s="94">
        <v>1350000</v>
      </c>
      <c r="I571" s="27">
        <v>2629000</v>
      </c>
      <c r="J571" s="27"/>
      <c r="K571" s="26">
        <v>0.94740740740740736</v>
      </c>
      <c r="L571" s="11" t="s">
        <v>465</v>
      </c>
      <c r="M571" s="15">
        <v>1</v>
      </c>
      <c r="N571" s="35" t="s">
        <v>226</v>
      </c>
      <c r="O571" s="15">
        <v>4</v>
      </c>
      <c r="P571" s="35" t="s">
        <v>457</v>
      </c>
      <c r="Q571" s="15"/>
      <c r="R571" s="24" t="s">
        <v>782</v>
      </c>
      <c r="S571" s="62" t="s">
        <v>784</v>
      </c>
      <c r="T571" s="15"/>
      <c r="U571" s="15"/>
      <c r="V571" s="54">
        <v>1350000</v>
      </c>
      <c r="W571" s="54">
        <v>2629000</v>
      </c>
      <c r="X571" s="54">
        <v>-1279000</v>
      </c>
    </row>
    <row r="572" spans="3:24" x14ac:dyDescent="0.25">
      <c r="C572" s="39">
        <v>2017</v>
      </c>
      <c r="D572" s="62" t="s">
        <v>1118</v>
      </c>
      <c r="E572" s="63" t="s">
        <v>1119</v>
      </c>
      <c r="F572" s="64">
        <v>43048</v>
      </c>
      <c r="G572" s="65" t="s">
        <v>34</v>
      </c>
      <c r="H572" s="94">
        <v>4860000</v>
      </c>
      <c r="I572" s="27">
        <v>3418000</v>
      </c>
      <c r="J572" s="27"/>
      <c r="K572" s="26">
        <v>-0.29670781893004117</v>
      </c>
      <c r="L572" s="11" t="s">
        <v>464</v>
      </c>
      <c r="M572" s="15">
        <v>8</v>
      </c>
      <c r="N572" s="35" t="s">
        <v>25</v>
      </c>
      <c r="O572" s="15">
        <v>4</v>
      </c>
      <c r="P572" s="35" t="s">
        <v>492</v>
      </c>
      <c r="Q572" s="15"/>
      <c r="R572" s="24"/>
      <c r="S572" s="62" t="s">
        <v>816</v>
      </c>
      <c r="T572" s="15"/>
      <c r="U572" s="15"/>
      <c r="V572" s="54">
        <v>4860000</v>
      </c>
      <c r="W572" s="54">
        <v>3418000</v>
      </c>
      <c r="X572" s="54">
        <v>1442000</v>
      </c>
    </row>
    <row r="573" spans="3:24" x14ac:dyDescent="0.25">
      <c r="C573" s="39">
        <v>2017</v>
      </c>
      <c r="D573" s="62" t="s">
        <v>1110</v>
      </c>
      <c r="E573" s="63" t="s">
        <v>1111</v>
      </c>
      <c r="F573" s="64">
        <v>43047</v>
      </c>
      <c r="G573" s="65" t="s">
        <v>34</v>
      </c>
      <c r="H573" s="94">
        <v>1650000</v>
      </c>
      <c r="I573" s="27">
        <v>2278990</v>
      </c>
      <c r="J573" s="27"/>
      <c r="K573" s="26">
        <v>0.3812060606060606</v>
      </c>
      <c r="L573" s="11" t="s">
        <v>465</v>
      </c>
      <c r="M573" s="15">
        <v>5</v>
      </c>
      <c r="N573" s="35" t="s">
        <v>226</v>
      </c>
      <c r="O573" s="15">
        <v>4</v>
      </c>
      <c r="P573" s="35" t="s">
        <v>457</v>
      </c>
      <c r="Q573" s="15"/>
      <c r="R573" s="24"/>
      <c r="S573" s="62" t="s">
        <v>784</v>
      </c>
      <c r="T573" s="15"/>
      <c r="U573" s="15"/>
      <c r="V573" s="54">
        <v>1650000</v>
      </c>
      <c r="W573" s="54">
        <v>2278990</v>
      </c>
      <c r="X573" s="54">
        <v>-628990</v>
      </c>
    </row>
    <row r="574" spans="3:24" x14ac:dyDescent="0.25">
      <c r="C574" s="39">
        <v>2017</v>
      </c>
      <c r="D574" s="62" t="s">
        <v>1101</v>
      </c>
      <c r="E574" s="63" t="s">
        <v>1102</v>
      </c>
      <c r="F574" s="64">
        <v>43025</v>
      </c>
      <c r="G574" s="65" t="s">
        <v>34</v>
      </c>
      <c r="H574" s="94">
        <v>2800000</v>
      </c>
      <c r="I574" s="27">
        <v>2847000</v>
      </c>
      <c r="J574" s="27"/>
      <c r="K574" s="26">
        <v>1.6785714285714286E-2</v>
      </c>
      <c r="L574" s="11" t="s">
        <v>464</v>
      </c>
      <c r="M574" s="15">
        <v>9</v>
      </c>
      <c r="N574" s="35" t="s">
        <v>93</v>
      </c>
      <c r="O574" s="15">
        <v>4</v>
      </c>
      <c r="P574" s="35" t="s">
        <v>458</v>
      </c>
      <c r="Q574" s="15"/>
      <c r="R574" s="24"/>
      <c r="S574" s="62" t="s">
        <v>616</v>
      </c>
      <c r="T574" s="15"/>
      <c r="U574" s="15"/>
      <c r="V574" s="54">
        <v>2800000</v>
      </c>
      <c r="W574" s="54">
        <v>2847000</v>
      </c>
      <c r="X574" s="54">
        <v>-47000</v>
      </c>
    </row>
    <row r="575" spans="3:24" x14ac:dyDescent="0.25">
      <c r="C575" s="39">
        <v>2017</v>
      </c>
      <c r="D575" s="62" t="s">
        <v>1099</v>
      </c>
      <c r="E575" s="63" t="s">
        <v>1100</v>
      </c>
      <c r="F575" s="64">
        <v>43025</v>
      </c>
      <c r="G575" s="65" t="s">
        <v>34</v>
      </c>
      <c r="H575" s="94">
        <v>3000000</v>
      </c>
      <c r="I575" s="27">
        <v>2812500</v>
      </c>
      <c r="J575" s="27"/>
      <c r="K575" s="26">
        <v>-6.25E-2</v>
      </c>
      <c r="L575" s="11" t="s">
        <v>464</v>
      </c>
      <c r="M575" s="15">
        <v>2</v>
      </c>
      <c r="N575" s="35" t="s">
        <v>25</v>
      </c>
      <c r="O575" s="15">
        <v>4</v>
      </c>
      <c r="P575" s="35" t="s">
        <v>458</v>
      </c>
      <c r="Q575" s="15"/>
      <c r="R575" s="24"/>
      <c r="S575" s="62" t="s">
        <v>616</v>
      </c>
      <c r="T575" s="15"/>
      <c r="U575" s="15"/>
      <c r="V575" s="54">
        <v>3000000</v>
      </c>
      <c r="W575" s="54">
        <v>2812500</v>
      </c>
      <c r="X575" s="54">
        <v>187500</v>
      </c>
    </row>
    <row r="576" spans="3:24" x14ac:dyDescent="0.25">
      <c r="C576" s="39">
        <v>2017</v>
      </c>
      <c r="D576" s="62" t="s">
        <v>1093</v>
      </c>
      <c r="E576" s="63" t="s">
        <v>1094</v>
      </c>
      <c r="F576" s="64">
        <v>43013</v>
      </c>
      <c r="G576" s="65" t="s">
        <v>34</v>
      </c>
      <c r="H576" s="94">
        <v>970000</v>
      </c>
      <c r="I576" s="27">
        <v>1285000</v>
      </c>
      <c r="J576" s="27"/>
      <c r="K576" s="26">
        <v>0.32474226804123713</v>
      </c>
      <c r="L576" s="11" t="s">
        <v>465</v>
      </c>
      <c r="M576" s="15">
        <v>6</v>
      </c>
      <c r="N576" s="35" t="s">
        <v>25</v>
      </c>
      <c r="O576" s="15">
        <v>4</v>
      </c>
      <c r="P576" s="35" t="s">
        <v>458</v>
      </c>
      <c r="Q576" s="15"/>
      <c r="R576" s="24"/>
      <c r="S576" s="62" t="s">
        <v>616</v>
      </c>
      <c r="T576" s="15"/>
      <c r="U576" s="15"/>
      <c r="V576" s="54">
        <v>970000</v>
      </c>
      <c r="W576" s="54">
        <v>1285000</v>
      </c>
      <c r="X576" s="54">
        <v>-315000</v>
      </c>
    </row>
    <row r="577" spans="3:24" x14ac:dyDescent="0.25">
      <c r="C577" s="39">
        <v>2017</v>
      </c>
      <c r="D577" s="62" t="s">
        <v>1089</v>
      </c>
      <c r="E577" s="63" t="s">
        <v>1090</v>
      </c>
      <c r="F577" s="64">
        <v>43005</v>
      </c>
      <c r="G577" s="65" t="s">
        <v>34</v>
      </c>
      <c r="H577" s="94">
        <v>1250000</v>
      </c>
      <c r="I577" s="27">
        <v>1068000</v>
      </c>
      <c r="J577" s="27"/>
      <c r="K577" s="26">
        <v>-0.14560000000000001</v>
      </c>
      <c r="L577" s="11" t="s">
        <v>464</v>
      </c>
      <c r="M577" s="15">
        <v>6</v>
      </c>
      <c r="N577" s="35" t="s">
        <v>226</v>
      </c>
      <c r="O577" s="15">
        <v>3</v>
      </c>
      <c r="P577" s="35" t="s">
        <v>457</v>
      </c>
      <c r="Q577" s="15"/>
      <c r="R577" s="24"/>
      <c r="S577" s="62" t="s">
        <v>784</v>
      </c>
      <c r="T577" s="15"/>
      <c r="U577" s="15"/>
      <c r="V577" s="54">
        <v>1250000</v>
      </c>
      <c r="W577" s="54">
        <v>1068000</v>
      </c>
      <c r="X577" s="54">
        <v>182000</v>
      </c>
    </row>
    <row r="578" spans="3:24" x14ac:dyDescent="0.25">
      <c r="C578" s="39">
        <v>2017</v>
      </c>
      <c r="D578" s="62" t="s">
        <v>1075</v>
      </c>
      <c r="E578" s="63" t="s">
        <v>1076</v>
      </c>
      <c r="F578" s="64">
        <v>42999</v>
      </c>
      <c r="G578" s="65" t="s">
        <v>34</v>
      </c>
      <c r="H578" s="94">
        <v>1250000</v>
      </c>
      <c r="I578" s="27">
        <v>876947</v>
      </c>
      <c r="J578" s="27"/>
      <c r="K578" s="26">
        <v>-0.2984424</v>
      </c>
      <c r="L578" s="11" t="s">
        <v>464</v>
      </c>
      <c r="M578" s="15">
        <v>13</v>
      </c>
      <c r="N578" s="35" t="s">
        <v>93</v>
      </c>
      <c r="O578" s="15">
        <v>3</v>
      </c>
      <c r="P578" s="35" t="s">
        <v>492</v>
      </c>
      <c r="Q578" s="15"/>
      <c r="R578" s="24"/>
      <c r="S578" s="62" t="s">
        <v>816</v>
      </c>
      <c r="T578" s="15"/>
      <c r="U578" s="15"/>
      <c r="V578" s="54">
        <v>1250000</v>
      </c>
      <c r="W578" s="54">
        <v>876947</v>
      </c>
      <c r="X578" s="54">
        <v>373053</v>
      </c>
    </row>
    <row r="579" spans="3:24" x14ac:dyDescent="0.25">
      <c r="C579" s="39">
        <v>2017</v>
      </c>
      <c r="D579" s="62" t="s">
        <v>1070</v>
      </c>
      <c r="E579" s="63" t="s">
        <v>1071</v>
      </c>
      <c r="F579" s="64">
        <v>42997</v>
      </c>
      <c r="G579" s="65" t="s">
        <v>34</v>
      </c>
      <c r="H579" s="94">
        <v>1326000</v>
      </c>
      <c r="I579" s="27">
        <v>1976491</v>
      </c>
      <c r="J579" s="27"/>
      <c r="K579" s="26">
        <v>0.49056636500754147</v>
      </c>
      <c r="L579" s="11" t="s">
        <v>465</v>
      </c>
      <c r="M579" s="15">
        <v>4</v>
      </c>
      <c r="N579" s="35" t="s">
        <v>25</v>
      </c>
      <c r="O579" s="15">
        <v>3</v>
      </c>
      <c r="P579" s="35" t="s">
        <v>457</v>
      </c>
      <c r="Q579" s="15"/>
      <c r="R579" s="24"/>
      <c r="S579" s="62" t="s">
        <v>784</v>
      </c>
      <c r="T579" s="15"/>
      <c r="U579" s="15"/>
      <c r="V579" s="54">
        <v>1326000</v>
      </c>
      <c r="W579" s="54">
        <v>1976491</v>
      </c>
      <c r="X579" s="54">
        <v>-650491</v>
      </c>
    </row>
    <row r="580" spans="3:24" x14ac:dyDescent="0.25">
      <c r="C580" s="39">
        <v>2017</v>
      </c>
      <c r="D580" s="62" t="s">
        <v>1063</v>
      </c>
      <c r="E580" s="63" t="s">
        <v>1064</v>
      </c>
      <c r="F580" s="64">
        <v>42951</v>
      </c>
      <c r="G580" s="65" t="s">
        <v>34</v>
      </c>
      <c r="H580" s="94">
        <v>6040000</v>
      </c>
      <c r="I580" s="27">
        <v>4845475</v>
      </c>
      <c r="J580" s="27" t="s">
        <v>519</v>
      </c>
      <c r="K580" s="26">
        <v>-0.19776903973509935</v>
      </c>
      <c r="L580" s="11" t="s">
        <v>464</v>
      </c>
      <c r="M580" s="15">
        <v>8</v>
      </c>
      <c r="N580" s="35" t="s">
        <v>93</v>
      </c>
      <c r="O580" s="15">
        <v>3</v>
      </c>
      <c r="P580" s="35" t="s">
        <v>458</v>
      </c>
      <c r="Q580" s="15"/>
      <c r="R580" s="24"/>
      <c r="S580" s="62" t="s">
        <v>784</v>
      </c>
      <c r="T580" s="15"/>
      <c r="U580" s="15"/>
      <c r="V580" s="54">
        <v>6040000</v>
      </c>
      <c r="W580" s="54">
        <v>4845475</v>
      </c>
      <c r="X580" s="54">
        <v>1194525</v>
      </c>
    </row>
    <row r="581" spans="3:24" x14ac:dyDescent="0.25">
      <c r="C581" s="39">
        <v>2017</v>
      </c>
      <c r="D581" s="62" t="s">
        <v>1057</v>
      </c>
      <c r="E581" s="63" t="s">
        <v>1058</v>
      </c>
      <c r="F581" s="64">
        <v>42949</v>
      </c>
      <c r="G581" s="65" t="s">
        <v>34</v>
      </c>
      <c r="H581" s="94">
        <v>1650000</v>
      </c>
      <c r="I581" s="27">
        <v>1320718</v>
      </c>
      <c r="J581" s="27"/>
      <c r="K581" s="26">
        <v>-0.19956484848484848</v>
      </c>
      <c r="L581" s="11" t="s">
        <v>464</v>
      </c>
      <c r="M581" s="15">
        <v>4</v>
      </c>
      <c r="N581" s="35" t="s">
        <v>93</v>
      </c>
      <c r="O581" s="15">
        <v>3</v>
      </c>
      <c r="P581" s="35" t="s">
        <v>458</v>
      </c>
      <c r="Q581" s="15"/>
      <c r="R581" s="24"/>
      <c r="S581" s="62" t="s">
        <v>616</v>
      </c>
      <c r="T581" s="15"/>
      <c r="U581" s="15"/>
      <c r="V581" s="54">
        <v>1650000</v>
      </c>
      <c r="W581" s="54">
        <v>1320718</v>
      </c>
      <c r="X581" s="54">
        <v>329282</v>
      </c>
    </row>
    <row r="582" spans="3:24" x14ac:dyDescent="0.25">
      <c r="C582" s="39">
        <v>2017</v>
      </c>
      <c r="D582" s="62" t="s">
        <v>1052</v>
      </c>
      <c r="E582" s="63" t="s">
        <v>1053</v>
      </c>
      <c r="F582" s="64">
        <v>42948</v>
      </c>
      <c r="G582" s="65" t="s">
        <v>34</v>
      </c>
      <c r="H582" s="94">
        <v>1330000</v>
      </c>
      <c r="I582" s="27">
        <v>936000</v>
      </c>
      <c r="J582" s="27"/>
      <c r="K582" s="26">
        <v>-0.29624060150375942</v>
      </c>
      <c r="L582" s="11" t="s">
        <v>464</v>
      </c>
      <c r="M582" s="15">
        <v>6</v>
      </c>
      <c r="N582" s="35" t="s">
        <v>93</v>
      </c>
      <c r="O582" s="15">
        <v>3</v>
      </c>
      <c r="P582" s="35" t="s">
        <v>458</v>
      </c>
      <c r="Q582" s="15"/>
      <c r="R582" s="24"/>
      <c r="S582" s="62" t="s">
        <v>616</v>
      </c>
      <c r="T582" s="15"/>
      <c r="U582" s="15"/>
      <c r="V582" s="54">
        <v>1330000</v>
      </c>
      <c r="W582" s="54">
        <v>936000</v>
      </c>
      <c r="X582" s="54">
        <v>394000</v>
      </c>
    </row>
    <row r="583" spans="3:24" x14ac:dyDescent="0.25">
      <c r="C583" s="39">
        <v>2017</v>
      </c>
      <c r="D583" s="62" t="s">
        <v>1049</v>
      </c>
      <c r="E583" s="63" t="s">
        <v>1050</v>
      </c>
      <c r="F583" s="64">
        <v>42942</v>
      </c>
      <c r="G583" s="65" t="s">
        <v>34</v>
      </c>
      <c r="H583" s="94">
        <v>700000</v>
      </c>
      <c r="I583" s="27">
        <v>614770</v>
      </c>
      <c r="J583" s="27"/>
      <c r="K583" s="26">
        <v>-0.12175714285714286</v>
      </c>
      <c r="L583" s="11" t="s">
        <v>464</v>
      </c>
      <c r="M583" s="15">
        <v>2</v>
      </c>
      <c r="N583" s="35" t="s">
        <v>93</v>
      </c>
      <c r="O583" s="15">
        <v>3</v>
      </c>
      <c r="P583" s="35" t="s">
        <v>457</v>
      </c>
      <c r="Q583" s="15"/>
      <c r="R583" s="24"/>
      <c r="S583" s="62" t="s">
        <v>536</v>
      </c>
      <c r="T583" s="15"/>
      <c r="U583" s="15"/>
      <c r="V583" s="54">
        <v>700000</v>
      </c>
      <c r="W583" s="54">
        <v>614770</v>
      </c>
      <c r="X583" s="54">
        <v>85230</v>
      </c>
    </row>
    <row r="584" spans="3:24" x14ac:dyDescent="0.25">
      <c r="C584" s="39">
        <v>2017</v>
      </c>
      <c r="D584" s="62" t="s">
        <v>1047</v>
      </c>
      <c r="E584" s="63" t="s">
        <v>982</v>
      </c>
      <c r="F584" s="64">
        <v>42941</v>
      </c>
      <c r="G584" s="65" t="s">
        <v>34</v>
      </c>
      <c r="H584" s="94">
        <v>7200000</v>
      </c>
      <c r="I584" s="27">
        <v>1936000</v>
      </c>
      <c r="J584" s="105" t="s">
        <v>519</v>
      </c>
      <c r="K584" s="26">
        <v>-0.73111111111111116</v>
      </c>
      <c r="L584" s="11" t="s">
        <v>465</v>
      </c>
      <c r="M584" s="15">
        <v>4</v>
      </c>
      <c r="N584" s="35" t="s">
        <v>93</v>
      </c>
      <c r="O584" s="15">
        <v>3</v>
      </c>
      <c r="P584" s="35" t="s">
        <v>458</v>
      </c>
      <c r="Q584" s="15"/>
      <c r="R584" s="24"/>
      <c r="S584" s="62" t="s">
        <v>616</v>
      </c>
      <c r="T584" s="15"/>
      <c r="U584" s="15"/>
      <c r="V584" s="54">
        <v>7200000</v>
      </c>
      <c r="W584" s="54">
        <v>1936000</v>
      </c>
      <c r="X584" s="54">
        <v>5264000</v>
      </c>
    </row>
    <row r="585" spans="3:24" x14ac:dyDescent="0.25">
      <c r="C585" s="39">
        <v>2017</v>
      </c>
      <c r="D585" s="62" t="s">
        <v>1021</v>
      </c>
      <c r="E585" s="63" t="s">
        <v>1022</v>
      </c>
      <c r="F585" s="64">
        <v>42892</v>
      </c>
      <c r="G585" s="65" t="s">
        <v>34</v>
      </c>
      <c r="H585" s="94">
        <v>771000</v>
      </c>
      <c r="I585" s="27">
        <v>946600</v>
      </c>
      <c r="J585" s="27"/>
      <c r="K585" s="26">
        <v>0.22775616083009079</v>
      </c>
      <c r="L585" s="11" t="s">
        <v>465</v>
      </c>
      <c r="M585" s="15">
        <v>2</v>
      </c>
      <c r="N585" s="35" t="s">
        <v>25</v>
      </c>
      <c r="O585" s="15">
        <v>2</v>
      </c>
      <c r="P585" s="35" t="s">
        <v>457</v>
      </c>
      <c r="Q585" s="15"/>
      <c r="R585" s="24"/>
      <c r="S585" s="62" t="s">
        <v>630</v>
      </c>
      <c r="T585" s="15"/>
      <c r="U585" s="15"/>
      <c r="V585" s="54">
        <v>771000</v>
      </c>
      <c r="W585" s="54">
        <v>946600</v>
      </c>
      <c r="X585" s="54">
        <v>-175600</v>
      </c>
    </row>
    <row r="586" spans="3:24" x14ac:dyDescent="0.25">
      <c r="C586" s="39">
        <v>2017</v>
      </c>
      <c r="D586" s="62" t="s">
        <v>1014</v>
      </c>
      <c r="E586" s="63" t="s">
        <v>1015</v>
      </c>
      <c r="F586" s="64">
        <v>42886</v>
      </c>
      <c r="G586" s="65" t="s">
        <v>34</v>
      </c>
      <c r="H586" s="94">
        <v>1140000</v>
      </c>
      <c r="I586" s="27">
        <v>904780</v>
      </c>
      <c r="J586" s="27"/>
      <c r="K586" s="26">
        <v>-0.20633333333333334</v>
      </c>
      <c r="L586" s="11" t="s">
        <v>464</v>
      </c>
      <c r="M586" s="15">
        <v>9</v>
      </c>
      <c r="N586" s="35" t="s">
        <v>25</v>
      </c>
      <c r="O586" s="15">
        <v>2</v>
      </c>
      <c r="P586" s="35" t="s">
        <v>458</v>
      </c>
      <c r="Q586" s="15"/>
      <c r="R586" s="24"/>
      <c r="S586" s="62" t="s">
        <v>616</v>
      </c>
      <c r="T586" s="15"/>
      <c r="U586" s="15"/>
      <c r="V586" s="54">
        <v>1140000</v>
      </c>
      <c r="W586" s="54">
        <v>904780</v>
      </c>
      <c r="X586" s="54">
        <v>235220</v>
      </c>
    </row>
    <row r="587" spans="3:24" x14ac:dyDescent="0.25">
      <c r="C587" s="39">
        <v>2017</v>
      </c>
      <c r="D587" s="62" t="s">
        <v>1009</v>
      </c>
      <c r="E587" s="63" t="s">
        <v>1010</v>
      </c>
      <c r="F587" s="64">
        <v>42880</v>
      </c>
      <c r="G587" s="65" t="s">
        <v>34</v>
      </c>
      <c r="H587" s="94">
        <v>2850000</v>
      </c>
      <c r="I587" s="27">
        <v>1808548</v>
      </c>
      <c r="J587" s="27"/>
      <c r="K587" s="26">
        <v>-0.36542175438596491</v>
      </c>
      <c r="L587" s="11" t="s">
        <v>465</v>
      </c>
      <c r="M587" s="15">
        <v>11</v>
      </c>
      <c r="N587" s="35" t="s">
        <v>93</v>
      </c>
      <c r="O587" s="15">
        <v>2</v>
      </c>
      <c r="P587" s="35" t="s">
        <v>458</v>
      </c>
      <c r="Q587" s="15"/>
      <c r="R587" s="24"/>
      <c r="S587" s="62" t="s">
        <v>442</v>
      </c>
      <c r="T587" s="15"/>
      <c r="U587" s="15"/>
      <c r="V587" s="54">
        <v>2850000</v>
      </c>
      <c r="W587" s="54">
        <v>1808548</v>
      </c>
      <c r="X587" s="54">
        <v>1041452</v>
      </c>
    </row>
    <row r="588" spans="3:24" x14ac:dyDescent="0.25">
      <c r="C588" s="39">
        <v>2017</v>
      </c>
      <c r="D588" s="62" t="s">
        <v>1001</v>
      </c>
      <c r="E588" s="63" t="s">
        <v>1008</v>
      </c>
      <c r="F588" s="64">
        <v>42872</v>
      </c>
      <c r="G588" s="65" t="s">
        <v>34</v>
      </c>
      <c r="H588" s="94">
        <v>5000000</v>
      </c>
      <c r="I588" s="27">
        <v>5210665</v>
      </c>
      <c r="J588" s="27" t="s">
        <v>519</v>
      </c>
      <c r="K588" s="26">
        <v>4.2132999999999997E-2</v>
      </c>
      <c r="L588" s="11" t="s">
        <v>464</v>
      </c>
      <c r="M588" s="15">
        <v>9</v>
      </c>
      <c r="N588" s="35" t="s">
        <v>226</v>
      </c>
      <c r="O588" s="15">
        <v>2</v>
      </c>
      <c r="P588" s="35" t="s">
        <v>492</v>
      </c>
      <c r="Q588" s="15"/>
      <c r="R588" s="24"/>
      <c r="S588" s="62" t="s">
        <v>816</v>
      </c>
      <c r="T588" s="15"/>
      <c r="U588" s="15"/>
      <c r="V588" s="54">
        <v>5000000</v>
      </c>
      <c r="W588" s="54">
        <v>5210665</v>
      </c>
      <c r="X588" s="54">
        <v>-210665</v>
      </c>
    </row>
    <row r="589" spans="3:24" x14ac:dyDescent="0.25">
      <c r="C589" s="39">
        <v>2017</v>
      </c>
      <c r="D589" s="62" t="s">
        <v>999</v>
      </c>
      <c r="E589" s="63" t="s">
        <v>1000</v>
      </c>
      <c r="F589" s="64">
        <v>42871</v>
      </c>
      <c r="G589" s="65" t="s">
        <v>34</v>
      </c>
      <c r="H589" s="94">
        <v>9000000</v>
      </c>
      <c r="I589" s="27">
        <v>10805265</v>
      </c>
      <c r="J589" s="105" t="s">
        <v>519</v>
      </c>
      <c r="K589" s="26">
        <v>0.20058500000000001</v>
      </c>
      <c r="L589" s="11" t="s">
        <v>465</v>
      </c>
      <c r="M589" s="15">
        <v>2</v>
      </c>
      <c r="N589" s="35" t="s">
        <v>25</v>
      </c>
      <c r="O589" s="15">
        <v>2</v>
      </c>
      <c r="P589" s="35" t="s">
        <v>492</v>
      </c>
      <c r="Q589" s="15"/>
      <c r="R589" s="24"/>
      <c r="S589" s="62" t="s">
        <v>816</v>
      </c>
      <c r="T589" s="15"/>
      <c r="U589" s="15"/>
      <c r="V589" s="54">
        <v>9000000</v>
      </c>
      <c r="W589" s="54">
        <v>10805265</v>
      </c>
      <c r="X589" s="54">
        <v>-1805265</v>
      </c>
    </row>
    <row r="590" spans="3:24" x14ac:dyDescent="0.25">
      <c r="C590" s="39">
        <v>2017</v>
      </c>
      <c r="D590" s="62" t="s">
        <v>991</v>
      </c>
      <c r="E590" s="63" t="s">
        <v>992</v>
      </c>
      <c r="F590" s="64">
        <v>42846</v>
      </c>
      <c r="G590" s="65" t="s">
        <v>34</v>
      </c>
      <c r="H590" s="94">
        <v>2060000</v>
      </c>
      <c r="I590" s="27">
        <v>2614625</v>
      </c>
      <c r="J590" s="27"/>
      <c r="K590" s="26">
        <v>0.26923543689320389</v>
      </c>
      <c r="L590" s="11" t="s">
        <v>465</v>
      </c>
      <c r="M590" s="15">
        <v>5</v>
      </c>
      <c r="N590" s="35" t="s">
        <v>226</v>
      </c>
      <c r="O590" s="15">
        <v>2</v>
      </c>
      <c r="P590" s="35" t="s">
        <v>457</v>
      </c>
      <c r="Q590" s="15"/>
      <c r="R590" s="24"/>
      <c r="S590" s="62" t="s">
        <v>630</v>
      </c>
      <c r="T590" s="15"/>
      <c r="U590" s="15"/>
      <c r="V590" s="54">
        <v>2060000</v>
      </c>
      <c r="W590" s="54">
        <v>2614625</v>
      </c>
      <c r="X590" s="54">
        <v>-554625</v>
      </c>
    </row>
    <row r="591" spans="3:24" x14ac:dyDescent="0.25">
      <c r="C591" s="39">
        <v>2017</v>
      </c>
      <c r="D591" s="62" t="s">
        <v>987</v>
      </c>
      <c r="E591" s="63" t="s">
        <v>988</v>
      </c>
      <c r="F591" s="64">
        <v>42845</v>
      </c>
      <c r="G591" s="65" t="s">
        <v>34</v>
      </c>
      <c r="H591" s="94">
        <v>1520000</v>
      </c>
      <c r="I591" s="27">
        <v>994200</v>
      </c>
      <c r="J591" s="27"/>
      <c r="K591" s="26">
        <v>-0.34592105263157896</v>
      </c>
      <c r="L591" s="11" t="s">
        <v>464</v>
      </c>
      <c r="M591" s="15">
        <v>4</v>
      </c>
      <c r="N591" s="35" t="s">
        <v>25</v>
      </c>
      <c r="O591" s="15">
        <v>2</v>
      </c>
      <c r="P591" s="35" t="s">
        <v>492</v>
      </c>
      <c r="Q591" s="15"/>
      <c r="R591" s="24"/>
      <c r="S591" s="62" t="s">
        <v>816</v>
      </c>
      <c r="T591" s="15"/>
      <c r="U591" s="15"/>
      <c r="V591" s="54">
        <v>1520000</v>
      </c>
      <c r="W591" s="54">
        <v>994200</v>
      </c>
      <c r="X591" s="54">
        <v>525800</v>
      </c>
    </row>
    <row r="592" spans="3:24" x14ac:dyDescent="0.25">
      <c r="C592" s="39">
        <v>2017</v>
      </c>
      <c r="D592" s="62" t="s">
        <v>977</v>
      </c>
      <c r="E592" s="63" t="s">
        <v>978</v>
      </c>
      <c r="F592" s="64">
        <v>42831</v>
      </c>
      <c r="G592" s="65" t="s">
        <v>34</v>
      </c>
      <c r="H592" s="94">
        <v>1655000</v>
      </c>
      <c r="I592" s="27">
        <v>1398667</v>
      </c>
      <c r="J592" s="27"/>
      <c r="K592" s="26">
        <v>-0.15488398791540786</v>
      </c>
      <c r="L592" s="11" t="s">
        <v>464</v>
      </c>
      <c r="M592" s="15">
        <v>3</v>
      </c>
      <c r="N592" s="35" t="s">
        <v>93</v>
      </c>
      <c r="O592" s="15">
        <v>2</v>
      </c>
      <c r="P592" s="35" t="s">
        <v>492</v>
      </c>
      <c r="Q592" s="15"/>
      <c r="R592" s="24"/>
      <c r="S592" s="62" t="s">
        <v>816</v>
      </c>
      <c r="T592" s="15"/>
      <c r="U592" s="15"/>
      <c r="V592" s="54">
        <v>1655000</v>
      </c>
      <c r="W592" s="54">
        <v>1398667</v>
      </c>
      <c r="X592" s="54">
        <v>256333</v>
      </c>
    </row>
    <row r="593" spans="3:24" x14ac:dyDescent="0.25">
      <c r="C593" s="39">
        <v>2017</v>
      </c>
      <c r="D593" s="62" t="s">
        <v>966</v>
      </c>
      <c r="E593" s="63" t="s">
        <v>967</v>
      </c>
      <c r="F593" s="64">
        <v>42823</v>
      </c>
      <c r="G593" s="65" t="s">
        <v>34</v>
      </c>
      <c r="H593" s="27">
        <v>3700000</v>
      </c>
      <c r="I593" s="27">
        <v>2490000</v>
      </c>
      <c r="J593" s="27">
        <v>3185240</v>
      </c>
      <c r="K593" s="26">
        <v>-0.32702702702702702</v>
      </c>
      <c r="L593" s="11" t="s">
        <v>464</v>
      </c>
      <c r="M593" s="15">
        <v>7</v>
      </c>
      <c r="N593" s="35" t="s">
        <v>93</v>
      </c>
      <c r="O593" s="15">
        <v>1</v>
      </c>
      <c r="P593" s="35" t="s">
        <v>457</v>
      </c>
      <c r="Q593" s="15"/>
      <c r="R593" s="24" t="s">
        <v>976</v>
      </c>
      <c r="S593" s="62" t="s">
        <v>630</v>
      </c>
      <c r="T593" s="15"/>
      <c r="U593" s="15"/>
      <c r="V593" s="54">
        <v>3700000</v>
      </c>
      <c r="W593" s="54">
        <v>2490000</v>
      </c>
      <c r="X593" s="54">
        <v>1210000</v>
      </c>
    </row>
    <row r="594" spans="3:24" x14ac:dyDescent="0.25">
      <c r="C594" s="39">
        <v>2017</v>
      </c>
      <c r="D594" s="62" t="s">
        <v>916</v>
      </c>
      <c r="E594" s="63" t="s">
        <v>917</v>
      </c>
      <c r="F594" s="64">
        <v>42780</v>
      </c>
      <c r="G594" s="65" t="s">
        <v>34</v>
      </c>
      <c r="H594" s="94">
        <v>2580000</v>
      </c>
      <c r="I594" s="27">
        <v>1386000</v>
      </c>
      <c r="J594" s="27"/>
      <c r="K594" s="26">
        <v>-0.46279069767441861</v>
      </c>
      <c r="L594" s="11" t="s">
        <v>464</v>
      </c>
      <c r="M594" s="15">
        <v>16</v>
      </c>
      <c r="N594" s="35" t="s">
        <v>25</v>
      </c>
      <c r="O594" s="15">
        <v>1</v>
      </c>
      <c r="P594" s="35" t="s">
        <v>458</v>
      </c>
      <c r="Q594" s="15"/>
      <c r="R594" s="24" t="s">
        <v>1020</v>
      </c>
      <c r="S594" s="62" t="s">
        <v>616</v>
      </c>
      <c r="T594" s="15"/>
      <c r="U594" s="15"/>
      <c r="V594" s="54">
        <v>2580000</v>
      </c>
      <c r="W594" s="54">
        <v>1386000</v>
      </c>
      <c r="X594" s="54">
        <v>1194000</v>
      </c>
    </row>
    <row r="595" spans="3:24" x14ac:dyDescent="0.25">
      <c r="C595" s="39">
        <v>2017</v>
      </c>
      <c r="D595" s="62" t="s">
        <v>901</v>
      </c>
      <c r="E595" s="63" t="s">
        <v>902</v>
      </c>
      <c r="F595" s="64">
        <v>42774</v>
      </c>
      <c r="G595" s="65" t="s">
        <v>34</v>
      </c>
      <c r="H595" s="94">
        <v>970000</v>
      </c>
      <c r="I595" s="27">
        <v>756482</v>
      </c>
      <c r="J595" s="27"/>
      <c r="K595" s="26">
        <v>-0.22012164948453608</v>
      </c>
      <c r="L595" s="11" t="s">
        <v>464</v>
      </c>
      <c r="M595" s="15">
        <v>9</v>
      </c>
      <c r="N595" s="35" t="s">
        <v>25</v>
      </c>
      <c r="O595" s="15">
        <v>1</v>
      </c>
      <c r="P595" s="35" t="s">
        <v>458</v>
      </c>
      <c r="Q595" s="15"/>
      <c r="R595" s="24"/>
      <c r="S595" s="62" t="s">
        <v>616</v>
      </c>
      <c r="T595" s="15"/>
      <c r="U595" s="15"/>
      <c r="V595" s="54">
        <v>970000</v>
      </c>
      <c r="W595" s="54">
        <v>756482</v>
      </c>
      <c r="X595" s="54">
        <v>213518</v>
      </c>
    </row>
    <row r="596" spans="3:24" x14ac:dyDescent="0.25">
      <c r="C596" s="39">
        <v>2017</v>
      </c>
      <c r="D596" s="62" t="s">
        <v>880</v>
      </c>
      <c r="E596" s="63" t="s">
        <v>881</v>
      </c>
      <c r="F596" s="64">
        <v>42768</v>
      </c>
      <c r="G596" s="65" t="s">
        <v>34</v>
      </c>
      <c r="H596" s="94">
        <v>4800000</v>
      </c>
      <c r="I596" s="27">
        <v>3901193</v>
      </c>
      <c r="J596" s="27"/>
      <c r="K596" s="26">
        <v>-0.18725145833333334</v>
      </c>
      <c r="L596" s="11" t="s">
        <v>464</v>
      </c>
      <c r="M596" s="15">
        <v>14</v>
      </c>
      <c r="N596" s="35" t="s">
        <v>93</v>
      </c>
      <c r="O596" s="15">
        <v>1</v>
      </c>
      <c r="P596" s="35" t="s">
        <v>458</v>
      </c>
      <c r="Q596" s="15"/>
      <c r="R596" s="24"/>
      <c r="S596" s="62" t="s">
        <v>616</v>
      </c>
      <c r="T596" s="15"/>
      <c r="U596" s="15"/>
      <c r="V596" s="54">
        <v>4800000</v>
      </c>
      <c r="W596" s="54">
        <v>3901193</v>
      </c>
      <c r="X596" s="54">
        <v>898807</v>
      </c>
    </row>
    <row r="597" spans="3:24" x14ac:dyDescent="0.25">
      <c r="C597" s="39">
        <v>2017</v>
      </c>
      <c r="D597" s="62" t="s">
        <v>868</v>
      </c>
      <c r="E597" s="63" t="s">
        <v>869</v>
      </c>
      <c r="F597" s="64">
        <v>42761</v>
      </c>
      <c r="G597" s="65" t="s">
        <v>34</v>
      </c>
      <c r="H597" s="94">
        <v>5100000</v>
      </c>
      <c r="I597" s="27">
        <v>4640176</v>
      </c>
      <c r="J597" s="27" t="s">
        <v>519</v>
      </c>
      <c r="K597" s="26">
        <v>-9.0161568627450978E-2</v>
      </c>
      <c r="L597" s="11" t="s">
        <v>464</v>
      </c>
      <c r="M597" s="15">
        <v>7</v>
      </c>
      <c r="N597" s="35" t="s">
        <v>93</v>
      </c>
      <c r="O597" s="15">
        <v>1</v>
      </c>
      <c r="P597" s="35" t="s">
        <v>458</v>
      </c>
      <c r="Q597" s="15"/>
      <c r="R597" s="24"/>
      <c r="S597" s="62" t="s">
        <v>784</v>
      </c>
      <c r="T597" s="15"/>
      <c r="U597" s="15"/>
      <c r="V597" s="54">
        <v>5100000</v>
      </c>
      <c r="W597" s="54">
        <v>4640176</v>
      </c>
      <c r="X597" s="54">
        <v>459824</v>
      </c>
    </row>
    <row r="598" spans="3:24" x14ac:dyDescent="0.25">
      <c r="C598" s="39">
        <v>2017</v>
      </c>
      <c r="D598" s="62" t="s">
        <v>832</v>
      </c>
      <c r="E598" s="63" t="s">
        <v>833</v>
      </c>
      <c r="F598" s="64">
        <v>42752</v>
      </c>
      <c r="G598" s="65" t="s">
        <v>34</v>
      </c>
      <c r="H598" s="94">
        <v>4200000</v>
      </c>
      <c r="I598" s="27">
        <v>3987114</v>
      </c>
      <c r="J598" s="27"/>
      <c r="K598" s="26">
        <v>-5.0687142857142854E-2</v>
      </c>
      <c r="L598" s="11" t="s">
        <v>464</v>
      </c>
      <c r="M598" s="15">
        <v>3</v>
      </c>
      <c r="N598" s="35" t="s">
        <v>25</v>
      </c>
      <c r="O598" s="15">
        <v>1</v>
      </c>
      <c r="P598" s="35" t="s">
        <v>492</v>
      </c>
      <c r="Q598" s="15"/>
      <c r="R598" s="24"/>
      <c r="S598" s="62" t="s">
        <v>816</v>
      </c>
      <c r="T598" s="15"/>
      <c r="U598" s="15"/>
      <c r="V598" s="54">
        <v>4200000</v>
      </c>
      <c r="W598" s="54">
        <v>3987114</v>
      </c>
      <c r="X598" s="54">
        <v>212886</v>
      </c>
    </row>
    <row r="599" spans="3:24" x14ac:dyDescent="0.25">
      <c r="C599" s="39"/>
    </row>
    <row r="600" spans="3:24" x14ac:dyDescent="0.25">
      <c r="C600" s="39"/>
      <c r="K600" s="398" t="s">
        <v>1183</v>
      </c>
      <c r="L600" s="398"/>
    </row>
    <row r="601" spans="3:24" x14ac:dyDescent="0.25">
      <c r="C601" s="39"/>
      <c r="K601" s="142" t="s">
        <v>190</v>
      </c>
      <c r="L601" s="143">
        <f>+M601/N601</f>
        <v>0.76470588235294112</v>
      </c>
      <c r="M601" s="15">
        <v>13</v>
      </c>
      <c r="N601" s="11">
        <v>17</v>
      </c>
      <c r="P601">
        <v>4</v>
      </c>
    </row>
    <row r="602" spans="3:24" x14ac:dyDescent="0.25">
      <c r="C602" s="39"/>
      <c r="K602" s="142" t="s">
        <v>1206</v>
      </c>
      <c r="L602" s="143">
        <f>+M602/N602</f>
        <v>0.67741935483870963</v>
      </c>
      <c r="M602" s="15">
        <v>21</v>
      </c>
      <c r="N602" s="11">
        <v>31</v>
      </c>
      <c r="P602">
        <v>6.1</v>
      </c>
    </row>
    <row r="603" spans="3:24" x14ac:dyDescent="0.25">
      <c r="C603" s="39"/>
      <c r="K603" s="142" t="s">
        <v>693</v>
      </c>
      <c r="L603" s="143">
        <f>+M603/N603</f>
        <v>0.63636363636363635</v>
      </c>
      <c r="M603" s="15">
        <v>7</v>
      </c>
      <c r="N603" s="11">
        <v>11</v>
      </c>
      <c r="P603">
        <v>4.5</v>
      </c>
    </row>
    <row r="604" spans="3:24" x14ac:dyDescent="0.25">
      <c r="C604" s="39"/>
      <c r="K604" s="142" t="s">
        <v>756</v>
      </c>
      <c r="L604" s="143">
        <f t="shared" ref="L604" si="49">+M604/N604</f>
        <v>0.16666666666666666</v>
      </c>
      <c r="M604" s="15">
        <v>1</v>
      </c>
      <c r="N604" s="11">
        <v>6</v>
      </c>
      <c r="P604">
        <v>5.5</v>
      </c>
    </row>
    <row r="605" spans="3:24" x14ac:dyDescent="0.25">
      <c r="C605" s="39"/>
    </row>
    <row r="606" spans="3:24" x14ac:dyDescent="0.25">
      <c r="C606" s="39"/>
    </row>
    <row r="607" spans="3:24" x14ac:dyDescent="0.25">
      <c r="C607" s="39"/>
    </row>
    <row r="608" spans="3:24" x14ac:dyDescent="0.25">
      <c r="C608" s="39"/>
    </row>
    <row r="609" spans="2:24" x14ac:dyDescent="0.25">
      <c r="C609" s="39"/>
    </row>
    <row r="610" spans="2:24" x14ac:dyDescent="0.25">
      <c r="B610" s="144"/>
      <c r="C610" s="145"/>
      <c r="D610" s="144"/>
      <c r="E610" s="144"/>
      <c r="F610" s="144"/>
      <c r="G610" s="144"/>
      <c r="H610" s="144"/>
      <c r="I610" s="144"/>
      <c r="J610" s="144"/>
      <c r="K610" s="144"/>
      <c r="L610" s="144"/>
      <c r="M610" s="144"/>
      <c r="N610" s="146"/>
      <c r="O610" s="144"/>
      <c r="P610" s="144"/>
      <c r="Q610" s="144"/>
      <c r="R610" s="144"/>
      <c r="S610" s="144"/>
    </row>
    <row r="611" spans="2:24" x14ac:dyDescent="0.25">
      <c r="C611" s="39"/>
    </row>
    <row r="612" spans="2:24" x14ac:dyDescent="0.25">
      <c r="C612" s="39"/>
    </row>
    <row r="613" spans="2:24" x14ac:dyDescent="0.25">
      <c r="C613" s="39"/>
      <c r="D613" t="s">
        <v>1174</v>
      </c>
    </row>
    <row r="614" spans="2:24" x14ac:dyDescent="0.25">
      <c r="C614" s="39"/>
      <c r="D614" t="s">
        <v>1177</v>
      </c>
      <c r="F614" t="s">
        <v>1175</v>
      </c>
      <c r="G614" t="s">
        <v>1176</v>
      </c>
    </row>
    <row r="615" spans="2:24" x14ac:dyDescent="0.25">
      <c r="C615" s="39"/>
      <c r="F615">
        <v>14</v>
      </c>
      <c r="G615">
        <v>5</v>
      </c>
      <c r="H615" s="66">
        <f>+F615/(G615+F615)</f>
        <v>0.73684210526315785</v>
      </c>
    </row>
    <row r="616" spans="2:24" x14ac:dyDescent="0.25">
      <c r="C616" s="39"/>
    </row>
    <row r="617" spans="2:24" x14ac:dyDescent="0.25">
      <c r="C617" s="39"/>
    </row>
    <row r="618" spans="2:24" x14ac:dyDescent="0.25">
      <c r="B618" s="147"/>
      <c r="C618" s="148"/>
      <c r="D618" s="147"/>
      <c r="E618" s="147"/>
      <c r="F618" s="147"/>
      <c r="G618" s="147"/>
      <c r="H618" s="147"/>
      <c r="I618" s="147"/>
      <c r="J618" s="147"/>
      <c r="K618" s="147"/>
      <c r="L618" s="147"/>
      <c r="M618" s="147"/>
      <c r="N618" s="149"/>
      <c r="O618" s="147"/>
      <c r="P618" s="147"/>
      <c r="Q618" s="147"/>
      <c r="R618" s="147"/>
      <c r="S618" s="147"/>
    </row>
    <row r="619" spans="2:24" x14ac:dyDescent="0.25">
      <c r="C619" s="39"/>
    </row>
    <row r="620" spans="2:24" x14ac:dyDescent="0.25">
      <c r="C620" s="39"/>
      <c r="R620">
        <f>+H641+H669+H696+H719</f>
        <v>34</v>
      </c>
    </row>
    <row r="621" spans="2:24" x14ac:dyDescent="0.25">
      <c r="C621" s="39"/>
    </row>
    <row r="622" spans="2:24" x14ac:dyDescent="0.25">
      <c r="C622" s="39"/>
    </row>
    <row r="623" spans="2:24" x14ac:dyDescent="0.25">
      <c r="C623" s="39">
        <v>2017</v>
      </c>
      <c r="D623" s="102" t="s">
        <v>1136</v>
      </c>
      <c r="E623" s="63" t="s">
        <v>1137</v>
      </c>
      <c r="F623" s="64">
        <v>43074</v>
      </c>
      <c r="G623" s="65" t="s">
        <v>34</v>
      </c>
      <c r="H623" s="94">
        <v>1530000</v>
      </c>
      <c r="I623" s="27">
        <v>1189000</v>
      </c>
      <c r="J623" s="27"/>
      <c r="K623" s="26">
        <v>-0.22287581699346407</v>
      </c>
      <c r="L623" s="11" t="s">
        <v>464</v>
      </c>
      <c r="M623" s="15">
        <v>3</v>
      </c>
      <c r="N623" s="35" t="s">
        <v>25</v>
      </c>
      <c r="O623" s="15">
        <v>4</v>
      </c>
      <c r="P623" s="35" t="s">
        <v>458</v>
      </c>
      <c r="Q623" s="15"/>
      <c r="R623" s="24"/>
      <c r="S623" s="62" t="s">
        <v>616</v>
      </c>
      <c r="T623" s="15"/>
      <c r="U623" s="15"/>
      <c r="V623" s="54">
        <v>1530000</v>
      </c>
      <c r="W623" s="54">
        <v>1189000</v>
      </c>
      <c r="X623" s="54">
        <v>341000</v>
      </c>
    </row>
    <row r="624" spans="2:24" x14ac:dyDescent="0.25">
      <c r="C624" s="39">
        <v>2017</v>
      </c>
      <c r="D624" s="102" t="s">
        <v>1129</v>
      </c>
      <c r="E624" s="63" t="s">
        <v>1130</v>
      </c>
      <c r="F624" s="64">
        <v>43068</v>
      </c>
      <c r="G624" s="65" t="s">
        <v>34</v>
      </c>
      <c r="H624" s="94">
        <v>6600000</v>
      </c>
      <c r="I624" s="27">
        <v>5189333</v>
      </c>
      <c r="J624" s="27" t="s">
        <v>519</v>
      </c>
      <c r="K624" s="26">
        <v>-0.21373742424242423</v>
      </c>
      <c r="L624" s="11" t="s">
        <v>464</v>
      </c>
      <c r="M624" s="15">
        <v>7</v>
      </c>
      <c r="N624" s="35" t="s">
        <v>25</v>
      </c>
      <c r="O624" s="15">
        <v>4</v>
      </c>
      <c r="P624" s="35" t="s">
        <v>458</v>
      </c>
      <c r="Q624" s="15"/>
      <c r="R624" s="24"/>
      <c r="S624" s="62" t="s">
        <v>616</v>
      </c>
      <c r="T624" s="15"/>
      <c r="U624" s="15"/>
      <c r="V624" s="54">
        <v>6600000</v>
      </c>
      <c r="W624" s="54">
        <v>5189333</v>
      </c>
      <c r="X624" s="54">
        <v>1410667</v>
      </c>
    </row>
    <row r="625" spans="3:32" x14ac:dyDescent="0.25">
      <c r="C625" s="39">
        <v>2017</v>
      </c>
      <c r="D625" s="62" t="s">
        <v>1124</v>
      </c>
      <c r="E625" s="63" t="s">
        <v>1125</v>
      </c>
      <c r="F625" s="64">
        <v>43053</v>
      </c>
      <c r="G625" s="65" t="s">
        <v>693</v>
      </c>
      <c r="H625" s="94">
        <v>820000</v>
      </c>
      <c r="I625" s="27">
        <v>861500</v>
      </c>
      <c r="J625" s="27"/>
      <c r="K625" s="26">
        <v>5.0609756097560979E-2</v>
      </c>
      <c r="L625" s="11" t="s">
        <v>464</v>
      </c>
      <c r="M625" s="15">
        <v>4</v>
      </c>
      <c r="N625" s="35" t="s">
        <v>25</v>
      </c>
      <c r="O625" s="15">
        <v>4</v>
      </c>
      <c r="P625" s="35" t="s">
        <v>458</v>
      </c>
      <c r="Q625" s="15"/>
      <c r="R625" s="24"/>
      <c r="S625" s="62" t="s">
        <v>616</v>
      </c>
      <c r="T625" s="15"/>
      <c r="U625" s="15"/>
      <c r="V625" s="54">
        <v>820000</v>
      </c>
      <c r="W625" s="54">
        <v>861500</v>
      </c>
      <c r="X625" s="54">
        <v>-41500</v>
      </c>
    </row>
    <row r="626" spans="3:32" x14ac:dyDescent="0.25">
      <c r="C626" s="39">
        <v>2017</v>
      </c>
      <c r="D626" s="62" t="s">
        <v>1116</v>
      </c>
      <c r="E626" s="63" t="s">
        <v>1117</v>
      </c>
      <c r="F626" s="64">
        <v>43047</v>
      </c>
      <c r="G626" s="65" t="s">
        <v>190</v>
      </c>
      <c r="H626" s="94">
        <v>26900000</v>
      </c>
      <c r="I626" s="27">
        <v>26600000</v>
      </c>
      <c r="J626" s="27" t="s">
        <v>519</v>
      </c>
      <c r="K626" s="26">
        <v>-1.1152416356877323E-2</v>
      </c>
      <c r="L626" s="11" t="s">
        <v>464</v>
      </c>
      <c r="M626" s="15">
        <v>3</v>
      </c>
      <c r="N626" s="35" t="s">
        <v>25</v>
      </c>
      <c r="O626" s="15">
        <v>4</v>
      </c>
      <c r="P626" s="35" t="s">
        <v>458</v>
      </c>
      <c r="Q626" s="15"/>
      <c r="R626" s="24"/>
      <c r="S626" s="62" t="s">
        <v>616</v>
      </c>
      <c r="T626" s="15"/>
      <c r="U626" s="15"/>
      <c r="V626" s="54">
        <v>26900000</v>
      </c>
      <c r="W626" s="54">
        <v>26600000</v>
      </c>
      <c r="X626" s="54">
        <v>300000</v>
      </c>
    </row>
    <row r="627" spans="3:32" x14ac:dyDescent="0.25">
      <c r="C627" s="39">
        <v>2017</v>
      </c>
      <c r="D627" s="62" t="s">
        <v>1099</v>
      </c>
      <c r="E627" s="63" t="s">
        <v>1100</v>
      </c>
      <c r="F627" s="64">
        <v>43025</v>
      </c>
      <c r="G627" s="65" t="s">
        <v>34</v>
      </c>
      <c r="H627" s="94">
        <v>3000000</v>
      </c>
      <c r="I627" s="27">
        <v>2812500</v>
      </c>
      <c r="J627" s="27"/>
      <c r="K627" s="26">
        <v>-6.25E-2</v>
      </c>
      <c r="L627" s="11" t="s">
        <v>464</v>
      </c>
      <c r="M627" s="15">
        <v>2</v>
      </c>
      <c r="N627" s="35" t="s">
        <v>25</v>
      </c>
      <c r="O627" s="15">
        <v>4</v>
      </c>
      <c r="P627" s="35" t="s">
        <v>458</v>
      </c>
      <c r="Q627" s="15"/>
      <c r="R627" s="24"/>
      <c r="S627" s="62" t="s">
        <v>616</v>
      </c>
      <c r="T627" s="15"/>
      <c r="U627" s="15"/>
      <c r="V627" s="54">
        <v>3000000</v>
      </c>
      <c r="W627" s="54">
        <v>2812500</v>
      </c>
      <c r="X627" s="54">
        <v>187500</v>
      </c>
    </row>
    <row r="628" spans="3:32" x14ac:dyDescent="0.25">
      <c r="C628" s="39">
        <v>2017</v>
      </c>
      <c r="D628" s="62" t="s">
        <v>1093</v>
      </c>
      <c r="E628" s="63" t="s">
        <v>1094</v>
      </c>
      <c r="F628" s="64">
        <v>43013</v>
      </c>
      <c r="G628" s="65" t="s">
        <v>34</v>
      </c>
      <c r="H628" s="94">
        <v>970000</v>
      </c>
      <c r="I628" s="27">
        <v>1285000</v>
      </c>
      <c r="J628" s="27"/>
      <c r="K628" s="26">
        <v>0.32474226804123713</v>
      </c>
      <c r="L628" s="11" t="s">
        <v>465</v>
      </c>
      <c r="M628" s="15">
        <v>6</v>
      </c>
      <c r="N628" s="35" t="s">
        <v>25</v>
      </c>
      <c r="O628" s="15">
        <v>4</v>
      </c>
      <c r="P628" s="35" t="s">
        <v>458</v>
      </c>
      <c r="Q628" s="15"/>
      <c r="R628" s="24"/>
      <c r="S628" s="62" t="s">
        <v>616</v>
      </c>
      <c r="T628" s="15"/>
      <c r="U628" s="15"/>
      <c r="V628" s="54">
        <v>970000</v>
      </c>
      <c r="W628" s="54">
        <v>1285000</v>
      </c>
      <c r="X628" s="54">
        <v>-315000</v>
      </c>
    </row>
    <row r="629" spans="3:32" x14ac:dyDescent="0.25">
      <c r="C629" s="39">
        <v>2017</v>
      </c>
      <c r="D629" s="62" t="s">
        <v>1068</v>
      </c>
      <c r="E629" s="63" t="s">
        <v>1069</v>
      </c>
      <c r="F629" s="64">
        <v>42964</v>
      </c>
      <c r="G629" s="65" t="s">
        <v>190</v>
      </c>
      <c r="H629" s="94">
        <v>8500000</v>
      </c>
      <c r="I629" s="27">
        <v>5682000</v>
      </c>
      <c r="J629" s="105" t="s">
        <v>519</v>
      </c>
      <c r="K629" s="26">
        <v>-0.33152941176470591</v>
      </c>
      <c r="L629" s="11" t="s">
        <v>465</v>
      </c>
      <c r="M629" s="15">
        <v>3</v>
      </c>
      <c r="N629" s="35" t="s">
        <v>25</v>
      </c>
      <c r="O629" s="15">
        <v>3</v>
      </c>
      <c r="P629" s="35" t="s">
        <v>458</v>
      </c>
      <c r="Q629" s="15"/>
      <c r="R629" s="24"/>
      <c r="S629" s="62" t="s">
        <v>616</v>
      </c>
      <c r="T629" s="15"/>
      <c r="U629" s="15"/>
      <c r="V629" s="54">
        <v>8500000</v>
      </c>
      <c r="W629" s="54">
        <v>5682000</v>
      </c>
      <c r="X629" s="54">
        <v>2818000</v>
      </c>
    </row>
    <row r="630" spans="3:32" x14ac:dyDescent="0.25">
      <c r="C630" s="101">
        <v>2017</v>
      </c>
      <c r="D630" s="62" t="s">
        <v>1038</v>
      </c>
      <c r="E630" s="63" t="s">
        <v>1039</v>
      </c>
      <c r="F630" s="64">
        <v>42901</v>
      </c>
      <c r="G630" s="65" t="s">
        <v>693</v>
      </c>
      <c r="H630" s="94">
        <v>850000</v>
      </c>
      <c r="I630" s="27">
        <v>887000</v>
      </c>
      <c r="J630" s="27"/>
      <c r="K630" s="26">
        <v>4.3529411764705879E-2</v>
      </c>
      <c r="L630" s="11" t="s">
        <v>464</v>
      </c>
      <c r="M630" s="15">
        <v>3</v>
      </c>
      <c r="N630" s="35" t="s">
        <v>25</v>
      </c>
      <c r="O630" s="15">
        <v>2</v>
      </c>
      <c r="P630" s="35" t="s">
        <v>458</v>
      </c>
      <c r="Q630" s="15"/>
      <c r="R630" s="24"/>
      <c r="S630" s="62" t="s">
        <v>616</v>
      </c>
      <c r="T630" s="15"/>
      <c r="U630" s="15"/>
      <c r="V630" s="54">
        <v>850000</v>
      </c>
      <c r="W630" s="54">
        <v>887000</v>
      </c>
      <c r="X630" s="54">
        <v>-37000</v>
      </c>
    </row>
    <row r="631" spans="3:32" x14ac:dyDescent="0.25">
      <c r="C631" s="39">
        <v>2017</v>
      </c>
      <c r="D631" s="62" t="s">
        <v>1035</v>
      </c>
      <c r="E631" s="63" t="s">
        <v>1036</v>
      </c>
      <c r="F631" s="64">
        <v>42900</v>
      </c>
      <c r="G631" s="65" t="s">
        <v>756</v>
      </c>
      <c r="H631" s="94">
        <v>2900000</v>
      </c>
      <c r="I631" s="27">
        <v>1157000</v>
      </c>
      <c r="J631" s="27"/>
      <c r="K631" s="26">
        <v>-0.6010344827586207</v>
      </c>
      <c r="L631" s="11" t="s">
        <v>465</v>
      </c>
      <c r="M631" s="15">
        <v>5</v>
      </c>
      <c r="N631" s="35" t="s">
        <v>25</v>
      </c>
      <c r="O631" s="15">
        <v>2</v>
      </c>
      <c r="P631" s="35" t="s">
        <v>458</v>
      </c>
      <c r="Q631" s="15"/>
      <c r="R631" s="24"/>
      <c r="S631" s="62" t="s">
        <v>447</v>
      </c>
      <c r="T631" s="15"/>
      <c r="U631" s="15"/>
      <c r="V631" s="54">
        <v>2900000</v>
      </c>
      <c r="W631" s="54">
        <v>1157000</v>
      </c>
      <c r="X631" s="54">
        <v>1743000</v>
      </c>
    </row>
    <row r="632" spans="3:32" x14ac:dyDescent="0.25">
      <c r="C632" s="39">
        <v>2017</v>
      </c>
      <c r="D632" s="62" t="s">
        <v>1025</v>
      </c>
      <c r="E632" s="63" t="s">
        <v>1026</v>
      </c>
      <c r="F632" s="64">
        <v>42893</v>
      </c>
      <c r="G632" s="65" t="s">
        <v>693</v>
      </c>
      <c r="H632" s="94">
        <v>650000</v>
      </c>
      <c r="I632" s="27">
        <v>865508</v>
      </c>
      <c r="J632" s="27"/>
      <c r="K632" s="26">
        <v>0.3315507692307692</v>
      </c>
      <c r="L632" s="11" t="s">
        <v>465</v>
      </c>
      <c r="M632" s="15">
        <v>3</v>
      </c>
      <c r="N632" s="35" t="s">
        <v>25</v>
      </c>
      <c r="O632" s="15">
        <v>2</v>
      </c>
      <c r="P632" s="35" t="s">
        <v>458</v>
      </c>
      <c r="Q632" s="15"/>
      <c r="R632" s="24"/>
      <c r="S632" s="62" t="s">
        <v>616</v>
      </c>
      <c r="T632" s="15"/>
      <c r="U632" s="15"/>
      <c r="V632" s="54">
        <v>650000</v>
      </c>
      <c r="W632" s="54">
        <v>865508</v>
      </c>
      <c r="X632" s="54">
        <v>-215508</v>
      </c>
    </row>
    <row r="633" spans="3:32" x14ac:dyDescent="0.25">
      <c r="C633" s="39">
        <v>2017</v>
      </c>
      <c r="D633" s="62" t="s">
        <v>1023</v>
      </c>
      <c r="E633" s="63" t="s">
        <v>1024</v>
      </c>
      <c r="F633" s="64">
        <v>42893</v>
      </c>
      <c r="G633" s="65" t="s">
        <v>693</v>
      </c>
      <c r="H633" s="94">
        <v>1070000</v>
      </c>
      <c r="I633" s="27">
        <v>758000</v>
      </c>
      <c r="J633" s="27"/>
      <c r="K633" s="26">
        <v>-0.29158878504672897</v>
      </c>
      <c r="L633" s="11" t="s">
        <v>465</v>
      </c>
      <c r="M633" s="15">
        <v>5</v>
      </c>
      <c r="N633" s="35" t="s">
        <v>25</v>
      </c>
      <c r="O633" s="15">
        <v>2</v>
      </c>
      <c r="P633" s="35" t="s">
        <v>458</v>
      </c>
      <c r="Q633" s="15"/>
      <c r="R633" s="24"/>
      <c r="S633" s="62" t="s">
        <v>616</v>
      </c>
      <c r="T633" s="15"/>
      <c r="U633" s="15"/>
      <c r="V633" s="54">
        <v>1070000</v>
      </c>
      <c r="W633" s="54">
        <v>758000</v>
      </c>
      <c r="X633" s="54">
        <v>312000</v>
      </c>
    </row>
    <row r="634" spans="3:32" x14ac:dyDescent="0.25">
      <c r="C634" s="39">
        <v>2017</v>
      </c>
      <c r="D634" s="62" t="s">
        <v>1014</v>
      </c>
      <c r="E634" s="63" t="s">
        <v>1015</v>
      </c>
      <c r="F634" s="64">
        <v>42886</v>
      </c>
      <c r="G634" s="65" t="s">
        <v>34</v>
      </c>
      <c r="H634" s="94">
        <v>1140000</v>
      </c>
      <c r="I634" s="27">
        <v>904780</v>
      </c>
      <c r="J634" s="27"/>
      <c r="K634" s="26">
        <v>-0.20633333333333334</v>
      </c>
      <c r="L634" s="11" t="s">
        <v>464</v>
      </c>
      <c r="M634" s="15">
        <v>9</v>
      </c>
      <c r="N634" s="35" t="s">
        <v>25</v>
      </c>
      <c r="O634" s="15">
        <v>2</v>
      </c>
      <c r="P634" s="35" t="s">
        <v>458</v>
      </c>
      <c r="Q634" s="15"/>
      <c r="R634" s="24"/>
      <c r="S634" s="62" t="s">
        <v>616</v>
      </c>
      <c r="T634" s="15"/>
      <c r="U634" s="15"/>
      <c r="V634" s="54">
        <v>1140000</v>
      </c>
      <c r="W634" s="54">
        <v>904780</v>
      </c>
      <c r="X634" s="54">
        <v>235220</v>
      </c>
    </row>
    <row r="635" spans="3:32" x14ac:dyDescent="0.25">
      <c r="C635" s="39">
        <v>2017</v>
      </c>
      <c r="D635" s="62" t="s">
        <v>981</v>
      </c>
      <c r="E635" s="63" t="s">
        <v>982</v>
      </c>
      <c r="F635" s="64">
        <v>42844</v>
      </c>
      <c r="G635" s="65" t="s">
        <v>190</v>
      </c>
      <c r="H635" s="94">
        <v>18870000</v>
      </c>
      <c r="I635" s="27">
        <v>19910000</v>
      </c>
      <c r="J635" s="27" t="s">
        <v>519</v>
      </c>
      <c r="K635" s="26">
        <v>5.5113937466878642E-2</v>
      </c>
      <c r="L635" s="11" t="s">
        <v>464</v>
      </c>
      <c r="M635" s="15">
        <v>3</v>
      </c>
      <c r="N635" s="35" t="s">
        <v>25</v>
      </c>
      <c r="O635" s="15">
        <v>2</v>
      </c>
      <c r="P635" s="35" t="s">
        <v>458</v>
      </c>
      <c r="Q635" s="15"/>
      <c r="R635" s="24"/>
      <c r="S635" s="62" t="s">
        <v>616</v>
      </c>
      <c r="T635" s="15"/>
      <c r="U635" s="15"/>
      <c r="V635" s="54">
        <v>18870000</v>
      </c>
      <c r="W635" s="54">
        <v>19910000</v>
      </c>
      <c r="X635" s="54">
        <v>-1040000</v>
      </c>
    </row>
    <row r="636" spans="3:32" x14ac:dyDescent="0.25">
      <c r="C636" s="39">
        <v>2017</v>
      </c>
      <c r="D636" s="62" t="s">
        <v>901</v>
      </c>
      <c r="E636" s="63" t="s">
        <v>902</v>
      </c>
      <c r="F636" s="64">
        <v>42774</v>
      </c>
      <c r="G636" s="65" t="s">
        <v>34</v>
      </c>
      <c r="H636" s="94">
        <v>970000</v>
      </c>
      <c r="I636" s="27">
        <v>756482</v>
      </c>
      <c r="J636" s="27"/>
      <c r="K636" s="26">
        <v>-0.22012164948453608</v>
      </c>
      <c r="L636" s="11" t="s">
        <v>464</v>
      </c>
      <c r="M636" s="15">
        <v>9</v>
      </c>
      <c r="N636" s="35" t="s">
        <v>25</v>
      </c>
      <c r="O636" s="15">
        <v>1</v>
      </c>
      <c r="P636" s="35" t="s">
        <v>458</v>
      </c>
      <c r="Q636" s="15"/>
      <c r="R636" s="24"/>
      <c r="S636" s="62" t="s">
        <v>616</v>
      </c>
      <c r="T636" s="15"/>
      <c r="U636" s="15"/>
      <c r="V636" s="54">
        <v>970000</v>
      </c>
      <c r="W636" s="54">
        <v>756482</v>
      </c>
      <c r="X636" s="54">
        <v>213518</v>
      </c>
    </row>
    <row r="637" spans="3:32" x14ac:dyDescent="0.25">
      <c r="C637" s="39">
        <v>2017</v>
      </c>
      <c r="D637" s="62" t="s">
        <v>862</v>
      </c>
      <c r="E637" s="63" t="s">
        <v>863</v>
      </c>
      <c r="F637" s="64">
        <v>42759</v>
      </c>
      <c r="G637" s="65" t="s">
        <v>190</v>
      </c>
      <c r="H637" s="94">
        <v>69800000</v>
      </c>
      <c r="I637" s="27">
        <v>67107000</v>
      </c>
      <c r="J637" s="27" t="s">
        <v>519</v>
      </c>
      <c r="K637" s="26">
        <v>-3.8581661891117482E-2</v>
      </c>
      <c r="L637" s="11" t="s">
        <v>464</v>
      </c>
      <c r="M637" s="15">
        <v>9</v>
      </c>
      <c r="N637" s="35" t="s">
        <v>25</v>
      </c>
      <c r="O637" s="15">
        <v>1</v>
      </c>
      <c r="P637" s="35" t="s">
        <v>458</v>
      </c>
      <c r="Q637" s="15"/>
      <c r="R637" s="24"/>
      <c r="S637" s="62" t="s">
        <v>616</v>
      </c>
      <c r="T637" s="15"/>
      <c r="U637" s="15"/>
      <c r="V637" s="54">
        <v>69800000</v>
      </c>
      <c r="W637" s="54">
        <v>67107000</v>
      </c>
      <c r="X637" s="54">
        <v>2693000</v>
      </c>
    </row>
    <row r="638" spans="3:32" x14ac:dyDescent="0.25">
      <c r="C638" s="39"/>
      <c r="E638" s="85"/>
      <c r="F638" s="85"/>
      <c r="G638" s="85"/>
      <c r="H638" s="86">
        <f>SUM(H623:H637)</f>
        <v>144570000</v>
      </c>
      <c r="I638" s="86">
        <f>SUM(I623:I637)</f>
        <v>135965103</v>
      </c>
      <c r="J638" s="85"/>
      <c r="K638" s="87">
        <f>+I638/H638</f>
        <v>0.94047937331396558</v>
      </c>
      <c r="L638" s="85">
        <f>COUNTA(L623:L637)</f>
        <v>15</v>
      </c>
      <c r="M638" s="88">
        <f>SUM(M623:M637)/L638</f>
        <v>4.9333333333333336</v>
      </c>
      <c r="N638" s="89"/>
      <c r="O638" s="85"/>
      <c r="P638" s="119"/>
      <c r="Q638" s="85"/>
    </row>
    <row r="639" spans="3:32" x14ac:dyDescent="0.25">
      <c r="C639" s="39"/>
    </row>
    <row r="640" spans="3:32" x14ac:dyDescent="0.25">
      <c r="C640" s="39"/>
      <c r="E640" s="150" t="s">
        <v>1179</v>
      </c>
      <c r="F640" s="70"/>
      <c r="G640" s="70"/>
      <c r="H640" s="121" t="str">
        <f>"'17 final"</f>
        <v>'17 final</v>
      </c>
      <c r="P640" s="11"/>
      <c r="W640" s="168"/>
      <c r="X640" s="168"/>
      <c r="Y640" s="168"/>
      <c r="Z640" s="168"/>
      <c r="AA640" s="169" t="s">
        <v>1200</v>
      </c>
      <c r="AB640" s="170" t="str">
        <f>"'17 all"</f>
        <v>'17 all</v>
      </c>
      <c r="AC640" s="70" t="s">
        <v>1201</v>
      </c>
      <c r="AD640" s="70" t="s">
        <v>1202</v>
      </c>
      <c r="AE640" s="70" t="s">
        <v>1203</v>
      </c>
      <c r="AF640" s="70" t="s">
        <v>1204</v>
      </c>
    </row>
    <row r="641" spans="3:32" x14ac:dyDescent="0.25">
      <c r="C641" s="39"/>
      <c r="E641" s="71" t="s">
        <v>800</v>
      </c>
      <c r="F641" s="11"/>
      <c r="G641" s="11"/>
      <c r="H641" s="104">
        <f>+L638</f>
        <v>15</v>
      </c>
      <c r="P641" s="11"/>
      <c r="AA641" s="71" t="s">
        <v>800</v>
      </c>
      <c r="AB641" s="171">
        <v>34</v>
      </c>
      <c r="AC641" s="104">
        <v>15</v>
      </c>
      <c r="AD641" s="104">
        <v>9</v>
      </c>
      <c r="AE641" s="104">
        <v>7</v>
      </c>
      <c r="AF641" s="104">
        <v>3</v>
      </c>
    </row>
    <row r="642" spans="3:32" x14ac:dyDescent="0.25">
      <c r="C642" s="39"/>
      <c r="E642" s="72" t="s">
        <v>801</v>
      </c>
      <c r="F642" s="11"/>
      <c r="G642" s="11"/>
      <c r="H642" s="104">
        <f>+H641-H643</f>
        <v>10</v>
      </c>
      <c r="P642" s="11"/>
      <c r="AA642" s="72" t="s">
        <v>801</v>
      </c>
      <c r="AB642" s="171">
        <v>19</v>
      </c>
      <c r="AC642" s="104">
        <v>10</v>
      </c>
      <c r="AD642" s="104">
        <v>5</v>
      </c>
      <c r="AE642" s="104">
        <v>2</v>
      </c>
      <c r="AF642" s="104">
        <v>2</v>
      </c>
    </row>
    <row r="643" spans="3:32" x14ac:dyDescent="0.25">
      <c r="C643" s="39"/>
      <c r="E643" s="72" t="s">
        <v>802</v>
      </c>
      <c r="F643" s="11"/>
      <c r="G643" s="11"/>
      <c r="H643" s="104">
        <v>5</v>
      </c>
      <c r="P643" s="11"/>
      <c r="AA643" s="72" t="s">
        <v>802</v>
      </c>
      <c r="AB643" s="171">
        <v>15</v>
      </c>
      <c r="AC643" s="104">
        <v>5</v>
      </c>
      <c r="AD643" s="104">
        <v>4</v>
      </c>
      <c r="AE643" s="104">
        <v>5</v>
      </c>
      <c r="AF643" s="104">
        <v>1</v>
      </c>
    </row>
    <row r="644" spans="3:32" x14ac:dyDescent="0.25">
      <c r="C644" s="39"/>
      <c r="E644" s="72"/>
      <c r="F644" s="11"/>
      <c r="G644" s="11"/>
      <c r="H644" s="104"/>
      <c r="P644" s="11"/>
      <c r="AA644" s="72"/>
      <c r="AB644" s="171"/>
      <c r="AC644" s="104"/>
      <c r="AD644" s="104"/>
      <c r="AE644" s="104"/>
      <c r="AF644" s="104"/>
    </row>
    <row r="645" spans="3:32" x14ac:dyDescent="0.25">
      <c r="C645" s="39"/>
      <c r="E645" s="72" t="s">
        <v>1144</v>
      </c>
      <c r="F645" s="78"/>
      <c r="G645" s="78"/>
      <c r="H645" s="122">
        <f>+I638/1000000</f>
        <v>135.965103</v>
      </c>
      <c r="I645" s="52"/>
      <c r="P645" s="11"/>
      <c r="AA645" s="72" t="s">
        <v>1144</v>
      </c>
      <c r="AB645" s="172">
        <v>260.86096099999997</v>
      </c>
      <c r="AC645" s="122">
        <v>135.965103</v>
      </c>
      <c r="AD645" s="122">
        <v>78.535071000000002</v>
      </c>
      <c r="AE645" s="122">
        <v>32.957763999999997</v>
      </c>
      <c r="AF645" s="122">
        <v>13.403022999999999</v>
      </c>
    </row>
    <row r="646" spans="3:32" x14ac:dyDescent="0.25">
      <c r="C646" s="39"/>
      <c r="E646" s="72" t="s">
        <v>806</v>
      </c>
      <c r="F646" s="75"/>
      <c r="G646" s="75"/>
      <c r="H646" s="123">
        <f>+M638</f>
        <v>4.9333333333333336</v>
      </c>
      <c r="K646" s="166" t="s">
        <v>1199</v>
      </c>
      <c r="L646" s="166"/>
      <c r="M646" s="166"/>
      <c r="N646" s="167"/>
      <c r="O646" s="166"/>
      <c r="P646" s="167"/>
      <c r="Q646" s="166"/>
      <c r="R646" s="166"/>
      <c r="AA646" s="72" t="s">
        <v>806</v>
      </c>
      <c r="AB646" s="173">
        <v>5.7058823529411766</v>
      </c>
      <c r="AC646" s="123">
        <v>4.9333333333333336</v>
      </c>
      <c r="AD646" s="123">
        <v>6.5555555555555554</v>
      </c>
      <c r="AE646" s="123">
        <v>5.8571428571428568</v>
      </c>
      <c r="AF646" s="123">
        <v>6.666666666666667</v>
      </c>
    </row>
    <row r="647" spans="3:32" x14ac:dyDescent="0.25">
      <c r="C647" s="39"/>
      <c r="E647" s="72" t="s">
        <v>807</v>
      </c>
      <c r="F647" s="74"/>
      <c r="G647" s="74"/>
      <c r="H647" s="124">
        <f>+I638/H638</f>
        <v>0.94047937331396558</v>
      </c>
      <c r="P647" s="11"/>
      <c r="AA647" s="72" t="s">
        <v>807</v>
      </c>
      <c r="AB647" s="174">
        <v>0.86020325961622568</v>
      </c>
      <c r="AC647" s="124">
        <v>0.94047937331396558</v>
      </c>
      <c r="AD647" s="124">
        <v>0.7957267883888941</v>
      </c>
      <c r="AE647" s="124">
        <v>0.7524603652968036</v>
      </c>
      <c r="AF647" s="124">
        <v>0.82790925937364879</v>
      </c>
    </row>
    <row r="648" spans="3:32" x14ac:dyDescent="0.25">
      <c r="C648" s="39"/>
      <c r="E648" s="72"/>
      <c r="F648" s="11"/>
      <c r="G648" s="11"/>
      <c r="H648" s="104"/>
      <c r="P648" s="11"/>
      <c r="AA648" s="72"/>
      <c r="AB648" s="171"/>
      <c r="AC648" s="104"/>
      <c r="AD648" s="104"/>
      <c r="AE648" s="104"/>
      <c r="AF648" s="104"/>
    </row>
    <row r="649" spans="3:32" x14ac:dyDescent="0.25">
      <c r="C649" s="39"/>
      <c r="E649" s="72" t="s">
        <v>803</v>
      </c>
      <c r="F649" s="74"/>
      <c r="G649" s="74"/>
      <c r="H649" s="108">
        <f>10/15</f>
        <v>0.66666666666666663</v>
      </c>
      <c r="P649" s="11"/>
      <c r="AA649" s="72" t="s">
        <v>803</v>
      </c>
      <c r="AB649" s="152">
        <v>0.61764705882352944</v>
      </c>
      <c r="AC649" s="108">
        <v>0.66666666666666663</v>
      </c>
      <c r="AD649" s="108">
        <v>0.66666666666666663</v>
      </c>
      <c r="AE649" s="108">
        <v>0.42857142857142855</v>
      </c>
      <c r="AF649" s="108">
        <v>0.66666666666666663</v>
      </c>
    </row>
    <row r="650" spans="3:32" x14ac:dyDescent="0.25">
      <c r="C650" s="107"/>
      <c r="D650" s="52"/>
      <c r="E650" s="72" t="s">
        <v>804</v>
      </c>
      <c r="F650" s="74"/>
      <c r="G650" s="74"/>
      <c r="H650" s="108">
        <f>6/H642</f>
        <v>0.6</v>
      </c>
      <c r="P650" s="11"/>
      <c r="AA650" s="72" t="s">
        <v>804</v>
      </c>
      <c r="AB650" s="152">
        <v>0.63157894736842102</v>
      </c>
      <c r="AC650" s="108">
        <v>0.6</v>
      </c>
      <c r="AD650" s="108">
        <v>0.8</v>
      </c>
      <c r="AE650" s="108">
        <v>0.5</v>
      </c>
      <c r="AF650" s="108">
        <v>0.5</v>
      </c>
    </row>
    <row r="651" spans="3:32" x14ac:dyDescent="0.25">
      <c r="C651" s="107"/>
      <c r="D651" s="52"/>
      <c r="E651" s="72" t="s">
        <v>805</v>
      </c>
      <c r="F651" s="74"/>
      <c r="G651" s="74"/>
      <c r="H651" s="108">
        <f>4/H643</f>
        <v>0.8</v>
      </c>
      <c r="P651" s="11"/>
      <c r="AA651" s="72" t="s">
        <v>805</v>
      </c>
      <c r="AB651" s="152">
        <v>0.6</v>
      </c>
      <c r="AC651" s="108">
        <v>0.8</v>
      </c>
      <c r="AD651" s="108">
        <v>0.5</v>
      </c>
      <c r="AE651" s="108">
        <v>0.4</v>
      </c>
      <c r="AF651" s="108">
        <v>1</v>
      </c>
    </row>
    <row r="652" spans="3:32" x14ac:dyDescent="0.25">
      <c r="C652" s="39"/>
      <c r="E652" s="72"/>
      <c r="F652" s="11"/>
      <c r="G652" s="11"/>
      <c r="H652" s="104"/>
      <c r="P652" s="11"/>
      <c r="AA652" s="72"/>
      <c r="AB652" s="171"/>
      <c r="AC652" s="104"/>
      <c r="AD652" s="104"/>
      <c r="AE652" s="104"/>
      <c r="AF652" s="104"/>
    </row>
    <row r="653" spans="3:32" x14ac:dyDescent="0.25">
      <c r="C653" s="39"/>
      <c r="E653" s="72" t="s">
        <v>1141</v>
      </c>
      <c r="F653" s="11"/>
      <c r="G653" s="11"/>
      <c r="H653" s="104">
        <v>7</v>
      </c>
      <c r="AA653" s="72" t="s">
        <v>1141</v>
      </c>
      <c r="AB653" s="171">
        <v>13</v>
      </c>
      <c r="AC653" s="104">
        <v>7</v>
      </c>
      <c r="AD653" s="104">
        <v>2</v>
      </c>
      <c r="AE653" s="104">
        <v>2</v>
      </c>
      <c r="AF653" s="104">
        <v>2</v>
      </c>
    </row>
    <row r="654" spans="3:32" x14ac:dyDescent="0.25">
      <c r="E654" s="106" t="s">
        <v>1143</v>
      </c>
      <c r="F654" s="108"/>
      <c r="G654" s="108"/>
      <c r="H654" s="108">
        <f>+H653/H641</f>
        <v>0.46666666666666667</v>
      </c>
      <c r="AA654" s="106" t="s">
        <v>1143</v>
      </c>
      <c r="AB654" s="152">
        <v>0.41176470588235292</v>
      </c>
      <c r="AC654" s="108">
        <v>0.46666666666666667</v>
      </c>
      <c r="AD654" s="108">
        <v>0.22222222222222221</v>
      </c>
      <c r="AE654" s="108">
        <v>0.2857142857142857</v>
      </c>
      <c r="AF654" s="108">
        <v>0.66666666666666663</v>
      </c>
    </row>
    <row r="655" spans="3:32" x14ac:dyDescent="0.25">
      <c r="C655" s="39"/>
      <c r="AA655" s="72"/>
      <c r="AB655" s="104"/>
    </row>
    <row r="656" spans="3:32" x14ac:dyDescent="0.25">
      <c r="C656" s="39"/>
      <c r="AA656" s="106"/>
      <c r="AB656" s="175" t="s">
        <v>1205</v>
      </c>
    </row>
    <row r="657" spans="3:24" x14ac:dyDescent="0.25">
      <c r="C657" s="39">
        <v>2017</v>
      </c>
      <c r="D657" s="102" t="s">
        <v>1135</v>
      </c>
      <c r="E657" s="63" t="s">
        <v>982</v>
      </c>
      <c r="F657" s="64">
        <v>43074</v>
      </c>
      <c r="G657" s="65" t="s">
        <v>34</v>
      </c>
      <c r="H657" s="94">
        <v>38000000</v>
      </c>
      <c r="I657" s="27">
        <f>$I$56</f>
        <v>28470000</v>
      </c>
      <c r="J657" s="27"/>
      <c r="K657" s="26">
        <f>+$K$56</f>
        <v>-0.25078947368421051</v>
      </c>
      <c r="L657" s="78" t="str">
        <f>+$L$56</f>
        <v>GOOD</v>
      </c>
      <c r="M657" s="15">
        <f>+$M$56</f>
        <v>4</v>
      </c>
      <c r="N657" s="35" t="s">
        <v>93</v>
      </c>
      <c r="O657" s="15">
        <v>4</v>
      </c>
      <c r="P657" s="35" t="s">
        <v>458</v>
      </c>
      <c r="Q657" s="15"/>
      <c r="R657" s="24" t="str">
        <f>+$R$56</f>
        <v>1st and 2nd bidders disqualified.</v>
      </c>
      <c r="S657" s="62" t="s">
        <v>616</v>
      </c>
      <c r="T657" s="15"/>
      <c r="U657" s="15"/>
      <c r="V657" s="54"/>
      <c r="W657" s="54"/>
      <c r="X657" s="54"/>
    </row>
    <row r="658" spans="3:24" x14ac:dyDescent="0.25">
      <c r="C658" s="39">
        <v>2017</v>
      </c>
      <c r="D658" s="62" t="s">
        <v>1101</v>
      </c>
      <c r="E658" s="63" t="s">
        <v>1102</v>
      </c>
      <c r="F658" s="64">
        <v>43025</v>
      </c>
      <c r="G658" s="65" t="s">
        <v>34</v>
      </c>
      <c r="H658" s="94">
        <v>2800000</v>
      </c>
      <c r="I658" s="27">
        <v>2847000</v>
      </c>
      <c r="J658" s="27"/>
      <c r="K658" s="26">
        <v>1.6785714285714286E-2</v>
      </c>
      <c r="L658" s="11" t="s">
        <v>464</v>
      </c>
      <c r="M658" s="15">
        <v>9</v>
      </c>
      <c r="N658" s="35" t="s">
        <v>93</v>
      </c>
      <c r="O658" s="15">
        <v>4</v>
      </c>
      <c r="P658" s="35" t="s">
        <v>458</v>
      </c>
      <c r="Q658" s="15"/>
      <c r="R658" s="24"/>
      <c r="S658" s="62" t="s">
        <v>616</v>
      </c>
      <c r="T658" s="15"/>
      <c r="U658" s="15"/>
      <c r="V658" s="54"/>
      <c r="W658" s="54"/>
      <c r="X658" s="54"/>
    </row>
    <row r="659" spans="3:24" x14ac:dyDescent="0.25">
      <c r="C659" s="39">
        <v>2017</v>
      </c>
      <c r="D659" s="62" t="s">
        <v>1057</v>
      </c>
      <c r="E659" s="63" t="s">
        <v>1058</v>
      </c>
      <c r="F659" s="64">
        <v>42949</v>
      </c>
      <c r="G659" s="65" t="s">
        <v>34</v>
      </c>
      <c r="H659" s="94">
        <v>1650000</v>
      </c>
      <c r="I659" s="27">
        <v>1320718</v>
      </c>
      <c r="J659" s="27"/>
      <c r="K659" s="26">
        <v>-0.19956484848484848</v>
      </c>
      <c r="L659" s="11" t="s">
        <v>464</v>
      </c>
      <c r="M659" s="15">
        <v>4</v>
      </c>
      <c r="N659" s="35" t="s">
        <v>93</v>
      </c>
      <c r="O659" s="15">
        <v>3</v>
      </c>
      <c r="P659" s="35" t="s">
        <v>458</v>
      </c>
      <c r="Q659" s="15"/>
      <c r="R659" s="24"/>
      <c r="S659" s="62" t="s">
        <v>616</v>
      </c>
      <c r="T659" s="15"/>
      <c r="U659" s="15"/>
      <c r="V659" s="54"/>
      <c r="W659" s="54"/>
      <c r="X659" s="54"/>
    </row>
    <row r="660" spans="3:24" x14ac:dyDescent="0.25">
      <c r="C660" s="39">
        <v>2017</v>
      </c>
      <c r="D660" s="62" t="s">
        <v>1052</v>
      </c>
      <c r="E660" s="63" t="s">
        <v>1053</v>
      </c>
      <c r="F660" s="64">
        <v>42948</v>
      </c>
      <c r="G660" s="65" t="s">
        <v>34</v>
      </c>
      <c r="H660" s="94">
        <v>1330000</v>
      </c>
      <c r="I660" s="27">
        <v>936000</v>
      </c>
      <c r="J660" s="27"/>
      <c r="K660" s="26">
        <v>-0.29624060150375942</v>
      </c>
      <c r="L660" s="11" t="s">
        <v>464</v>
      </c>
      <c r="M660" s="15">
        <v>6</v>
      </c>
      <c r="N660" s="35" t="s">
        <v>93</v>
      </c>
      <c r="O660" s="15">
        <v>3</v>
      </c>
      <c r="P660" s="35" t="s">
        <v>458</v>
      </c>
      <c r="Q660" s="15"/>
      <c r="R660" s="24"/>
      <c r="S660" s="62" t="s">
        <v>616</v>
      </c>
      <c r="T660" s="15"/>
      <c r="U660" s="15"/>
      <c r="V660" s="54"/>
      <c r="W660" s="54"/>
      <c r="X660" s="54"/>
    </row>
    <row r="661" spans="3:24" x14ac:dyDescent="0.25">
      <c r="C661" s="39">
        <v>2017</v>
      </c>
      <c r="D661" s="62" t="s">
        <v>1009</v>
      </c>
      <c r="E661" s="63" t="s">
        <v>1010</v>
      </c>
      <c r="F661" s="64">
        <v>42880</v>
      </c>
      <c r="G661" s="65" t="s">
        <v>34</v>
      </c>
      <c r="H661" s="94">
        <v>2850000</v>
      </c>
      <c r="I661" s="27">
        <v>1808548</v>
      </c>
      <c r="J661" s="27"/>
      <c r="K661" s="26">
        <v>-0.36542175438596491</v>
      </c>
      <c r="L661" s="11" t="s">
        <v>465</v>
      </c>
      <c r="M661" s="15">
        <v>11</v>
      </c>
      <c r="N661" s="35" t="s">
        <v>93</v>
      </c>
      <c r="O661" s="15">
        <v>2</v>
      </c>
      <c r="P661" s="35" t="s">
        <v>458</v>
      </c>
      <c r="Q661" s="15"/>
      <c r="R661" s="24"/>
      <c r="S661" s="62" t="s">
        <v>442</v>
      </c>
      <c r="T661" s="15"/>
      <c r="U661" s="15"/>
      <c r="V661" s="54"/>
      <c r="W661" s="54"/>
      <c r="X661" s="54"/>
    </row>
    <row r="662" spans="3:24" x14ac:dyDescent="0.25">
      <c r="C662" s="39">
        <v>2017</v>
      </c>
      <c r="D662" s="62" t="s">
        <v>880</v>
      </c>
      <c r="E662" s="63" t="s">
        <v>881</v>
      </c>
      <c r="F662" s="64">
        <v>42768</v>
      </c>
      <c r="G662" s="65" t="s">
        <v>34</v>
      </c>
      <c r="H662" s="94">
        <v>4800000</v>
      </c>
      <c r="I662" s="27">
        <v>3901193</v>
      </c>
      <c r="J662" s="27"/>
      <c r="K662" s="26">
        <v>-0.18725145833333334</v>
      </c>
      <c r="L662" s="11" t="s">
        <v>464</v>
      </c>
      <c r="M662" s="15">
        <v>14</v>
      </c>
      <c r="N662" s="35" t="s">
        <v>93</v>
      </c>
      <c r="O662" s="15">
        <v>1</v>
      </c>
      <c r="P662" s="35" t="s">
        <v>458</v>
      </c>
      <c r="Q662" s="15"/>
      <c r="R662" s="24"/>
      <c r="S662" s="62" t="s">
        <v>616</v>
      </c>
      <c r="T662" s="15"/>
      <c r="U662" s="15"/>
      <c r="V662" s="54"/>
      <c r="W662" s="54"/>
      <c r="X662" s="54"/>
    </row>
    <row r="663" spans="3:24" x14ac:dyDescent="0.25">
      <c r="C663" s="39">
        <v>2017</v>
      </c>
      <c r="D663" s="62" t="s">
        <v>876</v>
      </c>
      <c r="E663" s="63" t="s">
        <v>877</v>
      </c>
      <c r="F663" s="64">
        <v>42765</v>
      </c>
      <c r="G663" s="65" t="s">
        <v>756</v>
      </c>
      <c r="H663" s="94">
        <v>6500000</v>
      </c>
      <c r="I663" s="27">
        <v>5987000</v>
      </c>
      <c r="J663" s="27" t="s">
        <v>519</v>
      </c>
      <c r="K663" s="26">
        <v>-7.8923076923076929E-2</v>
      </c>
      <c r="L663" s="11" t="s">
        <v>464</v>
      </c>
      <c r="M663" s="15">
        <v>5</v>
      </c>
      <c r="N663" s="35" t="s">
        <v>93</v>
      </c>
      <c r="O663" s="15">
        <v>1</v>
      </c>
      <c r="P663" s="35" t="s">
        <v>458</v>
      </c>
      <c r="Q663" s="15"/>
      <c r="R663" s="24"/>
      <c r="S663" s="62" t="s">
        <v>447</v>
      </c>
      <c r="T663" s="15"/>
      <c r="U663" s="15"/>
      <c r="V663" s="54"/>
      <c r="W663" s="54"/>
      <c r="X663" s="54"/>
    </row>
    <row r="664" spans="3:24" x14ac:dyDescent="0.25">
      <c r="C664" s="39">
        <v>2017</v>
      </c>
      <c r="D664" s="62" t="s">
        <v>830</v>
      </c>
      <c r="E664" s="63" t="s">
        <v>831</v>
      </c>
      <c r="F664" s="64">
        <v>42746</v>
      </c>
      <c r="G664" s="65" t="s">
        <v>190</v>
      </c>
      <c r="H664" s="94">
        <v>12071025</v>
      </c>
      <c r="I664" s="27">
        <v>9977777</v>
      </c>
      <c r="J664" s="105" t="s">
        <v>519</v>
      </c>
      <c r="K664" s="26">
        <v>-0.17341095723022693</v>
      </c>
      <c r="L664" s="11" t="s">
        <v>465</v>
      </c>
      <c r="M664" s="15">
        <v>3</v>
      </c>
      <c r="N664" s="35" t="s">
        <v>93</v>
      </c>
      <c r="O664" s="15">
        <v>1</v>
      </c>
      <c r="P664" s="35" t="s">
        <v>458</v>
      </c>
      <c r="Q664" s="15"/>
      <c r="R664" s="24"/>
      <c r="S664" s="62" t="s">
        <v>616</v>
      </c>
      <c r="T664" s="15"/>
      <c r="U664" s="15"/>
      <c r="V664" s="54"/>
      <c r="W664" s="54"/>
      <c r="X664" s="54"/>
    </row>
    <row r="665" spans="3:24" x14ac:dyDescent="0.25">
      <c r="C665" s="39">
        <v>2017</v>
      </c>
      <c r="D665" s="62" t="s">
        <v>828</v>
      </c>
      <c r="E665" s="63" t="s">
        <v>829</v>
      </c>
      <c r="F665" s="64">
        <v>42739</v>
      </c>
      <c r="G665" s="65" t="s">
        <v>190</v>
      </c>
      <c r="H665" s="94">
        <v>28695000</v>
      </c>
      <c r="I665" s="27">
        <v>31768035</v>
      </c>
      <c r="J665" s="27" t="s">
        <v>519</v>
      </c>
      <c r="K665" s="26">
        <v>0.10709304756926294</v>
      </c>
      <c r="L665" s="11" t="s">
        <v>464</v>
      </c>
      <c r="M665" s="15">
        <v>2</v>
      </c>
      <c r="N665" s="35" t="s">
        <v>93</v>
      </c>
      <c r="O665" s="15">
        <v>1</v>
      </c>
      <c r="P665" s="35" t="s">
        <v>458</v>
      </c>
      <c r="Q665" s="15"/>
      <c r="R665" s="24"/>
      <c r="S665" s="62" t="s">
        <v>616</v>
      </c>
      <c r="T665" s="15"/>
      <c r="U665" s="15"/>
      <c r="V665" s="54"/>
      <c r="W665" s="54"/>
      <c r="X665" s="54"/>
    </row>
    <row r="666" spans="3:24" x14ac:dyDescent="0.25">
      <c r="C666" s="39"/>
      <c r="E666" s="85"/>
      <c r="F666" s="85"/>
      <c r="G666" s="85"/>
      <c r="H666" s="86">
        <f>SUM(H657:H665)</f>
        <v>98696025</v>
      </c>
      <c r="I666" s="86">
        <f>SUM(I657:I665)</f>
        <v>87016271</v>
      </c>
      <c r="J666" s="85"/>
      <c r="K666" s="87">
        <f>+I666/H666</f>
        <v>0.8816593272120129</v>
      </c>
      <c r="L666" s="85">
        <f>COUNTA(L657:L665)</f>
        <v>9</v>
      </c>
      <c r="M666" s="88">
        <f>SUM(M657:M665)/L666</f>
        <v>6.4444444444444446</v>
      </c>
      <c r="N666" s="89"/>
      <c r="O666" s="85"/>
      <c r="P666" s="119">
        <f>22/L666</f>
        <v>2.4444444444444446</v>
      </c>
      <c r="Q666" s="85"/>
    </row>
    <row r="667" spans="3:24" x14ac:dyDescent="0.25">
      <c r="C667" s="39"/>
    </row>
    <row r="668" spans="3:24" x14ac:dyDescent="0.25">
      <c r="C668" s="39"/>
      <c r="E668" s="150" t="s">
        <v>1180</v>
      </c>
      <c r="F668" s="70"/>
      <c r="G668" s="70"/>
      <c r="H668" s="121" t="str">
        <f>"'17 final"</f>
        <v>'17 final</v>
      </c>
      <c r="P668" s="11"/>
    </row>
    <row r="669" spans="3:24" x14ac:dyDescent="0.25">
      <c r="C669" s="39"/>
      <c r="E669" s="71" t="s">
        <v>800</v>
      </c>
      <c r="F669" s="11"/>
      <c r="G669" s="11"/>
      <c r="H669" s="104">
        <f>+L666</f>
        <v>9</v>
      </c>
      <c r="P669" s="11"/>
    </row>
    <row r="670" spans="3:24" x14ac:dyDescent="0.25">
      <c r="C670" s="39"/>
      <c r="E670" s="72" t="s">
        <v>801</v>
      </c>
      <c r="F670" s="11"/>
      <c r="G670" s="11"/>
      <c r="H670" s="104">
        <f>+H669-H671</f>
        <v>5</v>
      </c>
      <c r="P670" s="11"/>
    </row>
    <row r="671" spans="3:24" x14ac:dyDescent="0.25">
      <c r="C671" s="39"/>
      <c r="E671" s="72" t="s">
        <v>802</v>
      </c>
      <c r="F671" s="11"/>
      <c r="G671" s="11"/>
      <c r="H671" s="104">
        <v>4</v>
      </c>
      <c r="P671" s="11"/>
    </row>
    <row r="672" spans="3:24" x14ac:dyDescent="0.25">
      <c r="C672" s="39"/>
      <c r="E672" s="72"/>
      <c r="F672" s="11"/>
      <c r="G672" s="11"/>
      <c r="H672" s="104"/>
      <c r="P672" s="11"/>
    </row>
    <row r="673" spans="3:24" x14ac:dyDescent="0.25">
      <c r="C673" s="39"/>
      <c r="E673" s="72" t="s">
        <v>1144</v>
      </c>
      <c r="F673" s="78"/>
      <c r="G673" s="78"/>
      <c r="H673" s="122">
        <f>+I666/1000000</f>
        <v>87.016271000000003</v>
      </c>
      <c r="I673" s="52"/>
      <c r="P673" s="11"/>
    </row>
    <row r="674" spans="3:24" x14ac:dyDescent="0.25">
      <c r="C674" s="39"/>
      <c r="E674" s="72" t="s">
        <v>806</v>
      </c>
      <c r="F674" s="75"/>
      <c r="G674" s="75"/>
      <c r="H674" s="123">
        <f>+M666</f>
        <v>6.4444444444444446</v>
      </c>
      <c r="P674" s="11"/>
    </row>
    <row r="675" spans="3:24" x14ac:dyDescent="0.25">
      <c r="C675" s="39"/>
      <c r="E675" s="72" t="s">
        <v>807</v>
      </c>
      <c r="F675" s="74"/>
      <c r="G675" s="74"/>
      <c r="H675" s="124">
        <f>+I666/H666</f>
        <v>0.8816593272120129</v>
      </c>
      <c r="P675" s="11"/>
    </row>
    <row r="676" spans="3:24" x14ac:dyDescent="0.25">
      <c r="C676" s="39"/>
      <c r="E676" s="72"/>
      <c r="F676" s="11"/>
      <c r="G676" s="11"/>
      <c r="H676" s="104"/>
      <c r="P676" s="11"/>
    </row>
    <row r="677" spans="3:24" x14ac:dyDescent="0.25">
      <c r="C677" s="39"/>
      <c r="E677" s="72" t="s">
        <v>803</v>
      </c>
      <c r="F677" s="74"/>
      <c r="G677" s="74"/>
      <c r="H677" s="108">
        <f>6/H669</f>
        <v>0.66666666666666663</v>
      </c>
      <c r="P677" s="11"/>
    </row>
    <row r="678" spans="3:24" x14ac:dyDescent="0.25">
      <c r="C678" s="107"/>
      <c r="D678" s="52"/>
      <c r="E678" s="72" t="s">
        <v>804</v>
      </c>
      <c r="F678" s="74"/>
      <c r="G678" s="74"/>
      <c r="H678" s="108">
        <f>4/H670</f>
        <v>0.8</v>
      </c>
      <c r="P678" s="11"/>
    </row>
    <row r="679" spans="3:24" x14ac:dyDescent="0.25">
      <c r="C679" s="107"/>
      <c r="D679" s="52"/>
      <c r="E679" s="72" t="s">
        <v>805</v>
      </c>
      <c r="F679" s="74"/>
      <c r="G679" s="74"/>
      <c r="H679" s="108">
        <f>2/H671</f>
        <v>0.5</v>
      </c>
      <c r="P679" s="11"/>
    </row>
    <row r="680" spans="3:24" x14ac:dyDescent="0.25">
      <c r="C680" s="39"/>
      <c r="E680" s="72"/>
      <c r="F680" s="11"/>
      <c r="G680" s="11"/>
      <c r="H680" s="104"/>
      <c r="P680" s="11"/>
    </row>
    <row r="681" spans="3:24" x14ac:dyDescent="0.25">
      <c r="C681" s="39"/>
      <c r="E681" s="72" t="s">
        <v>1141</v>
      </c>
      <c r="F681" s="11"/>
      <c r="G681" s="11"/>
      <c r="H681" s="104">
        <v>2</v>
      </c>
    </row>
    <row r="682" spans="3:24" x14ac:dyDescent="0.25">
      <c r="E682" s="106" t="s">
        <v>1143</v>
      </c>
      <c r="F682" s="108"/>
      <c r="G682" s="108"/>
      <c r="H682" s="108">
        <f>+H681/H669</f>
        <v>0.22222222222222221</v>
      </c>
    </row>
    <row r="683" spans="3:24" x14ac:dyDescent="0.25">
      <c r="C683" s="39"/>
    </row>
    <row r="684" spans="3:24" x14ac:dyDescent="0.25">
      <c r="C684" s="38"/>
    </row>
    <row r="685" spans="3:24" x14ac:dyDescent="0.25">
      <c r="C685" s="39"/>
    </row>
    <row r="686" spans="3:24" x14ac:dyDescent="0.25">
      <c r="C686" s="39">
        <v>2017</v>
      </c>
      <c r="D686" s="102" t="s">
        <v>1145</v>
      </c>
      <c r="E686" s="63" t="s">
        <v>1146</v>
      </c>
      <c r="F686" s="64">
        <v>43083</v>
      </c>
      <c r="G686" s="65" t="s">
        <v>190</v>
      </c>
      <c r="H686" s="94">
        <v>4872000</v>
      </c>
      <c r="I686" s="27">
        <v>3997350</v>
      </c>
      <c r="J686" s="27"/>
      <c r="K686" s="26">
        <v>-0.17952586206896551</v>
      </c>
      <c r="L686" s="11" t="s">
        <v>464</v>
      </c>
      <c r="M686" s="15">
        <v>5</v>
      </c>
      <c r="N686" s="35" t="s">
        <v>93</v>
      </c>
      <c r="O686" s="15">
        <v>4</v>
      </c>
      <c r="P686" s="35" t="s">
        <v>458</v>
      </c>
      <c r="Q686" s="15"/>
      <c r="R686" s="24"/>
      <c r="S686" s="62" t="s">
        <v>784</v>
      </c>
      <c r="T686" s="15"/>
      <c r="U686" s="15"/>
      <c r="V686" s="54">
        <v>4872000</v>
      </c>
      <c r="W686" s="54">
        <v>3997350</v>
      </c>
      <c r="X686" s="54">
        <v>874650</v>
      </c>
    </row>
    <row r="687" spans="3:24" x14ac:dyDescent="0.25">
      <c r="C687" s="39">
        <v>2017</v>
      </c>
      <c r="D687" s="62" t="s">
        <v>1063</v>
      </c>
      <c r="E687" s="63" t="s">
        <v>1064</v>
      </c>
      <c r="F687" s="64">
        <v>42951</v>
      </c>
      <c r="G687" s="65" t="s">
        <v>34</v>
      </c>
      <c r="H687" s="94">
        <v>6040000</v>
      </c>
      <c r="I687" s="27">
        <v>4845475</v>
      </c>
      <c r="J687" s="27" t="s">
        <v>519</v>
      </c>
      <c r="K687" s="26">
        <v>-0.19776903973509935</v>
      </c>
      <c r="L687" s="11" t="s">
        <v>464</v>
      </c>
      <c r="M687" s="15">
        <v>8</v>
      </c>
      <c r="N687" s="35" t="s">
        <v>93</v>
      </c>
      <c r="O687" s="15">
        <v>3</v>
      </c>
      <c r="P687" s="35" t="s">
        <v>458</v>
      </c>
      <c r="Q687" s="15"/>
      <c r="R687" s="24"/>
      <c r="S687" s="62" t="s">
        <v>784</v>
      </c>
      <c r="T687" s="15"/>
      <c r="U687" s="15"/>
      <c r="V687" s="54">
        <v>6040000</v>
      </c>
      <c r="W687" s="54">
        <v>4845475</v>
      </c>
      <c r="X687" s="54">
        <v>1194525</v>
      </c>
    </row>
    <row r="688" spans="3:24" x14ac:dyDescent="0.25">
      <c r="C688" s="39">
        <v>2017</v>
      </c>
      <c r="D688" s="62" t="s">
        <v>1047</v>
      </c>
      <c r="E688" s="63" t="s">
        <v>982</v>
      </c>
      <c r="F688" s="64">
        <v>42941</v>
      </c>
      <c r="G688" s="65" t="s">
        <v>34</v>
      </c>
      <c r="H688" s="94">
        <v>7200000</v>
      </c>
      <c r="I688" s="27">
        <v>1936000</v>
      </c>
      <c r="J688" s="105" t="s">
        <v>519</v>
      </c>
      <c r="K688" s="26">
        <v>-0.73111111111111116</v>
      </c>
      <c r="L688" s="11" t="s">
        <v>465</v>
      </c>
      <c r="M688" s="15">
        <v>4</v>
      </c>
      <c r="N688" s="35" t="s">
        <v>93</v>
      </c>
      <c r="O688" s="15">
        <v>3</v>
      </c>
      <c r="P688" s="35" t="s">
        <v>458</v>
      </c>
      <c r="Q688" s="15"/>
      <c r="R688" s="24"/>
      <c r="S688" s="62" t="s">
        <v>616</v>
      </c>
      <c r="T688" s="15"/>
      <c r="U688" s="15"/>
      <c r="V688" s="54">
        <v>7200000</v>
      </c>
      <c r="W688" s="54">
        <v>1936000</v>
      </c>
      <c r="X688" s="54">
        <v>5264000</v>
      </c>
    </row>
    <row r="689" spans="3:24" x14ac:dyDescent="0.25">
      <c r="C689" s="39">
        <v>2017</v>
      </c>
      <c r="D689" s="62" t="s">
        <v>1028</v>
      </c>
      <c r="E689" s="63" t="s">
        <v>1029</v>
      </c>
      <c r="F689" s="64">
        <v>42894</v>
      </c>
      <c r="G689" s="65" t="s">
        <v>756</v>
      </c>
      <c r="H689" s="94">
        <v>6445000</v>
      </c>
      <c r="I689" s="27">
        <v>7166666</v>
      </c>
      <c r="J689" s="105" t="s">
        <v>519</v>
      </c>
      <c r="K689" s="26">
        <v>0.11197300232738557</v>
      </c>
      <c r="L689" s="11" t="s">
        <v>465</v>
      </c>
      <c r="M689" s="15">
        <v>11</v>
      </c>
      <c r="N689" s="35" t="s">
        <v>93</v>
      </c>
      <c r="O689" s="15">
        <v>2</v>
      </c>
      <c r="P689" s="35" t="s">
        <v>458</v>
      </c>
      <c r="Q689" s="15"/>
      <c r="R689" s="24"/>
      <c r="S689" s="62" t="s">
        <v>784</v>
      </c>
      <c r="T689" s="15"/>
      <c r="U689" s="15"/>
      <c r="V689" s="54">
        <v>6445000</v>
      </c>
      <c r="W689" s="54">
        <v>7166666</v>
      </c>
      <c r="X689" s="54">
        <v>-721666</v>
      </c>
    </row>
    <row r="690" spans="3:24" x14ac:dyDescent="0.25">
      <c r="C690" s="39">
        <v>2017</v>
      </c>
      <c r="D690" s="62" t="s">
        <v>964</v>
      </c>
      <c r="E690" s="63" t="s">
        <v>965</v>
      </c>
      <c r="F690" s="64">
        <v>42815</v>
      </c>
      <c r="G690" s="65" t="s">
        <v>190</v>
      </c>
      <c r="H690" s="27">
        <v>3750000</v>
      </c>
      <c r="I690" s="27">
        <v>2468147</v>
      </c>
      <c r="J690" s="27"/>
      <c r="K690" s="26">
        <v>-0.34182746666666669</v>
      </c>
      <c r="L690" s="11" t="s">
        <v>465</v>
      </c>
      <c r="M690" s="15">
        <v>3</v>
      </c>
      <c r="N690" s="35" t="s">
        <v>93</v>
      </c>
      <c r="O690" s="15">
        <v>1</v>
      </c>
      <c r="P690" s="35" t="s">
        <v>458</v>
      </c>
      <c r="Q690" s="15"/>
      <c r="R690" s="24"/>
      <c r="S690" s="62" t="s">
        <v>784</v>
      </c>
      <c r="T690" s="15"/>
      <c r="U690" s="15"/>
      <c r="V690" s="54">
        <v>3750000</v>
      </c>
      <c r="W690" s="54">
        <v>2468147</v>
      </c>
      <c r="X690" s="54">
        <v>1281853</v>
      </c>
    </row>
    <row r="691" spans="3:24" x14ac:dyDescent="0.25">
      <c r="C691" s="39">
        <v>2017</v>
      </c>
      <c r="D691" s="62" t="s">
        <v>914</v>
      </c>
      <c r="E691" s="63" t="s">
        <v>933</v>
      </c>
      <c r="F691" s="64">
        <v>42787</v>
      </c>
      <c r="G691" s="65" t="s">
        <v>190</v>
      </c>
      <c r="H691" s="94">
        <v>10393000</v>
      </c>
      <c r="I691" s="27">
        <v>7903950</v>
      </c>
      <c r="J691" s="105" t="s">
        <v>519</v>
      </c>
      <c r="K691" s="26">
        <v>-0.2394929279322621</v>
      </c>
      <c r="L691" s="11" t="s">
        <v>465</v>
      </c>
      <c r="M691" s="15">
        <v>3</v>
      </c>
      <c r="N691" s="35" t="s">
        <v>93</v>
      </c>
      <c r="O691" s="15">
        <v>1</v>
      </c>
      <c r="P691" s="35" t="s">
        <v>458</v>
      </c>
      <c r="Q691" s="15"/>
      <c r="R691" s="24" t="s">
        <v>932</v>
      </c>
      <c r="S691" s="62" t="s">
        <v>784</v>
      </c>
      <c r="T691" s="15"/>
      <c r="U691" s="15"/>
      <c r="V691" s="54">
        <v>10393000</v>
      </c>
      <c r="W691" s="54">
        <v>7903950</v>
      </c>
      <c r="X691" s="54">
        <v>2489050</v>
      </c>
    </row>
    <row r="692" spans="3:24" x14ac:dyDescent="0.25">
      <c r="C692" s="39">
        <v>2017</v>
      </c>
      <c r="D692" s="62" t="s">
        <v>868</v>
      </c>
      <c r="E692" s="63" t="s">
        <v>869</v>
      </c>
      <c r="F692" s="64">
        <v>42761</v>
      </c>
      <c r="G692" s="65" t="s">
        <v>34</v>
      </c>
      <c r="H692" s="94">
        <v>5100000</v>
      </c>
      <c r="I692" s="27">
        <v>4640176</v>
      </c>
      <c r="J692" s="27" t="s">
        <v>519</v>
      </c>
      <c r="K692" s="26">
        <v>-9.0161568627450978E-2</v>
      </c>
      <c r="L692" s="11" t="s">
        <v>464</v>
      </c>
      <c r="M692" s="15">
        <v>7</v>
      </c>
      <c r="N692" s="35" t="s">
        <v>93</v>
      </c>
      <c r="O692" s="15">
        <v>1</v>
      </c>
      <c r="P692" s="35" t="s">
        <v>458</v>
      </c>
      <c r="Q692" s="15"/>
      <c r="R692" s="24"/>
      <c r="S692" s="62" t="s">
        <v>784</v>
      </c>
      <c r="T692" s="15"/>
      <c r="U692" s="15"/>
      <c r="V692" s="54">
        <v>5100000</v>
      </c>
      <c r="W692" s="54">
        <v>4640176</v>
      </c>
      <c r="X692" s="54">
        <v>459824</v>
      </c>
    </row>
    <row r="693" spans="3:24" x14ac:dyDescent="0.25">
      <c r="C693" s="39"/>
      <c r="E693" s="85"/>
      <c r="F693" s="85"/>
      <c r="G693" s="85"/>
      <c r="H693" s="86">
        <f>SUM(H686:H692)</f>
        <v>43800000</v>
      </c>
      <c r="I693" s="86">
        <f>SUM(I686:I692)</f>
        <v>32957764</v>
      </c>
      <c r="J693" s="85"/>
      <c r="K693" s="87">
        <f>+I693/H693</f>
        <v>0.7524603652968036</v>
      </c>
      <c r="L693" s="85">
        <f>COUNTA(L686:L692)</f>
        <v>7</v>
      </c>
      <c r="M693" s="88">
        <f>SUM(M686:M692)/L693</f>
        <v>5.8571428571428568</v>
      </c>
      <c r="N693" s="89"/>
      <c r="O693" s="85"/>
      <c r="P693" s="119">
        <f>22/L693</f>
        <v>3.1428571428571428</v>
      </c>
      <c r="Q693" s="85"/>
    </row>
    <row r="694" spans="3:24" x14ac:dyDescent="0.25">
      <c r="C694" s="39"/>
    </row>
    <row r="695" spans="3:24" x14ac:dyDescent="0.25">
      <c r="C695" s="39"/>
      <c r="E695" s="150" t="s">
        <v>1181</v>
      </c>
      <c r="F695" s="70"/>
      <c r="G695" s="70"/>
      <c r="H695" s="121" t="str">
        <f>"'17 final"</f>
        <v>'17 final</v>
      </c>
      <c r="P695" s="11"/>
    </row>
    <row r="696" spans="3:24" x14ac:dyDescent="0.25">
      <c r="C696" s="39"/>
      <c r="E696" s="71" t="s">
        <v>800</v>
      </c>
      <c r="F696" s="11"/>
      <c r="G696" s="11"/>
      <c r="H696" s="104">
        <f>+L693</f>
        <v>7</v>
      </c>
      <c r="P696" s="11"/>
    </row>
    <row r="697" spans="3:24" x14ac:dyDescent="0.25">
      <c r="C697" s="39"/>
      <c r="E697" s="72" t="s">
        <v>801</v>
      </c>
      <c r="F697" s="11"/>
      <c r="G697" s="11"/>
      <c r="H697" s="104">
        <f>+H696-H698</f>
        <v>2</v>
      </c>
      <c r="P697" s="11"/>
    </row>
    <row r="698" spans="3:24" x14ac:dyDescent="0.25">
      <c r="C698" s="39"/>
      <c r="E698" s="72" t="s">
        <v>802</v>
      </c>
      <c r="F698" s="11"/>
      <c r="G698" s="11"/>
      <c r="H698" s="104">
        <v>5</v>
      </c>
      <c r="P698" s="11"/>
    </row>
    <row r="699" spans="3:24" x14ac:dyDescent="0.25">
      <c r="C699" s="39"/>
      <c r="E699" s="72"/>
      <c r="F699" s="11"/>
      <c r="G699" s="11"/>
      <c r="H699" s="104"/>
      <c r="P699" s="11"/>
    </row>
    <row r="700" spans="3:24" x14ac:dyDescent="0.25">
      <c r="C700" s="39"/>
      <c r="E700" s="72" t="s">
        <v>1144</v>
      </c>
      <c r="F700" s="78"/>
      <c r="G700" s="78"/>
      <c r="H700" s="122">
        <f>+I693/1000000</f>
        <v>32.957763999999997</v>
      </c>
      <c r="I700" s="52"/>
      <c r="P700" s="11"/>
    </row>
    <row r="701" spans="3:24" x14ac:dyDescent="0.25">
      <c r="C701" s="39"/>
      <c r="E701" s="72" t="s">
        <v>806</v>
      </c>
      <c r="F701" s="75"/>
      <c r="G701" s="75"/>
      <c r="H701" s="123">
        <f>+M693</f>
        <v>5.8571428571428568</v>
      </c>
      <c r="P701" s="11"/>
    </row>
    <row r="702" spans="3:24" x14ac:dyDescent="0.25">
      <c r="C702" s="39"/>
      <c r="E702" s="72" t="s">
        <v>807</v>
      </c>
      <c r="F702" s="74"/>
      <c r="G702" s="74"/>
      <c r="H702" s="124">
        <f>+I693/H693</f>
        <v>0.7524603652968036</v>
      </c>
      <c r="P702" s="11"/>
    </row>
    <row r="703" spans="3:24" x14ac:dyDescent="0.25">
      <c r="C703" s="39"/>
      <c r="E703" s="72"/>
      <c r="F703" s="11"/>
      <c r="G703" s="11"/>
      <c r="H703" s="104"/>
      <c r="P703" s="11"/>
    </row>
    <row r="704" spans="3:24" x14ac:dyDescent="0.25">
      <c r="C704" s="39"/>
      <c r="E704" s="72" t="s">
        <v>803</v>
      </c>
      <c r="F704" s="74"/>
      <c r="G704" s="74"/>
      <c r="H704" s="108">
        <f>3/H696</f>
        <v>0.42857142857142855</v>
      </c>
      <c r="P704" s="11"/>
    </row>
    <row r="705" spans="3:24" x14ac:dyDescent="0.25">
      <c r="C705" s="107"/>
      <c r="D705" s="52"/>
      <c r="E705" s="72" t="s">
        <v>804</v>
      </c>
      <c r="F705" s="74"/>
      <c r="G705" s="74"/>
      <c r="H705" s="108">
        <f>1/H697</f>
        <v>0.5</v>
      </c>
      <c r="P705" s="11"/>
    </row>
    <row r="706" spans="3:24" x14ac:dyDescent="0.25">
      <c r="C706" s="107"/>
      <c r="D706" s="52"/>
      <c r="E706" s="72" t="s">
        <v>805</v>
      </c>
      <c r="F706" s="74"/>
      <c r="G706" s="74"/>
      <c r="H706" s="108">
        <f>2/H698</f>
        <v>0.4</v>
      </c>
      <c r="P706" s="11"/>
    </row>
    <row r="707" spans="3:24" x14ac:dyDescent="0.25">
      <c r="C707" s="39"/>
      <c r="E707" s="72"/>
      <c r="F707" s="11"/>
      <c r="G707" s="11"/>
      <c r="H707" s="104"/>
      <c r="P707" s="11"/>
    </row>
    <row r="708" spans="3:24" x14ac:dyDescent="0.25">
      <c r="C708" s="39"/>
      <c r="E708" s="72" t="s">
        <v>1141</v>
      </c>
      <c r="F708" s="11"/>
      <c r="G708" s="11"/>
      <c r="H708" s="104">
        <v>2</v>
      </c>
    </row>
    <row r="709" spans="3:24" x14ac:dyDescent="0.25">
      <c r="E709" s="106" t="s">
        <v>1143</v>
      </c>
      <c r="F709" s="108"/>
      <c r="G709" s="108"/>
      <c r="H709" s="108">
        <f>+H708/H696</f>
        <v>0.2857142857142857</v>
      </c>
    </row>
    <row r="710" spans="3:24" x14ac:dyDescent="0.25">
      <c r="C710" s="39"/>
    </row>
    <row r="711" spans="3:24" x14ac:dyDescent="0.25">
      <c r="C711" s="38"/>
    </row>
    <row r="712" spans="3:24" x14ac:dyDescent="0.25">
      <c r="C712" s="39"/>
    </row>
    <row r="713" spans="3:24" x14ac:dyDescent="0.25">
      <c r="C713" s="39">
        <v>2017</v>
      </c>
      <c r="D713" s="102" t="s">
        <v>1150</v>
      </c>
      <c r="E713" s="63" t="s">
        <v>1151</v>
      </c>
      <c r="F713" s="64">
        <v>43083</v>
      </c>
      <c r="G713" s="65" t="s">
        <v>693</v>
      </c>
      <c r="H713" s="94">
        <v>979000</v>
      </c>
      <c r="I713" s="27">
        <v>1168000</v>
      </c>
      <c r="J713" s="27"/>
      <c r="K713" s="26">
        <v>0.1930541368743616</v>
      </c>
      <c r="L713" s="11" t="s">
        <v>465</v>
      </c>
      <c r="M713" s="15">
        <v>2</v>
      </c>
      <c r="N713" s="35" t="s">
        <v>25</v>
      </c>
      <c r="O713" s="15">
        <v>4</v>
      </c>
      <c r="P713" s="35" t="s">
        <v>458</v>
      </c>
      <c r="Q713" s="15"/>
      <c r="R713" s="24"/>
      <c r="S713" s="62" t="s">
        <v>784</v>
      </c>
      <c r="T713" s="15"/>
      <c r="U713" s="15"/>
      <c r="V713" s="54">
        <v>979000</v>
      </c>
      <c r="W713" s="54">
        <v>1168000</v>
      </c>
      <c r="X713" s="54">
        <v>-189000</v>
      </c>
    </row>
    <row r="714" spans="3:24" x14ac:dyDescent="0.25">
      <c r="C714" s="39">
        <v>2017</v>
      </c>
      <c r="D714" s="62" t="s">
        <v>986</v>
      </c>
      <c r="E714" s="63" t="s">
        <v>982</v>
      </c>
      <c r="F714" s="64">
        <v>42845</v>
      </c>
      <c r="G714" s="65" t="s">
        <v>190</v>
      </c>
      <c r="H714" s="94">
        <v>12630000</v>
      </c>
      <c r="I714" s="27">
        <v>10849023</v>
      </c>
      <c r="J714" s="27" t="s">
        <v>519</v>
      </c>
      <c r="K714" s="26">
        <v>-0.14101163895486934</v>
      </c>
      <c r="L714" s="11" t="s">
        <v>464</v>
      </c>
      <c r="M714" s="15">
        <v>2</v>
      </c>
      <c r="N714" s="35" t="s">
        <v>25</v>
      </c>
      <c r="O714" s="15">
        <v>2</v>
      </c>
      <c r="P714" s="35" t="s">
        <v>458</v>
      </c>
      <c r="Q714" s="15"/>
      <c r="R714" s="24"/>
      <c r="S714" s="62" t="s">
        <v>616</v>
      </c>
      <c r="T714" s="15"/>
      <c r="U714" s="15"/>
      <c r="V714" s="54">
        <v>12630000</v>
      </c>
      <c r="W714" s="54">
        <v>10849023</v>
      </c>
      <c r="X714" s="54">
        <v>1780977</v>
      </c>
    </row>
    <row r="715" spans="3:24" x14ac:dyDescent="0.25">
      <c r="C715" s="39">
        <v>2017</v>
      </c>
      <c r="D715" s="62" t="s">
        <v>916</v>
      </c>
      <c r="E715" s="63" t="s">
        <v>917</v>
      </c>
      <c r="F715" s="64">
        <v>42780</v>
      </c>
      <c r="G715" s="65" t="s">
        <v>34</v>
      </c>
      <c r="H715" s="94">
        <v>2580000</v>
      </c>
      <c r="I715" s="27">
        <v>1386000</v>
      </c>
      <c r="J715" s="27"/>
      <c r="K715" s="26">
        <v>-0.46279069767441861</v>
      </c>
      <c r="L715" s="11" t="s">
        <v>464</v>
      </c>
      <c r="M715" s="15">
        <v>16</v>
      </c>
      <c r="N715" s="35" t="s">
        <v>25</v>
      </c>
      <c r="O715" s="15">
        <v>1</v>
      </c>
      <c r="P715" s="35" t="s">
        <v>458</v>
      </c>
      <c r="Q715" s="15"/>
      <c r="R715" s="24" t="s">
        <v>1020</v>
      </c>
      <c r="S715" s="62" t="s">
        <v>616</v>
      </c>
      <c r="T715" s="15"/>
      <c r="U715" s="15"/>
      <c r="V715" s="54">
        <v>2580000</v>
      </c>
      <c r="W715" s="54">
        <v>1386000</v>
      </c>
      <c r="X715" s="54">
        <v>1194000</v>
      </c>
    </row>
    <row r="716" spans="3:24" x14ac:dyDescent="0.25">
      <c r="C716" s="39"/>
      <c r="E716" s="85"/>
      <c r="F716" s="85"/>
      <c r="G716" s="85"/>
      <c r="H716" s="86">
        <f>SUM(H713:H715)</f>
        <v>16189000</v>
      </c>
      <c r="I716" s="86">
        <f>SUM(I713:I715)</f>
        <v>13403023</v>
      </c>
      <c r="J716" s="85"/>
      <c r="K716" s="87">
        <f>+I716/H716</f>
        <v>0.82790925937364879</v>
      </c>
      <c r="L716" s="85">
        <f>COUNTA(L713:L715)</f>
        <v>3</v>
      </c>
      <c r="M716" s="88">
        <f>SUM(M713:M715)/L716</f>
        <v>6.666666666666667</v>
      </c>
      <c r="N716" s="89"/>
      <c r="O716" s="85"/>
      <c r="P716" s="119">
        <f>22/L716</f>
        <v>7.333333333333333</v>
      </c>
      <c r="Q716" s="85"/>
    </row>
    <row r="717" spans="3:24" x14ac:dyDescent="0.25">
      <c r="C717" s="39"/>
    </row>
    <row r="718" spans="3:24" x14ac:dyDescent="0.25">
      <c r="C718" s="39"/>
      <c r="E718" s="150" t="s">
        <v>1182</v>
      </c>
      <c r="F718" s="70"/>
      <c r="G718" s="70"/>
      <c r="H718" s="121" t="str">
        <f>"'17 final"</f>
        <v>'17 final</v>
      </c>
      <c r="P718" s="11"/>
    </row>
    <row r="719" spans="3:24" x14ac:dyDescent="0.25">
      <c r="C719" s="39"/>
      <c r="E719" s="71" t="s">
        <v>800</v>
      </c>
      <c r="F719" s="11"/>
      <c r="G719" s="11"/>
      <c r="H719" s="104">
        <f>+L716</f>
        <v>3</v>
      </c>
      <c r="P719" s="11"/>
    </row>
    <row r="720" spans="3:24" x14ac:dyDescent="0.25">
      <c r="C720" s="39"/>
      <c r="E720" s="72" t="s">
        <v>801</v>
      </c>
      <c r="F720" s="11"/>
      <c r="G720" s="11"/>
      <c r="H720" s="104">
        <f>+H719-H721</f>
        <v>2</v>
      </c>
      <c r="P720" s="11"/>
    </row>
    <row r="721" spans="3:16" x14ac:dyDescent="0.25">
      <c r="C721" s="39"/>
      <c r="E721" s="72" t="s">
        <v>802</v>
      </c>
      <c r="F721" s="11"/>
      <c r="G721" s="11"/>
      <c r="H721" s="104">
        <v>1</v>
      </c>
      <c r="P721" s="11"/>
    </row>
    <row r="722" spans="3:16" x14ac:dyDescent="0.25">
      <c r="C722" s="39"/>
      <c r="E722" s="72"/>
      <c r="F722" s="11"/>
      <c r="G722" s="11"/>
      <c r="H722" s="104"/>
      <c r="P722" s="11"/>
    </row>
    <row r="723" spans="3:16" x14ac:dyDescent="0.25">
      <c r="C723" s="39"/>
      <c r="E723" s="72" t="s">
        <v>1144</v>
      </c>
      <c r="F723" s="78"/>
      <c r="G723" s="78"/>
      <c r="H723" s="122">
        <f>+I716/1000000</f>
        <v>13.403022999999999</v>
      </c>
      <c r="I723" s="52"/>
      <c r="P723" s="11"/>
    </row>
    <row r="724" spans="3:16" x14ac:dyDescent="0.25">
      <c r="C724" s="39"/>
      <c r="E724" s="72" t="s">
        <v>806</v>
      </c>
      <c r="F724" s="75"/>
      <c r="G724" s="75"/>
      <c r="H724" s="123">
        <f>+M716</f>
        <v>6.666666666666667</v>
      </c>
      <c r="P724" s="11"/>
    </row>
    <row r="725" spans="3:16" x14ac:dyDescent="0.25">
      <c r="C725" s="39"/>
      <c r="E725" s="72" t="s">
        <v>807</v>
      </c>
      <c r="F725" s="74"/>
      <c r="G725" s="74"/>
      <c r="H725" s="124">
        <f>+I716/H716</f>
        <v>0.82790925937364879</v>
      </c>
      <c r="P725" s="11"/>
    </row>
    <row r="726" spans="3:16" x14ac:dyDescent="0.25">
      <c r="C726" s="39"/>
      <c r="E726" s="72"/>
      <c r="F726" s="11"/>
      <c r="G726" s="11"/>
      <c r="H726" s="104"/>
      <c r="P726" s="11"/>
    </row>
    <row r="727" spans="3:16" x14ac:dyDescent="0.25">
      <c r="C727" s="39"/>
      <c r="E727" s="72" t="s">
        <v>803</v>
      </c>
      <c r="F727" s="74"/>
      <c r="G727" s="74"/>
      <c r="H727" s="108">
        <f>2/3</f>
        <v>0.66666666666666663</v>
      </c>
      <c r="P727" s="11"/>
    </row>
    <row r="728" spans="3:16" x14ac:dyDescent="0.25">
      <c r="C728" s="107"/>
      <c r="D728" s="52"/>
      <c r="E728" s="72" t="s">
        <v>804</v>
      </c>
      <c r="F728" s="74"/>
      <c r="G728" s="74"/>
      <c r="H728" s="108">
        <f>1/2</f>
        <v>0.5</v>
      </c>
      <c r="P728" s="11"/>
    </row>
    <row r="729" spans="3:16" x14ac:dyDescent="0.25">
      <c r="C729" s="107"/>
      <c r="D729" s="52"/>
      <c r="E729" s="72" t="s">
        <v>805</v>
      </c>
      <c r="F729" s="74"/>
      <c r="G729" s="74"/>
      <c r="H729" s="108">
        <f>1/1</f>
        <v>1</v>
      </c>
      <c r="P729" s="11"/>
    </row>
    <row r="730" spans="3:16" x14ac:dyDescent="0.25">
      <c r="C730" s="39"/>
      <c r="E730" s="72"/>
      <c r="F730" s="11"/>
      <c r="G730" s="11"/>
      <c r="H730" s="104"/>
      <c r="P730" s="11"/>
    </row>
    <row r="731" spans="3:16" x14ac:dyDescent="0.25">
      <c r="C731" s="39"/>
      <c r="E731" s="72" t="s">
        <v>1141</v>
      </c>
      <c r="F731" s="11"/>
      <c r="G731" s="11"/>
      <c r="H731" s="104">
        <v>2</v>
      </c>
    </row>
    <row r="732" spans="3:16" x14ac:dyDescent="0.25">
      <c r="E732" s="106" t="s">
        <v>1143</v>
      </c>
      <c r="F732" s="108"/>
      <c r="G732" s="108"/>
      <c r="H732" s="108">
        <f>+H731/H719</f>
        <v>0.66666666666666663</v>
      </c>
    </row>
    <row r="733" spans="3:16" x14ac:dyDescent="0.25">
      <c r="C733" s="39"/>
    </row>
    <row r="734" spans="3:16" x14ac:dyDescent="0.25">
      <c r="C734" s="38"/>
    </row>
    <row r="735" spans="3:16" x14ac:dyDescent="0.25">
      <c r="C735" s="38"/>
    </row>
    <row r="736" spans="3:16" x14ac:dyDescent="0.25">
      <c r="C736" s="38"/>
    </row>
    <row r="737" spans="2:22" x14ac:dyDescent="0.25">
      <c r="B737" s="163"/>
      <c r="C737" s="164"/>
      <c r="D737" s="163"/>
      <c r="E737" s="163"/>
      <c r="F737" s="163"/>
      <c r="G737" s="163"/>
      <c r="H737" s="163"/>
      <c r="I737" s="163"/>
      <c r="J737" s="163"/>
      <c r="K737" s="163"/>
      <c r="L737" s="163"/>
      <c r="M737" s="163"/>
      <c r="N737" s="165"/>
      <c r="O737" s="163"/>
      <c r="P737" s="163"/>
      <c r="Q737" s="163"/>
      <c r="R737" s="163"/>
      <c r="S737" s="163"/>
      <c r="T737" s="163"/>
      <c r="U737" s="163"/>
      <c r="V737" s="163"/>
    </row>
    <row r="738" spans="2:22" x14ac:dyDescent="0.25">
      <c r="C738" s="38"/>
    </row>
    <row r="739" spans="2:22" x14ac:dyDescent="0.25">
      <c r="C739" s="38"/>
    </row>
    <row r="740" spans="2:22" x14ac:dyDescent="0.25">
      <c r="C740" s="38"/>
    </row>
    <row r="741" spans="2:22" x14ac:dyDescent="0.25">
      <c r="C741" s="38"/>
    </row>
    <row r="742" spans="2:22" x14ac:dyDescent="0.25">
      <c r="C742" s="38"/>
      <c r="E742" s="14" t="s">
        <v>1197</v>
      </c>
      <c r="F742">
        <v>1996</v>
      </c>
      <c r="G742">
        <v>70</v>
      </c>
      <c r="I742" s="7">
        <f>AVERAGE(G742:G763)/100</f>
        <v>0.71</v>
      </c>
      <c r="J742" s="1" t="s">
        <v>1222</v>
      </c>
    </row>
    <row r="743" spans="2:22" x14ac:dyDescent="0.25">
      <c r="C743" s="38"/>
      <c r="F743">
        <f>+F742+1</f>
        <v>1997</v>
      </c>
      <c r="G743">
        <v>68</v>
      </c>
    </row>
    <row r="744" spans="2:22" x14ac:dyDescent="0.25">
      <c r="C744" s="38"/>
      <c r="F744">
        <f t="shared" ref="F744:F763" si="50">+F743+1</f>
        <v>1998</v>
      </c>
      <c r="G744">
        <v>67</v>
      </c>
    </row>
    <row r="745" spans="2:22" x14ac:dyDescent="0.25">
      <c r="C745" s="38"/>
      <c r="F745">
        <f t="shared" si="50"/>
        <v>1999</v>
      </c>
      <c r="G745" s="30">
        <v>76</v>
      </c>
    </row>
    <row r="746" spans="2:22" x14ac:dyDescent="0.25">
      <c r="C746" s="38"/>
      <c r="F746">
        <f t="shared" si="50"/>
        <v>2000</v>
      </c>
      <c r="G746">
        <v>63</v>
      </c>
    </row>
    <row r="747" spans="2:22" x14ac:dyDescent="0.25">
      <c r="C747" s="38"/>
      <c r="F747">
        <f t="shared" si="50"/>
        <v>2001</v>
      </c>
      <c r="G747">
        <v>65</v>
      </c>
    </row>
    <row r="748" spans="2:22" x14ac:dyDescent="0.25">
      <c r="C748" s="38"/>
      <c r="F748">
        <f t="shared" si="50"/>
        <v>2002</v>
      </c>
      <c r="G748">
        <v>66</v>
      </c>
    </row>
    <row r="749" spans="2:22" x14ac:dyDescent="0.25">
      <c r="C749" s="38"/>
      <c r="F749">
        <f t="shared" si="50"/>
        <v>2003</v>
      </c>
      <c r="G749">
        <v>66</v>
      </c>
    </row>
    <row r="750" spans="2:22" x14ac:dyDescent="0.25">
      <c r="C750" s="38"/>
      <c r="F750">
        <f t="shared" si="50"/>
        <v>2004</v>
      </c>
      <c r="G750">
        <v>67</v>
      </c>
    </row>
    <row r="751" spans="2:22" x14ac:dyDescent="0.25">
      <c r="C751" s="38"/>
      <c r="F751">
        <f t="shared" si="50"/>
        <v>2005</v>
      </c>
      <c r="G751">
        <v>71</v>
      </c>
    </row>
    <row r="752" spans="2:22" x14ac:dyDescent="0.25">
      <c r="C752" s="38"/>
      <c r="F752">
        <f t="shared" si="50"/>
        <v>2006</v>
      </c>
      <c r="G752" s="30">
        <v>75</v>
      </c>
    </row>
    <row r="753" spans="3:7" x14ac:dyDescent="0.25">
      <c r="C753" s="38"/>
      <c r="F753">
        <f t="shared" si="50"/>
        <v>2007</v>
      </c>
      <c r="G753">
        <v>70</v>
      </c>
    </row>
    <row r="754" spans="3:7" x14ac:dyDescent="0.25">
      <c r="C754" s="38"/>
      <c r="F754">
        <f t="shared" si="50"/>
        <v>2008</v>
      </c>
      <c r="G754" s="30">
        <v>79</v>
      </c>
    </row>
    <row r="755" spans="3:7" x14ac:dyDescent="0.25">
      <c r="C755" s="38"/>
      <c r="F755">
        <f t="shared" si="50"/>
        <v>2009</v>
      </c>
      <c r="G755">
        <v>71</v>
      </c>
    </row>
    <row r="756" spans="3:7" x14ac:dyDescent="0.25">
      <c r="C756" s="38"/>
      <c r="F756">
        <f t="shared" si="50"/>
        <v>2010</v>
      </c>
      <c r="G756">
        <v>74</v>
      </c>
    </row>
    <row r="757" spans="3:7" x14ac:dyDescent="0.25">
      <c r="C757" s="38"/>
      <c r="F757">
        <f t="shared" si="50"/>
        <v>2011</v>
      </c>
      <c r="G757" s="30">
        <v>83</v>
      </c>
    </row>
    <row r="758" spans="3:7" x14ac:dyDescent="0.25">
      <c r="C758" s="38"/>
      <c r="F758">
        <f t="shared" si="50"/>
        <v>2012</v>
      </c>
      <c r="G758" s="30">
        <v>80</v>
      </c>
    </row>
    <row r="759" spans="3:7" x14ac:dyDescent="0.25">
      <c r="C759" s="38"/>
      <c r="F759">
        <f t="shared" si="50"/>
        <v>2013</v>
      </c>
      <c r="G759" s="30">
        <v>81</v>
      </c>
    </row>
    <row r="760" spans="3:7" x14ac:dyDescent="0.25">
      <c r="C760" s="38"/>
      <c r="F760">
        <f t="shared" si="50"/>
        <v>2014</v>
      </c>
      <c r="G760" s="30">
        <v>85</v>
      </c>
    </row>
    <row r="761" spans="3:7" x14ac:dyDescent="0.25">
      <c r="C761" s="38"/>
      <c r="F761">
        <f t="shared" si="50"/>
        <v>2015</v>
      </c>
      <c r="G761">
        <v>56</v>
      </c>
    </row>
    <row r="762" spans="3:7" x14ac:dyDescent="0.25">
      <c r="C762" s="38"/>
      <c r="F762">
        <f t="shared" si="50"/>
        <v>2016</v>
      </c>
      <c r="G762">
        <v>63</v>
      </c>
    </row>
    <row r="763" spans="3:7" x14ac:dyDescent="0.25">
      <c r="C763" s="38"/>
      <c r="F763">
        <f t="shared" si="50"/>
        <v>2017</v>
      </c>
      <c r="G763">
        <v>66</v>
      </c>
    </row>
    <row r="764" spans="3:7" x14ac:dyDescent="0.25">
      <c r="C764" s="38"/>
    </row>
    <row r="765" spans="3:7" x14ac:dyDescent="0.25">
      <c r="C765" s="38"/>
    </row>
    <row r="766" spans="3:7" x14ac:dyDescent="0.25">
      <c r="C766" s="38"/>
    </row>
    <row r="767" spans="3:7" x14ac:dyDescent="0.25">
      <c r="C767" s="38"/>
    </row>
    <row r="768" spans="3:7" x14ac:dyDescent="0.25">
      <c r="C768" s="38"/>
    </row>
    <row r="769" spans="1:31" x14ac:dyDescent="0.25">
      <c r="C769" s="38"/>
      <c r="E769" s="2" t="s">
        <v>1198</v>
      </c>
      <c r="F769">
        <v>2014</v>
      </c>
      <c r="G769">
        <v>6.2</v>
      </c>
    </row>
    <row r="770" spans="1:31" x14ac:dyDescent="0.25">
      <c r="C770" s="38"/>
      <c r="F770">
        <v>2015</v>
      </c>
      <c r="G770">
        <v>6.4</v>
      </c>
    </row>
    <row r="771" spans="1:31" x14ac:dyDescent="0.25">
      <c r="C771" s="38"/>
      <c r="F771">
        <v>2016</v>
      </c>
      <c r="G771">
        <v>5.9</v>
      </c>
    </row>
    <row r="772" spans="1:31" x14ac:dyDescent="0.25">
      <c r="C772" s="38"/>
      <c r="F772">
        <v>2017</v>
      </c>
      <c r="G772">
        <v>5.3</v>
      </c>
    </row>
    <row r="773" spans="1:31" x14ac:dyDescent="0.25">
      <c r="C773" s="38"/>
      <c r="F773">
        <v>2018</v>
      </c>
      <c r="G773">
        <v>5.0999999999999996</v>
      </c>
    </row>
    <row r="774" spans="1:31" x14ac:dyDescent="0.25">
      <c r="C774" s="38"/>
    </row>
    <row r="775" spans="1:31" x14ac:dyDescent="0.25">
      <c r="C775" s="38"/>
    </row>
    <row r="776" spans="1:31" x14ac:dyDescent="0.25">
      <c r="C776" s="38"/>
    </row>
    <row r="777" spans="1:31" x14ac:dyDescent="0.25">
      <c r="C777" s="38"/>
    </row>
    <row r="778" spans="1:31" x14ac:dyDescent="0.25">
      <c r="C778" s="38"/>
    </row>
    <row r="779" spans="1:31" x14ac:dyDescent="0.25">
      <c r="C779" s="38"/>
    </row>
    <row r="780" spans="1:31" x14ac:dyDescent="0.25">
      <c r="C780" s="38"/>
    </row>
    <row r="781" spans="1:31" x14ac:dyDescent="0.25">
      <c r="A781" s="163"/>
      <c r="B781" s="163"/>
      <c r="C781" s="164"/>
      <c r="D781" s="163"/>
      <c r="E781" s="163"/>
      <c r="F781" s="163"/>
      <c r="G781" s="163"/>
      <c r="H781" s="163"/>
      <c r="I781" s="163"/>
      <c r="J781" s="163"/>
      <c r="K781" s="163"/>
      <c r="L781" s="163"/>
      <c r="M781" s="163"/>
      <c r="N781" s="165"/>
      <c r="O781" s="163"/>
      <c r="P781" s="163"/>
      <c r="Q781" s="163"/>
      <c r="R781" s="163"/>
      <c r="S781" s="163"/>
      <c r="T781" s="163"/>
      <c r="U781" s="163"/>
      <c r="V781" s="163"/>
      <c r="W781" s="163"/>
      <c r="X781" s="163"/>
      <c r="Y781" s="163"/>
      <c r="Z781" s="163"/>
    </row>
    <row r="782" spans="1:31" x14ac:dyDescent="0.25">
      <c r="C782" s="38"/>
    </row>
    <row r="783" spans="1:31" x14ac:dyDescent="0.25">
      <c r="C783" s="38"/>
      <c r="D783" s="49" t="s">
        <v>55</v>
      </c>
      <c r="E783" s="49" t="s">
        <v>56</v>
      </c>
      <c r="F783" s="49" t="s">
        <v>57</v>
      </c>
      <c r="G783" s="50" t="s">
        <v>424</v>
      </c>
      <c r="H783" s="47" t="s">
        <v>58</v>
      </c>
      <c r="I783" s="47" t="s">
        <v>59</v>
      </c>
      <c r="J783" s="42" t="s">
        <v>456</v>
      </c>
      <c r="K783" s="47" t="s">
        <v>60</v>
      </c>
      <c r="L783" s="48" t="s">
        <v>61</v>
      </c>
      <c r="M783" s="47" t="s">
        <v>62</v>
      </c>
      <c r="N783" s="43" t="s">
        <v>225</v>
      </c>
    </row>
    <row r="784" spans="1:31" x14ac:dyDescent="0.25">
      <c r="C784" s="39">
        <v>2018</v>
      </c>
      <c r="D784" s="62" t="s">
        <v>1229</v>
      </c>
      <c r="E784" s="63" t="s">
        <v>1230</v>
      </c>
      <c r="F784" s="64">
        <v>43314</v>
      </c>
      <c r="G784" s="65" t="s">
        <v>1225</v>
      </c>
      <c r="H784" s="94">
        <v>1980000</v>
      </c>
      <c r="I784" s="94">
        <v>2882170</v>
      </c>
      <c r="J784" s="94"/>
      <c r="K784" s="26">
        <v>0.45564141414141413</v>
      </c>
      <c r="L784" s="11" t="s">
        <v>465</v>
      </c>
      <c r="M784" s="15">
        <v>6</v>
      </c>
      <c r="N784" s="35" t="s">
        <v>25</v>
      </c>
      <c r="O784" s="15">
        <v>3</v>
      </c>
      <c r="P784" s="35" t="s">
        <v>492</v>
      </c>
      <c r="Q784" s="35"/>
      <c r="R784" s="15"/>
      <c r="S784" s="24"/>
      <c r="T784" s="62" t="s">
        <v>816</v>
      </c>
      <c r="U784" s="62"/>
      <c r="V784" s="94">
        <v>4467184.666666667</v>
      </c>
      <c r="W784" s="199">
        <v>0.64518711785215355</v>
      </c>
      <c r="X784" s="15"/>
      <c r="Y784" s="200">
        <v>1.4556414141414142</v>
      </c>
      <c r="Z784" s="11" t="s">
        <v>465</v>
      </c>
      <c r="AA784" s="11"/>
      <c r="AB784" s="15"/>
      <c r="AC784" s="54">
        <v>1980000</v>
      </c>
      <c r="AD784" s="54">
        <v>2882170</v>
      </c>
      <c r="AE784" s="54">
        <v>-902170</v>
      </c>
    </row>
    <row r="785" spans="3:31" x14ac:dyDescent="0.25">
      <c r="C785" s="39">
        <v>2018</v>
      </c>
      <c r="D785" s="62" t="s">
        <v>1248</v>
      </c>
      <c r="E785" s="63" t="s">
        <v>1249</v>
      </c>
      <c r="F785" s="64">
        <v>43259</v>
      </c>
      <c r="G785" s="65" t="s">
        <v>756</v>
      </c>
      <c r="H785" s="94">
        <v>2770000</v>
      </c>
      <c r="I785" s="94">
        <v>2542996</v>
      </c>
      <c r="J785" s="94"/>
      <c r="K785" s="26">
        <v>-8.1950902527075806E-2</v>
      </c>
      <c r="L785" s="11" t="s">
        <v>464</v>
      </c>
      <c r="M785" s="15">
        <v>6</v>
      </c>
      <c r="N785" s="35" t="s">
        <v>226</v>
      </c>
      <c r="O785" s="15">
        <v>2</v>
      </c>
      <c r="P785" s="35" t="s">
        <v>492</v>
      </c>
      <c r="Q785" s="35"/>
      <c r="R785" s="15"/>
      <c r="S785" s="24"/>
      <c r="T785" s="62" t="s">
        <v>447</v>
      </c>
      <c r="U785" s="62"/>
      <c r="V785" s="94">
        <v>4162248.5</v>
      </c>
      <c r="W785" s="199">
        <v>0.61096688484601536</v>
      </c>
      <c r="X785" s="15"/>
      <c r="Y785" s="200">
        <v>0.91804909747292418</v>
      </c>
      <c r="Z785" s="11" t="s">
        <v>465</v>
      </c>
      <c r="AA785" s="11"/>
      <c r="AB785" s="15"/>
      <c r="AC785" s="54">
        <v>2770000</v>
      </c>
      <c r="AD785" s="54">
        <v>2542996</v>
      </c>
      <c r="AE785" s="54">
        <v>227004</v>
      </c>
    </row>
    <row r="786" spans="3:31" x14ac:dyDescent="0.25">
      <c r="C786" s="39">
        <v>2018</v>
      </c>
      <c r="D786" s="62" t="s">
        <v>1250</v>
      </c>
      <c r="E786" s="63" t="s">
        <v>1251</v>
      </c>
      <c r="F786" s="64">
        <v>43230</v>
      </c>
      <c r="G786" s="65" t="s">
        <v>34</v>
      </c>
      <c r="H786" s="94">
        <v>4390000</v>
      </c>
      <c r="I786" s="94">
        <v>4220000</v>
      </c>
      <c r="J786" s="94"/>
      <c r="K786" s="26">
        <v>-3.8724373576309798E-2</v>
      </c>
      <c r="L786" s="11" t="s">
        <v>464</v>
      </c>
      <c r="M786" s="15">
        <v>4</v>
      </c>
      <c r="N786" s="35" t="s">
        <v>93</v>
      </c>
      <c r="O786" s="15">
        <v>2</v>
      </c>
      <c r="P786" s="35" t="s">
        <v>492</v>
      </c>
      <c r="Q786" s="35"/>
      <c r="R786" s="15"/>
      <c r="S786" s="24"/>
      <c r="T786" s="62" t="s">
        <v>816</v>
      </c>
      <c r="U786" s="62"/>
      <c r="V786" s="94">
        <v>6081225</v>
      </c>
      <c r="W786" s="199">
        <v>0.69393913232942372</v>
      </c>
      <c r="X786" s="15"/>
      <c r="Y786" s="200">
        <v>0.96127562642369024</v>
      </c>
      <c r="Z786" s="11" t="s">
        <v>465</v>
      </c>
      <c r="AA786" s="11"/>
      <c r="AB786" s="15"/>
      <c r="AC786" s="54">
        <v>4390000</v>
      </c>
      <c r="AD786" s="54">
        <v>4220000</v>
      </c>
      <c r="AE786" s="54">
        <v>170000</v>
      </c>
    </row>
    <row r="787" spans="3:31" x14ac:dyDescent="0.25">
      <c r="C787" s="39">
        <v>2018</v>
      </c>
      <c r="D787" s="62" t="s">
        <v>1252</v>
      </c>
      <c r="E787" s="63" t="s">
        <v>1253</v>
      </c>
      <c r="F787" s="64">
        <v>43193</v>
      </c>
      <c r="G787" s="65" t="s">
        <v>34</v>
      </c>
      <c r="H787" s="94">
        <v>9140000</v>
      </c>
      <c r="I787" s="94">
        <v>4659626</v>
      </c>
      <c r="J787" s="94"/>
      <c r="K787" s="26">
        <v>-0.49019409190371993</v>
      </c>
      <c r="L787" s="11" t="s">
        <v>464</v>
      </c>
      <c r="M787" s="15">
        <v>5</v>
      </c>
      <c r="N787" s="35" t="s">
        <v>93</v>
      </c>
      <c r="O787" s="15">
        <v>2</v>
      </c>
      <c r="P787" s="35" t="s">
        <v>492</v>
      </c>
      <c r="Q787" s="35" t="s">
        <v>1238</v>
      </c>
      <c r="R787" s="15"/>
      <c r="S787" s="24" t="s">
        <v>932</v>
      </c>
      <c r="T787" s="62" t="s">
        <v>816</v>
      </c>
      <c r="U787" s="62"/>
      <c r="V787" s="94">
        <v>10095414</v>
      </c>
      <c r="W787" s="199">
        <v>0.46155868397274247</v>
      </c>
      <c r="X787" s="15"/>
      <c r="Y787" s="200">
        <v>0.50980590809628012</v>
      </c>
      <c r="Z787" s="11" t="s">
        <v>465</v>
      </c>
      <c r="AA787" s="11"/>
      <c r="AB787" s="15"/>
      <c r="AC787" s="54">
        <v>9140000</v>
      </c>
      <c r="AD787" s="54">
        <v>4659626</v>
      </c>
      <c r="AE787" s="54">
        <v>4480374</v>
      </c>
    </row>
    <row r="788" spans="3:31" x14ac:dyDescent="0.25">
      <c r="C788" s="39">
        <v>2018</v>
      </c>
      <c r="D788" s="62" t="s">
        <v>1254</v>
      </c>
      <c r="E788" s="63" t="s">
        <v>1255</v>
      </c>
      <c r="F788" s="64">
        <v>43124</v>
      </c>
      <c r="G788" s="65" t="s">
        <v>34</v>
      </c>
      <c r="H788" s="94">
        <v>22000000</v>
      </c>
      <c r="I788" s="94">
        <v>19988889</v>
      </c>
      <c r="J788" s="94"/>
      <c r="K788" s="26">
        <v>-9.1414136363636364E-2</v>
      </c>
      <c r="L788" s="11" t="s">
        <v>464</v>
      </c>
      <c r="M788" s="15">
        <v>13</v>
      </c>
      <c r="N788" s="35" t="s">
        <v>93</v>
      </c>
      <c r="O788" s="15">
        <v>1</v>
      </c>
      <c r="P788" s="35" t="s">
        <v>492</v>
      </c>
      <c r="Q788" s="35" t="s">
        <v>1245</v>
      </c>
      <c r="R788" s="15"/>
      <c r="S788" s="24"/>
      <c r="T788" s="62" t="s">
        <v>816</v>
      </c>
      <c r="U788" s="62"/>
      <c r="V788" s="94">
        <v>27586889.692307692</v>
      </c>
      <c r="W788" s="199">
        <v>0.72457929193712933</v>
      </c>
      <c r="X788" s="15"/>
      <c r="Y788" s="200">
        <v>0.90858586363636362</v>
      </c>
      <c r="Z788" s="11" t="s">
        <v>465</v>
      </c>
      <c r="AA788" s="11"/>
      <c r="AB788" s="15"/>
      <c r="AC788" s="54">
        <v>22000000</v>
      </c>
      <c r="AD788" s="54">
        <v>19988889</v>
      </c>
      <c r="AE788" s="54">
        <v>2011111</v>
      </c>
    </row>
    <row r="789" spans="3:31" x14ac:dyDescent="0.25">
      <c r="C789" s="38"/>
      <c r="E789" s="222" t="s">
        <v>1311</v>
      </c>
      <c r="F789" s="217"/>
      <c r="G789" s="217"/>
      <c r="H789" s="218">
        <f>SUM(H784:H788)</f>
        <v>40280000</v>
      </c>
      <c r="I789" s="218">
        <f>SUM(I784:I788)</f>
        <v>34293681</v>
      </c>
      <c r="J789" s="217"/>
      <c r="K789" s="220">
        <f>+I789/H789</f>
        <v>0.85138234856007944</v>
      </c>
      <c r="L789" s="221">
        <f>(COUNTIF(L784:L788,"G*")/COUNTA(L784:L788))</f>
        <v>0.8</v>
      </c>
      <c r="M789" s="217">
        <f>AVERAGE(M784:M788)</f>
        <v>6.8</v>
      </c>
      <c r="N789" s="219">
        <f>COUNTA(N784:N788)</f>
        <v>5</v>
      </c>
      <c r="O789" s="217"/>
      <c r="P789" s="217"/>
    </row>
    <row r="790" spans="3:31" x14ac:dyDescent="0.25">
      <c r="C790" s="38"/>
    </row>
    <row r="791" spans="3:31" x14ac:dyDescent="0.25">
      <c r="C791" s="38"/>
    </row>
    <row r="792" spans="3:31" x14ac:dyDescent="0.25">
      <c r="C792" s="38"/>
      <c r="D792" s="49" t="s">
        <v>55</v>
      </c>
      <c r="E792" s="49" t="s">
        <v>56</v>
      </c>
      <c r="F792" s="49" t="s">
        <v>57</v>
      </c>
      <c r="G792" s="50" t="s">
        <v>424</v>
      </c>
      <c r="H792" s="47" t="s">
        <v>58</v>
      </c>
      <c r="I792" s="47" t="s">
        <v>59</v>
      </c>
      <c r="J792" s="42" t="s">
        <v>456</v>
      </c>
      <c r="K792" s="47" t="s">
        <v>60</v>
      </c>
      <c r="L792" s="48" t="s">
        <v>61</v>
      </c>
      <c r="M792" s="47" t="s">
        <v>62</v>
      </c>
      <c r="N792" s="43" t="s">
        <v>225</v>
      </c>
    </row>
    <row r="793" spans="3:31" x14ac:dyDescent="0.25">
      <c r="C793" s="39">
        <v>2018</v>
      </c>
      <c r="D793" s="62" t="s">
        <v>1256</v>
      </c>
      <c r="E793" s="63" t="s">
        <v>1257</v>
      </c>
      <c r="F793" s="64">
        <v>43368</v>
      </c>
      <c r="G793" s="65" t="s">
        <v>34</v>
      </c>
      <c r="H793" s="94">
        <v>64356250</v>
      </c>
      <c r="I793" s="94">
        <v>51485000</v>
      </c>
      <c r="J793" s="94"/>
      <c r="K793" s="26">
        <v>-0.2</v>
      </c>
      <c r="L793" s="11" t="s">
        <v>464</v>
      </c>
      <c r="M793" s="15">
        <v>8</v>
      </c>
      <c r="N793" s="35" t="s">
        <v>25</v>
      </c>
      <c r="O793" s="15">
        <v>3</v>
      </c>
      <c r="P793" s="35" t="s">
        <v>457</v>
      </c>
      <c r="Q793" s="35"/>
      <c r="R793" s="15"/>
      <c r="S793" s="24"/>
      <c r="T793" s="62" t="s">
        <v>1226</v>
      </c>
      <c r="U793" s="62"/>
      <c r="V793" s="94">
        <v>2705657.5</v>
      </c>
      <c r="W793" s="199">
        <v>19.028646456545221</v>
      </c>
      <c r="X793" s="15"/>
      <c r="Y793" s="200">
        <v>0.8</v>
      </c>
      <c r="Z793" s="11" t="s">
        <v>465</v>
      </c>
      <c r="AA793" s="11"/>
      <c r="AB793" s="15"/>
      <c r="AC793" s="54">
        <v>64356250</v>
      </c>
      <c r="AD793" s="54">
        <v>51485000</v>
      </c>
      <c r="AE793" s="54">
        <v>12871250</v>
      </c>
    </row>
    <row r="794" spans="3:31" x14ac:dyDescent="0.25">
      <c r="C794" s="39">
        <v>2018</v>
      </c>
      <c r="D794" s="62" t="s">
        <v>1258</v>
      </c>
      <c r="E794" s="63" t="s">
        <v>712</v>
      </c>
      <c r="F794" s="64">
        <v>43340</v>
      </c>
      <c r="G794" s="65" t="s">
        <v>34</v>
      </c>
      <c r="H794" s="94">
        <v>2500000</v>
      </c>
      <c r="I794" s="94">
        <v>2952000</v>
      </c>
      <c r="J794" s="94"/>
      <c r="K794" s="26">
        <v>0.18079999999999999</v>
      </c>
      <c r="L794" s="11" t="s">
        <v>465</v>
      </c>
      <c r="M794" s="15">
        <v>3</v>
      </c>
      <c r="N794" s="35" t="s">
        <v>93</v>
      </c>
      <c r="O794" s="15">
        <v>3</v>
      </c>
      <c r="P794" s="35" t="s">
        <v>457</v>
      </c>
      <c r="Q794" s="35"/>
      <c r="R794" s="15"/>
      <c r="S794" s="24"/>
      <c r="T794" s="62" t="s">
        <v>1226</v>
      </c>
      <c r="U794" s="62"/>
      <c r="V794" s="94">
        <v>2139150</v>
      </c>
      <c r="W794" s="199">
        <v>1.379987378164224</v>
      </c>
      <c r="X794" s="15"/>
      <c r="Y794" s="200">
        <v>1.1808000000000001</v>
      </c>
      <c r="Z794" s="11" t="s">
        <v>465</v>
      </c>
      <c r="AA794" s="11"/>
      <c r="AB794" s="15"/>
      <c r="AC794" s="54">
        <v>2500000</v>
      </c>
      <c r="AD794" s="54">
        <v>2952000</v>
      </c>
      <c r="AE794" s="54">
        <v>-452000</v>
      </c>
    </row>
    <row r="795" spans="3:31" x14ac:dyDescent="0.25">
      <c r="C795" s="39">
        <v>2018</v>
      </c>
      <c r="D795" s="62" t="s">
        <v>1223</v>
      </c>
      <c r="E795" s="63" t="s">
        <v>1224</v>
      </c>
      <c r="F795" s="64">
        <v>43326</v>
      </c>
      <c r="G795" s="65" t="s">
        <v>1225</v>
      </c>
      <c r="H795" s="94">
        <v>858000</v>
      </c>
      <c r="I795" s="94">
        <v>743300</v>
      </c>
      <c r="J795" s="94"/>
      <c r="K795" s="26">
        <v>-0.13368298368298367</v>
      </c>
      <c r="L795" s="11" t="s">
        <v>464</v>
      </c>
      <c r="M795" s="15">
        <v>2</v>
      </c>
      <c r="N795" s="35" t="s">
        <v>25</v>
      </c>
      <c r="O795" s="15">
        <v>3</v>
      </c>
      <c r="P795" s="35" t="s">
        <v>457</v>
      </c>
      <c r="Q795" s="35"/>
      <c r="R795" s="15"/>
      <c r="S795" s="24"/>
      <c r="T795" s="62" t="s">
        <v>1226</v>
      </c>
      <c r="U795" s="62"/>
      <c r="V795" s="94">
        <v>2139150</v>
      </c>
      <c r="W795" s="199">
        <v>0.34747446415632377</v>
      </c>
      <c r="X795" s="15"/>
      <c r="Y795" s="200">
        <v>0.8663170163170163</v>
      </c>
      <c r="Z795" s="11" t="s">
        <v>465</v>
      </c>
      <c r="AA795" s="11"/>
      <c r="AB795" s="15"/>
      <c r="AC795" s="54">
        <v>858000</v>
      </c>
      <c r="AD795" s="54">
        <v>743300</v>
      </c>
      <c r="AE795" s="54">
        <v>114700</v>
      </c>
    </row>
    <row r="796" spans="3:31" x14ac:dyDescent="0.25">
      <c r="C796" s="39">
        <v>2018</v>
      </c>
      <c r="D796" s="62" t="s">
        <v>1227</v>
      </c>
      <c r="E796" s="63" t="s">
        <v>1228</v>
      </c>
      <c r="F796" s="64">
        <v>43326</v>
      </c>
      <c r="G796" s="65" t="s">
        <v>1225</v>
      </c>
      <c r="H796" s="94">
        <v>1300000</v>
      </c>
      <c r="I796" s="94">
        <v>695800</v>
      </c>
      <c r="J796" s="94"/>
      <c r="K796" s="26">
        <v>-0.46476923076923077</v>
      </c>
      <c r="L796" s="11" t="s">
        <v>465</v>
      </c>
      <c r="M796" s="15">
        <v>2</v>
      </c>
      <c r="N796" s="35" t="s">
        <v>226</v>
      </c>
      <c r="O796" s="15">
        <v>3</v>
      </c>
      <c r="P796" s="35" t="s">
        <v>457</v>
      </c>
      <c r="Q796" s="35"/>
      <c r="R796" s="15"/>
      <c r="S796" s="24" t="s">
        <v>932</v>
      </c>
      <c r="T796" s="62" t="s">
        <v>1226</v>
      </c>
      <c r="U796" s="62"/>
      <c r="V796" s="94">
        <v>1057500</v>
      </c>
      <c r="W796" s="199">
        <v>0.65796690307328609</v>
      </c>
      <c r="X796" s="15"/>
      <c r="Y796" s="200">
        <v>0.53523076923076918</v>
      </c>
      <c r="Z796" s="11" t="s">
        <v>465</v>
      </c>
      <c r="AA796" s="11"/>
      <c r="AB796" s="15"/>
      <c r="AC796" s="54">
        <v>1300000</v>
      </c>
      <c r="AD796" s="54">
        <v>695800</v>
      </c>
      <c r="AE796" s="54">
        <v>604200</v>
      </c>
    </row>
    <row r="797" spans="3:31" x14ac:dyDescent="0.25">
      <c r="C797" s="39">
        <v>2018</v>
      </c>
      <c r="D797" s="62" t="s">
        <v>1259</v>
      </c>
      <c r="E797" s="63" t="s">
        <v>1260</v>
      </c>
      <c r="F797" s="64">
        <v>43319</v>
      </c>
      <c r="G797" s="65" t="s">
        <v>34</v>
      </c>
      <c r="H797" s="94">
        <v>54744000</v>
      </c>
      <c r="I797" s="94">
        <v>34776250</v>
      </c>
      <c r="J797" s="94"/>
      <c r="K797" s="26">
        <v>-0.36474773491158846</v>
      </c>
      <c r="L797" s="11" t="s">
        <v>464</v>
      </c>
      <c r="M797" s="15">
        <v>4</v>
      </c>
      <c r="N797" s="35" t="s">
        <v>93</v>
      </c>
      <c r="O797" s="15">
        <v>3</v>
      </c>
      <c r="P797" s="35" t="s">
        <v>457</v>
      </c>
      <c r="Q797" s="35"/>
      <c r="R797" s="15"/>
      <c r="S797" s="24" t="s">
        <v>932</v>
      </c>
      <c r="T797" s="62" t="s">
        <v>1226</v>
      </c>
      <c r="U797" s="62"/>
      <c r="V797" s="94">
        <v>49859526.25</v>
      </c>
      <c r="W797" s="199">
        <v>0.69748456544951631</v>
      </c>
      <c r="X797" s="15"/>
      <c r="Y797" s="200">
        <v>0.63525226508841148</v>
      </c>
      <c r="Z797" s="11" t="s">
        <v>465</v>
      </c>
      <c r="AA797" s="11"/>
      <c r="AB797" s="15"/>
      <c r="AC797" s="54">
        <v>54744000</v>
      </c>
      <c r="AD797" s="54">
        <v>34776250</v>
      </c>
      <c r="AE797" s="54">
        <v>19967750</v>
      </c>
    </row>
    <row r="798" spans="3:31" x14ac:dyDescent="0.25">
      <c r="C798" s="39">
        <v>2018</v>
      </c>
      <c r="D798" s="62" t="s">
        <v>1261</v>
      </c>
      <c r="E798" s="63" t="s">
        <v>1262</v>
      </c>
      <c r="F798" s="64">
        <v>43299</v>
      </c>
      <c r="G798" s="65" t="s">
        <v>34</v>
      </c>
      <c r="H798" s="94">
        <v>3570000</v>
      </c>
      <c r="I798" s="94">
        <v>3861000</v>
      </c>
      <c r="J798" s="94"/>
      <c r="K798" s="26">
        <v>8.1512605042016809E-2</v>
      </c>
      <c r="L798" s="11" t="s">
        <v>464</v>
      </c>
      <c r="M798" s="15">
        <v>6</v>
      </c>
      <c r="N798" s="35" t="s">
        <v>226</v>
      </c>
      <c r="O798" s="15">
        <v>3</v>
      </c>
      <c r="P798" s="35" t="s">
        <v>457</v>
      </c>
      <c r="Q798" s="35"/>
      <c r="R798" s="15"/>
      <c r="S798" s="24"/>
      <c r="T798" s="62" t="s">
        <v>1226</v>
      </c>
      <c r="U798" s="62"/>
      <c r="V798" s="94">
        <v>5535683.333333333</v>
      </c>
      <c r="W798" s="199">
        <v>0.69747486760141031</v>
      </c>
      <c r="X798" s="15"/>
      <c r="Y798" s="200">
        <v>1.0815126050420167</v>
      </c>
      <c r="Z798" s="11" t="s">
        <v>465</v>
      </c>
      <c r="AA798" s="11"/>
      <c r="AB798" s="15"/>
      <c r="AC798" s="54">
        <v>3570000</v>
      </c>
      <c r="AD798" s="54">
        <v>3861000</v>
      </c>
      <c r="AE798" s="54">
        <v>-291000</v>
      </c>
    </row>
    <row r="799" spans="3:31" x14ac:dyDescent="0.25">
      <c r="C799" s="39">
        <v>2018</v>
      </c>
      <c r="D799" s="62" t="s">
        <v>1231</v>
      </c>
      <c r="E799" s="63" t="s">
        <v>1232</v>
      </c>
      <c r="F799" s="64">
        <v>43221</v>
      </c>
      <c r="G799" s="65" t="s">
        <v>1225</v>
      </c>
      <c r="H799" s="94">
        <v>960000</v>
      </c>
      <c r="I799" s="94">
        <v>413834</v>
      </c>
      <c r="J799" s="94"/>
      <c r="K799" s="26">
        <v>-0.56892291666666661</v>
      </c>
      <c r="L799" s="11" t="s">
        <v>465</v>
      </c>
      <c r="M799" s="15">
        <v>5</v>
      </c>
      <c r="N799" s="35" t="s">
        <v>93</v>
      </c>
      <c r="O799" s="15">
        <v>2</v>
      </c>
      <c r="P799" s="35" t="s">
        <v>457</v>
      </c>
      <c r="Q799" s="35"/>
      <c r="R799" s="15"/>
      <c r="S799" s="24"/>
      <c r="T799" s="62" t="s">
        <v>816</v>
      </c>
      <c r="U799" s="62"/>
      <c r="V799" s="94">
        <v>710613.8</v>
      </c>
      <c r="W799" s="199">
        <v>0.58236133325865602</v>
      </c>
      <c r="X799" s="15"/>
      <c r="Y799" s="200">
        <v>0.43107708333333333</v>
      </c>
      <c r="Z799" s="11" t="s">
        <v>465</v>
      </c>
      <c r="AA799" s="11"/>
      <c r="AB799" s="15"/>
      <c r="AC799" s="54">
        <v>960000</v>
      </c>
      <c r="AD799" s="54">
        <v>413834</v>
      </c>
      <c r="AE799" s="54">
        <v>546166</v>
      </c>
    </row>
    <row r="800" spans="3:31" x14ac:dyDescent="0.25">
      <c r="C800" s="39">
        <v>2018</v>
      </c>
      <c r="D800" s="62" t="s">
        <v>1263</v>
      </c>
      <c r="E800" s="63" t="s">
        <v>1264</v>
      </c>
      <c r="F800" s="64">
        <v>43179</v>
      </c>
      <c r="G800" s="65" t="s">
        <v>34</v>
      </c>
      <c r="H800" s="94">
        <v>27125000</v>
      </c>
      <c r="I800" s="94">
        <v>22964560</v>
      </c>
      <c r="J800" s="94"/>
      <c r="K800" s="26">
        <v>-0.15338027649769584</v>
      </c>
      <c r="L800" s="11" t="s">
        <v>464</v>
      </c>
      <c r="M800" s="15">
        <v>10</v>
      </c>
      <c r="N800" s="35" t="s">
        <v>226</v>
      </c>
      <c r="O800" s="15">
        <v>1</v>
      </c>
      <c r="P800" s="35" t="s">
        <v>457</v>
      </c>
      <c r="Q800" s="35" t="s">
        <v>1238</v>
      </c>
      <c r="R800" s="15"/>
      <c r="S800" s="24"/>
      <c r="T800" s="62" t="s">
        <v>816</v>
      </c>
      <c r="U800" s="62"/>
      <c r="V800" s="94">
        <v>31632465.399999999</v>
      </c>
      <c r="W800" s="199">
        <v>0.72598071979555534</v>
      </c>
      <c r="X800" s="15"/>
      <c r="Y800" s="200">
        <v>0.84661972350230419</v>
      </c>
      <c r="Z800" s="11" t="s">
        <v>465</v>
      </c>
      <c r="AA800" s="11"/>
      <c r="AB800" s="15"/>
      <c r="AC800" s="54">
        <v>27125000</v>
      </c>
      <c r="AD800" s="54">
        <v>22964560</v>
      </c>
      <c r="AE800" s="54">
        <v>4160440</v>
      </c>
    </row>
    <row r="801" spans="2:41" x14ac:dyDescent="0.25">
      <c r="C801" s="39">
        <v>2018</v>
      </c>
      <c r="D801" s="62" t="s">
        <v>1265</v>
      </c>
      <c r="E801" s="63" t="s">
        <v>1266</v>
      </c>
      <c r="F801" s="64">
        <v>43174</v>
      </c>
      <c r="G801" s="65" t="s">
        <v>34</v>
      </c>
      <c r="H801" s="94">
        <v>1150000</v>
      </c>
      <c r="I801" s="94">
        <v>1253317</v>
      </c>
      <c r="J801" s="94"/>
      <c r="K801" s="26">
        <v>8.9840869565217391E-2</v>
      </c>
      <c r="L801" s="11" t="s">
        <v>464</v>
      </c>
      <c r="M801" s="15">
        <v>6</v>
      </c>
      <c r="N801" s="35" t="s">
        <v>93</v>
      </c>
      <c r="O801" s="15">
        <v>1</v>
      </c>
      <c r="P801" s="35" t="s">
        <v>457</v>
      </c>
      <c r="Q801" s="35" t="s">
        <v>1243</v>
      </c>
      <c r="R801" s="15"/>
      <c r="S801" s="24"/>
      <c r="T801" s="62" t="s">
        <v>784</v>
      </c>
      <c r="U801" s="62"/>
      <c r="V801" s="94">
        <v>1900429</v>
      </c>
      <c r="W801" s="199">
        <v>0.65949162004999928</v>
      </c>
      <c r="X801" s="15"/>
      <c r="Y801" s="200">
        <v>1.0898408695652173</v>
      </c>
      <c r="Z801" s="11" t="s">
        <v>465</v>
      </c>
      <c r="AA801" s="11"/>
      <c r="AB801" s="15"/>
      <c r="AC801" s="54">
        <v>1150000</v>
      </c>
      <c r="AD801" s="54">
        <v>1253317</v>
      </c>
      <c r="AE801" s="54">
        <v>-103317</v>
      </c>
    </row>
    <row r="802" spans="2:41" x14ac:dyDescent="0.25">
      <c r="C802" s="39">
        <v>2018</v>
      </c>
      <c r="D802" s="62" t="s">
        <v>1233</v>
      </c>
      <c r="E802" s="63" t="s">
        <v>1234</v>
      </c>
      <c r="F802" s="64">
        <v>43173</v>
      </c>
      <c r="G802" s="65" t="s">
        <v>693</v>
      </c>
      <c r="H802" s="94">
        <v>600000</v>
      </c>
      <c r="I802" s="94">
        <v>749000</v>
      </c>
      <c r="J802" s="94"/>
      <c r="K802" s="26">
        <v>0.24833333333333332</v>
      </c>
      <c r="L802" s="11" t="s">
        <v>465</v>
      </c>
      <c r="M802" s="15">
        <v>3</v>
      </c>
      <c r="N802" s="35" t="s">
        <v>25</v>
      </c>
      <c r="O802" s="15">
        <v>1</v>
      </c>
      <c r="P802" s="35" t="s">
        <v>457</v>
      </c>
      <c r="Q802" s="35" t="s">
        <v>1235</v>
      </c>
      <c r="R802" s="15"/>
      <c r="S802" s="24"/>
      <c r="T802" s="62" t="s">
        <v>1226</v>
      </c>
      <c r="U802" s="62"/>
      <c r="V802" s="94">
        <v>994735</v>
      </c>
      <c r="W802" s="199">
        <v>0.75296435734140243</v>
      </c>
      <c r="X802" s="15"/>
      <c r="Y802" s="200">
        <v>1.2483333333333333</v>
      </c>
      <c r="Z802" s="11" t="s">
        <v>465</v>
      </c>
      <c r="AA802" s="11"/>
      <c r="AB802" s="15"/>
      <c r="AC802" s="54">
        <v>600000</v>
      </c>
      <c r="AD802" s="54">
        <v>749000</v>
      </c>
      <c r="AE802" s="54">
        <v>-149000</v>
      </c>
    </row>
    <row r="803" spans="2:41" x14ac:dyDescent="0.25">
      <c r="C803" s="39">
        <v>2018</v>
      </c>
      <c r="D803" s="62" t="s">
        <v>1236</v>
      </c>
      <c r="E803" s="63" t="s">
        <v>1237</v>
      </c>
      <c r="F803" s="64">
        <v>43138</v>
      </c>
      <c r="G803" s="65" t="s">
        <v>693</v>
      </c>
      <c r="H803" s="94">
        <v>1056000</v>
      </c>
      <c r="I803" s="94">
        <v>619790</v>
      </c>
      <c r="J803" s="94"/>
      <c r="K803" s="26">
        <v>-0.41307765151515152</v>
      </c>
      <c r="L803" s="11" t="s">
        <v>464</v>
      </c>
      <c r="M803" s="15">
        <v>6</v>
      </c>
      <c r="N803" s="35" t="s">
        <v>25</v>
      </c>
      <c r="O803" s="15">
        <v>1</v>
      </c>
      <c r="P803" s="35" t="s">
        <v>457</v>
      </c>
      <c r="Q803" s="35" t="s">
        <v>1238</v>
      </c>
      <c r="R803" s="15"/>
      <c r="S803" s="24"/>
      <c r="T803" s="62" t="s">
        <v>784</v>
      </c>
      <c r="U803" s="62"/>
      <c r="V803" s="94">
        <v>2319072.3333333335</v>
      </c>
      <c r="W803" s="199">
        <v>0.26725772676057108</v>
      </c>
      <c r="X803" s="15"/>
      <c r="Y803" s="200">
        <v>0.58692234848484848</v>
      </c>
      <c r="Z803" s="11" t="s">
        <v>465</v>
      </c>
      <c r="AA803" s="11"/>
      <c r="AB803" s="15"/>
      <c r="AC803" s="54">
        <v>1056000</v>
      </c>
      <c r="AD803" s="54">
        <v>619790</v>
      </c>
      <c r="AE803" s="54">
        <v>436210</v>
      </c>
    </row>
    <row r="804" spans="2:41" x14ac:dyDescent="0.25">
      <c r="B804" s="203"/>
      <c r="C804" s="39">
        <v>2018</v>
      </c>
      <c r="D804" s="62" t="s">
        <v>1267</v>
      </c>
      <c r="E804" s="63" t="s">
        <v>1268</v>
      </c>
      <c r="F804" s="64">
        <v>43108</v>
      </c>
      <c r="G804" s="65" t="s">
        <v>190</v>
      </c>
      <c r="H804" s="94">
        <v>8520000</v>
      </c>
      <c r="I804" s="94">
        <v>6850075</v>
      </c>
      <c r="J804" s="94"/>
      <c r="K804" s="26">
        <v>-0.19600058685446009</v>
      </c>
      <c r="L804" s="11" t="s">
        <v>464</v>
      </c>
      <c r="M804" s="15">
        <v>5</v>
      </c>
      <c r="N804" s="35" t="s">
        <v>93</v>
      </c>
      <c r="O804" s="15">
        <v>1</v>
      </c>
      <c r="P804" s="35" t="s">
        <v>457</v>
      </c>
      <c r="Q804" s="35" t="s">
        <v>1235</v>
      </c>
      <c r="R804" s="15"/>
      <c r="S804" s="24"/>
      <c r="T804" s="62" t="s">
        <v>784</v>
      </c>
      <c r="U804" s="62"/>
      <c r="V804" s="94">
        <v>10472836.199999999</v>
      </c>
      <c r="W804" s="199">
        <v>0.65408021945382866</v>
      </c>
      <c r="X804" s="15"/>
      <c r="Y804" s="200">
        <v>0.80399941314553991</v>
      </c>
      <c r="Z804" s="11" t="s">
        <v>465</v>
      </c>
      <c r="AA804" s="74">
        <v>0</v>
      </c>
      <c r="AB804" s="15"/>
      <c r="AC804" s="54">
        <v>8520000</v>
      </c>
      <c r="AD804" s="54">
        <v>6850075</v>
      </c>
      <c r="AE804" s="54">
        <v>1669925</v>
      </c>
      <c r="AG804" s="4">
        <v>337954000</v>
      </c>
      <c r="AH804" s="4">
        <v>228800072</v>
      </c>
      <c r="AI804" s="7">
        <v>0.67701542813519</v>
      </c>
    </row>
    <row r="805" spans="2:41" x14ac:dyDescent="0.25">
      <c r="C805" s="38"/>
      <c r="E805" s="222" t="s">
        <v>1311</v>
      </c>
      <c r="F805" s="217"/>
      <c r="G805" s="217"/>
      <c r="H805" s="218">
        <f>SUM(H793:H804)</f>
        <v>166739250</v>
      </c>
      <c r="I805" s="218">
        <f>SUM(I793:I804)</f>
        <v>127363926</v>
      </c>
      <c r="J805" s="217"/>
      <c r="K805" s="220">
        <f>+I805/H805</f>
        <v>0.76385089893351443</v>
      </c>
      <c r="L805" s="221">
        <f>(COUNTIF(L793:L804,"G*")/COUNTA(L793:L804))</f>
        <v>0.66666666666666663</v>
      </c>
      <c r="M805" s="223">
        <f>AVERAGE(M793:M804)</f>
        <v>5</v>
      </c>
      <c r="N805" s="219">
        <f>COUNTA(N793:N804)</f>
        <v>12</v>
      </c>
      <c r="O805" s="217"/>
      <c r="P805" s="217"/>
    </row>
    <row r="806" spans="2:41" x14ac:dyDescent="0.25">
      <c r="C806" s="38"/>
    </row>
    <row r="807" spans="2:41" x14ac:dyDescent="0.25">
      <c r="C807" s="38"/>
    </row>
    <row r="808" spans="2:41" x14ac:dyDescent="0.25">
      <c r="C808" s="38"/>
      <c r="D808" s="49" t="s">
        <v>55</v>
      </c>
      <c r="E808" s="49" t="s">
        <v>56</v>
      </c>
      <c r="F808" s="49" t="s">
        <v>57</v>
      </c>
      <c r="G808" s="50" t="s">
        <v>424</v>
      </c>
      <c r="H808" s="47" t="s">
        <v>58</v>
      </c>
      <c r="I808" s="47" t="s">
        <v>59</v>
      </c>
      <c r="J808" s="42" t="s">
        <v>456</v>
      </c>
      <c r="K808" s="47" t="s">
        <v>60</v>
      </c>
      <c r="L808" s="48" t="s">
        <v>61</v>
      </c>
      <c r="M808" s="47" t="s">
        <v>62</v>
      </c>
      <c r="N808" s="43" t="s">
        <v>225</v>
      </c>
    </row>
    <row r="809" spans="2:41" x14ac:dyDescent="0.25">
      <c r="C809" s="39">
        <v>2018</v>
      </c>
      <c r="D809" s="62" t="s">
        <v>1269</v>
      </c>
      <c r="E809" s="63" t="s">
        <v>1270</v>
      </c>
      <c r="F809" s="64">
        <v>43368</v>
      </c>
      <c r="G809" s="65" t="s">
        <v>1225</v>
      </c>
      <c r="H809" s="94">
        <v>760000</v>
      </c>
      <c r="I809" s="94">
        <v>994150</v>
      </c>
      <c r="J809" s="94"/>
      <c r="K809" s="26">
        <v>0.30809210526315789</v>
      </c>
      <c r="L809" s="11" t="s">
        <v>465</v>
      </c>
      <c r="M809" s="15">
        <v>3</v>
      </c>
      <c r="N809" s="35" t="s">
        <v>25</v>
      </c>
      <c r="O809" s="15">
        <v>3</v>
      </c>
      <c r="P809" s="35" t="s">
        <v>458</v>
      </c>
      <c r="Q809" s="35"/>
      <c r="R809" s="15"/>
      <c r="S809" s="24"/>
      <c r="T809" s="62" t="s">
        <v>784</v>
      </c>
      <c r="U809" s="62"/>
      <c r="V809" s="94">
        <v>2705657.5</v>
      </c>
      <c r="W809" s="199">
        <v>0.36743379381906244</v>
      </c>
      <c r="X809" s="15"/>
      <c r="Y809" s="200">
        <v>1.308092105263158</v>
      </c>
      <c r="Z809" s="11" t="s">
        <v>465</v>
      </c>
      <c r="AA809" s="11"/>
      <c r="AB809" s="15"/>
      <c r="AC809" s="54">
        <v>760000</v>
      </c>
      <c r="AD809" s="54">
        <v>994150</v>
      </c>
      <c r="AE809" s="54">
        <v>-234150</v>
      </c>
    </row>
    <row r="810" spans="2:41" x14ac:dyDescent="0.25">
      <c r="C810" s="39">
        <v>2018</v>
      </c>
      <c r="D810" s="62" t="s">
        <v>1271</v>
      </c>
      <c r="E810" s="63" t="s">
        <v>1272</v>
      </c>
      <c r="F810" s="64">
        <v>43350</v>
      </c>
      <c r="G810" s="65" t="s">
        <v>34</v>
      </c>
      <c r="H810" s="94">
        <v>17920000</v>
      </c>
      <c r="I810" s="94">
        <v>21068000</v>
      </c>
      <c r="J810" s="94"/>
      <c r="K810" s="26">
        <v>0.17566964285714284</v>
      </c>
      <c r="L810" s="11" t="s">
        <v>465</v>
      </c>
      <c r="M810" s="15">
        <v>2</v>
      </c>
      <c r="N810" s="35" t="s">
        <v>93</v>
      </c>
      <c r="O810" s="15">
        <v>3</v>
      </c>
      <c r="P810" s="35" t="s">
        <v>458</v>
      </c>
      <c r="Q810" s="35"/>
      <c r="R810" s="15"/>
      <c r="S810" s="24"/>
      <c r="T810" s="62" t="s">
        <v>536</v>
      </c>
      <c r="U810" s="62"/>
      <c r="V810" s="94">
        <v>22772500</v>
      </c>
      <c r="W810" s="199">
        <v>0.92515094961027555</v>
      </c>
      <c r="X810" s="15"/>
      <c r="Y810" s="200">
        <v>1.1756696428571429</v>
      </c>
      <c r="Z810" s="11" t="s">
        <v>465</v>
      </c>
      <c r="AA810" s="11"/>
      <c r="AB810" s="15"/>
      <c r="AC810" s="54">
        <v>17920000</v>
      </c>
      <c r="AD810" s="54">
        <v>21068000</v>
      </c>
      <c r="AE810" s="54">
        <v>-3148000</v>
      </c>
    </row>
    <row r="811" spans="2:41" x14ac:dyDescent="0.25">
      <c r="C811" s="39">
        <v>2018</v>
      </c>
      <c r="D811" s="62" t="s">
        <v>1273</v>
      </c>
      <c r="E811" s="63" t="s">
        <v>1274</v>
      </c>
      <c r="F811" s="64">
        <v>43311</v>
      </c>
      <c r="G811" s="65" t="s">
        <v>190</v>
      </c>
      <c r="H811" s="94">
        <v>9350000</v>
      </c>
      <c r="I811" s="94">
        <v>6855365</v>
      </c>
      <c r="J811" s="94"/>
      <c r="K811" s="26">
        <v>-0.26680588235294117</v>
      </c>
      <c r="L811" s="11" t="s">
        <v>464</v>
      </c>
      <c r="M811" s="15">
        <v>3</v>
      </c>
      <c r="N811" s="35" t="s">
        <v>25</v>
      </c>
      <c r="O811" s="15">
        <v>3</v>
      </c>
      <c r="P811" s="35" t="s">
        <v>458</v>
      </c>
      <c r="Q811" s="35"/>
      <c r="R811" s="15"/>
      <c r="S811" s="24" t="s">
        <v>932</v>
      </c>
      <c r="T811" s="62" t="s">
        <v>784</v>
      </c>
      <c r="U811" s="62"/>
      <c r="V811" s="94">
        <v>10087545</v>
      </c>
      <c r="W811" s="199">
        <v>0.67958705512590034</v>
      </c>
      <c r="X811" s="15"/>
      <c r="Y811" s="200">
        <v>0.73319411764705877</v>
      </c>
      <c r="Z811" s="11" t="s">
        <v>465</v>
      </c>
      <c r="AA811" s="11"/>
      <c r="AB811" s="15"/>
      <c r="AC811" s="54">
        <v>9350000</v>
      </c>
      <c r="AD811" s="54">
        <v>6855365</v>
      </c>
      <c r="AE811" s="54">
        <v>2494635</v>
      </c>
    </row>
    <row r="812" spans="2:41" x14ac:dyDescent="0.25">
      <c r="C812" s="39">
        <v>2018</v>
      </c>
      <c r="D812" s="62" t="s">
        <v>1275</v>
      </c>
      <c r="E812" s="63" t="s">
        <v>1276</v>
      </c>
      <c r="F812" s="64">
        <v>43299</v>
      </c>
      <c r="G812" s="65" t="s">
        <v>190</v>
      </c>
      <c r="H812" s="94">
        <v>34796400</v>
      </c>
      <c r="I812" s="94">
        <v>34483510</v>
      </c>
      <c r="J812" s="94"/>
      <c r="K812" s="26">
        <v>-8.9920221632122863E-3</v>
      </c>
      <c r="L812" s="11" t="s">
        <v>464</v>
      </c>
      <c r="M812" s="15">
        <v>2</v>
      </c>
      <c r="N812" s="35" t="s">
        <v>93</v>
      </c>
      <c r="O812" s="15">
        <v>3</v>
      </c>
      <c r="P812" s="35" t="s">
        <v>458</v>
      </c>
      <c r="Q812" s="35"/>
      <c r="R812" s="15"/>
      <c r="S812" s="24"/>
      <c r="T812" s="62" t="s">
        <v>784</v>
      </c>
      <c r="U812" s="62"/>
      <c r="V812" s="94">
        <v>35471255</v>
      </c>
      <c r="W812" s="199">
        <v>0.97215364948322236</v>
      </c>
      <c r="X812" s="15"/>
      <c r="Y812" s="200">
        <v>0.99100797783678773</v>
      </c>
      <c r="Z812" s="11" t="s">
        <v>465</v>
      </c>
      <c r="AA812" s="11"/>
      <c r="AB812" s="15"/>
      <c r="AC812" s="54">
        <v>34796400</v>
      </c>
      <c r="AD812" s="54">
        <v>34483510</v>
      </c>
      <c r="AE812" s="54">
        <v>312890</v>
      </c>
    </row>
    <row r="813" spans="2:41" x14ac:dyDescent="0.25">
      <c r="B813" s="203"/>
      <c r="C813" s="39">
        <v>2018</v>
      </c>
      <c r="D813" s="62" t="s">
        <v>1277</v>
      </c>
      <c r="E813" s="63" t="s">
        <v>1278</v>
      </c>
      <c r="F813" s="64">
        <v>43287</v>
      </c>
      <c r="G813" s="65" t="s">
        <v>190</v>
      </c>
      <c r="H813" s="94">
        <v>3730000</v>
      </c>
      <c r="I813" s="94">
        <v>4547000</v>
      </c>
      <c r="J813" s="94"/>
      <c r="K813" s="26">
        <v>0.2190348525469169</v>
      </c>
      <c r="L813" s="11" t="s">
        <v>465</v>
      </c>
      <c r="M813" s="15">
        <v>3</v>
      </c>
      <c r="N813" s="35" t="s">
        <v>25</v>
      </c>
      <c r="O813" s="15">
        <v>3</v>
      </c>
      <c r="P813" s="35" t="s">
        <v>458</v>
      </c>
      <c r="Q813" s="35"/>
      <c r="R813" s="15"/>
      <c r="S813" s="24"/>
      <c r="T813" s="62" t="s">
        <v>784</v>
      </c>
      <c r="U813" s="62"/>
      <c r="V813" s="94">
        <v>4717276.666666667</v>
      </c>
      <c r="W813" s="199">
        <v>0.96390360822593257</v>
      </c>
      <c r="X813" s="15"/>
      <c r="Y813" s="200">
        <v>1.2190348525469168</v>
      </c>
      <c r="Z813" s="11" t="s">
        <v>465</v>
      </c>
      <c r="AA813" s="11"/>
      <c r="AB813" s="15"/>
      <c r="AC813" s="54">
        <v>3730000</v>
      </c>
      <c r="AD813" s="54">
        <v>4547000</v>
      </c>
      <c r="AE813" s="54">
        <v>-817000</v>
      </c>
      <c r="AG813" s="4">
        <v>203524650</v>
      </c>
      <c r="AH813" s="4">
        <v>173859860</v>
      </c>
      <c r="AI813" s="204">
        <v>0.85424473153497626</v>
      </c>
      <c r="AJ813" s="1" t="s">
        <v>1240</v>
      </c>
      <c r="AK813" s="205">
        <v>203524650</v>
      </c>
      <c r="AL813" s="205">
        <v>173859860</v>
      </c>
      <c r="AM813" s="206">
        <v>0.85424473153497626</v>
      </c>
      <c r="AN813" s="207" t="s">
        <v>1241</v>
      </c>
      <c r="AO813" s="208"/>
    </row>
    <row r="814" spans="2:41" x14ac:dyDescent="0.25">
      <c r="C814" s="39">
        <v>2018</v>
      </c>
      <c r="D814" s="62" t="s">
        <v>1279</v>
      </c>
      <c r="E814" s="63" t="s">
        <v>1280</v>
      </c>
      <c r="F814" s="64">
        <v>43250</v>
      </c>
      <c r="G814" s="65" t="s">
        <v>34</v>
      </c>
      <c r="H814" s="94">
        <v>153277500</v>
      </c>
      <c r="I814" s="94">
        <v>118434757</v>
      </c>
      <c r="J814" s="94"/>
      <c r="K814" s="26">
        <v>-0.22731805385656734</v>
      </c>
      <c r="L814" s="11" t="s">
        <v>465</v>
      </c>
      <c r="M814" s="15">
        <v>13</v>
      </c>
      <c r="N814" s="35" t="s">
        <v>25</v>
      </c>
      <c r="O814" s="15">
        <v>2</v>
      </c>
      <c r="P814" s="35" t="s">
        <v>458</v>
      </c>
      <c r="Q814" s="35"/>
      <c r="R814" s="15"/>
      <c r="S814" s="24"/>
      <c r="T814" s="62" t="s">
        <v>784</v>
      </c>
      <c r="U814" s="62"/>
      <c r="V814" s="94">
        <v>138481360</v>
      </c>
      <c r="W814" s="199">
        <v>0.85523970157427687</v>
      </c>
      <c r="X814" s="15"/>
      <c r="Y814" s="200">
        <v>0.77268194614343266</v>
      </c>
      <c r="Z814" s="11" t="s">
        <v>465</v>
      </c>
      <c r="AA814" s="11"/>
      <c r="AB814" s="15"/>
      <c r="AC814" s="54">
        <v>153277500</v>
      </c>
      <c r="AD814" s="54">
        <v>118434757</v>
      </c>
      <c r="AE814" s="54">
        <v>34842743</v>
      </c>
    </row>
    <row r="815" spans="2:41" x14ac:dyDescent="0.25">
      <c r="B815" s="203"/>
      <c r="C815" s="39">
        <v>2018</v>
      </c>
      <c r="D815" s="62" t="s">
        <v>1281</v>
      </c>
      <c r="E815" s="63" t="s">
        <v>1282</v>
      </c>
      <c r="F815" s="64">
        <v>43193</v>
      </c>
      <c r="G815" s="65" t="s">
        <v>34</v>
      </c>
      <c r="H815" s="94">
        <v>3441000</v>
      </c>
      <c r="I815" s="94">
        <v>2993080</v>
      </c>
      <c r="J815" s="94"/>
      <c r="K815" s="26">
        <v>-0.13017146178436501</v>
      </c>
      <c r="L815" s="11" t="s">
        <v>464</v>
      </c>
      <c r="M815" s="15">
        <v>3</v>
      </c>
      <c r="N815" s="35" t="s">
        <v>25</v>
      </c>
      <c r="O815" s="15">
        <v>2</v>
      </c>
      <c r="P815" s="35" t="s">
        <v>458</v>
      </c>
      <c r="Q815" s="35" t="s">
        <v>1235</v>
      </c>
      <c r="R815" s="15"/>
      <c r="S815" s="24"/>
      <c r="T815" s="62" t="s">
        <v>784</v>
      </c>
      <c r="U815" s="62"/>
      <c r="V815" s="94">
        <v>3534026.6666666665</v>
      </c>
      <c r="W815" s="199">
        <v>0.84693192279250873</v>
      </c>
      <c r="X815" s="15"/>
      <c r="Y815" s="200">
        <v>0.86982853821563499</v>
      </c>
      <c r="Z815" s="11" t="s">
        <v>465</v>
      </c>
      <c r="AA815" s="74">
        <v>0</v>
      </c>
      <c r="AB815" s="15"/>
      <c r="AC815" s="54">
        <v>3441000</v>
      </c>
      <c r="AD815" s="54">
        <v>2993080</v>
      </c>
      <c r="AE815" s="54">
        <v>447920</v>
      </c>
      <c r="AG815" s="4">
        <v>215665500</v>
      </c>
      <c r="AH815" s="4">
        <v>170989542</v>
      </c>
      <c r="AI815" s="209">
        <v>0.79284606021825466</v>
      </c>
      <c r="AJ815" s="1" t="s">
        <v>1240</v>
      </c>
      <c r="AK815" s="210">
        <v>553619500</v>
      </c>
      <c r="AL815" s="210">
        <v>399789614</v>
      </c>
      <c r="AM815" s="211">
        <v>0.72213788351024488</v>
      </c>
      <c r="AN815" s="212"/>
      <c r="AO815" s="213"/>
    </row>
    <row r="816" spans="2:41" x14ac:dyDescent="0.25">
      <c r="C816" s="39">
        <v>2018</v>
      </c>
      <c r="D816" s="62" t="s">
        <v>1283</v>
      </c>
      <c r="E816" s="63" t="s">
        <v>1284</v>
      </c>
      <c r="F816" s="64">
        <v>43179</v>
      </c>
      <c r="G816" s="65" t="s">
        <v>34</v>
      </c>
      <c r="H816" s="94">
        <v>1440000</v>
      </c>
      <c r="I816" s="94">
        <v>1928000</v>
      </c>
      <c r="J816" s="94"/>
      <c r="K816" s="26">
        <v>0.33888888888888891</v>
      </c>
      <c r="L816" s="11" t="s">
        <v>465</v>
      </c>
      <c r="M816" s="15">
        <v>7</v>
      </c>
      <c r="N816" s="35" t="s">
        <v>93</v>
      </c>
      <c r="O816" s="15">
        <v>1</v>
      </c>
      <c r="P816" s="35" t="s">
        <v>458</v>
      </c>
      <c r="Q816" s="35" t="s">
        <v>1238</v>
      </c>
      <c r="R816" s="15"/>
      <c r="S816" s="24"/>
      <c r="T816" s="62" t="s">
        <v>784</v>
      </c>
      <c r="U816" s="62"/>
      <c r="V816" s="94">
        <v>2393861.8571428573</v>
      </c>
      <c r="W816" s="199">
        <v>0.8053931743167182</v>
      </c>
      <c r="X816" s="15"/>
      <c r="Y816" s="200">
        <v>1.3388888888888888</v>
      </c>
      <c r="Z816" s="11" t="s">
        <v>465</v>
      </c>
      <c r="AA816" s="11"/>
      <c r="AB816" s="15"/>
      <c r="AC816" s="54">
        <v>1440000</v>
      </c>
      <c r="AD816" s="54">
        <v>1928000</v>
      </c>
      <c r="AE816" s="54">
        <v>-488000</v>
      </c>
    </row>
    <row r="817" spans="3:31" x14ac:dyDescent="0.25">
      <c r="C817" s="39">
        <v>2018</v>
      </c>
      <c r="D817" s="62" t="s">
        <v>1285</v>
      </c>
      <c r="E817" s="63" t="s">
        <v>1286</v>
      </c>
      <c r="F817" s="64">
        <v>43168</v>
      </c>
      <c r="G817" s="65" t="s">
        <v>34</v>
      </c>
      <c r="H817" s="94">
        <v>10900000</v>
      </c>
      <c r="I817" s="94">
        <v>10417536</v>
      </c>
      <c r="J817" s="94"/>
      <c r="K817" s="26">
        <v>-4.4262752293577984E-2</v>
      </c>
      <c r="L817" s="11" t="s">
        <v>464</v>
      </c>
      <c r="M817" s="15">
        <v>11</v>
      </c>
      <c r="N817" s="35" t="s">
        <v>25</v>
      </c>
      <c r="O817" s="15">
        <v>1</v>
      </c>
      <c r="P817" s="35" t="s">
        <v>458</v>
      </c>
      <c r="Q817" s="35" t="s">
        <v>1235</v>
      </c>
      <c r="R817" s="15"/>
      <c r="S817" s="24"/>
      <c r="T817" s="62" t="s">
        <v>784</v>
      </c>
      <c r="U817" s="62"/>
      <c r="V817" s="94">
        <v>12059792.454545455</v>
      </c>
      <c r="W817" s="199">
        <v>0.86382382112003331</v>
      </c>
      <c r="X817" s="15"/>
      <c r="Y817" s="200">
        <v>0.95573724770642199</v>
      </c>
      <c r="Z817" s="11" t="s">
        <v>465</v>
      </c>
      <c r="AA817" s="11"/>
      <c r="AB817" s="15"/>
      <c r="AC817" s="54">
        <v>10900000</v>
      </c>
      <c r="AD817" s="54">
        <v>10417536</v>
      </c>
      <c r="AE817" s="54">
        <v>482464</v>
      </c>
    </row>
    <row r="818" spans="3:31" x14ac:dyDescent="0.25">
      <c r="C818" s="39">
        <v>2018</v>
      </c>
      <c r="D818" s="62" t="s">
        <v>1287</v>
      </c>
      <c r="E818" s="63" t="s">
        <v>1288</v>
      </c>
      <c r="F818" s="64">
        <v>43160</v>
      </c>
      <c r="G818" s="65" t="s">
        <v>34</v>
      </c>
      <c r="H818" s="94">
        <v>1273000</v>
      </c>
      <c r="I818" s="94">
        <v>1050950</v>
      </c>
      <c r="J818" s="94"/>
      <c r="K818" s="26">
        <v>-0.1744304791830322</v>
      </c>
      <c r="L818" s="11" t="s">
        <v>464</v>
      </c>
      <c r="M818" s="15">
        <v>6</v>
      </c>
      <c r="N818" s="35" t="s">
        <v>25</v>
      </c>
      <c r="O818" s="15">
        <v>1</v>
      </c>
      <c r="P818" s="35" t="s">
        <v>458</v>
      </c>
      <c r="Q818" s="35" t="s">
        <v>1238</v>
      </c>
      <c r="R818" s="15"/>
      <c r="S818" s="24" t="s">
        <v>1244</v>
      </c>
      <c r="T818" s="62" t="s">
        <v>784</v>
      </c>
      <c r="U818" s="62"/>
      <c r="V818" s="94">
        <v>2050444.6666666667</v>
      </c>
      <c r="W818" s="199">
        <v>0.51254735964589138</v>
      </c>
      <c r="X818" s="15"/>
      <c r="Y818" s="200">
        <v>0.82556952081696777</v>
      </c>
      <c r="Z818" s="11" t="s">
        <v>465</v>
      </c>
      <c r="AA818" s="11"/>
      <c r="AB818" s="15"/>
      <c r="AC818" s="54">
        <v>1273000</v>
      </c>
      <c r="AD818" s="54">
        <v>1050950</v>
      </c>
      <c r="AE818" s="54">
        <v>222050</v>
      </c>
    </row>
    <row r="819" spans="3:31" x14ac:dyDescent="0.25">
      <c r="C819" s="39">
        <v>2018</v>
      </c>
      <c r="D819" s="62" t="s">
        <v>1289</v>
      </c>
      <c r="E819" s="63" t="s">
        <v>1290</v>
      </c>
      <c r="F819" s="64">
        <v>43147</v>
      </c>
      <c r="G819" s="65" t="s">
        <v>34</v>
      </c>
      <c r="H819" s="94">
        <v>23100000</v>
      </c>
      <c r="I819" s="94">
        <v>16848000</v>
      </c>
      <c r="J819" s="94"/>
      <c r="K819" s="26">
        <v>-0.27064935064935064</v>
      </c>
      <c r="L819" s="11" t="s">
        <v>464</v>
      </c>
      <c r="M819" s="15">
        <v>6</v>
      </c>
      <c r="N819" s="35" t="s">
        <v>93</v>
      </c>
      <c r="O819" s="15">
        <v>1</v>
      </c>
      <c r="P819" s="35" t="s">
        <v>458</v>
      </c>
      <c r="Q819" s="35" t="s">
        <v>1243</v>
      </c>
      <c r="R819" s="15"/>
      <c r="S819" s="24"/>
      <c r="T819" s="62" t="s">
        <v>442</v>
      </c>
      <c r="U819" s="62"/>
      <c r="V819" s="94">
        <v>24152208.666666668</v>
      </c>
      <c r="W819" s="199">
        <v>0.69757595392310978</v>
      </c>
      <c r="X819" s="15"/>
      <c r="Y819" s="200">
        <v>0.7293506493506493</v>
      </c>
      <c r="Z819" s="11" t="s">
        <v>465</v>
      </c>
      <c r="AA819" s="11"/>
      <c r="AB819" s="15"/>
      <c r="AC819" s="54">
        <v>23100000</v>
      </c>
      <c r="AD819" s="54">
        <v>16848000</v>
      </c>
      <c r="AE819" s="54">
        <v>6252000</v>
      </c>
    </row>
    <row r="820" spans="3:31" x14ac:dyDescent="0.25">
      <c r="C820" s="39">
        <v>2018</v>
      </c>
      <c r="D820" s="62" t="s">
        <v>1291</v>
      </c>
      <c r="E820" s="63" t="s">
        <v>1292</v>
      </c>
      <c r="F820" s="64">
        <v>43139</v>
      </c>
      <c r="G820" s="65" t="s">
        <v>190</v>
      </c>
      <c r="H820" s="94">
        <v>10590000</v>
      </c>
      <c r="I820" s="94">
        <v>9125000</v>
      </c>
      <c r="J820" s="94"/>
      <c r="K820" s="26">
        <v>-0.13833805476864966</v>
      </c>
      <c r="L820" s="11" t="s">
        <v>465</v>
      </c>
      <c r="M820" s="15">
        <v>2</v>
      </c>
      <c r="N820" s="35" t="s">
        <v>93</v>
      </c>
      <c r="O820" s="15">
        <v>1</v>
      </c>
      <c r="P820" s="35" t="s">
        <v>458</v>
      </c>
      <c r="Q820" s="35" t="s">
        <v>1235</v>
      </c>
      <c r="R820" s="15"/>
      <c r="S820" s="24"/>
      <c r="T820" s="62" t="s">
        <v>784</v>
      </c>
      <c r="U820" s="62"/>
      <c r="V820" s="94">
        <v>9478917</v>
      </c>
      <c r="W820" s="199">
        <v>0.96266271769232714</v>
      </c>
      <c r="X820" s="15"/>
      <c r="Y820" s="200">
        <v>0.86166194523135031</v>
      </c>
      <c r="Z820" s="11" t="s">
        <v>465</v>
      </c>
      <c r="AA820" s="11"/>
      <c r="AB820" s="15"/>
      <c r="AC820" s="54">
        <v>10590000</v>
      </c>
      <c r="AD820" s="54">
        <v>9125000</v>
      </c>
      <c r="AE820" s="54">
        <v>1465000</v>
      </c>
    </row>
    <row r="821" spans="3:31" x14ac:dyDescent="0.25">
      <c r="C821" s="39">
        <v>2018</v>
      </c>
      <c r="D821" s="62" t="s">
        <v>1293</v>
      </c>
      <c r="E821" s="63" t="s">
        <v>1294</v>
      </c>
      <c r="F821" s="64">
        <v>43125</v>
      </c>
      <c r="G821" s="65" t="s">
        <v>34</v>
      </c>
      <c r="H821" s="94">
        <v>1700000</v>
      </c>
      <c r="I821" s="94">
        <v>1555555</v>
      </c>
      <c r="J821" s="94"/>
      <c r="K821" s="26">
        <v>-8.4967647058823523E-2</v>
      </c>
      <c r="L821" s="11" t="s">
        <v>464</v>
      </c>
      <c r="M821" s="15">
        <v>9</v>
      </c>
      <c r="N821" s="35" t="s">
        <v>93</v>
      </c>
      <c r="O821" s="15">
        <v>1</v>
      </c>
      <c r="P821" s="35" t="s">
        <v>458</v>
      </c>
      <c r="Q821" s="35" t="s">
        <v>1245</v>
      </c>
      <c r="R821" s="15"/>
      <c r="S821" s="24"/>
      <c r="T821" s="62" t="s">
        <v>784</v>
      </c>
      <c r="U821" s="62"/>
      <c r="V821" s="94">
        <v>2601779.6666666665</v>
      </c>
      <c r="W821" s="199">
        <v>0.59788114263839154</v>
      </c>
      <c r="X821" s="15"/>
      <c r="Y821" s="200">
        <v>0.91503235294117646</v>
      </c>
      <c r="Z821" s="11" t="s">
        <v>465</v>
      </c>
      <c r="AA821" s="11"/>
      <c r="AB821" s="15"/>
      <c r="AC821" s="54">
        <v>1700000</v>
      </c>
      <c r="AD821" s="54">
        <v>1555555</v>
      </c>
      <c r="AE821" s="54">
        <v>144445</v>
      </c>
    </row>
    <row r="822" spans="3:31" x14ac:dyDescent="0.25">
      <c r="C822" s="38"/>
      <c r="E822" s="222" t="s">
        <v>1311</v>
      </c>
      <c r="F822" s="217"/>
      <c r="G822" s="217"/>
      <c r="H822" s="218">
        <f>SUM(H809:H821)</f>
        <v>272277900</v>
      </c>
      <c r="I822" s="218">
        <f>SUM(I809:I821)</f>
        <v>230300903</v>
      </c>
      <c r="J822" s="217"/>
      <c r="K822" s="220">
        <f>+I822/H822</f>
        <v>0.84583031894986704</v>
      </c>
      <c r="L822" s="221">
        <f>(COUNTIF(L809:L821,"G*")/COUNTA(L809:L821))</f>
        <v>0.53846153846153844</v>
      </c>
      <c r="M822" s="223">
        <f>AVERAGE(M809:M821)</f>
        <v>5.384615384615385</v>
      </c>
      <c r="N822" s="219">
        <f>COUNTA(N809:N821)</f>
        <v>13</v>
      </c>
      <c r="O822" s="217"/>
      <c r="P822" s="217"/>
    </row>
    <row r="823" spans="3:31" x14ac:dyDescent="0.25">
      <c r="C823" s="38"/>
    </row>
    <row r="824" spans="3:31" x14ac:dyDescent="0.25">
      <c r="C824" s="38"/>
    </row>
    <row r="825" spans="3:31" x14ac:dyDescent="0.25">
      <c r="C825" s="38"/>
      <c r="D825" s="49" t="s">
        <v>55</v>
      </c>
      <c r="E825" s="49" t="s">
        <v>56</v>
      </c>
      <c r="F825" s="49" t="s">
        <v>57</v>
      </c>
      <c r="G825" s="50" t="s">
        <v>424</v>
      </c>
      <c r="H825" s="47" t="s">
        <v>58</v>
      </c>
      <c r="I825" s="47" t="s">
        <v>59</v>
      </c>
      <c r="J825" s="42" t="s">
        <v>456</v>
      </c>
      <c r="K825" s="47" t="s">
        <v>60</v>
      </c>
      <c r="L825" s="48" t="s">
        <v>61</v>
      </c>
      <c r="M825" s="47" t="s">
        <v>62</v>
      </c>
      <c r="N825" s="43" t="s">
        <v>225</v>
      </c>
    </row>
    <row r="826" spans="3:31" x14ac:dyDescent="0.25">
      <c r="C826" s="39">
        <v>2018</v>
      </c>
      <c r="D826" s="62" t="s">
        <v>1295</v>
      </c>
      <c r="E826" s="63" t="s">
        <v>1296</v>
      </c>
      <c r="F826" s="64">
        <v>43363</v>
      </c>
      <c r="G826" s="65" t="s">
        <v>1225</v>
      </c>
      <c r="H826" s="94">
        <v>1700000</v>
      </c>
      <c r="I826" s="94">
        <v>1560315</v>
      </c>
      <c r="J826" s="94"/>
      <c r="K826" s="26">
        <v>-8.2167647058823526E-2</v>
      </c>
      <c r="L826" s="11" t="s">
        <v>464</v>
      </c>
      <c r="M826" s="15">
        <v>2</v>
      </c>
      <c r="N826" s="35" t="s">
        <v>25</v>
      </c>
      <c r="O826" s="15">
        <v>3</v>
      </c>
      <c r="P826" s="35" t="s">
        <v>459</v>
      </c>
      <c r="Q826" s="35"/>
      <c r="R826" s="15"/>
      <c r="S826" s="24"/>
      <c r="T826" s="62" t="s">
        <v>447</v>
      </c>
      <c r="U826" s="62"/>
      <c r="V826" s="94">
        <v>2705657.5</v>
      </c>
      <c r="W826" s="199">
        <v>0.57668607353295831</v>
      </c>
      <c r="X826" s="15"/>
      <c r="Y826" s="200">
        <v>0.91783235294117649</v>
      </c>
      <c r="Z826" s="11" t="s">
        <v>465</v>
      </c>
      <c r="AA826" s="11"/>
      <c r="AB826" s="15"/>
      <c r="AC826" s="54">
        <v>1700000</v>
      </c>
      <c r="AD826" s="54">
        <v>1560315</v>
      </c>
      <c r="AE826" s="54">
        <v>139685</v>
      </c>
    </row>
    <row r="827" spans="3:31" x14ac:dyDescent="0.25">
      <c r="C827" s="39">
        <v>2018</v>
      </c>
      <c r="D827" s="62" t="s">
        <v>1297</v>
      </c>
      <c r="E827" s="63" t="s">
        <v>1298</v>
      </c>
      <c r="F827" s="64">
        <v>43356</v>
      </c>
      <c r="G827" s="65" t="s">
        <v>34</v>
      </c>
      <c r="H827" s="94">
        <v>5960000</v>
      </c>
      <c r="I827" s="94">
        <v>6956000</v>
      </c>
      <c r="J827" s="94"/>
      <c r="K827" s="26">
        <v>0.16711409395973154</v>
      </c>
      <c r="L827" s="11" t="s">
        <v>465</v>
      </c>
      <c r="M827" s="15">
        <v>4</v>
      </c>
      <c r="N827" s="35" t="s">
        <v>25</v>
      </c>
      <c r="O827" s="15">
        <v>3</v>
      </c>
      <c r="P827" s="35" t="s">
        <v>459</v>
      </c>
      <c r="Q827" s="35"/>
      <c r="R827" s="15"/>
      <c r="S827" s="24"/>
      <c r="T827" s="62" t="s">
        <v>447</v>
      </c>
      <c r="U827" s="62"/>
      <c r="V827" s="94">
        <v>8933697.75</v>
      </c>
      <c r="W827" s="199">
        <v>0.77862495403988785</v>
      </c>
      <c r="X827" s="15"/>
      <c r="Y827" s="200">
        <v>1.1671140939597315</v>
      </c>
      <c r="Z827" s="11" t="s">
        <v>465</v>
      </c>
      <c r="AA827" s="11"/>
      <c r="AB827" s="15"/>
      <c r="AC827" s="54">
        <v>5960000</v>
      </c>
      <c r="AD827" s="54">
        <v>6956000</v>
      </c>
      <c r="AE827" s="54">
        <v>-996000</v>
      </c>
    </row>
    <row r="828" spans="3:31" x14ac:dyDescent="0.25">
      <c r="C828" s="39">
        <v>2018</v>
      </c>
      <c r="D828" s="62" t="s">
        <v>1299</v>
      </c>
      <c r="E828" s="63" t="s">
        <v>1300</v>
      </c>
      <c r="F828" s="64">
        <v>43264</v>
      </c>
      <c r="G828" s="65" t="s">
        <v>34</v>
      </c>
      <c r="H828" s="94">
        <v>38600000</v>
      </c>
      <c r="I828" s="94">
        <v>35950000</v>
      </c>
      <c r="J828" s="94"/>
      <c r="K828" s="26">
        <v>-6.8652849740932637E-2</v>
      </c>
      <c r="L828" s="11" t="s">
        <v>464</v>
      </c>
      <c r="M828" s="15">
        <v>2</v>
      </c>
      <c r="N828" s="35" t="s">
        <v>25</v>
      </c>
      <c r="O828" s="15">
        <v>2</v>
      </c>
      <c r="P828" s="35" t="s">
        <v>459</v>
      </c>
      <c r="Q828" s="35"/>
      <c r="R828" s="15"/>
      <c r="S828" s="24"/>
      <c r="T828" s="62" t="s">
        <v>447</v>
      </c>
      <c r="U828" s="62"/>
      <c r="V828" s="94">
        <v>39922000</v>
      </c>
      <c r="W828" s="199">
        <v>0.90050598667401438</v>
      </c>
      <c r="X828" s="15"/>
      <c r="Y828" s="200">
        <v>0.93134715025906734</v>
      </c>
      <c r="Z828" s="11" t="s">
        <v>465</v>
      </c>
      <c r="AA828" s="11"/>
      <c r="AB828" s="15"/>
      <c r="AC828" s="54">
        <v>38600000</v>
      </c>
      <c r="AD828" s="54">
        <v>35950000</v>
      </c>
      <c r="AE828" s="54">
        <v>2650000</v>
      </c>
    </row>
    <row r="829" spans="3:31" x14ac:dyDescent="0.25">
      <c r="C829" s="39">
        <v>2018</v>
      </c>
      <c r="D829" s="62" t="s">
        <v>1301</v>
      </c>
      <c r="E829" s="63" t="s">
        <v>1302</v>
      </c>
      <c r="F829" s="64">
        <v>43251</v>
      </c>
      <c r="G829" s="65" t="s">
        <v>34</v>
      </c>
      <c r="H829" s="94">
        <v>1567000</v>
      </c>
      <c r="I829" s="94">
        <v>918315</v>
      </c>
      <c r="J829" s="94"/>
      <c r="K829" s="26">
        <v>-0.41396617740906189</v>
      </c>
      <c r="L829" s="11" t="s">
        <v>464</v>
      </c>
      <c r="M829" s="15">
        <v>5</v>
      </c>
      <c r="N829" s="35" t="s">
        <v>25</v>
      </c>
      <c r="O829" s="15">
        <v>2</v>
      </c>
      <c r="P829" s="35" t="s">
        <v>459</v>
      </c>
      <c r="Q829" s="35"/>
      <c r="R829" s="15"/>
      <c r="S829" s="24" t="s">
        <v>932</v>
      </c>
      <c r="T829" s="62" t="s">
        <v>816</v>
      </c>
      <c r="U829" s="62"/>
      <c r="V829" s="94">
        <v>2609788.4</v>
      </c>
      <c r="W829" s="199">
        <v>0.351873354943259</v>
      </c>
      <c r="X829" s="15"/>
      <c r="Y829" s="200">
        <v>0.58603382259093806</v>
      </c>
      <c r="Z829" s="11" t="s">
        <v>465</v>
      </c>
      <c r="AA829" s="11"/>
      <c r="AB829" s="15"/>
      <c r="AC829" s="54">
        <v>1567000</v>
      </c>
      <c r="AD829" s="54">
        <v>918315</v>
      </c>
      <c r="AE829" s="54">
        <v>648685</v>
      </c>
    </row>
    <row r="830" spans="3:31" x14ac:dyDescent="0.25">
      <c r="C830" s="39">
        <v>2018</v>
      </c>
      <c r="D830" s="62" t="s">
        <v>1303</v>
      </c>
      <c r="E830" s="63" t="s">
        <v>1304</v>
      </c>
      <c r="F830" s="64">
        <v>43195</v>
      </c>
      <c r="G830" s="65" t="s">
        <v>34</v>
      </c>
      <c r="H830" s="94">
        <v>1520000</v>
      </c>
      <c r="I830" s="94">
        <v>856934</v>
      </c>
      <c r="J830" s="94"/>
      <c r="K830" s="26">
        <v>-0.43622763157894739</v>
      </c>
      <c r="L830" s="11" t="s">
        <v>464</v>
      </c>
      <c r="M830" s="15">
        <v>4</v>
      </c>
      <c r="N830" s="35" t="s">
        <v>25</v>
      </c>
      <c r="O830" s="15">
        <v>2</v>
      </c>
      <c r="P830" s="35" t="s">
        <v>459</v>
      </c>
      <c r="Q830" s="35" t="s">
        <v>1242</v>
      </c>
      <c r="R830" s="15"/>
      <c r="S830" s="24" t="s">
        <v>932</v>
      </c>
      <c r="T830" s="62" t="s">
        <v>447</v>
      </c>
      <c r="U830" s="62"/>
      <c r="V830" s="94">
        <v>1906983.5</v>
      </c>
      <c r="W830" s="199">
        <v>0.4493662373061959</v>
      </c>
      <c r="X830" s="15"/>
      <c r="Y830" s="200">
        <v>0.56377236842105261</v>
      </c>
      <c r="Z830" s="11" t="s">
        <v>465</v>
      </c>
      <c r="AA830" s="11"/>
      <c r="AB830" s="15"/>
      <c r="AC830" s="54">
        <v>1520000</v>
      </c>
      <c r="AD830" s="54">
        <v>856934</v>
      </c>
      <c r="AE830" s="54">
        <v>663066</v>
      </c>
    </row>
    <row r="831" spans="3:31" x14ac:dyDescent="0.25">
      <c r="C831" s="39">
        <v>2018</v>
      </c>
      <c r="D831" s="62" t="s">
        <v>1305</v>
      </c>
      <c r="E831" s="63" t="s">
        <v>1306</v>
      </c>
      <c r="F831" s="64">
        <v>43167</v>
      </c>
      <c r="G831" s="65" t="s">
        <v>34</v>
      </c>
      <c r="H831" s="94">
        <v>1600000</v>
      </c>
      <c r="I831" s="94">
        <v>1948000</v>
      </c>
      <c r="J831" s="94"/>
      <c r="K831" s="26">
        <v>0.2175</v>
      </c>
      <c r="L831" s="11" t="s">
        <v>465</v>
      </c>
      <c r="M831" s="15">
        <v>2</v>
      </c>
      <c r="N831" s="35" t="s">
        <v>25</v>
      </c>
      <c r="O831" s="15">
        <v>1</v>
      </c>
      <c r="P831" s="35" t="s">
        <v>459</v>
      </c>
      <c r="Q831" s="35" t="s">
        <v>1243</v>
      </c>
      <c r="R831" s="15"/>
      <c r="S831" s="24"/>
      <c r="T831" s="62" t="s">
        <v>447</v>
      </c>
      <c r="U831" s="62"/>
      <c r="V831" s="94">
        <v>2353500</v>
      </c>
      <c r="W831" s="199">
        <v>0.82770342043764611</v>
      </c>
      <c r="X831" s="15"/>
      <c r="Y831" s="200">
        <v>1.2175</v>
      </c>
      <c r="Z831" s="11" t="s">
        <v>465</v>
      </c>
      <c r="AA831" s="11"/>
      <c r="AB831" s="15"/>
      <c r="AC831" s="54">
        <v>1600000</v>
      </c>
      <c r="AD831" s="54">
        <v>1948000</v>
      </c>
      <c r="AE831" s="54">
        <v>-348000</v>
      </c>
    </row>
    <row r="832" spans="3:31" x14ac:dyDescent="0.25">
      <c r="C832" s="39">
        <v>2018</v>
      </c>
      <c r="D832" s="62" t="s">
        <v>1307</v>
      </c>
      <c r="E832" s="63" t="s">
        <v>1308</v>
      </c>
      <c r="F832" s="64">
        <v>43118</v>
      </c>
      <c r="G832" s="65" t="s">
        <v>756</v>
      </c>
      <c r="H832" s="94">
        <v>26900000</v>
      </c>
      <c r="I832" s="94">
        <v>24990000</v>
      </c>
      <c r="J832" s="94"/>
      <c r="K832" s="26">
        <v>-7.1003717472118963E-2</v>
      </c>
      <c r="L832" s="11" t="s">
        <v>464</v>
      </c>
      <c r="M832" s="15">
        <v>2</v>
      </c>
      <c r="N832" s="35" t="s">
        <v>226</v>
      </c>
      <c r="O832" s="15">
        <v>1</v>
      </c>
      <c r="P832" s="35" t="s">
        <v>459</v>
      </c>
      <c r="Q832" s="35" t="s">
        <v>1246</v>
      </c>
      <c r="R832" s="15"/>
      <c r="S832" s="24"/>
      <c r="T832" s="62" t="s">
        <v>447</v>
      </c>
      <c r="U832" s="62"/>
      <c r="V832" s="94">
        <v>35017000</v>
      </c>
      <c r="W832" s="199">
        <v>0.71365336836393756</v>
      </c>
      <c r="X832" s="15"/>
      <c r="Y832" s="200">
        <v>0.92899628252788102</v>
      </c>
      <c r="Z832" s="11" t="s">
        <v>465</v>
      </c>
      <c r="AA832" s="11"/>
      <c r="AB832" s="15"/>
      <c r="AC832" s="54">
        <v>26900000</v>
      </c>
      <c r="AD832" s="54">
        <v>24990000</v>
      </c>
      <c r="AE832" s="54">
        <v>1910000</v>
      </c>
    </row>
    <row r="833" spans="3:31" x14ac:dyDescent="0.25">
      <c r="C833" s="39">
        <v>2018</v>
      </c>
      <c r="D833" s="62" t="s">
        <v>1309</v>
      </c>
      <c r="E833" s="63" t="s">
        <v>1310</v>
      </c>
      <c r="F833" s="64">
        <v>43110</v>
      </c>
      <c r="G833" s="65" t="s">
        <v>190</v>
      </c>
      <c r="H833" s="94">
        <v>200000000</v>
      </c>
      <c r="I833" s="94">
        <v>108511400</v>
      </c>
      <c r="J833" s="94"/>
      <c r="K833" s="26">
        <v>-0.45744299999999999</v>
      </c>
      <c r="L833" s="11" t="s">
        <v>465</v>
      </c>
      <c r="M833" s="15">
        <v>5</v>
      </c>
      <c r="N833" s="35" t="s">
        <v>226</v>
      </c>
      <c r="O833" s="15">
        <v>1</v>
      </c>
      <c r="P833" s="35" t="s">
        <v>459</v>
      </c>
      <c r="Q833" s="35" t="s">
        <v>1246</v>
      </c>
      <c r="R833" s="15"/>
      <c r="S833" s="24" t="s">
        <v>932</v>
      </c>
      <c r="T833" s="62" t="s">
        <v>447</v>
      </c>
      <c r="U833" s="62"/>
      <c r="V833" s="94">
        <v>136419680</v>
      </c>
      <c r="W833" s="199">
        <v>0.79542335827206168</v>
      </c>
      <c r="X833" s="15"/>
      <c r="Y833" s="200">
        <v>0.54255699999999996</v>
      </c>
      <c r="Z833" s="11" t="s">
        <v>465</v>
      </c>
      <c r="AA833" s="11"/>
      <c r="AB833" s="15"/>
      <c r="AC833" s="54">
        <v>200000000</v>
      </c>
      <c r="AD833" s="54">
        <v>108511400</v>
      </c>
      <c r="AE833" s="54">
        <v>91488600</v>
      </c>
    </row>
    <row r="834" spans="3:31" x14ac:dyDescent="0.25">
      <c r="E834" s="222" t="s">
        <v>1311</v>
      </c>
      <c r="F834" s="217"/>
      <c r="G834" s="217"/>
      <c r="H834" s="218">
        <f>SUM(H826:H833)</f>
        <v>277847000</v>
      </c>
      <c r="I834" s="218">
        <f>SUM(I826:I833)</f>
        <v>181690964</v>
      </c>
      <c r="J834" s="217"/>
      <c r="K834" s="220">
        <f>+I834/H834</f>
        <v>0.65392451241150706</v>
      </c>
      <c r="L834" s="221">
        <f>(COUNTIF(L826:L833,"G*")/COUNTA(L826:L833))</f>
        <v>0.625</v>
      </c>
      <c r="M834" s="223">
        <f>AVERAGE(M826:M833)</f>
        <v>3.25</v>
      </c>
      <c r="N834" s="219">
        <f>COUNTA(N826:N833)</f>
        <v>8</v>
      </c>
      <c r="O834" s="217"/>
      <c r="P834" s="217"/>
    </row>
    <row r="837" spans="3:31" s="163" customFormat="1" x14ac:dyDescent="0.25">
      <c r="N837" s="165"/>
    </row>
  </sheetData>
  <mergeCells count="1">
    <mergeCell ref="K600:L600"/>
  </mergeCells>
  <conditionalFormatting sqref="L121:L123 L658:L665 L686:L692 L713:L715 L623:L637 L297:L299 L539:L554 L301:L330">
    <cfRule type="containsText" dxfId="4903" priority="369" operator="containsText" text="FAIL">
      <formula>NOT(ISERROR(SEARCH("FAIL",L121)))</formula>
    </cfRule>
  </conditionalFormatting>
  <conditionalFormatting sqref="L121:L123 L658:L665 L686:L692 L713:L715 L623:L637 L297:L299 L539:L554 L301:L330">
    <cfRule type="containsText" dxfId="4902" priority="368" operator="containsText" text="GOOD">
      <formula>NOT(ISERROR(SEARCH("GOOD",L121)))</formula>
    </cfRule>
  </conditionalFormatting>
  <conditionalFormatting sqref="L52 L54">
    <cfRule type="containsText" dxfId="4901" priority="365" operator="containsText" text="FAIL">
      <formula>NOT(ISERROR(SEARCH("FAIL",L52)))</formula>
    </cfRule>
  </conditionalFormatting>
  <conditionalFormatting sqref="L52 L54">
    <cfRule type="containsText" dxfId="4900" priority="364" operator="containsText" text="GOOD">
      <formula>NOT(ISERROR(SEARCH("GOOD",L52)))</formula>
    </cfRule>
  </conditionalFormatting>
  <conditionalFormatting sqref="L51">
    <cfRule type="containsText" dxfId="4899" priority="363" operator="containsText" text="FAIL">
      <formula>NOT(ISERROR(SEARCH("FAIL",L51)))</formula>
    </cfRule>
  </conditionalFormatting>
  <conditionalFormatting sqref="L51">
    <cfRule type="containsText" dxfId="4898" priority="362" operator="containsText" text="GOOD">
      <formula>NOT(ISERROR(SEARCH("GOOD",L51)))</formula>
    </cfRule>
  </conditionalFormatting>
  <conditionalFormatting sqref="L158">
    <cfRule type="containsText" dxfId="4897" priority="361" operator="containsText" text="FAIL">
      <formula>NOT(ISERROR(SEARCH("FAIL",L158)))</formula>
    </cfRule>
  </conditionalFormatting>
  <conditionalFormatting sqref="L158">
    <cfRule type="containsText" dxfId="4896" priority="360" operator="containsText" text="GOOD">
      <formula>NOT(ISERROR(SEARCH("GOOD",L158)))</formula>
    </cfRule>
  </conditionalFormatting>
  <conditionalFormatting sqref="L160:L180 L182:L190">
    <cfRule type="containsText" dxfId="4895" priority="359" operator="containsText" text="FAIL">
      <formula>NOT(ISERROR(SEARCH("FAIL",L160)))</formula>
    </cfRule>
  </conditionalFormatting>
  <conditionalFormatting sqref="L160:L180 L182:L190">
    <cfRule type="containsText" dxfId="4894" priority="358" operator="containsText" text="GOOD">
      <formula>NOT(ISERROR(SEARCH("GOOD",L160)))</formula>
    </cfRule>
  </conditionalFormatting>
  <conditionalFormatting sqref="L181">
    <cfRule type="containsText" dxfId="4893" priority="357" operator="containsText" text="FAIL">
      <formula>NOT(ISERROR(SEARCH("FAIL",L181)))</formula>
    </cfRule>
  </conditionalFormatting>
  <conditionalFormatting sqref="L181">
    <cfRule type="containsText" dxfId="4892" priority="356" operator="containsText" text="GOOD">
      <formula>NOT(ISERROR(SEARCH("GOOD",L181)))</formula>
    </cfRule>
  </conditionalFormatting>
  <conditionalFormatting sqref="L222:L230">
    <cfRule type="containsText" dxfId="4891" priority="355" operator="containsText" text="FAIL">
      <formula>NOT(ISERROR(SEARCH("FAIL",L222)))</formula>
    </cfRule>
  </conditionalFormatting>
  <conditionalFormatting sqref="L222:L230">
    <cfRule type="containsText" dxfId="4890" priority="354" operator="containsText" text="GOOD">
      <formula>NOT(ISERROR(SEARCH("GOOD",L222)))</formula>
    </cfRule>
  </conditionalFormatting>
  <conditionalFormatting sqref="L194 L196:L218">
    <cfRule type="containsText" dxfId="4889" priority="353" operator="containsText" text="FAIL">
      <formula>NOT(ISERROR(SEARCH("FAIL",L194)))</formula>
    </cfRule>
  </conditionalFormatting>
  <conditionalFormatting sqref="L194 L196:L218">
    <cfRule type="containsText" dxfId="4888" priority="352" operator="containsText" text="GOOD">
      <formula>NOT(ISERROR(SEARCH("GOOD",L194)))</formula>
    </cfRule>
  </conditionalFormatting>
  <conditionalFormatting sqref="L258:L274">
    <cfRule type="containsText" dxfId="4887" priority="351" operator="containsText" text="FAIL">
      <formula>NOT(ISERROR(SEARCH("FAIL",L258)))</formula>
    </cfRule>
  </conditionalFormatting>
  <conditionalFormatting sqref="L258:L274">
    <cfRule type="containsText" dxfId="4886" priority="350" operator="containsText" text="GOOD">
      <formula>NOT(ISERROR(SEARCH("GOOD",L258)))</formula>
    </cfRule>
  </conditionalFormatting>
  <conditionalFormatting sqref="L354:L363">
    <cfRule type="containsText" dxfId="4885" priority="349" operator="containsText" text="FAIL">
      <formula>NOT(ISERROR(SEARCH("FAIL",L354)))</formula>
    </cfRule>
  </conditionalFormatting>
  <conditionalFormatting sqref="L354:L363">
    <cfRule type="containsText" dxfId="4884" priority="348" operator="containsText" text="GOOD">
      <formula>NOT(ISERROR(SEARCH("GOOD",L354)))</formula>
    </cfRule>
  </conditionalFormatting>
  <conditionalFormatting sqref="L386:L389">
    <cfRule type="containsText" dxfId="4883" priority="347" operator="containsText" text="FAIL">
      <formula>NOT(ISERROR(SEARCH("FAIL",L386)))</formula>
    </cfRule>
  </conditionalFormatting>
  <conditionalFormatting sqref="L386:L389">
    <cfRule type="containsText" dxfId="4882" priority="346" operator="containsText" text="GOOD">
      <formula>NOT(ISERROR(SEARCH("GOOD",L386)))</formula>
    </cfRule>
  </conditionalFormatting>
  <conditionalFormatting sqref="L524">
    <cfRule type="containsText" dxfId="4881" priority="345" operator="containsText" text="FAIL">
      <formula>NOT(ISERROR(SEARCH("FAIL",L524)))</formula>
    </cfRule>
  </conditionalFormatting>
  <conditionalFormatting sqref="L524">
    <cfRule type="containsText" dxfId="4880" priority="344" operator="containsText" text="GOOD">
      <formula>NOT(ISERROR(SEARCH("GOOD",L524)))</formula>
    </cfRule>
  </conditionalFormatting>
  <conditionalFormatting sqref="L525:L534">
    <cfRule type="containsText" dxfId="4879" priority="343" operator="containsText" text="FAIL">
      <formula>NOT(ISERROR(SEARCH("FAIL",L525)))</formula>
    </cfRule>
  </conditionalFormatting>
  <conditionalFormatting sqref="L525:L534">
    <cfRule type="containsText" dxfId="4878" priority="342" operator="containsText" text="GOOD">
      <formula>NOT(ISERROR(SEARCH("GOOD",L525)))</formula>
    </cfRule>
  </conditionalFormatting>
  <conditionalFormatting sqref="L538">
    <cfRule type="containsText" dxfId="4877" priority="341" operator="containsText" text="FAIL">
      <formula>NOT(ISERROR(SEARCH("FAIL",L538)))</formula>
    </cfRule>
  </conditionalFormatting>
  <conditionalFormatting sqref="L538">
    <cfRule type="containsText" dxfId="4876" priority="340" operator="containsText" text="GOOD">
      <formula>NOT(ISERROR(SEARCH("GOOD",L538)))</formula>
    </cfRule>
  </conditionalFormatting>
  <conditionalFormatting sqref="L568 L570:L598">
    <cfRule type="containsText" dxfId="4875" priority="339" operator="containsText" text="FAIL">
      <formula>NOT(ISERROR(SEARCH("FAIL",L568)))</formula>
    </cfRule>
  </conditionalFormatting>
  <conditionalFormatting sqref="L568 L570:L598">
    <cfRule type="containsText" dxfId="4874" priority="338" operator="containsText" text="GOOD">
      <formula>NOT(ISERROR(SEARCH("GOOD",L568)))</formula>
    </cfRule>
  </conditionalFormatting>
  <conditionalFormatting sqref="L558:L563">
    <cfRule type="containsText" dxfId="4873" priority="337" operator="containsText" text="FAIL">
      <formula>NOT(ISERROR(SEARCH("FAIL",L558)))</formula>
    </cfRule>
  </conditionalFormatting>
  <conditionalFormatting sqref="L558:L563">
    <cfRule type="containsText" dxfId="4872" priority="336" operator="containsText" text="GOOD">
      <formula>NOT(ISERROR(SEARCH("GOOD",L558)))</formula>
    </cfRule>
  </conditionalFormatting>
  <conditionalFormatting sqref="L53">
    <cfRule type="containsText" dxfId="4871" priority="335" operator="containsText" text="FAIL">
      <formula>NOT(ISERROR(SEARCH("FAIL",L53)))</formula>
    </cfRule>
  </conditionalFormatting>
  <conditionalFormatting sqref="L53">
    <cfRule type="containsText" dxfId="4870" priority="334" operator="containsText" text="GOOD">
      <formula>NOT(ISERROR(SEARCH("GOOD",L53)))</formula>
    </cfRule>
  </conditionalFormatting>
  <conditionalFormatting sqref="L159">
    <cfRule type="containsText" dxfId="4869" priority="333" operator="containsText" text="FAIL">
      <formula>NOT(ISERROR(SEARCH("FAIL",L159)))</formula>
    </cfRule>
  </conditionalFormatting>
  <conditionalFormatting sqref="L159">
    <cfRule type="containsText" dxfId="4868" priority="332" operator="containsText" text="GOOD">
      <formula>NOT(ISERROR(SEARCH("GOOD",L159)))</formula>
    </cfRule>
  </conditionalFormatting>
  <conditionalFormatting sqref="L353">
    <cfRule type="containsText" dxfId="4867" priority="331" operator="containsText" text="FAIL">
      <formula>NOT(ISERROR(SEARCH("FAIL",L353)))</formula>
    </cfRule>
  </conditionalFormatting>
  <conditionalFormatting sqref="L353">
    <cfRule type="containsText" dxfId="4866" priority="330" operator="containsText" text="GOOD">
      <formula>NOT(ISERROR(SEARCH("GOOD",L353)))</formula>
    </cfRule>
  </conditionalFormatting>
  <conditionalFormatting sqref="L567">
    <cfRule type="containsText" dxfId="4865" priority="329" operator="containsText" text="FAIL">
      <formula>NOT(ISERROR(SEARCH("FAIL",L567)))</formula>
    </cfRule>
  </conditionalFormatting>
  <conditionalFormatting sqref="L567">
    <cfRule type="containsText" dxfId="4864" priority="328" operator="containsText" text="GOOD">
      <formula>NOT(ISERROR(SEARCH("GOOD",L567)))</formula>
    </cfRule>
  </conditionalFormatting>
  <conditionalFormatting sqref="L414">
    <cfRule type="containsText" dxfId="4863" priority="325" operator="containsText" text="FAIL">
      <formula>NOT(ISERROR(SEARCH("FAIL",L414)))</formula>
    </cfRule>
  </conditionalFormatting>
  <conditionalFormatting sqref="L414">
    <cfRule type="containsText" dxfId="4862" priority="324" operator="containsText" text="GOOD">
      <formula>NOT(ISERROR(SEARCH("GOOD",L414)))</formula>
    </cfRule>
  </conditionalFormatting>
  <conditionalFormatting sqref="L421">
    <cfRule type="containsText" dxfId="4861" priority="323" operator="containsText" text="FAIL">
      <formula>NOT(ISERROR(SEARCH("FAIL",L421)))</formula>
    </cfRule>
  </conditionalFormatting>
  <conditionalFormatting sqref="L421">
    <cfRule type="containsText" dxfId="4860" priority="322" operator="containsText" text="GOOD">
      <formula>NOT(ISERROR(SEARCH("GOOD",L421)))</formula>
    </cfRule>
  </conditionalFormatting>
  <conditionalFormatting sqref="L418">
    <cfRule type="containsText" dxfId="4859" priority="320" operator="containsText" text="FAIL">
      <formula>NOT(ISERROR(SEARCH("FAIL",L418)))</formula>
    </cfRule>
  </conditionalFormatting>
  <conditionalFormatting sqref="L418">
    <cfRule type="containsText" dxfId="4858" priority="319" operator="containsText" text="GOOD">
      <formula>NOT(ISERROR(SEARCH("GOOD",L418)))</formula>
    </cfRule>
  </conditionalFormatting>
  <conditionalFormatting sqref="L422:L428">
    <cfRule type="containsText" dxfId="4857" priority="318" operator="containsText" text="FAIL">
      <formula>NOT(ISERROR(SEARCH("FAIL",L422)))</formula>
    </cfRule>
  </conditionalFormatting>
  <conditionalFormatting sqref="L422:L428">
    <cfRule type="containsText" dxfId="4856" priority="317" operator="containsText" text="GOOD">
      <formula>NOT(ISERROR(SEARCH("GOOD",L422)))</formula>
    </cfRule>
  </conditionalFormatting>
  <conditionalFormatting sqref="L431:L446 L448:L500">
    <cfRule type="containsText" dxfId="4855" priority="316" operator="containsText" text="FAIL">
      <formula>NOT(ISERROR(SEARCH("FAIL",L431)))</formula>
    </cfRule>
  </conditionalFormatting>
  <conditionalFormatting sqref="L431:L446 L448:L500">
    <cfRule type="containsText" dxfId="4854" priority="315" operator="containsText" text="GOOD">
      <formula>NOT(ISERROR(SEARCH("GOOD",L431)))</formula>
    </cfRule>
  </conditionalFormatting>
  <conditionalFormatting sqref="K503">
    <cfRule type="containsText" dxfId="4853" priority="314" operator="containsText" text="FAIL">
      <formula>NOT(ISERROR(SEARCH("FAIL",K503)))</formula>
    </cfRule>
  </conditionalFormatting>
  <conditionalFormatting sqref="K503">
    <cfRule type="containsText" dxfId="4852" priority="313" operator="containsText" text="GOOD">
      <formula>NOT(ISERROR(SEARCH("GOOD",K503)))</formula>
    </cfRule>
  </conditionalFormatting>
  <conditionalFormatting sqref="L195">
    <cfRule type="containsText" dxfId="4851" priority="312" operator="containsText" text="FAIL">
      <formula>NOT(ISERROR(SEARCH("FAIL",L195)))</formula>
    </cfRule>
  </conditionalFormatting>
  <conditionalFormatting sqref="L195">
    <cfRule type="containsText" dxfId="4850" priority="311" operator="containsText" text="GOOD">
      <formula>NOT(ISERROR(SEARCH("GOOD",L195)))</formula>
    </cfRule>
  </conditionalFormatting>
  <conditionalFormatting sqref="Z51">
    <cfRule type="containsText" dxfId="4849" priority="310" operator="containsText" text="FAIL">
      <formula>NOT(ISERROR(SEARCH("FAIL",Z51)))</formula>
    </cfRule>
  </conditionalFormatting>
  <conditionalFormatting sqref="Z51">
    <cfRule type="containsText" dxfId="4848" priority="309" operator="containsText" text="GOOD">
      <formula>NOT(ISERROR(SEARCH("GOOD",Z51)))</formula>
    </cfRule>
  </conditionalFormatting>
  <conditionalFormatting sqref="Z51">
    <cfRule type="containsText" dxfId="4847" priority="308" operator="containsText" text="FAIL">
      <formula>NOT(ISERROR(SEARCH("FAIL",Z51)))</formula>
    </cfRule>
  </conditionalFormatting>
  <conditionalFormatting sqref="Z51">
    <cfRule type="containsText" dxfId="4846" priority="307" operator="containsText" text="GOOD">
      <formula>NOT(ISERROR(SEARCH("GOOD",Z51)))</formula>
    </cfRule>
  </conditionalFormatting>
  <conditionalFormatting sqref="L447">
    <cfRule type="containsText" dxfId="4845" priority="303" operator="containsText" text="GOOD">
      <formula>NOT(ISERROR(SEARCH("GOOD",L447)))</formula>
    </cfRule>
  </conditionalFormatting>
  <conditionalFormatting sqref="L300">
    <cfRule type="containsText" dxfId="4844" priority="306" operator="containsText" text="FAIL">
      <formula>NOT(ISERROR(SEARCH("FAIL",L300)))</formula>
    </cfRule>
  </conditionalFormatting>
  <conditionalFormatting sqref="L300">
    <cfRule type="containsText" dxfId="4843" priority="305" operator="containsText" text="GOOD">
      <formula>NOT(ISERROR(SEARCH("GOOD",L300)))</formula>
    </cfRule>
  </conditionalFormatting>
  <conditionalFormatting sqref="L447">
    <cfRule type="containsText" dxfId="4842" priority="304" operator="containsText" text="FAIL">
      <formula>NOT(ISERROR(SEARCH("FAIL",L447)))</formula>
    </cfRule>
  </conditionalFormatting>
  <conditionalFormatting sqref="L569">
    <cfRule type="containsText" dxfId="4841" priority="301" operator="containsText" text="GOOD">
      <formula>NOT(ISERROR(SEARCH("GOOD",L569)))</formula>
    </cfRule>
  </conditionalFormatting>
  <conditionalFormatting sqref="L569">
    <cfRule type="containsText" dxfId="4840" priority="302" operator="containsText" text="FAIL">
      <formula>NOT(ISERROR(SEARCH("FAIL",L569)))</formula>
    </cfRule>
  </conditionalFormatting>
  <conditionalFormatting sqref="L657">
    <cfRule type="containsText" dxfId="4839" priority="299" operator="containsText" text="GOOD">
      <formula>NOT(ISERROR(SEARCH("GOOD",L657)))</formula>
    </cfRule>
  </conditionalFormatting>
  <conditionalFormatting sqref="L657">
    <cfRule type="containsText" dxfId="4838" priority="300" operator="containsText" text="FAIL">
      <formula>NOT(ISERROR(SEARCH("FAIL",L657)))</formula>
    </cfRule>
  </conditionalFormatting>
  <conditionalFormatting sqref="L20">
    <cfRule type="containsText" dxfId="4837" priority="298" operator="containsText" text="FAIL">
      <formula>NOT(ISERROR(SEARCH("FAIL",L20)))</formula>
    </cfRule>
  </conditionalFormatting>
  <conditionalFormatting sqref="L20">
    <cfRule type="containsText" dxfId="4836" priority="297" operator="containsText" text="GOOD">
      <formula>NOT(ISERROR(SEARCH("GOOD",L20)))</formula>
    </cfRule>
  </conditionalFormatting>
  <conditionalFormatting sqref="Z20:AA20">
    <cfRule type="containsText" dxfId="4835" priority="296" operator="containsText" text="FAIL">
      <formula>NOT(ISERROR(SEARCH("FAIL",Z20)))</formula>
    </cfRule>
  </conditionalFormatting>
  <conditionalFormatting sqref="Z20:AA20">
    <cfRule type="containsText" dxfId="4834" priority="295" operator="containsText" text="GOOD">
      <formula>NOT(ISERROR(SEARCH("GOOD",Z20)))</formula>
    </cfRule>
  </conditionalFormatting>
  <conditionalFormatting sqref="B20">
    <cfRule type="containsText" dxfId="4833" priority="294" operator="containsText" text="FAIL">
      <formula>NOT(ISERROR(SEARCH("FAIL",B20)))</formula>
    </cfRule>
  </conditionalFormatting>
  <conditionalFormatting sqref="B20">
    <cfRule type="containsText" dxfId="4832" priority="293" operator="containsText" text="GOOD">
      <formula>NOT(ISERROR(SEARCH("GOOD",B20)))</formula>
    </cfRule>
  </conditionalFormatting>
  <conditionalFormatting sqref="L19">
    <cfRule type="containsText" dxfId="4831" priority="292" operator="containsText" text="FAIL">
      <formula>NOT(ISERROR(SEARCH("FAIL",L19)))</formula>
    </cfRule>
  </conditionalFormatting>
  <conditionalFormatting sqref="L19">
    <cfRule type="containsText" dxfId="4830" priority="291" operator="containsText" text="GOOD">
      <formula>NOT(ISERROR(SEARCH("GOOD",L19)))</formula>
    </cfRule>
  </conditionalFormatting>
  <conditionalFormatting sqref="Z19:AA19">
    <cfRule type="containsText" dxfId="4829" priority="290" operator="containsText" text="FAIL">
      <formula>NOT(ISERROR(SEARCH("FAIL",Z19)))</formula>
    </cfRule>
  </conditionalFormatting>
  <conditionalFormatting sqref="Z19:AA19">
    <cfRule type="containsText" dxfId="4828" priority="289" operator="containsText" text="GOOD">
      <formula>NOT(ISERROR(SEARCH("GOOD",Z19)))</formula>
    </cfRule>
  </conditionalFormatting>
  <conditionalFormatting sqref="L18">
    <cfRule type="containsText" dxfId="4827" priority="288" operator="containsText" text="FAIL">
      <formula>NOT(ISERROR(SEARCH("FAIL",L18)))</formula>
    </cfRule>
  </conditionalFormatting>
  <conditionalFormatting sqref="L18">
    <cfRule type="containsText" dxfId="4826" priority="287" operator="containsText" text="GOOD">
      <formula>NOT(ISERROR(SEARCH("GOOD",L18)))</formula>
    </cfRule>
  </conditionalFormatting>
  <conditionalFormatting sqref="Z18:AA18">
    <cfRule type="containsText" dxfId="4825" priority="286" operator="containsText" text="FAIL">
      <formula>NOT(ISERROR(SEARCH("FAIL",Z18)))</formula>
    </cfRule>
  </conditionalFormatting>
  <conditionalFormatting sqref="Z18:AA18">
    <cfRule type="containsText" dxfId="4824" priority="285" operator="containsText" text="GOOD">
      <formula>NOT(ISERROR(SEARCH("GOOD",Z18)))</formula>
    </cfRule>
  </conditionalFormatting>
  <conditionalFormatting sqref="L15:L16">
    <cfRule type="containsText" dxfId="4823" priority="284" operator="containsText" text="FAIL">
      <formula>NOT(ISERROR(SEARCH("FAIL",L15)))</formula>
    </cfRule>
  </conditionalFormatting>
  <conditionalFormatting sqref="L15:L16">
    <cfRule type="containsText" dxfId="4822" priority="283" operator="containsText" text="GOOD">
      <formula>NOT(ISERROR(SEARCH("GOOD",L15)))</formula>
    </cfRule>
  </conditionalFormatting>
  <conditionalFormatting sqref="Z15:AA16">
    <cfRule type="containsText" dxfId="4821" priority="282" operator="containsText" text="FAIL">
      <formula>NOT(ISERROR(SEARCH("FAIL",Z15)))</formula>
    </cfRule>
  </conditionalFormatting>
  <conditionalFormatting sqref="Z15:AA16">
    <cfRule type="containsText" dxfId="4820" priority="281" operator="containsText" text="GOOD">
      <formula>NOT(ISERROR(SEARCH("GOOD",Z15)))</formula>
    </cfRule>
  </conditionalFormatting>
  <conditionalFormatting sqref="L14">
    <cfRule type="containsText" dxfId="4819" priority="280" operator="containsText" text="FAIL">
      <formula>NOT(ISERROR(SEARCH("FAIL",L14)))</formula>
    </cfRule>
  </conditionalFormatting>
  <conditionalFormatting sqref="L14">
    <cfRule type="containsText" dxfId="4818" priority="279" operator="containsText" text="GOOD">
      <formula>NOT(ISERROR(SEARCH("GOOD",L14)))</formula>
    </cfRule>
  </conditionalFormatting>
  <conditionalFormatting sqref="Z14:AA14">
    <cfRule type="containsText" dxfId="4817" priority="278" operator="containsText" text="FAIL">
      <formula>NOT(ISERROR(SEARCH("FAIL",Z14)))</formula>
    </cfRule>
  </conditionalFormatting>
  <conditionalFormatting sqref="Z14:AA14">
    <cfRule type="containsText" dxfId="4816" priority="277" operator="containsText" text="GOOD">
      <formula>NOT(ISERROR(SEARCH("GOOD",Z14)))</formula>
    </cfRule>
  </conditionalFormatting>
  <conditionalFormatting sqref="L13">
    <cfRule type="containsText" dxfId="4815" priority="276" operator="containsText" text="FAIL">
      <formula>NOT(ISERROR(SEARCH("FAIL",L13)))</formula>
    </cfRule>
  </conditionalFormatting>
  <conditionalFormatting sqref="L13">
    <cfRule type="containsText" dxfId="4814" priority="275" operator="containsText" text="GOOD">
      <formula>NOT(ISERROR(SEARCH("GOOD",L13)))</formula>
    </cfRule>
  </conditionalFormatting>
  <conditionalFormatting sqref="Z13:AA13">
    <cfRule type="containsText" dxfId="4813" priority="274" operator="containsText" text="FAIL">
      <formula>NOT(ISERROR(SEARCH("FAIL",Z13)))</formula>
    </cfRule>
  </conditionalFormatting>
  <conditionalFormatting sqref="Z13:AA13">
    <cfRule type="containsText" dxfId="4812" priority="273" operator="containsText" text="GOOD">
      <formula>NOT(ISERROR(SEARCH("GOOD",Z13)))</formula>
    </cfRule>
  </conditionalFormatting>
  <conditionalFormatting sqref="L12">
    <cfRule type="containsText" dxfId="4811" priority="272" operator="containsText" text="FAIL">
      <formula>NOT(ISERROR(SEARCH("FAIL",L12)))</formula>
    </cfRule>
  </conditionalFormatting>
  <conditionalFormatting sqref="L12">
    <cfRule type="containsText" dxfId="4810" priority="271" operator="containsText" text="GOOD">
      <formula>NOT(ISERROR(SEARCH("GOOD",L12)))</formula>
    </cfRule>
  </conditionalFormatting>
  <conditionalFormatting sqref="Z12:AA12">
    <cfRule type="containsText" dxfId="4809" priority="270" operator="containsText" text="FAIL">
      <formula>NOT(ISERROR(SEARCH("FAIL",Z12)))</formula>
    </cfRule>
  </conditionalFormatting>
  <conditionalFormatting sqref="Z12:AA12">
    <cfRule type="containsText" dxfId="4808" priority="269" operator="containsText" text="GOOD">
      <formula>NOT(ISERROR(SEARCH("GOOD",Z12)))</formula>
    </cfRule>
  </conditionalFormatting>
  <conditionalFormatting sqref="L17">
    <cfRule type="containsText" dxfId="4807" priority="268" operator="containsText" text="FAIL">
      <formula>NOT(ISERROR(SEARCH("FAIL",L17)))</formula>
    </cfRule>
  </conditionalFormatting>
  <conditionalFormatting sqref="L17">
    <cfRule type="containsText" dxfId="4806" priority="267" operator="containsText" text="GOOD">
      <formula>NOT(ISERROR(SEARCH("GOOD",L17)))</formula>
    </cfRule>
  </conditionalFormatting>
  <conditionalFormatting sqref="Z17:AA17">
    <cfRule type="containsText" dxfId="4805" priority="266" operator="containsText" text="FAIL">
      <formula>NOT(ISERROR(SEARCH("FAIL",Z17)))</formula>
    </cfRule>
  </conditionalFormatting>
  <conditionalFormatting sqref="Z17:AA17">
    <cfRule type="containsText" dxfId="4804" priority="265" operator="containsText" text="GOOD">
      <formula>NOT(ISERROR(SEARCH("GOOD",Z17)))</formula>
    </cfRule>
  </conditionalFormatting>
  <conditionalFormatting sqref="L11">
    <cfRule type="containsText" dxfId="4803" priority="264" operator="containsText" text="FAIL">
      <formula>NOT(ISERROR(SEARCH("FAIL",L11)))</formula>
    </cfRule>
  </conditionalFormatting>
  <conditionalFormatting sqref="L11">
    <cfRule type="containsText" dxfId="4802" priority="263" operator="containsText" text="GOOD">
      <formula>NOT(ISERROR(SEARCH("GOOD",L11)))</formula>
    </cfRule>
  </conditionalFormatting>
  <conditionalFormatting sqref="Z11:AA11">
    <cfRule type="containsText" dxfId="4801" priority="262" operator="containsText" text="FAIL">
      <formula>NOT(ISERROR(SEARCH("FAIL",Z11)))</formula>
    </cfRule>
  </conditionalFormatting>
  <conditionalFormatting sqref="Z11:AA11">
    <cfRule type="containsText" dxfId="4800" priority="261" operator="containsText" text="GOOD">
      <formula>NOT(ISERROR(SEARCH("GOOD",Z11)))</formula>
    </cfRule>
  </conditionalFormatting>
  <conditionalFormatting sqref="L49">
    <cfRule type="containsText" dxfId="4799" priority="260" operator="containsText" text="FAIL">
      <formula>NOT(ISERROR(SEARCH("FAIL",L49)))</formula>
    </cfRule>
  </conditionalFormatting>
  <conditionalFormatting sqref="L49">
    <cfRule type="containsText" dxfId="4798" priority="259" operator="containsText" text="GOOD">
      <formula>NOT(ISERROR(SEARCH("GOOD",L49)))</formula>
    </cfRule>
  </conditionalFormatting>
  <conditionalFormatting sqref="L48">
    <cfRule type="containsText" dxfId="4797" priority="258" operator="containsText" text="FAIL">
      <formula>NOT(ISERROR(SEARCH("FAIL",L48)))</formula>
    </cfRule>
  </conditionalFormatting>
  <conditionalFormatting sqref="L48">
    <cfRule type="containsText" dxfId="4796" priority="257" operator="containsText" text="GOOD">
      <formula>NOT(ISERROR(SEARCH("GOOD",L48)))</formula>
    </cfRule>
  </conditionalFormatting>
  <conditionalFormatting sqref="L47">
    <cfRule type="containsText" dxfId="4795" priority="256" operator="containsText" text="FAIL">
      <formula>NOT(ISERROR(SEARCH("FAIL",L47)))</formula>
    </cfRule>
  </conditionalFormatting>
  <conditionalFormatting sqref="L47">
    <cfRule type="containsText" dxfId="4794" priority="255" operator="containsText" text="GOOD">
      <formula>NOT(ISERROR(SEARCH("GOOD",L47)))</formula>
    </cfRule>
  </conditionalFormatting>
  <conditionalFormatting sqref="L46">
    <cfRule type="containsText" dxfId="4793" priority="254" operator="containsText" text="FAIL">
      <formula>NOT(ISERROR(SEARCH("FAIL",L46)))</formula>
    </cfRule>
  </conditionalFormatting>
  <conditionalFormatting sqref="L46">
    <cfRule type="containsText" dxfId="4792" priority="253" operator="containsText" text="GOOD">
      <formula>NOT(ISERROR(SEARCH("GOOD",L46)))</formula>
    </cfRule>
  </conditionalFormatting>
  <conditionalFormatting sqref="L45">
    <cfRule type="containsText" dxfId="4791" priority="252" operator="containsText" text="FAIL">
      <formula>NOT(ISERROR(SEARCH("FAIL",L45)))</formula>
    </cfRule>
  </conditionalFormatting>
  <conditionalFormatting sqref="L45">
    <cfRule type="containsText" dxfId="4790" priority="251" operator="containsText" text="GOOD">
      <formula>NOT(ISERROR(SEARCH("GOOD",L45)))</formula>
    </cfRule>
  </conditionalFormatting>
  <conditionalFormatting sqref="L44">
    <cfRule type="containsText" dxfId="4789" priority="250" operator="containsText" text="FAIL">
      <formula>NOT(ISERROR(SEARCH("FAIL",L44)))</formula>
    </cfRule>
  </conditionalFormatting>
  <conditionalFormatting sqref="L44">
    <cfRule type="containsText" dxfId="4788" priority="249" operator="containsText" text="GOOD">
      <formula>NOT(ISERROR(SEARCH("GOOD",L44)))</formula>
    </cfRule>
  </conditionalFormatting>
  <conditionalFormatting sqref="L42:L43">
    <cfRule type="containsText" dxfId="4787" priority="248" operator="containsText" text="FAIL">
      <formula>NOT(ISERROR(SEARCH("FAIL",L42)))</formula>
    </cfRule>
  </conditionalFormatting>
  <conditionalFormatting sqref="L42:L43">
    <cfRule type="containsText" dxfId="4786" priority="247" operator="containsText" text="GOOD">
      <formula>NOT(ISERROR(SEARCH("GOOD",L42)))</formula>
    </cfRule>
  </conditionalFormatting>
  <conditionalFormatting sqref="L41">
    <cfRule type="containsText" dxfId="4785" priority="246" operator="containsText" text="FAIL">
      <formula>NOT(ISERROR(SEARCH("FAIL",L41)))</formula>
    </cfRule>
  </conditionalFormatting>
  <conditionalFormatting sqref="L41">
    <cfRule type="containsText" dxfId="4784" priority="245" operator="containsText" text="GOOD">
      <formula>NOT(ISERROR(SEARCH("GOOD",L41)))</formula>
    </cfRule>
  </conditionalFormatting>
  <conditionalFormatting sqref="Z41:AA49">
    <cfRule type="containsText" dxfId="4783" priority="244" operator="containsText" text="FAIL">
      <formula>NOT(ISERROR(SEARCH("FAIL",Z41)))</formula>
    </cfRule>
  </conditionalFormatting>
  <conditionalFormatting sqref="Z41:AA49">
    <cfRule type="containsText" dxfId="4782" priority="243" operator="containsText" text="GOOD">
      <formula>NOT(ISERROR(SEARCH("GOOD",Z41)))</formula>
    </cfRule>
  </conditionalFormatting>
  <conditionalFormatting sqref="B49">
    <cfRule type="containsText" dxfId="4781" priority="242" operator="containsText" text="FAIL">
      <formula>NOT(ISERROR(SEARCH("FAIL",B49)))</formula>
    </cfRule>
  </conditionalFormatting>
  <conditionalFormatting sqref="B49">
    <cfRule type="containsText" dxfId="4780" priority="241" operator="containsText" text="GOOD">
      <formula>NOT(ISERROR(SEARCH("GOOD",B49)))</formula>
    </cfRule>
  </conditionalFormatting>
  <conditionalFormatting sqref="L40">
    <cfRule type="containsText" dxfId="4779" priority="240" operator="containsText" text="FAIL">
      <formula>NOT(ISERROR(SEARCH("FAIL",L40)))</formula>
    </cfRule>
  </conditionalFormatting>
  <conditionalFormatting sqref="L40">
    <cfRule type="containsText" dxfId="4778" priority="239" operator="containsText" text="GOOD">
      <formula>NOT(ISERROR(SEARCH("GOOD",L40)))</formula>
    </cfRule>
  </conditionalFormatting>
  <conditionalFormatting sqref="Z40:AA40">
    <cfRule type="containsText" dxfId="4777" priority="238" operator="containsText" text="FAIL">
      <formula>NOT(ISERROR(SEARCH("FAIL",Z40)))</formula>
    </cfRule>
  </conditionalFormatting>
  <conditionalFormatting sqref="Z40:AA40">
    <cfRule type="containsText" dxfId="4776" priority="237" operator="containsText" text="GOOD">
      <formula>NOT(ISERROR(SEARCH("GOOD",Z40)))</formula>
    </cfRule>
  </conditionalFormatting>
  <conditionalFormatting sqref="L39">
    <cfRule type="containsText" dxfId="4775" priority="236" operator="containsText" text="FAIL">
      <formula>NOT(ISERROR(SEARCH("FAIL",L39)))</formula>
    </cfRule>
  </conditionalFormatting>
  <conditionalFormatting sqref="L39">
    <cfRule type="containsText" dxfId="4774" priority="235" operator="containsText" text="GOOD">
      <formula>NOT(ISERROR(SEARCH("GOOD",L39)))</formula>
    </cfRule>
  </conditionalFormatting>
  <conditionalFormatting sqref="Z39:AA39">
    <cfRule type="containsText" dxfId="4773" priority="234" operator="containsText" text="FAIL">
      <formula>NOT(ISERROR(SEARCH("FAIL",Z39)))</formula>
    </cfRule>
  </conditionalFormatting>
  <conditionalFormatting sqref="Z39:AA39">
    <cfRule type="containsText" dxfId="4772" priority="233" operator="containsText" text="GOOD">
      <formula>NOT(ISERROR(SEARCH("GOOD",Z39)))</formula>
    </cfRule>
  </conditionalFormatting>
  <conditionalFormatting sqref="L38">
    <cfRule type="containsText" dxfId="4771" priority="232" operator="containsText" text="FAIL">
      <formula>NOT(ISERROR(SEARCH("FAIL",L38)))</formula>
    </cfRule>
  </conditionalFormatting>
  <conditionalFormatting sqref="L38">
    <cfRule type="containsText" dxfId="4770" priority="231" operator="containsText" text="GOOD">
      <formula>NOT(ISERROR(SEARCH("GOOD",L38)))</formula>
    </cfRule>
  </conditionalFormatting>
  <conditionalFormatting sqref="Z38:AA38">
    <cfRule type="containsText" dxfId="4769" priority="230" operator="containsText" text="FAIL">
      <formula>NOT(ISERROR(SEARCH("FAIL",Z38)))</formula>
    </cfRule>
  </conditionalFormatting>
  <conditionalFormatting sqref="Z38:AA38">
    <cfRule type="containsText" dxfId="4768" priority="229" operator="containsText" text="GOOD">
      <formula>NOT(ISERROR(SEARCH("GOOD",Z38)))</formula>
    </cfRule>
  </conditionalFormatting>
  <conditionalFormatting sqref="L37">
    <cfRule type="containsText" dxfId="4767" priority="228" operator="containsText" text="FAIL">
      <formula>NOT(ISERROR(SEARCH("FAIL",L37)))</formula>
    </cfRule>
  </conditionalFormatting>
  <conditionalFormatting sqref="L37">
    <cfRule type="containsText" dxfId="4766" priority="227" operator="containsText" text="GOOD">
      <formula>NOT(ISERROR(SEARCH("GOOD",L37)))</formula>
    </cfRule>
  </conditionalFormatting>
  <conditionalFormatting sqref="Z37:AA37">
    <cfRule type="containsText" dxfId="4765" priority="226" operator="containsText" text="FAIL">
      <formula>NOT(ISERROR(SEARCH("FAIL",Z37)))</formula>
    </cfRule>
  </conditionalFormatting>
  <conditionalFormatting sqref="Z37:AA37">
    <cfRule type="containsText" dxfId="4764" priority="225" operator="containsText" text="GOOD">
      <formula>NOT(ISERROR(SEARCH("GOOD",Z37)))</formula>
    </cfRule>
  </conditionalFormatting>
  <conditionalFormatting sqref="L36">
    <cfRule type="containsText" dxfId="4763" priority="224" operator="containsText" text="FAIL">
      <formula>NOT(ISERROR(SEARCH("FAIL",L36)))</formula>
    </cfRule>
  </conditionalFormatting>
  <conditionalFormatting sqref="L36">
    <cfRule type="containsText" dxfId="4762" priority="223" operator="containsText" text="GOOD">
      <formula>NOT(ISERROR(SEARCH("GOOD",L36)))</formula>
    </cfRule>
  </conditionalFormatting>
  <conditionalFormatting sqref="Z36:AA36">
    <cfRule type="containsText" dxfId="4761" priority="222" operator="containsText" text="FAIL">
      <formula>NOT(ISERROR(SEARCH("FAIL",Z36)))</formula>
    </cfRule>
  </conditionalFormatting>
  <conditionalFormatting sqref="Z36:AA36">
    <cfRule type="containsText" dxfId="4760" priority="221" operator="containsText" text="GOOD">
      <formula>NOT(ISERROR(SEARCH("GOOD",Z36)))</formula>
    </cfRule>
  </conditionalFormatting>
  <conditionalFormatting sqref="L34:L35">
    <cfRule type="containsText" dxfId="4759" priority="220" operator="containsText" text="FAIL">
      <formula>NOT(ISERROR(SEARCH("FAIL",L34)))</formula>
    </cfRule>
  </conditionalFormatting>
  <conditionalFormatting sqref="L34:L35">
    <cfRule type="containsText" dxfId="4758" priority="219" operator="containsText" text="GOOD">
      <formula>NOT(ISERROR(SEARCH("GOOD",L34)))</formula>
    </cfRule>
  </conditionalFormatting>
  <conditionalFormatting sqref="Z34:AA35">
    <cfRule type="containsText" dxfId="4757" priority="218" operator="containsText" text="FAIL">
      <formula>NOT(ISERROR(SEARCH("FAIL",Z34)))</formula>
    </cfRule>
  </conditionalFormatting>
  <conditionalFormatting sqref="Z34:AA35">
    <cfRule type="containsText" dxfId="4756" priority="217" operator="containsText" text="GOOD">
      <formula>NOT(ISERROR(SEARCH("GOOD",Z34)))</formula>
    </cfRule>
  </conditionalFormatting>
  <conditionalFormatting sqref="L32">
    <cfRule type="containsText" dxfId="4755" priority="216" operator="containsText" text="FAIL">
      <formula>NOT(ISERROR(SEARCH("FAIL",L32)))</formula>
    </cfRule>
  </conditionalFormatting>
  <conditionalFormatting sqref="L32">
    <cfRule type="containsText" dxfId="4754" priority="215" operator="containsText" text="GOOD">
      <formula>NOT(ISERROR(SEARCH("GOOD",L32)))</formula>
    </cfRule>
  </conditionalFormatting>
  <conditionalFormatting sqref="Z32:AA32">
    <cfRule type="containsText" dxfId="4753" priority="214" operator="containsText" text="FAIL">
      <formula>NOT(ISERROR(SEARCH("FAIL",Z32)))</formula>
    </cfRule>
  </conditionalFormatting>
  <conditionalFormatting sqref="Z32:AA32">
    <cfRule type="containsText" dxfId="4752" priority="213" operator="containsText" text="GOOD">
      <formula>NOT(ISERROR(SEARCH("GOOD",Z32)))</formula>
    </cfRule>
  </conditionalFormatting>
  <conditionalFormatting sqref="B32">
    <cfRule type="containsText" dxfId="4751" priority="212" operator="containsText" text="FAIL">
      <formula>NOT(ISERROR(SEARCH("FAIL",B32)))</formula>
    </cfRule>
  </conditionalFormatting>
  <conditionalFormatting sqref="B32">
    <cfRule type="containsText" dxfId="4750" priority="211" operator="containsText" text="GOOD">
      <formula>NOT(ISERROR(SEARCH("GOOD",B32)))</formula>
    </cfRule>
  </conditionalFormatting>
  <conditionalFormatting sqref="L31">
    <cfRule type="containsText" dxfId="4749" priority="210" operator="containsText" text="FAIL">
      <formula>NOT(ISERROR(SEARCH("FAIL",L31)))</formula>
    </cfRule>
  </conditionalFormatting>
  <conditionalFormatting sqref="L31">
    <cfRule type="containsText" dxfId="4748" priority="209" operator="containsText" text="GOOD">
      <formula>NOT(ISERROR(SEARCH("GOOD",L31)))</formula>
    </cfRule>
  </conditionalFormatting>
  <conditionalFormatting sqref="Z31:AA31">
    <cfRule type="containsText" dxfId="4747" priority="208" operator="containsText" text="FAIL">
      <formula>NOT(ISERROR(SEARCH("FAIL",Z31)))</formula>
    </cfRule>
  </conditionalFormatting>
  <conditionalFormatting sqref="Z31:AA31">
    <cfRule type="containsText" dxfId="4746" priority="207" operator="containsText" text="GOOD">
      <formula>NOT(ISERROR(SEARCH("GOOD",Z31)))</formula>
    </cfRule>
  </conditionalFormatting>
  <conditionalFormatting sqref="L30">
    <cfRule type="containsText" dxfId="4745" priority="206" operator="containsText" text="FAIL">
      <formula>NOT(ISERROR(SEARCH("FAIL",L30)))</formula>
    </cfRule>
  </conditionalFormatting>
  <conditionalFormatting sqref="L30">
    <cfRule type="containsText" dxfId="4744" priority="205" operator="containsText" text="GOOD">
      <formula>NOT(ISERROR(SEARCH("GOOD",L30)))</formula>
    </cfRule>
  </conditionalFormatting>
  <conditionalFormatting sqref="Z30:AA30">
    <cfRule type="containsText" dxfId="4743" priority="204" operator="containsText" text="FAIL">
      <formula>NOT(ISERROR(SEARCH("FAIL",Z30)))</formula>
    </cfRule>
  </conditionalFormatting>
  <conditionalFormatting sqref="Z30:AA30">
    <cfRule type="containsText" dxfId="4742" priority="203" operator="containsText" text="GOOD">
      <formula>NOT(ISERROR(SEARCH("GOOD",Z30)))</formula>
    </cfRule>
  </conditionalFormatting>
  <conditionalFormatting sqref="L29">
    <cfRule type="containsText" dxfId="4741" priority="202" operator="containsText" text="FAIL">
      <formula>NOT(ISERROR(SEARCH("FAIL",L29)))</formula>
    </cfRule>
  </conditionalFormatting>
  <conditionalFormatting sqref="L29">
    <cfRule type="containsText" dxfId="4740" priority="201" operator="containsText" text="GOOD">
      <formula>NOT(ISERROR(SEARCH("GOOD",L29)))</formula>
    </cfRule>
  </conditionalFormatting>
  <conditionalFormatting sqref="Z29:AA29">
    <cfRule type="containsText" dxfId="4739" priority="200" operator="containsText" text="FAIL">
      <formula>NOT(ISERROR(SEARCH("FAIL",Z29)))</formula>
    </cfRule>
  </conditionalFormatting>
  <conditionalFormatting sqref="Z29:AA29">
    <cfRule type="containsText" dxfId="4738" priority="199" operator="containsText" text="GOOD">
      <formula>NOT(ISERROR(SEARCH("GOOD",Z29)))</formula>
    </cfRule>
  </conditionalFormatting>
  <conditionalFormatting sqref="L28">
    <cfRule type="containsText" dxfId="4737" priority="198" operator="containsText" text="FAIL">
      <formula>NOT(ISERROR(SEARCH("FAIL",L28)))</formula>
    </cfRule>
  </conditionalFormatting>
  <conditionalFormatting sqref="L28">
    <cfRule type="containsText" dxfId="4736" priority="197" operator="containsText" text="GOOD">
      <formula>NOT(ISERROR(SEARCH("GOOD",L28)))</formula>
    </cfRule>
  </conditionalFormatting>
  <conditionalFormatting sqref="Z28:AA28">
    <cfRule type="containsText" dxfId="4735" priority="196" operator="containsText" text="FAIL">
      <formula>NOT(ISERROR(SEARCH("FAIL",Z28)))</formula>
    </cfRule>
  </conditionalFormatting>
  <conditionalFormatting sqref="Z28:AA28">
    <cfRule type="containsText" dxfId="4734" priority="195" operator="containsText" text="GOOD">
      <formula>NOT(ISERROR(SEARCH("GOOD",Z28)))</formula>
    </cfRule>
  </conditionalFormatting>
  <conditionalFormatting sqref="L27">
    <cfRule type="containsText" dxfId="4733" priority="194" operator="containsText" text="FAIL">
      <formula>NOT(ISERROR(SEARCH("FAIL",L27)))</formula>
    </cfRule>
  </conditionalFormatting>
  <conditionalFormatting sqref="L27">
    <cfRule type="containsText" dxfId="4732" priority="193" operator="containsText" text="GOOD">
      <formula>NOT(ISERROR(SEARCH("GOOD",L27)))</formula>
    </cfRule>
  </conditionalFormatting>
  <conditionalFormatting sqref="Z27:AA27">
    <cfRule type="containsText" dxfId="4731" priority="192" operator="containsText" text="FAIL">
      <formula>NOT(ISERROR(SEARCH("FAIL",Z27)))</formula>
    </cfRule>
  </conditionalFormatting>
  <conditionalFormatting sqref="Z27:AA27">
    <cfRule type="containsText" dxfId="4730" priority="191" operator="containsText" text="GOOD">
      <formula>NOT(ISERROR(SEARCH("GOOD",Z27)))</formula>
    </cfRule>
  </conditionalFormatting>
  <conditionalFormatting sqref="L25">
    <cfRule type="containsText" dxfId="4729" priority="190" operator="containsText" text="FAIL">
      <formula>NOT(ISERROR(SEARCH("FAIL",L25)))</formula>
    </cfRule>
  </conditionalFormatting>
  <conditionalFormatting sqref="L25">
    <cfRule type="containsText" dxfId="4728" priority="189" operator="containsText" text="GOOD">
      <formula>NOT(ISERROR(SEARCH("GOOD",L25)))</formula>
    </cfRule>
  </conditionalFormatting>
  <conditionalFormatting sqref="Z25:AA25">
    <cfRule type="containsText" dxfId="4727" priority="188" operator="containsText" text="FAIL">
      <formula>NOT(ISERROR(SEARCH("FAIL",Z25)))</formula>
    </cfRule>
  </conditionalFormatting>
  <conditionalFormatting sqref="Z25:AA25">
    <cfRule type="containsText" dxfId="4726" priority="187" operator="containsText" text="GOOD">
      <formula>NOT(ISERROR(SEARCH("GOOD",Z25)))</formula>
    </cfRule>
  </conditionalFormatting>
  <conditionalFormatting sqref="L24">
    <cfRule type="containsText" dxfId="4725" priority="186" operator="containsText" text="FAIL">
      <formula>NOT(ISERROR(SEARCH("FAIL",L24)))</formula>
    </cfRule>
  </conditionalFormatting>
  <conditionalFormatting sqref="L24">
    <cfRule type="containsText" dxfId="4724" priority="185" operator="containsText" text="GOOD">
      <formula>NOT(ISERROR(SEARCH("GOOD",L24)))</formula>
    </cfRule>
  </conditionalFormatting>
  <conditionalFormatting sqref="Z24:AA24">
    <cfRule type="containsText" dxfId="4723" priority="184" operator="containsText" text="FAIL">
      <formula>NOT(ISERROR(SEARCH("FAIL",Z24)))</formula>
    </cfRule>
  </conditionalFormatting>
  <conditionalFormatting sqref="Z24:AA24">
    <cfRule type="containsText" dxfId="4722" priority="183" operator="containsText" text="GOOD">
      <formula>NOT(ISERROR(SEARCH("GOOD",Z24)))</formula>
    </cfRule>
  </conditionalFormatting>
  <conditionalFormatting sqref="L26">
    <cfRule type="containsText" dxfId="4721" priority="182" operator="containsText" text="FAIL">
      <formula>NOT(ISERROR(SEARCH("FAIL",L26)))</formula>
    </cfRule>
  </conditionalFormatting>
  <conditionalFormatting sqref="L26">
    <cfRule type="containsText" dxfId="4720" priority="181" operator="containsText" text="GOOD">
      <formula>NOT(ISERROR(SEARCH("GOOD",L26)))</formula>
    </cfRule>
  </conditionalFormatting>
  <conditionalFormatting sqref="Z26:AA26">
    <cfRule type="containsText" dxfId="4719" priority="180" operator="containsText" text="FAIL">
      <formula>NOT(ISERROR(SEARCH("FAIL",Z26)))</formula>
    </cfRule>
  </conditionalFormatting>
  <conditionalFormatting sqref="Z26:AA26">
    <cfRule type="containsText" dxfId="4718" priority="179" operator="containsText" text="GOOD">
      <formula>NOT(ISERROR(SEARCH("GOOD",Z26)))</formula>
    </cfRule>
  </conditionalFormatting>
  <conditionalFormatting sqref="L23">
    <cfRule type="containsText" dxfId="4717" priority="178" operator="containsText" text="FAIL">
      <formula>NOT(ISERROR(SEARCH("FAIL",L23)))</formula>
    </cfRule>
  </conditionalFormatting>
  <conditionalFormatting sqref="L23">
    <cfRule type="containsText" dxfId="4716" priority="177" operator="containsText" text="GOOD">
      <formula>NOT(ISERROR(SEARCH("GOOD",L23)))</formula>
    </cfRule>
  </conditionalFormatting>
  <conditionalFormatting sqref="Z23:AA23">
    <cfRule type="containsText" dxfId="4715" priority="176" operator="containsText" text="FAIL">
      <formula>NOT(ISERROR(SEARCH("FAIL",Z23)))</formula>
    </cfRule>
  </conditionalFormatting>
  <conditionalFormatting sqref="Z23:AA23">
    <cfRule type="containsText" dxfId="4714" priority="175" operator="containsText" text="GOOD">
      <formula>NOT(ISERROR(SEARCH("GOOD",Z23)))</formula>
    </cfRule>
  </conditionalFormatting>
  <conditionalFormatting sqref="L22">
    <cfRule type="containsText" dxfId="4713" priority="174" operator="containsText" text="FAIL">
      <formula>NOT(ISERROR(SEARCH("FAIL",L22)))</formula>
    </cfRule>
  </conditionalFormatting>
  <conditionalFormatting sqref="L22">
    <cfRule type="containsText" dxfId="4712" priority="173" operator="containsText" text="GOOD">
      <formula>NOT(ISERROR(SEARCH("GOOD",L22)))</formula>
    </cfRule>
  </conditionalFormatting>
  <conditionalFormatting sqref="Z22:AA22">
    <cfRule type="containsText" dxfId="4711" priority="172" operator="containsText" text="FAIL">
      <formula>NOT(ISERROR(SEARCH("FAIL",Z22)))</formula>
    </cfRule>
  </conditionalFormatting>
  <conditionalFormatting sqref="Z22:AA22">
    <cfRule type="containsText" dxfId="4710" priority="171" operator="containsText" text="GOOD">
      <formula>NOT(ISERROR(SEARCH("GOOD",Z22)))</formula>
    </cfRule>
  </conditionalFormatting>
  <conditionalFormatting sqref="L10">
    <cfRule type="containsText" dxfId="4709" priority="170" operator="containsText" text="FAIL">
      <formula>NOT(ISERROR(SEARCH("FAIL",L10)))</formula>
    </cfRule>
  </conditionalFormatting>
  <conditionalFormatting sqref="L10">
    <cfRule type="containsText" dxfId="4708" priority="169" operator="containsText" text="GOOD">
      <formula>NOT(ISERROR(SEARCH("GOOD",L10)))</formula>
    </cfRule>
  </conditionalFormatting>
  <conditionalFormatting sqref="Z10:AA10">
    <cfRule type="containsText" dxfId="4707" priority="168" operator="containsText" text="FAIL">
      <formula>NOT(ISERROR(SEARCH("FAIL",Z10)))</formula>
    </cfRule>
  </conditionalFormatting>
  <conditionalFormatting sqref="Z10:AA10">
    <cfRule type="containsText" dxfId="4706" priority="167" operator="containsText" text="GOOD">
      <formula>NOT(ISERROR(SEARCH("GOOD",Z10)))</formula>
    </cfRule>
  </conditionalFormatting>
  <conditionalFormatting sqref="L9">
    <cfRule type="containsText" dxfId="4705" priority="166" operator="containsText" text="FAIL">
      <formula>NOT(ISERROR(SEARCH("FAIL",L9)))</formula>
    </cfRule>
  </conditionalFormatting>
  <conditionalFormatting sqref="L9">
    <cfRule type="containsText" dxfId="4704" priority="165" operator="containsText" text="GOOD">
      <formula>NOT(ISERROR(SEARCH("GOOD",L9)))</formula>
    </cfRule>
  </conditionalFormatting>
  <conditionalFormatting sqref="Z9:AA9">
    <cfRule type="containsText" dxfId="4703" priority="164" operator="containsText" text="FAIL">
      <formula>NOT(ISERROR(SEARCH("FAIL",Z9)))</formula>
    </cfRule>
  </conditionalFormatting>
  <conditionalFormatting sqref="Z9:AA9">
    <cfRule type="containsText" dxfId="4702" priority="163" operator="containsText" text="GOOD">
      <formula>NOT(ISERROR(SEARCH("GOOD",Z9)))</formula>
    </cfRule>
  </conditionalFormatting>
  <conditionalFormatting sqref="L7:L8">
    <cfRule type="containsText" dxfId="4701" priority="162" operator="containsText" text="FAIL">
      <formula>NOT(ISERROR(SEARCH("FAIL",L7)))</formula>
    </cfRule>
  </conditionalFormatting>
  <conditionalFormatting sqref="L7:L8">
    <cfRule type="containsText" dxfId="4700" priority="161" operator="containsText" text="GOOD">
      <formula>NOT(ISERROR(SEARCH("GOOD",L7)))</formula>
    </cfRule>
  </conditionalFormatting>
  <conditionalFormatting sqref="Z7:AA8">
    <cfRule type="containsText" dxfId="4699" priority="160" operator="containsText" text="FAIL">
      <formula>NOT(ISERROR(SEARCH("FAIL",Z7)))</formula>
    </cfRule>
  </conditionalFormatting>
  <conditionalFormatting sqref="Z7:AA8">
    <cfRule type="containsText" dxfId="4698" priority="159" operator="containsText" text="GOOD">
      <formula>NOT(ISERROR(SEARCH("GOOD",Z7)))</formula>
    </cfRule>
  </conditionalFormatting>
  <conditionalFormatting sqref="L784">
    <cfRule type="containsText" dxfId="4697" priority="158" operator="containsText" text="FAIL">
      <formula>NOT(ISERROR(SEARCH("FAIL",L784)))</formula>
    </cfRule>
  </conditionalFormatting>
  <conditionalFormatting sqref="L784">
    <cfRule type="containsText" dxfId="4696" priority="157" operator="containsText" text="GOOD">
      <formula>NOT(ISERROR(SEARCH("GOOD",L784)))</formula>
    </cfRule>
  </conditionalFormatting>
  <conditionalFormatting sqref="Z784:AA784">
    <cfRule type="containsText" dxfId="4695" priority="156" operator="containsText" text="FAIL">
      <formula>NOT(ISERROR(SEARCH("FAIL",Z784)))</formula>
    </cfRule>
  </conditionalFormatting>
  <conditionalFormatting sqref="Z784:AA784">
    <cfRule type="containsText" dxfId="4694" priority="155" operator="containsText" text="GOOD">
      <formula>NOT(ISERROR(SEARCH("GOOD",Z784)))</formula>
    </cfRule>
  </conditionalFormatting>
  <conditionalFormatting sqref="L785">
    <cfRule type="containsText" dxfId="4693" priority="154" operator="containsText" text="FAIL">
      <formula>NOT(ISERROR(SEARCH("FAIL",L785)))</formula>
    </cfRule>
  </conditionalFormatting>
  <conditionalFormatting sqref="L785">
    <cfRule type="containsText" dxfId="4692" priority="153" operator="containsText" text="GOOD">
      <formula>NOT(ISERROR(SEARCH("GOOD",L785)))</formula>
    </cfRule>
  </conditionalFormatting>
  <conditionalFormatting sqref="Z785:AA785">
    <cfRule type="containsText" dxfId="4691" priority="152" operator="containsText" text="FAIL">
      <formula>NOT(ISERROR(SEARCH("FAIL",Z785)))</formula>
    </cfRule>
  </conditionalFormatting>
  <conditionalFormatting sqref="Z785:AA785">
    <cfRule type="containsText" dxfId="4690" priority="151" operator="containsText" text="GOOD">
      <formula>NOT(ISERROR(SEARCH("GOOD",Z785)))</formula>
    </cfRule>
  </conditionalFormatting>
  <conditionalFormatting sqref="L786">
    <cfRule type="containsText" dxfId="4689" priority="150" operator="containsText" text="FAIL">
      <formula>NOT(ISERROR(SEARCH("FAIL",L786)))</formula>
    </cfRule>
  </conditionalFormatting>
  <conditionalFormatting sqref="L786">
    <cfRule type="containsText" dxfId="4688" priority="149" operator="containsText" text="GOOD">
      <formula>NOT(ISERROR(SEARCH("GOOD",L786)))</formula>
    </cfRule>
  </conditionalFormatting>
  <conditionalFormatting sqref="Z786:AA786">
    <cfRule type="containsText" dxfId="4687" priority="148" operator="containsText" text="FAIL">
      <formula>NOT(ISERROR(SEARCH("FAIL",Z786)))</formula>
    </cfRule>
  </conditionalFormatting>
  <conditionalFormatting sqref="Z786:AA786">
    <cfRule type="containsText" dxfId="4686" priority="147" operator="containsText" text="GOOD">
      <formula>NOT(ISERROR(SEARCH("GOOD",Z786)))</formula>
    </cfRule>
  </conditionalFormatting>
  <conditionalFormatting sqref="L787">
    <cfRule type="containsText" dxfId="4685" priority="146" operator="containsText" text="FAIL">
      <formula>NOT(ISERROR(SEARCH("FAIL",L787)))</formula>
    </cfRule>
  </conditionalFormatting>
  <conditionalFormatting sqref="L787">
    <cfRule type="containsText" dxfId="4684" priority="145" operator="containsText" text="GOOD">
      <formula>NOT(ISERROR(SEARCH("GOOD",L787)))</formula>
    </cfRule>
  </conditionalFormatting>
  <conditionalFormatting sqref="Z787:AA787">
    <cfRule type="containsText" dxfId="4683" priority="144" operator="containsText" text="FAIL">
      <formula>NOT(ISERROR(SEARCH("FAIL",Z787)))</formula>
    </cfRule>
  </conditionalFormatting>
  <conditionalFormatting sqref="Z787:AA787">
    <cfRule type="containsText" dxfId="4682" priority="143" operator="containsText" text="GOOD">
      <formula>NOT(ISERROR(SEARCH("GOOD",Z787)))</formula>
    </cfRule>
  </conditionalFormatting>
  <conditionalFormatting sqref="L788">
    <cfRule type="containsText" dxfId="4681" priority="142" operator="containsText" text="FAIL">
      <formula>NOT(ISERROR(SEARCH("FAIL",L788)))</formula>
    </cfRule>
  </conditionalFormatting>
  <conditionalFormatting sqref="L788">
    <cfRule type="containsText" dxfId="4680" priority="141" operator="containsText" text="GOOD">
      <formula>NOT(ISERROR(SEARCH("GOOD",L788)))</formula>
    </cfRule>
  </conditionalFormatting>
  <conditionalFormatting sqref="Z788:AA788">
    <cfRule type="containsText" dxfId="4679" priority="140" operator="containsText" text="FAIL">
      <formula>NOT(ISERROR(SEARCH("FAIL",Z788)))</formula>
    </cfRule>
  </conditionalFormatting>
  <conditionalFormatting sqref="Z788:AA788">
    <cfRule type="containsText" dxfId="4678" priority="139" operator="containsText" text="GOOD">
      <formula>NOT(ISERROR(SEARCH("GOOD",Z788)))</formula>
    </cfRule>
  </conditionalFormatting>
  <conditionalFormatting sqref="L793">
    <cfRule type="containsText" dxfId="4677" priority="138" operator="containsText" text="FAIL">
      <formula>NOT(ISERROR(SEARCH("FAIL",L793)))</formula>
    </cfRule>
  </conditionalFormatting>
  <conditionalFormatting sqref="L793">
    <cfRule type="containsText" dxfId="4676" priority="137" operator="containsText" text="GOOD">
      <formula>NOT(ISERROR(SEARCH("GOOD",L793)))</formula>
    </cfRule>
  </conditionalFormatting>
  <conditionalFormatting sqref="Z793:AA793">
    <cfRule type="containsText" dxfId="4675" priority="136" operator="containsText" text="FAIL">
      <formula>NOT(ISERROR(SEARCH("FAIL",Z793)))</formula>
    </cfRule>
  </conditionalFormatting>
  <conditionalFormatting sqref="Z793:AA793">
    <cfRule type="containsText" dxfId="4674" priority="135" operator="containsText" text="GOOD">
      <formula>NOT(ISERROR(SEARCH("GOOD",Z793)))</formula>
    </cfRule>
  </conditionalFormatting>
  <conditionalFormatting sqref="L794">
    <cfRule type="containsText" dxfId="4673" priority="134" operator="containsText" text="FAIL">
      <formula>NOT(ISERROR(SEARCH("FAIL",L794)))</formula>
    </cfRule>
  </conditionalFormatting>
  <conditionalFormatting sqref="L794">
    <cfRule type="containsText" dxfId="4672" priority="133" operator="containsText" text="GOOD">
      <formula>NOT(ISERROR(SEARCH("GOOD",L794)))</formula>
    </cfRule>
  </conditionalFormatting>
  <conditionalFormatting sqref="Z794:AA794">
    <cfRule type="containsText" dxfId="4671" priority="132" operator="containsText" text="FAIL">
      <formula>NOT(ISERROR(SEARCH("FAIL",Z794)))</formula>
    </cfRule>
  </conditionalFormatting>
  <conditionalFormatting sqref="Z794:AA794">
    <cfRule type="containsText" dxfId="4670" priority="131" operator="containsText" text="GOOD">
      <formula>NOT(ISERROR(SEARCH("GOOD",Z794)))</formula>
    </cfRule>
  </conditionalFormatting>
  <conditionalFormatting sqref="L795">
    <cfRule type="containsText" dxfId="4669" priority="130" operator="containsText" text="FAIL">
      <formula>NOT(ISERROR(SEARCH("FAIL",L795)))</formula>
    </cfRule>
  </conditionalFormatting>
  <conditionalFormatting sqref="L795">
    <cfRule type="containsText" dxfId="4668" priority="129" operator="containsText" text="GOOD">
      <formula>NOT(ISERROR(SEARCH("GOOD",L795)))</formula>
    </cfRule>
  </conditionalFormatting>
  <conditionalFormatting sqref="Z795:AA795">
    <cfRule type="containsText" dxfId="4667" priority="128" operator="containsText" text="FAIL">
      <formula>NOT(ISERROR(SEARCH("FAIL",Z795)))</formula>
    </cfRule>
  </conditionalFormatting>
  <conditionalFormatting sqref="Z795:AA795">
    <cfRule type="containsText" dxfId="4666" priority="127" operator="containsText" text="GOOD">
      <formula>NOT(ISERROR(SEARCH("GOOD",Z795)))</formula>
    </cfRule>
  </conditionalFormatting>
  <conditionalFormatting sqref="L796">
    <cfRule type="containsText" dxfId="4665" priority="126" operator="containsText" text="FAIL">
      <formula>NOT(ISERROR(SEARCH("FAIL",L796)))</formula>
    </cfRule>
  </conditionalFormatting>
  <conditionalFormatting sqref="L796">
    <cfRule type="containsText" dxfId="4664" priority="125" operator="containsText" text="GOOD">
      <formula>NOT(ISERROR(SEARCH("GOOD",L796)))</formula>
    </cfRule>
  </conditionalFormatting>
  <conditionalFormatting sqref="Z796:AA796">
    <cfRule type="containsText" dxfId="4663" priority="124" operator="containsText" text="FAIL">
      <formula>NOT(ISERROR(SEARCH("FAIL",Z796)))</formula>
    </cfRule>
  </conditionalFormatting>
  <conditionalFormatting sqref="Z796:AA796">
    <cfRule type="containsText" dxfId="4662" priority="123" operator="containsText" text="GOOD">
      <formula>NOT(ISERROR(SEARCH("GOOD",Z796)))</formula>
    </cfRule>
  </conditionalFormatting>
  <conditionalFormatting sqref="L797">
    <cfRule type="containsText" dxfId="4661" priority="122" operator="containsText" text="FAIL">
      <formula>NOT(ISERROR(SEARCH("FAIL",L797)))</formula>
    </cfRule>
  </conditionalFormatting>
  <conditionalFormatting sqref="L797">
    <cfRule type="containsText" dxfId="4660" priority="121" operator="containsText" text="GOOD">
      <formula>NOT(ISERROR(SEARCH("GOOD",L797)))</formula>
    </cfRule>
  </conditionalFormatting>
  <conditionalFormatting sqref="Z797:AA797">
    <cfRule type="containsText" dxfId="4659" priority="120" operator="containsText" text="FAIL">
      <formula>NOT(ISERROR(SEARCH("FAIL",Z797)))</formula>
    </cfRule>
  </conditionalFormatting>
  <conditionalFormatting sqref="Z797:AA797">
    <cfRule type="containsText" dxfId="4658" priority="119" operator="containsText" text="GOOD">
      <formula>NOT(ISERROR(SEARCH("GOOD",Z797)))</formula>
    </cfRule>
  </conditionalFormatting>
  <conditionalFormatting sqref="L798">
    <cfRule type="containsText" dxfId="4657" priority="118" operator="containsText" text="FAIL">
      <formula>NOT(ISERROR(SEARCH("FAIL",L798)))</formula>
    </cfRule>
  </conditionalFormatting>
  <conditionalFormatting sqref="L798">
    <cfRule type="containsText" dxfId="4656" priority="117" operator="containsText" text="GOOD">
      <formula>NOT(ISERROR(SEARCH("GOOD",L798)))</formula>
    </cfRule>
  </conditionalFormatting>
  <conditionalFormatting sqref="Z798:AA798">
    <cfRule type="containsText" dxfId="4655" priority="116" operator="containsText" text="FAIL">
      <formula>NOT(ISERROR(SEARCH("FAIL",Z798)))</formula>
    </cfRule>
  </conditionalFormatting>
  <conditionalFormatting sqref="Z798:AA798">
    <cfRule type="containsText" dxfId="4654" priority="115" operator="containsText" text="GOOD">
      <formula>NOT(ISERROR(SEARCH("GOOD",Z798)))</formula>
    </cfRule>
  </conditionalFormatting>
  <conditionalFormatting sqref="L799">
    <cfRule type="containsText" dxfId="4653" priority="114" operator="containsText" text="FAIL">
      <formula>NOT(ISERROR(SEARCH("FAIL",L799)))</formula>
    </cfRule>
  </conditionalFormatting>
  <conditionalFormatting sqref="L799">
    <cfRule type="containsText" dxfId="4652" priority="113" operator="containsText" text="GOOD">
      <formula>NOT(ISERROR(SEARCH("GOOD",L799)))</formula>
    </cfRule>
  </conditionalFormatting>
  <conditionalFormatting sqref="Z799:AA799">
    <cfRule type="containsText" dxfId="4651" priority="112" operator="containsText" text="FAIL">
      <formula>NOT(ISERROR(SEARCH("FAIL",Z799)))</formula>
    </cfRule>
  </conditionalFormatting>
  <conditionalFormatting sqref="Z799:AA799">
    <cfRule type="containsText" dxfId="4650" priority="111" operator="containsText" text="GOOD">
      <formula>NOT(ISERROR(SEARCH("GOOD",Z799)))</formula>
    </cfRule>
  </conditionalFormatting>
  <conditionalFormatting sqref="L800">
    <cfRule type="containsText" dxfId="4649" priority="110" operator="containsText" text="FAIL">
      <formula>NOT(ISERROR(SEARCH("FAIL",L800)))</formula>
    </cfRule>
  </conditionalFormatting>
  <conditionalFormatting sqref="L800">
    <cfRule type="containsText" dxfId="4648" priority="109" operator="containsText" text="GOOD">
      <formula>NOT(ISERROR(SEARCH("GOOD",L800)))</formula>
    </cfRule>
  </conditionalFormatting>
  <conditionalFormatting sqref="Z800:AA800">
    <cfRule type="containsText" dxfId="4647" priority="108" operator="containsText" text="FAIL">
      <formula>NOT(ISERROR(SEARCH("FAIL",Z800)))</formula>
    </cfRule>
  </conditionalFormatting>
  <conditionalFormatting sqref="Z800:AA800">
    <cfRule type="containsText" dxfId="4646" priority="107" operator="containsText" text="GOOD">
      <formula>NOT(ISERROR(SEARCH("GOOD",Z800)))</formula>
    </cfRule>
  </conditionalFormatting>
  <conditionalFormatting sqref="L801">
    <cfRule type="containsText" dxfId="4645" priority="106" operator="containsText" text="FAIL">
      <formula>NOT(ISERROR(SEARCH("FAIL",L801)))</formula>
    </cfRule>
  </conditionalFormatting>
  <conditionalFormatting sqref="L801">
    <cfRule type="containsText" dxfId="4644" priority="105" operator="containsText" text="GOOD">
      <formula>NOT(ISERROR(SEARCH("GOOD",L801)))</formula>
    </cfRule>
  </conditionalFormatting>
  <conditionalFormatting sqref="Z801:AA801">
    <cfRule type="containsText" dxfId="4643" priority="104" operator="containsText" text="FAIL">
      <formula>NOT(ISERROR(SEARCH("FAIL",Z801)))</formula>
    </cfRule>
  </conditionalFormatting>
  <conditionalFormatting sqref="Z801:AA801">
    <cfRule type="containsText" dxfId="4642" priority="103" operator="containsText" text="GOOD">
      <formula>NOT(ISERROR(SEARCH("GOOD",Z801)))</formula>
    </cfRule>
  </conditionalFormatting>
  <conditionalFormatting sqref="L802">
    <cfRule type="containsText" dxfId="4641" priority="102" operator="containsText" text="FAIL">
      <formula>NOT(ISERROR(SEARCH("FAIL",L802)))</formula>
    </cfRule>
  </conditionalFormatting>
  <conditionalFormatting sqref="L802">
    <cfRule type="containsText" dxfId="4640" priority="101" operator="containsText" text="GOOD">
      <formula>NOT(ISERROR(SEARCH("GOOD",L802)))</formula>
    </cfRule>
  </conditionalFormatting>
  <conditionalFormatting sqref="Z802:AA802">
    <cfRule type="containsText" dxfId="4639" priority="100" operator="containsText" text="FAIL">
      <formula>NOT(ISERROR(SEARCH("FAIL",Z802)))</formula>
    </cfRule>
  </conditionalFormatting>
  <conditionalFormatting sqref="Z802:AA802">
    <cfRule type="containsText" dxfId="4638" priority="99" operator="containsText" text="GOOD">
      <formula>NOT(ISERROR(SEARCH("GOOD",Z802)))</formula>
    </cfRule>
  </conditionalFormatting>
  <conditionalFormatting sqref="L803">
    <cfRule type="containsText" dxfId="4637" priority="98" operator="containsText" text="FAIL">
      <formula>NOT(ISERROR(SEARCH("FAIL",L803)))</formula>
    </cfRule>
  </conditionalFormatting>
  <conditionalFormatting sqref="L803">
    <cfRule type="containsText" dxfId="4636" priority="97" operator="containsText" text="GOOD">
      <formula>NOT(ISERROR(SEARCH("GOOD",L803)))</formula>
    </cfRule>
  </conditionalFormatting>
  <conditionalFormatting sqref="Z803:AA804">
    <cfRule type="containsText" dxfId="4635" priority="96" operator="containsText" text="FAIL">
      <formula>NOT(ISERROR(SEARCH("FAIL",Z803)))</formula>
    </cfRule>
  </conditionalFormatting>
  <conditionalFormatting sqref="Z803:AA804">
    <cfRule type="containsText" dxfId="4634" priority="95" operator="containsText" text="GOOD">
      <formula>NOT(ISERROR(SEARCH("GOOD",Z803)))</formula>
    </cfRule>
  </conditionalFormatting>
  <conditionalFormatting sqref="L804">
    <cfRule type="containsText" dxfId="4633" priority="94" operator="containsText" text="FAIL">
      <formula>NOT(ISERROR(SEARCH("FAIL",L804)))</formula>
    </cfRule>
  </conditionalFormatting>
  <conditionalFormatting sqref="L804">
    <cfRule type="containsText" dxfId="4632" priority="93" operator="containsText" text="GOOD">
      <formula>NOT(ISERROR(SEARCH("GOOD",L804)))</formula>
    </cfRule>
  </conditionalFormatting>
  <conditionalFormatting sqref="B804">
    <cfRule type="containsText" dxfId="4631" priority="92" operator="containsText" text="FAIL">
      <formula>NOT(ISERROR(SEARCH("FAIL",B804)))</formula>
    </cfRule>
  </conditionalFormatting>
  <conditionalFormatting sqref="B804">
    <cfRule type="containsText" dxfId="4630" priority="91" operator="containsText" text="GOOD">
      <formula>NOT(ISERROR(SEARCH("GOOD",B804)))</formula>
    </cfRule>
  </conditionalFormatting>
  <conditionalFormatting sqref="L809">
    <cfRule type="containsText" dxfId="4629" priority="90" operator="containsText" text="FAIL">
      <formula>NOT(ISERROR(SEARCH("FAIL",L809)))</formula>
    </cfRule>
  </conditionalFormatting>
  <conditionalFormatting sqref="L809">
    <cfRule type="containsText" dxfId="4628" priority="89" operator="containsText" text="GOOD">
      <formula>NOT(ISERROR(SEARCH("GOOD",L809)))</formula>
    </cfRule>
  </conditionalFormatting>
  <conditionalFormatting sqref="Z809:AA809">
    <cfRule type="containsText" dxfId="4627" priority="88" operator="containsText" text="FAIL">
      <formula>NOT(ISERROR(SEARCH("FAIL",Z809)))</formula>
    </cfRule>
  </conditionalFormatting>
  <conditionalFormatting sqref="Z809:AA809">
    <cfRule type="containsText" dxfId="4626" priority="87" operator="containsText" text="GOOD">
      <formula>NOT(ISERROR(SEARCH("GOOD",Z809)))</formula>
    </cfRule>
  </conditionalFormatting>
  <conditionalFormatting sqref="L810">
    <cfRule type="containsText" dxfId="4625" priority="86" operator="containsText" text="FAIL">
      <formula>NOT(ISERROR(SEARCH("FAIL",L810)))</formula>
    </cfRule>
  </conditionalFormatting>
  <conditionalFormatting sqref="L810">
    <cfRule type="containsText" dxfId="4624" priority="85" operator="containsText" text="GOOD">
      <formula>NOT(ISERROR(SEARCH("GOOD",L810)))</formula>
    </cfRule>
  </conditionalFormatting>
  <conditionalFormatting sqref="Z810:AA810">
    <cfRule type="containsText" dxfId="4623" priority="84" operator="containsText" text="FAIL">
      <formula>NOT(ISERROR(SEARCH("FAIL",Z810)))</formula>
    </cfRule>
  </conditionalFormatting>
  <conditionalFormatting sqref="Z810:AA810">
    <cfRule type="containsText" dxfId="4622" priority="83" operator="containsText" text="GOOD">
      <formula>NOT(ISERROR(SEARCH("GOOD",Z810)))</formula>
    </cfRule>
  </conditionalFormatting>
  <conditionalFormatting sqref="L811">
    <cfRule type="containsText" dxfId="4621" priority="82" operator="containsText" text="FAIL">
      <formula>NOT(ISERROR(SEARCH("FAIL",L811)))</formula>
    </cfRule>
  </conditionalFormatting>
  <conditionalFormatting sqref="L811">
    <cfRule type="containsText" dxfId="4620" priority="81" operator="containsText" text="GOOD">
      <formula>NOT(ISERROR(SEARCH("GOOD",L811)))</formula>
    </cfRule>
  </conditionalFormatting>
  <conditionalFormatting sqref="Z811:AA811">
    <cfRule type="containsText" dxfId="4619" priority="80" operator="containsText" text="FAIL">
      <formula>NOT(ISERROR(SEARCH("FAIL",Z811)))</formula>
    </cfRule>
  </conditionalFormatting>
  <conditionalFormatting sqref="Z811:AA811">
    <cfRule type="containsText" dxfId="4618" priority="79" operator="containsText" text="GOOD">
      <formula>NOT(ISERROR(SEARCH("GOOD",Z811)))</formula>
    </cfRule>
  </conditionalFormatting>
  <conditionalFormatting sqref="L812">
    <cfRule type="containsText" dxfId="4617" priority="78" operator="containsText" text="FAIL">
      <formula>NOT(ISERROR(SEARCH("FAIL",L812)))</formula>
    </cfRule>
  </conditionalFormatting>
  <conditionalFormatting sqref="L812">
    <cfRule type="containsText" dxfId="4616" priority="77" operator="containsText" text="GOOD">
      <formula>NOT(ISERROR(SEARCH("GOOD",L812)))</formula>
    </cfRule>
  </conditionalFormatting>
  <conditionalFormatting sqref="Z812:AA812">
    <cfRule type="containsText" dxfId="4615" priority="76" operator="containsText" text="FAIL">
      <formula>NOT(ISERROR(SEARCH("FAIL",Z812)))</formula>
    </cfRule>
  </conditionalFormatting>
  <conditionalFormatting sqref="Z812:AA812">
    <cfRule type="containsText" dxfId="4614" priority="75" operator="containsText" text="GOOD">
      <formula>NOT(ISERROR(SEARCH("GOOD",Z812)))</formula>
    </cfRule>
  </conditionalFormatting>
  <conditionalFormatting sqref="L813">
    <cfRule type="containsText" dxfId="4613" priority="74" operator="containsText" text="FAIL">
      <formula>NOT(ISERROR(SEARCH("FAIL",L813)))</formula>
    </cfRule>
  </conditionalFormatting>
  <conditionalFormatting sqref="L813">
    <cfRule type="containsText" dxfId="4612" priority="73" operator="containsText" text="GOOD">
      <formula>NOT(ISERROR(SEARCH("GOOD",L813)))</formula>
    </cfRule>
  </conditionalFormatting>
  <conditionalFormatting sqref="Z813:AA813">
    <cfRule type="containsText" dxfId="4611" priority="72" operator="containsText" text="FAIL">
      <formula>NOT(ISERROR(SEARCH("FAIL",Z813)))</formula>
    </cfRule>
  </conditionalFormatting>
  <conditionalFormatting sqref="Z813:AA813">
    <cfRule type="containsText" dxfId="4610" priority="71" operator="containsText" text="GOOD">
      <formula>NOT(ISERROR(SEARCH("GOOD",Z813)))</formula>
    </cfRule>
  </conditionalFormatting>
  <conditionalFormatting sqref="B813">
    <cfRule type="containsText" dxfId="4609" priority="70" operator="containsText" text="FAIL">
      <formula>NOT(ISERROR(SEARCH("FAIL",B813)))</formula>
    </cfRule>
  </conditionalFormatting>
  <conditionalFormatting sqref="B813">
    <cfRule type="containsText" dxfId="4608" priority="69" operator="containsText" text="GOOD">
      <formula>NOT(ISERROR(SEARCH("GOOD",B813)))</formula>
    </cfRule>
  </conditionalFormatting>
  <conditionalFormatting sqref="L814">
    <cfRule type="containsText" dxfId="4607" priority="68" operator="containsText" text="FAIL">
      <formula>NOT(ISERROR(SEARCH("FAIL",L814)))</formula>
    </cfRule>
  </conditionalFormatting>
  <conditionalFormatting sqref="L814">
    <cfRule type="containsText" dxfId="4606" priority="67" operator="containsText" text="GOOD">
      <formula>NOT(ISERROR(SEARCH("GOOD",L814)))</formula>
    </cfRule>
  </conditionalFormatting>
  <conditionalFormatting sqref="Z814:AA814">
    <cfRule type="containsText" dxfId="4605" priority="66" operator="containsText" text="FAIL">
      <formula>NOT(ISERROR(SEARCH("FAIL",Z814)))</formula>
    </cfRule>
  </conditionalFormatting>
  <conditionalFormatting sqref="Z814:AA814">
    <cfRule type="containsText" dxfId="4604" priority="65" operator="containsText" text="GOOD">
      <formula>NOT(ISERROR(SEARCH("GOOD",Z814)))</formula>
    </cfRule>
  </conditionalFormatting>
  <conditionalFormatting sqref="L815">
    <cfRule type="containsText" dxfId="4603" priority="64" operator="containsText" text="FAIL">
      <formula>NOT(ISERROR(SEARCH("FAIL",L815)))</formula>
    </cfRule>
  </conditionalFormatting>
  <conditionalFormatting sqref="L815">
    <cfRule type="containsText" dxfId="4602" priority="63" operator="containsText" text="GOOD">
      <formula>NOT(ISERROR(SEARCH("GOOD",L815)))</formula>
    </cfRule>
  </conditionalFormatting>
  <conditionalFormatting sqref="Z815:AA815">
    <cfRule type="containsText" dxfId="4601" priority="62" operator="containsText" text="FAIL">
      <formula>NOT(ISERROR(SEARCH("FAIL",Z815)))</formula>
    </cfRule>
  </conditionalFormatting>
  <conditionalFormatting sqref="Z815:AA815">
    <cfRule type="containsText" dxfId="4600" priority="61" operator="containsText" text="GOOD">
      <formula>NOT(ISERROR(SEARCH("GOOD",Z815)))</formula>
    </cfRule>
  </conditionalFormatting>
  <conditionalFormatting sqref="B815">
    <cfRule type="containsText" dxfId="4599" priority="60" operator="containsText" text="FAIL">
      <formula>NOT(ISERROR(SEARCH("FAIL",B815)))</formula>
    </cfRule>
  </conditionalFormatting>
  <conditionalFormatting sqref="B815">
    <cfRule type="containsText" dxfId="4598" priority="59" operator="containsText" text="GOOD">
      <formula>NOT(ISERROR(SEARCH("GOOD",B815)))</formula>
    </cfRule>
  </conditionalFormatting>
  <conditionalFormatting sqref="L816">
    <cfRule type="containsText" dxfId="4597" priority="58" operator="containsText" text="FAIL">
      <formula>NOT(ISERROR(SEARCH("FAIL",L816)))</formula>
    </cfRule>
  </conditionalFormatting>
  <conditionalFormatting sqref="L816">
    <cfRule type="containsText" dxfId="4596" priority="57" operator="containsText" text="GOOD">
      <formula>NOT(ISERROR(SEARCH("GOOD",L816)))</formula>
    </cfRule>
  </conditionalFormatting>
  <conditionalFormatting sqref="Z816:AA816">
    <cfRule type="containsText" dxfId="4595" priority="56" operator="containsText" text="FAIL">
      <formula>NOT(ISERROR(SEARCH("FAIL",Z816)))</formula>
    </cfRule>
  </conditionalFormatting>
  <conditionalFormatting sqref="Z816:AA816">
    <cfRule type="containsText" dxfId="4594" priority="55" operator="containsText" text="GOOD">
      <formula>NOT(ISERROR(SEARCH("GOOD",Z816)))</formula>
    </cfRule>
  </conditionalFormatting>
  <conditionalFormatting sqref="L817">
    <cfRule type="containsText" dxfId="4593" priority="54" operator="containsText" text="FAIL">
      <formula>NOT(ISERROR(SEARCH("FAIL",L817)))</formula>
    </cfRule>
  </conditionalFormatting>
  <conditionalFormatting sqref="L817">
    <cfRule type="containsText" dxfId="4592" priority="53" operator="containsText" text="GOOD">
      <formula>NOT(ISERROR(SEARCH("GOOD",L817)))</formula>
    </cfRule>
  </conditionalFormatting>
  <conditionalFormatting sqref="Z817:AA817">
    <cfRule type="containsText" dxfId="4591" priority="52" operator="containsText" text="FAIL">
      <formula>NOT(ISERROR(SEARCH("FAIL",Z817)))</formula>
    </cfRule>
  </conditionalFormatting>
  <conditionalFormatting sqref="Z817:AA817">
    <cfRule type="containsText" dxfId="4590" priority="51" operator="containsText" text="GOOD">
      <formula>NOT(ISERROR(SEARCH("GOOD",Z817)))</formula>
    </cfRule>
  </conditionalFormatting>
  <conditionalFormatting sqref="L818">
    <cfRule type="containsText" dxfId="4589" priority="50" operator="containsText" text="FAIL">
      <formula>NOT(ISERROR(SEARCH("FAIL",L818)))</formula>
    </cfRule>
  </conditionalFormatting>
  <conditionalFormatting sqref="L818">
    <cfRule type="containsText" dxfId="4588" priority="49" operator="containsText" text="GOOD">
      <formula>NOT(ISERROR(SEARCH("GOOD",L818)))</formula>
    </cfRule>
  </conditionalFormatting>
  <conditionalFormatting sqref="Z818:AA818">
    <cfRule type="containsText" dxfId="4587" priority="48" operator="containsText" text="FAIL">
      <formula>NOT(ISERROR(SEARCH("FAIL",Z818)))</formula>
    </cfRule>
  </conditionalFormatting>
  <conditionalFormatting sqref="Z818:AA818">
    <cfRule type="containsText" dxfId="4586" priority="47" operator="containsText" text="GOOD">
      <formula>NOT(ISERROR(SEARCH("GOOD",Z818)))</formula>
    </cfRule>
  </conditionalFormatting>
  <conditionalFormatting sqref="L819">
    <cfRule type="containsText" dxfId="4585" priority="46" operator="containsText" text="FAIL">
      <formula>NOT(ISERROR(SEARCH("FAIL",L819)))</formula>
    </cfRule>
  </conditionalFormatting>
  <conditionalFormatting sqref="L819">
    <cfRule type="containsText" dxfId="4584" priority="45" operator="containsText" text="GOOD">
      <formula>NOT(ISERROR(SEARCH("GOOD",L819)))</formula>
    </cfRule>
  </conditionalFormatting>
  <conditionalFormatting sqref="Z819:AA821">
    <cfRule type="containsText" dxfId="4583" priority="44" operator="containsText" text="FAIL">
      <formula>NOT(ISERROR(SEARCH("FAIL",Z819)))</formula>
    </cfRule>
  </conditionalFormatting>
  <conditionalFormatting sqref="Z819:AA821">
    <cfRule type="containsText" dxfId="4582" priority="43" operator="containsText" text="GOOD">
      <formula>NOT(ISERROR(SEARCH("GOOD",Z819)))</formula>
    </cfRule>
  </conditionalFormatting>
  <conditionalFormatting sqref="L820">
    <cfRule type="containsText" dxfId="4581" priority="42" operator="containsText" text="FAIL">
      <formula>NOT(ISERROR(SEARCH("FAIL",L820)))</formula>
    </cfRule>
  </conditionalFormatting>
  <conditionalFormatting sqref="L820">
    <cfRule type="containsText" dxfId="4580" priority="41" operator="containsText" text="GOOD">
      <formula>NOT(ISERROR(SEARCH("GOOD",L820)))</formula>
    </cfRule>
  </conditionalFormatting>
  <conditionalFormatting sqref="L821">
    <cfRule type="containsText" dxfId="4579" priority="40" operator="containsText" text="FAIL">
      <formula>NOT(ISERROR(SEARCH("FAIL",L821)))</formula>
    </cfRule>
  </conditionalFormatting>
  <conditionalFormatting sqref="L821">
    <cfRule type="containsText" dxfId="4578" priority="39" operator="containsText" text="GOOD">
      <formula>NOT(ISERROR(SEARCH("GOOD",L821)))</formula>
    </cfRule>
  </conditionalFormatting>
  <conditionalFormatting sqref="L826">
    <cfRule type="containsText" dxfId="4577" priority="38" operator="containsText" text="FAIL">
      <formula>NOT(ISERROR(SEARCH("FAIL",L826)))</formula>
    </cfRule>
  </conditionalFormatting>
  <conditionalFormatting sqref="L826">
    <cfRule type="containsText" dxfId="4576" priority="37" operator="containsText" text="GOOD">
      <formula>NOT(ISERROR(SEARCH("GOOD",L826)))</formula>
    </cfRule>
  </conditionalFormatting>
  <conditionalFormatting sqref="Z826:AA826">
    <cfRule type="containsText" dxfId="4575" priority="36" operator="containsText" text="FAIL">
      <formula>NOT(ISERROR(SEARCH("FAIL",Z826)))</formula>
    </cfRule>
  </conditionalFormatting>
  <conditionalFormatting sqref="Z826:AA826">
    <cfRule type="containsText" dxfId="4574" priority="35" operator="containsText" text="GOOD">
      <formula>NOT(ISERROR(SEARCH("GOOD",Z826)))</formula>
    </cfRule>
  </conditionalFormatting>
  <conditionalFormatting sqref="L827">
    <cfRule type="containsText" dxfId="4573" priority="34" operator="containsText" text="FAIL">
      <formula>NOT(ISERROR(SEARCH("FAIL",L827)))</formula>
    </cfRule>
  </conditionalFormatting>
  <conditionalFormatting sqref="L827">
    <cfRule type="containsText" dxfId="4572" priority="33" operator="containsText" text="GOOD">
      <formula>NOT(ISERROR(SEARCH("GOOD",L827)))</formula>
    </cfRule>
  </conditionalFormatting>
  <conditionalFormatting sqref="Z827:AA827">
    <cfRule type="containsText" dxfId="4571" priority="32" operator="containsText" text="FAIL">
      <formula>NOT(ISERROR(SEARCH("FAIL",Z827)))</formula>
    </cfRule>
  </conditionalFormatting>
  <conditionalFormatting sqref="Z827:AA827">
    <cfRule type="containsText" dxfId="4570" priority="31" operator="containsText" text="GOOD">
      <formula>NOT(ISERROR(SEARCH("GOOD",Z827)))</formula>
    </cfRule>
  </conditionalFormatting>
  <conditionalFormatting sqref="L828">
    <cfRule type="containsText" dxfId="4569" priority="30" operator="containsText" text="FAIL">
      <formula>NOT(ISERROR(SEARCH("FAIL",L828)))</formula>
    </cfRule>
  </conditionalFormatting>
  <conditionalFormatting sqref="L828">
    <cfRule type="containsText" dxfId="4568" priority="29" operator="containsText" text="GOOD">
      <formula>NOT(ISERROR(SEARCH("GOOD",L828)))</formula>
    </cfRule>
  </conditionalFormatting>
  <conditionalFormatting sqref="Z828:AA828">
    <cfRule type="containsText" dxfId="4567" priority="28" operator="containsText" text="FAIL">
      <formula>NOT(ISERROR(SEARCH("FAIL",Z828)))</formula>
    </cfRule>
  </conditionalFormatting>
  <conditionalFormatting sqref="Z828:AA828">
    <cfRule type="containsText" dxfId="4566" priority="27" operator="containsText" text="GOOD">
      <formula>NOT(ISERROR(SEARCH("GOOD",Z828)))</formula>
    </cfRule>
  </conditionalFormatting>
  <conditionalFormatting sqref="L829">
    <cfRule type="containsText" dxfId="4565" priority="26" operator="containsText" text="FAIL">
      <formula>NOT(ISERROR(SEARCH("FAIL",L829)))</formula>
    </cfRule>
  </conditionalFormatting>
  <conditionalFormatting sqref="L829">
    <cfRule type="containsText" dxfId="4564" priority="25" operator="containsText" text="GOOD">
      <formula>NOT(ISERROR(SEARCH("GOOD",L829)))</formula>
    </cfRule>
  </conditionalFormatting>
  <conditionalFormatting sqref="Z829:AA829">
    <cfRule type="containsText" dxfId="4563" priority="24" operator="containsText" text="FAIL">
      <formula>NOT(ISERROR(SEARCH("FAIL",Z829)))</formula>
    </cfRule>
  </conditionalFormatting>
  <conditionalFormatting sqref="Z829:AA829">
    <cfRule type="containsText" dxfId="4562" priority="23" operator="containsText" text="GOOD">
      <formula>NOT(ISERROR(SEARCH("GOOD",Z829)))</formula>
    </cfRule>
  </conditionalFormatting>
  <conditionalFormatting sqref="L830">
    <cfRule type="containsText" dxfId="4561" priority="22" operator="containsText" text="FAIL">
      <formula>NOT(ISERROR(SEARCH("FAIL",L830)))</formula>
    </cfRule>
  </conditionalFormatting>
  <conditionalFormatting sqref="L830">
    <cfRule type="containsText" dxfId="4560" priority="21" operator="containsText" text="GOOD">
      <formula>NOT(ISERROR(SEARCH("GOOD",L830)))</formula>
    </cfRule>
  </conditionalFormatting>
  <conditionalFormatting sqref="Z830:AA830">
    <cfRule type="containsText" dxfId="4559" priority="20" operator="containsText" text="FAIL">
      <formula>NOT(ISERROR(SEARCH("FAIL",Z830)))</formula>
    </cfRule>
  </conditionalFormatting>
  <conditionalFormatting sqref="Z830:AA830">
    <cfRule type="containsText" dxfId="4558" priority="19" operator="containsText" text="GOOD">
      <formula>NOT(ISERROR(SEARCH("GOOD",Z830)))</formula>
    </cfRule>
  </conditionalFormatting>
  <conditionalFormatting sqref="L831">
    <cfRule type="containsText" dxfId="4557" priority="18" operator="containsText" text="FAIL">
      <formula>NOT(ISERROR(SEARCH("FAIL",L831)))</formula>
    </cfRule>
  </conditionalFormatting>
  <conditionalFormatting sqref="L831">
    <cfRule type="containsText" dxfId="4556" priority="17" operator="containsText" text="GOOD">
      <formula>NOT(ISERROR(SEARCH("GOOD",L831)))</formula>
    </cfRule>
  </conditionalFormatting>
  <conditionalFormatting sqref="Z831:AA831">
    <cfRule type="containsText" dxfId="4555" priority="16" operator="containsText" text="FAIL">
      <formula>NOT(ISERROR(SEARCH("FAIL",Z831)))</formula>
    </cfRule>
  </conditionalFormatting>
  <conditionalFormatting sqref="Z831:AA831">
    <cfRule type="containsText" dxfId="4554" priority="15" operator="containsText" text="GOOD">
      <formula>NOT(ISERROR(SEARCH("GOOD",Z831)))</formula>
    </cfRule>
  </conditionalFormatting>
  <conditionalFormatting sqref="L832">
    <cfRule type="containsText" dxfId="4553" priority="14" operator="containsText" text="FAIL">
      <formula>NOT(ISERROR(SEARCH("FAIL",L832)))</formula>
    </cfRule>
  </conditionalFormatting>
  <conditionalFormatting sqref="L832">
    <cfRule type="containsText" dxfId="4552" priority="13" operator="containsText" text="GOOD">
      <formula>NOT(ISERROR(SEARCH("GOOD",L832)))</formula>
    </cfRule>
  </conditionalFormatting>
  <conditionalFormatting sqref="Z832:AA833">
    <cfRule type="containsText" dxfId="4551" priority="12" operator="containsText" text="FAIL">
      <formula>NOT(ISERROR(SEARCH("FAIL",Z832)))</formula>
    </cfRule>
  </conditionalFormatting>
  <conditionalFormatting sqref="Z832:AA833">
    <cfRule type="containsText" dxfId="4550" priority="11" operator="containsText" text="GOOD">
      <formula>NOT(ISERROR(SEARCH("GOOD",Z832)))</formula>
    </cfRule>
  </conditionalFormatting>
  <conditionalFormatting sqref="L833">
    <cfRule type="containsText" dxfId="4549" priority="10" operator="containsText" text="FAIL">
      <formula>NOT(ISERROR(SEARCH("FAIL",L833)))</formula>
    </cfRule>
  </conditionalFormatting>
  <conditionalFormatting sqref="L833">
    <cfRule type="containsText" dxfId="4548" priority="9" operator="containsText" text="GOOD">
      <formula>NOT(ISERROR(SEARCH("GOOD",L833)))</formula>
    </cfRule>
  </conditionalFormatting>
  <conditionalFormatting sqref="L789">
    <cfRule type="containsText" dxfId="4547" priority="8" operator="containsText" text="FAIL">
      <formula>NOT(ISERROR(SEARCH("FAIL",L789)))</formula>
    </cfRule>
  </conditionalFormatting>
  <conditionalFormatting sqref="L789">
    <cfRule type="containsText" dxfId="4546" priority="7" operator="containsText" text="GOOD">
      <formula>NOT(ISERROR(SEARCH("GOOD",L789)))</formula>
    </cfRule>
  </conditionalFormatting>
  <conditionalFormatting sqref="L805">
    <cfRule type="containsText" dxfId="4545" priority="6" operator="containsText" text="FAIL">
      <formula>NOT(ISERROR(SEARCH("FAIL",L805)))</formula>
    </cfRule>
  </conditionalFormatting>
  <conditionalFormatting sqref="L805">
    <cfRule type="containsText" dxfId="4544" priority="5" operator="containsText" text="GOOD">
      <formula>NOT(ISERROR(SEARCH("GOOD",L805)))</formula>
    </cfRule>
  </conditionalFormatting>
  <conditionalFormatting sqref="L822">
    <cfRule type="containsText" dxfId="4543" priority="4" operator="containsText" text="FAIL">
      <formula>NOT(ISERROR(SEARCH("FAIL",L822)))</formula>
    </cfRule>
  </conditionalFormatting>
  <conditionalFormatting sqref="L822">
    <cfRule type="containsText" dxfId="4542" priority="3" operator="containsText" text="GOOD">
      <formula>NOT(ISERROR(SEARCH("GOOD",L822)))</formula>
    </cfRule>
  </conditionalFormatting>
  <conditionalFormatting sqref="L834">
    <cfRule type="containsText" dxfId="4541" priority="2" operator="containsText" text="FAIL">
      <formula>NOT(ISERROR(SEARCH("FAIL",L834)))</formula>
    </cfRule>
  </conditionalFormatting>
  <conditionalFormatting sqref="L834">
    <cfRule type="containsText" dxfId="4540" priority="1" operator="containsText" text="GOOD">
      <formula>NOT(ISERROR(SEARCH("GOOD",L834)))</formula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67" operator="containsText" text="FAIL" id="{2C4D41AD-2858-4622-9A10-FF01510B290F}">
            <xm:f>NOT(ISERROR(SEARCH("FAIL",SUMMARY!L13)))</xm:f>
            <x14:dxf>
              <font>
                <b/>
                <i/>
                <color theme="0"/>
              </font>
              <fill>
                <patternFill>
                  <bgColor rgb="FFFF0000"/>
                </patternFill>
              </fill>
            </x14:dxf>
          </x14:cfRule>
          <xm:sqref>L223:L230 L103:L120 L82:L101 L69:L80 L55:L67</xm:sqref>
        </x14:conditionalFormatting>
        <x14:conditionalFormatting xmlns:xm="http://schemas.microsoft.com/office/excel/2006/main">
          <x14:cfRule type="containsText" priority="366" operator="containsText" text="GOOD" id="{3C66930F-8A7F-48F1-B0B3-6E212CB9DE1F}">
            <xm:f>NOT(ISERROR(SEARCH("GOOD",SUMMARY!L13)))</xm:f>
            <x14:dxf>
              <font>
                <b/>
                <i/>
                <color theme="0"/>
              </font>
              <fill>
                <patternFill>
                  <bgColor rgb="FF00B050"/>
                </patternFill>
              </fill>
            </x14:dxf>
          </x14:cfRule>
          <xm:sqref>L223:L230 L103:L120 L82:L101 L69:L80 L55:L67</xm:sqref>
        </x14:conditionalFormatting>
        <x14:conditionalFormatting xmlns:xm="http://schemas.microsoft.com/office/excel/2006/main">
          <x14:cfRule type="containsText" priority="327" operator="containsText" text="FAIL" id="{355E36F3-14D9-4338-9D35-A73FB043F3BF}">
            <xm:f>NOT(ISERROR(SEARCH("FAIL",SUMMARY!L497)))</xm:f>
            <x14:dxf>
              <font>
                <b/>
                <i/>
                <color theme="0"/>
              </font>
              <fill>
                <patternFill>
                  <bgColor rgb="FFFF0000"/>
                </patternFill>
              </fill>
            </x14:dxf>
          </x14:cfRule>
          <xm:sqref>L623</xm:sqref>
        </x14:conditionalFormatting>
        <x14:conditionalFormatting xmlns:xm="http://schemas.microsoft.com/office/excel/2006/main">
          <x14:cfRule type="containsText" priority="326" operator="containsText" text="GOOD" id="{A43459D0-1C06-438E-A2EE-0E2624C34065}">
            <xm:f>NOT(ISERROR(SEARCH("GOOD",SUMMARY!L497)))</xm:f>
            <x14:dxf>
              <font>
                <b/>
                <i/>
                <color theme="0"/>
              </font>
              <fill>
                <patternFill>
                  <bgColor rgb="FF00B050"/>
                </patternFill>
              </fill>
            </x14:dxf>
          </x14:cfRule>
          <xm:sqref>L623</xm:sqref>
        </x14:conditionalFormatting>
        <x14:conditionalFormatting xmlns:xm="http://schemas.microsoft.com/office/excel/2006/main">
          <x14:cfRule type="containsText" priority="370" operator="containsText" text="FAIL" id="{022F2CD8-D820-4209-B8F7-31AC42041F36}">
            <xm:f>NOT(ISERROR(SEARCH("FAIL",SUMMARY!L499)))</xm:f>
            <x14:dxf>
              <font>
                <b/>
                <i/>
                <color theme="0"/>
              </font>
              <fill>
                <patternFill>
                  <bgColor rgb="FFFF0000"/>
                </patternFill>
              </fill>
            </x14:dxf>
          </x14:cfRule>
          <xm:sqref>L624:L626</xm:sqref>
        </x14:conditionalFormatting>
        <x14:conditionalFormatting xmlns:xm="http://schemas.microsoft.com/office/excel/2006/main">
          <x14:cfRule type="containsText" priority="371" operator="containsText" text="GOOD" id="{C87D479C-FD96-4D66-AAC2-B30C9E6D5806}">
            <xm:f>NOT(ISERROR(SEARCH("GOOD",SUMMARY!L499)))</xm:f>
            <x14:dxf>
              <font>
                <b/>
                <i/>
                <color theme="0"/>
              </font>
              <fill>
                <patternFill>
                  <bgColor rgb="FF00B050"/>
                </patternFill>
              </fill>
            </x14:dxf>
          </x14:cfRule>
          <xm:sqref>L624:L626</xm:sqref>
        </x14:conditionalFormatting>
        <x14:conditionalFormatting xmlns:xm="http://schemas.microsoft.com/office/excel/2006/main">
          <x14:cfRule type="containsText" priority="372" operator="containsText" text="FAIL" id="{0F9338E9-E31E-4BFB-8682-F11C2884922D}">
            <xm:f>NOT(ISERROR(SEARCH("FAIL",SUMMARY!L503)))</xm:f>
            <x14:dxf>
              <font>
                <b/>
                <i/>
                <color theme="0"/>
              </font>
              <fill>
                <patternFill>
                  <bgColor rgb="FFFF0000"/>
                </patternFill>
              </fill>
            </x14:dxf>
          </x14:cfRule>
          <xm:sqref>L627:L629</xm:sqref>
        </x14:conditionalFormatting>
        <x14:conditionalFormatting xmlns:xm="http://schemas.microsoft.com/office/excel/2006/main">
          <x14:cfRule type="containsText" priority="373" operator="containsText" text="GOOD" id="{DD0D64F0-8EDE-47E8-91A1-F60FC1EB7F7B}">
            <xm:f>NOT(ISERROR(SEARCH("GOOD",SUMMARY!L503)))</xm:f>
            <x14:dxf>
              <font>
                <b/>
                <i/>
                <color theme="0"/>
              </font>
              <fill>
                <patternFill>
                  <bgColor rgb="FF00B050"/>
                </patternFill>
              </fill>
            </x14:dxf>
          </x14:cfRule>
          <xm:sqref>L627:L629</xm:sqref>
        </x14:conditionalFormatting>
        <x14:conditionalFormatting xmlns:xm="http://schemas.microsoft.com/office/excel/2006/main">
          <x14:cfRule type="containsText" priority="374" operator="containsText" text="FAIL" id="{33CB6B92-2EAC-434A-89CB-52CA46136572}">
            <xm:f>NOT(ISERROR(SEARCH("FAIL",SUMMARY!L510)))</xm:f>
            <x14:dxf>
              <font>
                <b/>
                <i/>
                <color theme="0"/>
              </font>
              <fill>
                <patternFill>
                  <bgColor rgb="FFFF0000"/>
                </patternFill>
              </fill>
            </x14:dxf>
          </x14:cfRule>
          <xm:sqref>L630:L631</xm:sqref>
        </x14:conditionalFormatting>
        <x14:conditionalFormatting xmlns:xm="http://schemas.microsoft.com/office/excel/2006/main">
          <x14:cfRule type="containsText" priority="375" operator="containsText" text="GOOD" id="{8DC061BA-78E5-4965-82A7-41EBFC458C27}">
            <xm:f>NOT(ISERROR(SEARCH("GOOD",SUMMARY!L510)))</xm:f>
            <x14:dxf>
              <font>
                <b/>
                <i/>
                <color theme="0"/>
              </font>
              <fill>
                <patternFill>
                  <bgColor rgb="FF00B050"/>
                </patternFill>
              </fill>
            </x14:dxf>
          </x14:cfRule>
          <xm:sqref>L630:L631</xm:sqref>
        </x14:conditionalFormatting>
        <x14:conditionalFormatting xmlns:xm="http://schemas.microsoft.com/office/excel/2006/main">
          <x14:cfRule type="containsText" priority="376" operator="containsText" text="FAIL" id="{82F5CE98-DF17-496C-84E3-F99C1DDA4446}">
            <xm:f>NOT(ISERROR(SEARCH("FAIL",SUMMARY!L513)))</xm:f>
            <x14:dxf>
              <font>
                <b/>
                <i/>
                <color theme="0"/>
              </font>
              <fill>
                <patternFill>
                  <bgColor rgb="FFFF0000"/>
                </patternFill>
              </fill>
            </x14:dxf>
          </x14:cfRule>
          <xm:sqref>L632:L634</xm:sqref>
        </x14:conditionalFormatting>
        <x14:conditionalFormatting xmlns:xm="http://schemas.microsoft.com/office/excel/2006/main">
          <x14:cfRule type="containsText" priority="377" operator="containsText" text="GOOD" id="{08ECAD4E-67E8-4ABF-BBE5-D6E0A5A41B77}">
            <xm:f>NOT(ISERROR(SEARCH("GOOD",SUMMARY!L513)))</xm:f>
            <x14:dxf>
              <font>
                <b/>
                <i/>
                <color theme="0"/>
              </font>
              <fill>
                <patternFill>
                  <bgColor rgb="FF00B050"/>
                </patternFill>
              </fill>
            </x14:dxf>
          </x14:cfRule>
          <xm:sqref>L632:L634</xm:sqref>
        </x14:conditionalFormatting>
        <x14:conditionalFormatting xmlns:xm="http://schemas.microsoft.com/office/excel/2006/main">
          <x14:cfRule type="containsText" priority="378" operator="containsText" text="FAIL" id="{B2F8DC32-66C5-4A79-8288-420B00F809AF}">
            <xm:f>NOT(ISERROR(SEARCH("FAIL",SUMMARY!L518)))</xm:f>
            <x14:dxf>
              <font>
                <b/>
                <i/>
                <color theme="0"/>
              </font>
              <fill>
                <patternFill>
                  <bgColor rgb="FFFF0000"/>
                </patternFill>
              </fill>
            </x14:dxf>
          </x14:cfRule>
          <xm:sqref>L635</xm:sqref>
        </x14:conditionalFormatting>
        <x14:conditionalFormatting xmlns:xm="http://schemas.microsoft.com/office/excel/2006/main">
          <x14:cfRule type="containsText" priority="379" operator="containsText" text="GOOD" id="{34C7C29F-5A61-4268-98D1-5D0B7E1B7A53}">
            <xm:f>NOT(ISERROR(SEARCH("GOOD",SUMMARY!L518)))</xm:f>
            <x14:dxf>
              <font>
                <b/>
                <i/>
                <color theme="0"/>
              </font>
              <fill>
                <patternFill>
                  <bgColor rgb="FF00B050"/>
                </patternFill>
              </fill>
            </x14:dxf>
          </x14:cfRule>
          <xm:sqref>L635</xm:sqref>
        </x14:conditionalFormatting>
        <x14:conditionalFormatting xmlns:xm="http://schemas.microsoft.com/office/excel/2006/main">
          <x14:cfRule type="containsText" priority="380" operator="containsText" text="FAIL" id="{CC89B082-F3EC-436C-A620-63B7CBF154EC}">
            <xm:f>NOT(ISERROR(SEARCH("FAIL",SUMMARY!L523)))</xm:f>
            <x14:dxf>
              <font>
                <b/>
                <i/>
                <color theme="0"/>
              </font>
              <fill>
                <patternFill>
                  <bgColor rgb="FFFF0000"/>
                </patternFill>
              </fill>
            </x14:dxf>
          </x14:cfRule>
          <xm:sqref>L636</xm:sqref>
        </x14:conditionalFormatting>
        <x14:conditionalFormatting xmlns:xm="http://schemas.microsoft.com/office/excel/2006/main">
          <x14:cfRule type="containsText" priority="381" operator="containsText" text="GOOD" id="{13C1F80A-034A-4199-AE17-371FAD43319D}">
            <xm:f>NOT(ISERROR(SEARCH("GOOD",SUMMARY!L523)))</xm:f>
            <x14:dxf>
              <font>
                <b/>
                <i/>
                <color theme="0"/>
              </font>
              <fill>
                <patternFill>
                  <bgColor rgb="FF00B050"/>
                </patternFill>
              </fill>
            </x14:dxf>
          </x14:cfRule>
          <xm:sqref>L636</xm:sqref>
        </x14:conditionalFormatting>
        <x14:conditionalFormatting xmlns:xm="http://schemas.microsoft.com/office/excel/2006/main">
          <x14:cfRule type="containsText" priority="382" operator="containsText" text="FAIL" id="{81008591-FD29-4152-B7C6-FB70333E084D}">
            <xm:f>NOT(ISERROR(SEARCH("FAIL",SUMMARY!L527)))</xm:f>
            <x14:dxf>
              <font>
                <b/>
                <i/>
                <color theme="0"/>
              </font>
              <fill>
                <patternFill>
                  <bgColor rgb="FFFF0000"/>
                </patternFill>
              </fill>
            </x14:dxf>
          </x14:cfRule>
          <xm:sqref>L637</xm:sqref>
        </x14:conditionalFormatting>
        <x14:conditionalFormatting xmlns:xm="http://schemas.microsoft.com/office/excel/2006/main">
          <x14:cfRule type="containsText" priority="383" operator="containsText" text="GOOD" id="{9A4A4DE1-ABC9-4A30-8803-32C556A294E0}">
            <xm:f>NOT(ISERROR(SEARCH("GOOD",SUMMARY!L527)))</xm:f>
            <x14:dxf>
              <font>
                <b/>
                <i/>
                <color theme="0"/>
              </font>
              <fill>
                <patternFill>
                  <bgColor rgb="FF00B050"/>
                </patternFill>
              </fill>
            </x14:dxf>
          </x14:cfRule>
          <xm:sqref>L637</xm:sqref>
        </x14:conditionalFormatting>
        <x14:conditionalFormatting xmlns:xm="http://schemas.microsoft.com/office/excel/2006/main">
          <x14:cfRule type="containsText" priority="384" operator="containsText" text="FAIL" id="{B3293EB5-B760-4E51-9CA2-14223B903C1A}">
            <xm:f>NOT(ISERROR(SEARCH("FAIL",SUMMARY!L556)))</xm:f>
            <x14:dxf>
              <font>
                <b/>
                <i/>
                <color theme="0"/>
              </font>
              <fill>
                <patternFill>
                  <bgColor rgb="FFFF0000"/>
                </patternFill>
              </fill>
            </x14:dxf>
          </x14:cfRule>
          <xm:sqref>L658</xm:sqref>
        </x14:conditionalFormatting>
        <x14:conditionalFormatting xmlns:xm="http://schemas.microsoft.com/office/excel/2006/main">
          <x14:cfRule type="containsText" priority="385" operator="containsText" text="GOOD" id="{B54854A7-6BEA-4A9A-A233-28FD7A1477C0}">
            <xm:f>NOT(ISERROR(SEARCH("GOOD",SUMMARY!L556)))</xm:f>
            <x14:dxf>
              <font>
                <b/>
                <i/>
                <color theme="0"/>
              </font>
              <fill>
                <patternFill>
                  <bgColor rgb="FF00B050"/>
                </patternFill>
              </fill>
            </x14:dxf>
          </x14:cfRule>
          <xm:sqref>L658</xm:sqref>
        </x14:conditionalFormatting>
        <x14:conditionalFormatting xmlns:xm="http://schemas.microsoft.com/office/excel/2006/main">
          <x14:cfRule type="containsText" priority="386" operator="containsText" text="FAIL" id="{50C8A360-70F7-4E69-8691-7FF7365D227A}">
            <xm:f>NOT(ISERROR(SEARCH("FAIL",SUMMARY!L561)))</xm:f>
            <x14:dxf>
              <font>
                <b/>
                <i/>
                <color theme="0"/>
              </font>
              <fill>
                <patternFill>
                  <bgColor rgb="FFFF0000"/>
                </patternFill>
              </fill>
            </x14:dxf>
          </x14:cfRule>
          <xm:sqref>L659:L660</xm:sqref>
        </x14:conditionalFormatting>
        <x14:conditionalFormatting xmlns:xm="http://schemas.microsoft.com/office/excel/2006/main">
          <x14:cfRule type="containsText" priority="387" operator="containsText" text="GOOD" id="{311BB98B-0D01-4B21-9410-2C8568D52E86}">
            <xm:f>NOT(ISERROR(SEARCH("GOOD",SUMMARY!L561)))</xm:f>
            <x14:dxf>
              <font>
                <b/>
                <i/>
                <color theme="0"/>
              </font>
              <fill>
                <patternFill>
                  <bgColor rgb="FF00B050"/>
                </patternFill>
              </fill>
            </x14:dxf>
          </x14:cfRule>
          <xm:sqref>L659:L660</xm:sqref>
        </x14:conditionalFormatting>
        <x14:conditionalFormatting xmlns:xm="http://schemas.microsoft.com/office/excel/2006/main">
          <x14:cfRule type="containsText" priority="388" operator="containsText" text="FAIL" id="{789E660A-1D3C-437C-A07D-57DB97648575}">
            <xm:f>NOT(ISERROR(SEARCH("FAIL",SUMMARY!L570)))</xm:f>
            <x14:dxf>
              <font>
                <b/>
                <i/>
                <color theme="0"/>
              </font>
              <fill>
                <patternFill>
                  <bgColor rgb="FFFF0000"/>
                </patternFill>
              </fill>
            </x14:dxf>
          </x14:cfRule>
          <xm:sqref>L661</xm:sqref>
        </x14:conditionalFormatting>
        <x14:conditionalFormatting xmlns:xm="http://schemas.microsoft.com/office/excel/2006/main">
          <x14:cfRule type="containsText" priority="389" operator="containsText" text="GOOD" id="{927CB5A9-CAE7-4C8D-BC42-A403D6A340E5}">
            <xm:f>NOT(ISERROR(SEARCH("GOOD",SUMMARY!L570)))</xm:f>
            <x14:dxf>
              <font>
                <b/>
                <i/>
                <color theme="0"/>
              </font>
              <fill>
                <patternFill>
                  <bgColor rgb="FF00B050"/>
                </patternFill>
              </fill>
            </x14:dxf>
          </x14:cfRule>
          <xm:sqref>L661</xm:sqref>
        </x14:conditionalFormatting>
        <x14:conditionalFormatting xmlns:xm="http://schemas.microsoft.com/office/excel/2006/main">
          <x14:cfRule type="containsText" priority="390" operator="containsText" text="FAIL" id="{C3852B80-0DC4-42B6-A43C-A9C93347932C}">
            <xm:f>NOT(ISERROR(SEARCH("FAIL",SUMMARY!L578)))</xm:f>
            <x14:dxf>
              <font>
                <b/>
                <i/>
                <color theme="0"/>
              </font>
              <fill>
                <patternFill>
                  <bgColor rgb="FFFF0000"/>
                </patternFill>
              </fill>
            </x14:dxf>
          </x14:cfRule>
          <xm:sqref>L662:L663</xm:sqref>
        </x14:conditionalFormatting>
        <x14:conditionalFormatting xmlns:xm="http://schemas.microsoft.com/office/excel/2006/main">
          <x14:cfRule type="containsText" priority="391" operator="containsText" text="GOOD" id="{32C65E02-1E46-4884-9148-E8C826D58BE1}">
            <xm:f>NOT(ISERROR(SEARCH("GOOD",SUMMARY!L578)))</xm:f>
            <x14:dxf>
              <font>
                <b/>
                <i/>
                <color theme="0"/>
              </font>
              <fill>
                <patternFill>
                  <bgColor rgb="FF00B050"/>
                </patternFill>
              </fill>
            </x14:dxf>
          </x14:cfRule>
          <xm:sqref>L662:L663</xm:sqref>
        </x14:conditionalFormatting>
        <x14:conditionalFormatting xmlns:xm="http://schemas.microsoft.com/office/excel/2006/main">
          <x14:cfRule type="containsText" priority="392" operator="containsText" text="FAIL" id="{960C6741-C4DA-48FE-A758-C7AC79FA8338}">
            <xm:f>NOT(ISERROR(SEARCH("FAIL",SUMMARY!L582)))</xm:f>
            <x14:dxf>
              <font>
                <b/>
                <i/>
                <color theme="0"/>
              </font>
              <fill>
                <patternFill>
                  <bgColor rgb="FFFF0000"/>
                </patternFill>
              </fill>
            </x14:dxf>
          </x14:cfRule>
          <xm:sqref>L664:L665</xm:sqref>
        </x14:conditionalFormatting>
        <x14:conditionalFormatting xmlns:xm="http://schemas.microsoft.com/office/excel/2006/main">
          <x14:cfRule type="containsText" priority="393" operator="containsText" text="GOOD" id="{D3293C7D-C2D7-4D9A-9195-514812CE3BE7}">
            <xm:f>NOT(ISERROR(SEARCH("GOOD",SUMMARY!L582)))</xm:f>
            <x14:dxf>
              <font>
                <b/>
                <i/>
                <color theme="0"/>
              </font>
              <fill>
                <patternFill>
                  <bgColor rgb="FF00B050"/>
                </patternFill>
              </fill>
            </x14:dxf>
          </x14:cfRule>
          <xm:sqref>L664:L665</xm:sqref>
        </x14:conditionalFormatting>
        <x14:conditionalFormatting xmlns:xm="http://schemas.microsoft.com/office/excel/2006/main">
          <x14:cfRule type="containsText" priority="394" operator="containsText" text="FAIL" id="{9D4F57DA-1589-4C43-AF93-4D0521609460}">
            <xm:f>NOT(ISERROR(SEARCH("FAIL",SUMMARY!L615)))</xm:f>
            <x14:dxf>
              <font>
                <b/>
                <i/>
                <color theme="0"/>
              </font>
              <fill>
                <patternFill>
                  <bgColor rgb="FFFF0000"/>
                </patternFill>
              </fill>
            </x14:dxf>
          </x14:cfRule>
          <xm:sqref>L687</xm:sqref>
        </x14:conditionalFormatting>
        <x14:conditionalFormatting xmlns:xm="http://schemas.microsoft.com/office/excel/2006/main">
          <x14:cfRule type="containsText" priority="395" operator="containsText" text="GOOD" id="{0593F2C3-B5D1-495B-A3D8-ADD452B09A25}">
            <xm:f>NOT(ISERROR(SEARCH("GOOD",SUMMARY!L615)))</xm:f>
            <x14:dxf>
              <font>
                <b/>
                <i/>
                <color theme="0"/>
              </font>
              <fill>
                <patternFill>
                  <bgColor rgb="FF00B050"/>
                </patternFill>
              </fill>
            </x14:dxf>
          </x14:cfRule>
          <xm:sqref>L687</xm:sqref>
        </x14:conditionalFormatting>
        <x14:conditionalFormatting xmlns:xm="http://schemas.microsoft.com/office/excel/2006/main">
          <x14:cfRule type="containsText" priority="396" operator="containsText" text="FAIL" id="{83CD1C10-5660-4584-8E10-4AA0BA9CA7B0}">
            <xm:f>NOT(ISERROR(SEARCH("FAIL",SUMMARY!L618)))</xm:f>
            <x14:dxf>
              <font>
                <b/>
                <i/>
                <color theme="0"/>
              </font>
              <fill>
                <patternFill>
                  <bgColor rgb="FFFF0000"/>
                </patternFill>
              </fill>
            </x14:dxf>
          </x14:cfRule>
          <xm:sqref>L688</xm:sqref>
        </x14:conditionalFormatting>
        <x14:conditionalFormatting xmlns:xm="http://schemas.microsoft.com/office/excel/2006/main">
          <x14:cfRule type="containsText" priority="397" operator="containsText" text="GOOD" id="{6234397E-E4FB-4008-9C85-C6D58BDC4FF8}">
            <xm:f>NOT(ISERROR(SEARCH("GOOD",SUMMARY!L618)))</xm:f>
            <x14:dxf>
              <font>
                <b/>
                <i/>
                <color theme="0"/>
              </font>
              <fill>
                <patternFill>
                  <bgColor rgb="FF00B050"/>
                </patternFill>
              </fill>
            </x14:dxf>
          </x14:cfRule>
          <xm:sqref>L688</xm:sqref>
        </x14:conditionalFormatting>
        <x14:conditionalFormatting xmlns:xm="http://schemas.microsoft.com/office/excel/2006/main">
          <x14:cfRule type="containsText" priority="398" operator="containsText" text="FAIL" id="{48300A2F-C9C6-4621-8E85-61EE20D58A43}">
            <xm:f>NOT(ISERROR(SEARCH("FAIL",SUMMARY!L621)))</xm:f>
            <x14:dxf>
              <font>
                <b/>
                <i/>
                <color theme="0"/>
              </font>
              <fill>
                <patternFill>
                  <bgColor rgb="FFFF0000"/>
                </patternFill>
              </fill>
            </x14:dxf>
          </x14:cfRule>
          <xm:sqref>L689</xm:sqref>
        </x14:conditionalFormatting>
        <x14:conditionalFormatting xmlns:xm="http://schemas.microsoft.com/office/excel/2006/main">
          <x14:cfRule type="containsText" priority="399" operator="containsText" text="GOOD" id="{5F506C46-B5A5-4723-B7A1-1D88CA900EB5}">
            <xm:f>NOT(ISERROR(SEARCH("GOOD",SUMMARY!L621)))</xm:f>
            <x14:dxf>
              <font>
                <b/>
                <i/>
                <color theme="0"/>
              </font>
              <fill>
                <patternFill>
                  <bgColor rgb="FF00B050"/>
                </patternFill>
              </fill>
            </x14:dxf>
          </x14:cfRule>
          <xm:sqref>L689</xm:sqref>
        </x14:conditionalFormatting>
        <x14:conditionalFormatting xmlns:xm="http://schemas.microsoft.com/office/excel/2006/main">
          <x14:cfRule type="containsText" priority="400" operator="containsText" text="FAIL" id="{6288B2FC-BFBB-4265-9FB2-571EAFE381FE}">
            <xm:f>NOT(ISERROR(SEARCH("FAIL",SUMMARY!L628)))</xm:f>
            <x14:dxf>
              <font>
                <b/>
                <i/>
                <color theme="0"/>
              </font>
              <fill>
                <patternFill>
                  <bgColor rgb="FFFF0000"/>
                </patternFill>
              </fill>
            </x14:dxf>
          </x14:cfRule>
          <xm:sqref>L690</xm:sqref>
        </x14:conditionalFormatting>
        <x14:conditionalFormatting xmlns:xm="http://schemas.microsoft.com/office/excel/2006/main">
          <x14:cfRule type="containsText" priority="401" operator="containsText" text="GOOD" id="{EF55BDD3-D886-4E59-A430-7A95F6A08C3F}">
            <xm:f>NOT(ISERROR(SEARCH("GOOD",SUMMARY!L628)))</xm:f>
            <x14:dxf>
              <font>
                <b/>
                <i/>
                <color theme="0"/>
              </font>
              <fill>
                <patternFill>
                  <bgColor rgb="FF00B050"/>
                </patternFill>
              </fill>
            </x14:dxf>
          </x14:cfRule>
          <xm:sqref>L690</xm:sqref>
        </x14:conditionalFormatting>
        <x14:conditionalFormatting xmlns:xm="http://schemas.microsoft.com/office/excel/2006/main">
          <x14:cfRule type="containsText" priority="402" operator="containsText" text="FAIL" id="{11409BB1-92D9-476A-AC6E-5CEEEB5F6A6B}">
            <xm:f>NOT(ISERROR(SEARCH("FAIL",SUMMARY!L238)))</xm:f>
            <x14:dxf>
              <font>
                <b/>
                <i/>
                <color theme="0"/>
              </font>
              <fill>
                <patternFill>
                  <bgColor rgb="FFFF0000"/>
                </patternFill>
              </fill>
            </x14:dxf>
          </x14:cfRule>
          <xm:sqref>L691 L299 L301:L321</xm:sqref>
        </x14:conditionalFormatting>
        <x14:conditionalFormatting xmlns:xm="http://schemas.microsoft.com/office/excel/2006/main">
          <x14:cfRule type="containsText" priority="403" operator="containsText" text="GOOD" id="{2F49B3F7-E5C4-4BC9-BBAC-5D71CA6F0776}">
            <xm:f>NOT(ISERROR(SEARCH("GOOD",SUMMARY!L238)))</xm:f>
            <x14:dxf>
              <font>
                <b/>
                <i/>
                <color theme="0"/>
              </font>
              <fill>
                <patternFill>
                  <bgColor rgb="FF00B050"/>
                </patternFill>
              </fill>
            </x14:dxf>
          </x14:cfRule>
          <xm:sqref>L691 L299 L301:L321</xm:sqref>
        </x14:conditionalFormatting>
        <x14:conditionalFormatting xmlns:xm="http://schemas.microsoft.com/office/excel/2006/main">
          <x14:cfRule type="containsText" priority="404" operator="containsText" text="FAIL" id="{31BA1F9E-E790-4B82-9C36-DE6115FDFF8E}">
            <xm:f>NOT(ISERROR(SEARCH("FAIL",SUMMARY!L635)))</xm:f>
            <x14:dxf>
              <font>
                <b/>
                <i/>
                <color theme="0"/>
              </font>
              <fill>
                <patternFill>
                  <bgColor rgb="FFFF0000"/>
                </patternFill>
              </fill>
            </x14:dxf>
          </x14:cfRule>
          <xm:sqref>L692</xm:sqref>
        </x14:conditionalFormatting>
        <x14:conditionalFormatting xmlns:xm="http://schemas.microsoft.com/office/excel/2006/main">
          <x14:cfRule type="containsText" priority="405" operator="containsText" text="GOOD" id="{14F07C6F-1AFE-41A9-A24A-17A22CB9BC41}">
            <xm:f>NOT(ISERROR(SEARCH("GOOD",SUMMARY!L635)))</xm:f>
            <x14:dxf>
              <font>
                <b/>
                <i/>
                <color theme="0"/>
              </font>
              <fill>
                <patternFill>
                  <bgColor rgb="FF00B050"/>
                </patternFill>
              </fill>
            </x14:dxf>
          </x14:cfRule>
          <xm:sqref>L692</xm:sqref>
        </x14:conditionalFormatting>
        <x14:conditionalFormatting xmlns:xm="http://schemas.microsoft.com/office/excel/2006/main">
          <x14:cfRule type="containsText" priority="406" operator="containsText" text="FAIL" id="{3C72175A-8D72-400D-9F47-897681FB2EFD}">
            <xm:f>NOT(ISERROR(SEARCH("FAIL",SUMMARY!L681)))</xm:f>
            <x14:dxf>
              <font>
                <b/>
                <i/>
                <color theme="0"/>
              </font>
              <fill>
                <patternFill>
                  <bgColor rgb="FFFF0000"/>
                </patternFill>
              </fill>
            </x14:dxf>
          </x14:cfRule>
          <xm:sqref>L714</xm:sqref>
        </x14:conditionalFormatting>
        <x14:conditionalFormatting xmlns:xm="http://schemas.microsoft.com/office/excel/2006/main">
          <x14:cfRule type="containsText" priority="407" operator="containsText" text="GOOD" id="{0454F3C8-6F89-449B-94FA-4EC6859340A5}">
            <xm:f>NOT(ISERROR(SEARCH("GOOD",SUMMARY!L681)))</xm:f>
            <x14:dxf>
              <font>
                <b/>
                <i/>
                <color theme="0"/>
              </font>
              <fill>
                <patternFill>
                  <bgColor rgb="FF00B050"/>
                </patternFill>
              </fill>
            </x14:dxf>
          </x14:cfRule>
          <xm:sqref>L714</xm:sqref>
        </x14:conditionalFormatting>
        <x14:conditionalFormatting xmlns:xm="http://schemas.microsoft.com/office/excel/2006/main">
          <x14:cfRule type="containsText" priority="408" operator="containsText" text="FAIL" id="{2E6B0D65-829D-4147-B6BE-758CA338E3FD}">
            <xm:f>NOT(ISERROR(SEARCH("FAIL",SUMMARY!L686)))</xm:f>
            <x14:dxf>
              <font>
                <b/>
                <i/>
                <color theme="0"/>
              </font>
              <fill>
                <patternFill>
                  <bgColor rgb="FFFF0000"/>
                </patternFill>
              </fill>
            </x14:dxf>
          </x14:cfRule>
          <xm:sqref>L715</xm:sqref>
        </x14:conditionalFormatting>
        <x14:conditionalFormatting xmlns:xm="http://schemas.microsoft.com/office/excel/2006/main">
          <x14:cfRule type="containsText" priority="409" operator="containsText" text="GOOD" id="{EE72C74A-3480-41F4-8AF5-AAB145B02577}">
            <xm:f>NOT(ISERROR(SEARCH("GOOD",SUMMARY!L686)))</xm:f>
            <x14:dxf>
              <font>
                <b/>
                <i/>
                <color theme="0"/>
              </font>
              <fill>
                <patternFill>
                  <bgColor rgb="FF00B050"/>
                </patternFill>
              </fill>
            </x14:dxf>
          </x14:cfRule>
          <xm:sqref>L715</xm:sqref>
        </x14:conditionalFormatting>
        <x14:conditionalFormatting xmlns:xm="http://schemas.microsoft.com/office/excel/2006/main">
          <x14:cfRule type="containsText" priority="410" operator="containsText" text="FAIL" id="{F62F68E6-51DD-476A-B021-EACD1508952E}">
            <xm:f>NOT(ISERROR(SEARCH("FAIL",SUMMARY!L262)))</xm:f>
            <x14:dxf>
              <font>
                <b/>
                <i/>
                <color theme="0"/>
              </font>
              <fill>
                <patternFill>
                  <bgColor rgb="FFFF0000"/>
                </patternFill>
              </fill>
            </x14:dxf>
          </x14:cfRule>
          <xm:sqref>L322:L330</xm:sqref>
        </x14:conditionalFormatting>
        <x14:conditionalFormatting xmlns:xm="http://schemas.microsoft.com/office/excel/2006/main">
          <x14:cfRule type="containsText" priority="411" operator="containsText" text="GOOD" id="{52454FA3-E2A8-4A85-898A-AE7CEE551D51}">
            <xm:f>NOT(ISERROR(SEARCH("GOOD",SUMMARY!L262)))</xm:f>
            <x14:dxf>
              <font>
                <b/>
                <i/>
                <color theme="0"/>
              </font>
              <fill>
                <patternFill>
                  <bgColor rgb="FF00B050"/>
                </patternFill>
              </fill>
            </x14:dxf>
          </x14:cfRule>
          <xm:sqref>L322:L330</xm:sqref>
        </x14:conditionalFormatting>
        <x14:conditionalFormatting xmlns:xm="http://schemas.microsoft.com/office/excel/2006/main">
          <x14:cfRule type="containsText" priority="321" operator="containsText" text="FAIL" id="{7EF97AEC-6B49-4AEC-AE55-8992C5FB1985}">
            <xm:f>NOT(ISERROR(SEARCH("FAIL",SUMMARY!L482)))</xm:f>
            <x14:dxf>
              <font>
                <b/>
                <i/>
                <color theme="0"/>
              </font>
              <fill>
                <patternFill>
                  <bgColor rgb="FFFF0000"/>
                </patternFill>
              </fill>
            </x14:dxf>
          </x14:cfRule>
          <xm:sqref>L504</xm:sqref>
        </x14:conditionalFormatting>
        <x14:conditionalFormatting xmlns:xm="http://schemas.microsoft.com/office/excel/2006/main">
          <x14:cfRule type="containsText" priority="412" operator="containsText" text="GOOD" id="{F20C3147-93C4-4A23-B592-6C0ADB587316}">
            <xm:f>NOT(ISERROR(SEARCH("GOOD",SUMMARY!L482)))</xm:f>
            <x14:dxf>
              <font>
                <b/>
                <i/>
                <color theme="0"/>
              </font>
              <fill>
                <patternFill>
                  <bgColor rgb="FF00B050"/>
                </patternFill>
              </fill>
            </x14:dxf>
          </x14:cfRule>
          <xm:sqref>L504</xm:sqref>
        </x14:conditionalFormatting>
      </x14:conditionalFormatting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B00-000000000000}">
  <sheetPr codeName="Sheet173">
    <tabColor rgb="FFFFFF00"/>
  </sheetPr>
  <dimension ref="A2:O47"/>
  <sheetViews>
    <sheetView zoomScaleNormal="100" workbookViewId="0">
      <selection activeCell="M13" sqref="M13"/>
    </sheetView>
  </sheetViews>
  <sheetFormatPr defaultRowHeight="15" x14ac:dyDescent="0.25"/>
  <cols>
    <col min="1" max="2" width="4.42578125" customWidth="1"/>
    <col min="3" max="3" width="2.7109375" customWidth="1"/>
    <col min="4" max="4" width="24.7109375" customWidth="1"/>
    <col min="5" max="5" width="2.7109375" customWidth="1"/>
    <col min="6" max="6" width="15.7109375" customWidth="1"/>
    <col min="7" max="7" width="8.5703125" customWidth="1"/>
    <col min="8" max="8" width="5.85546875" customWidth="1"/>
    <col min="9" max="15" width="15.7109375" customWidth="1"/>
  </cols>
  <sheetData>
    <row r="2" spans="1:14" x14ac:dyDescent="0.25">
      <c r="C2" s="15" t="s">
        <v>32</v>
      </c>
      <c r="E2" s="15"/>
      <c r="F2" s="15"/>
      <c r="G2" s="15" t="s">
        <v>33</v>
      </c>
      <c r="H2" s="15"/>
      <c r="I2" s="15"/>
      <c r="J2" s="15"/>
      <c r="K2" s="15"/>
    </row>
    <row r="3" spans="1:14" ht="18.75" x14ac:dyDescent="0.3">
      <c r="C3" s="3" t="s">
        <v>26</v>
      </c>
      <c r="J3" s="8" t="s">
        <v>48</v>
      </c>
    </row>
    <row r="4" spans="1:14" x14ac:dyDescent="0.25">
      <c r="C4" s="1"/>
      <c r="D4" s="2" t="s">
        <v>0</v>
      </c>
      <c r="E4" s="1"/>
      <c r="I4" s="2" t="s">
        <v>4</v>
      </c>
    </row>
    <row r="5" spans="1:14" x14ac:dyDescent="0.25">
      <c r="D5" s="2" t="s">
        <v>1</v>
      </c>
    </row>
    <row r="6" spans="1:14" x14ac:dyDescent="0.25">
      <c r="D6" s="2" t="s">
        <v>2</v>
      </c>
      <c r="F6" s="6">
        <v>42511</v>
      </c>
      <c r="H6" s="11"/>
    </row>
    <row r="7" spans="1:14" x14ac:dyDescent="0.25">
      <c r="D7" s="2" t="s">
        <v>3</v>
      </c>
      <c r="F7" s="5">
        <f>+K7+J7+I7+(L7*K7)</f>
        <v>0</v>
      </c>
      <c r="G7" s="2" t="s">
        <v>34</v>
      </c>
      <c r="H7" s="11"/>
      <c r="I7" s="19"/>
      <c r="J7" s="19"/>
      <c r="K7" s="19"/>
      <c r="L7" s="20"/>
    </row>
    <row r="8" spans="1:14" x14ac:dyDescent="0.25">
      <c r="D8" s="2" t="s">
        <v>18</v>
      </c>
      <c r="F8" s="5">
        <f>MIN(L23:L43)</f>
        <v>0</v>
      </c>
      <c r="H8" s="11"/>
      <c r="I8" s="18" t="s">
        <v>43</v>
      </c>
      <c r="J8" s="18" t="s">
        <v>44</v>
      </c>
      <c r="K8" s="18" t="s">
        <v>49</v>
      </c>
      <c r="L8" s="18" t="s">
        <v>50</v>
      </c>
    </row>
    <row r="9" spans="1:14" x14ac:dyDescent="0.25">
      <c r="D9" s="2" t="s">
        <v>19</v>
      </c>
      <c r="F9" s="4">
        <f>+F8-F7</f>
        <v>0</v>
      </c>
      <c r="G9" s="16" t="e">
        <f>+F9/F7</f>
        <v>#DIV/0!</v>
      </c>
      <c r="H9" s="12" t="s">
        <v>20</v>
      </c>
      <c r="I9" s="11" t="e">
        <f>(IF(G9&lt;-0.1,"FAIL",IF(G9&gt;0.05,"FAIL","GOOD")))</f>
        <v>#DIV/0!</v>
      </c>
      <c r="J9" s="14" t="s">
        <v>72</v>
      </c>
    </row>
    <row r="10" spans="1:14" x14ac:dyDescent="0.25">
      <c r="D10" s="2" t="s">
        <v>68</v>
      </c>
      <c r="F10" s="4">
        <f>+F7-F12</f>
        <v>0</v>
      </c>
      <c r="H10" s="11"/>
      <c r="K10" s="31"/>
      <c r="N10" t="e">
        <f>LOOKUP(1,D23:D43)</f>
        <v>#N/A</v>
      </c>
    </row>
    <row r="11" spans="1:14" x14ac:dyDescent="0.25">
      <c r="A11" s="30"/>
      <c r="D11" s="2" t="s">
        <v>71</v>
      </c>
      <c r="F11" s="11" t="str">
        <f>(IF(F7&lt;J12,"FAIL",IF(F7&gt;J13,"FAIL","GOOD")))</f>
        <v>GOOD</v>
      </c>
      <c r="H11" s="11"/>
      <c r="L11" s="31"/>
      <c r="N11" t="e">
        <f>MATCH(1,D23:H43,0)</f>
        <v>#N/A</v>
      </c>
    </row>
    <row r="12" spans="1:14" x14ac:dyDescent="0.25">
      <c r="D12" s="2" t="s">
        <v>28</v>
      </c>
      <c r="F12" s="4">
        <f>SUM(L23:L43)/H12</f>
        <v>0</v>
      </c>
      <c r="G12" s="14"/>
      <c r="H12" s="11">
        <f>COUNT(L23:L43)</f>
        <v>7</v>
      </c>
      <c r="I12" s="1" t="s">
        <v>31</v>
      </c>
      <c r="J12" s="4">
        <f>+F8*0.9</f>
        <v>0</v>
      </c>
      <c r="K12" s="1" t="s">
        <v>69</v>
      </c>
      <c r="N12">
        <f>INDEX(D23:D43,MATCH(1,H23:H43,0))</f>
        <v>0</v>
      </c>
    </row>
    <row r="13" spans="1:14" x14ac:dyDescent="0.25">
      <c r="D13" s="2" t="s">
        <v>29</v>
      </c>
      <c r="F13" s="4">
        <f>MAX(L23:L43)-MIN(L23:L43)</f>
        <v>0</v>
      </c>
      <c r="G13" s="399">
        <f>MEDIAN(L23:L43)</f>
        <v>0</v>
      </c>
      <c r="H13" s="400"/>
      <c r="I13" s="1" t="s">
        <v>30</v>
      </c>
      <c r="J13" s="4">
        <f>+F12*1.1</f>
        <v>0</v>
      </c>
      <c r="K13" s="1" t="s">
        <v>70</v>
      </c>
    </row>
    <row r="14" spans="1:14" x14ac:dyDescent="0.25">
      <c r="H14" s="11"/>
    </row>
    <row r="15" spans="1:14" x14ac:dyDescent="0.25">
      <c r="D15" s="2" t="s">
        <v>8</v>
      </c>
      <c r="F15" s="4">
        <v>5000000</v>
      </c>
      <c r="G15" s="1" t="s">
        <v>9</v>
      </c>
      <c r="H15" s="11"/>
      <c r="I15" t="s">
        <v>15</v>
      </c>
      <c r="J15" s="7">
        <f>+F16/F15</f>
        <v>1.2</v>
      </c>
    </row>
    <row r="16" spans="1:14" x14ac:dyDescent="0.25">
      <c r="F16" s="4">
        <v>6000000</v>
      </c>
      <c r="G16" s="1" t="s">
        <v>10</v>
      </c>
      <c r="H16" s="11"/>
      <c r="I16" t="s">
        <v>14</v>
      </c>
      <c r="J16" s="7">
        <f>+F17/F16</f>
        <v>1.0833333333333333</v>
      </c>
    </row>
    <row r="17" spans="3:15" x14ac:dyDescent="0.25">
      <c r="F17" s="4">
        <v>6500000</v>
      </c>
      <c r="G17" s="1" t="s">
        <v>11</v>
      </c>
      <c r="H17" s="11"/>
      <c r="I17" t="s">
        <v>13</v>
      </c>
      <c r="J17" s="7">
        <f>+F18/F17</f>
        <v>0</v>
      </c>
    </row>
    <row r="18" spans="3:15" x14ac:dyDescent="0.25">
      <c r="F18" s="4">
        <f>+F7</f>
        <v>0</v>
      </c>
      <c r="G18" s="1" t="s">
        <v>12</v>
      </c>
      <c r="H18" s="11"/>
      <c r="I18" t="s">
        <v>16</v>
      </c>
      <c r="J18" s="7" t="e">
        <f>+F8/F18</f>
        <v>#DIV/0!</v>
      </c>
    </row>
    <row r="19" spans="3:15" x14ac:dyDescent="0.25">
      <c r="F19" s="2" t="s">
        <v>51</v>
      </c>
      <c r="G19">
        <v>0</v>
      </c>
      <c r="H19" s="11" t="s">
        <v>52</v>
      </c>
      <c r="I19" t="s">
        <v>41</v>
      </c>
      <c r="J19" s="7">
        <f>+F8/F15</f>
        <v>0</v>
      </c>
    </row>
    <row r="20" spans="3:15" x14ac:dyDescent="0.25">
      <c r="H20" s="11"/>
    </row>
    <row r="21" spans="3:15" x14ac:dyDescent="0.25">
      <c r="C21" s="9"/>
      <c r="D21" s="13" t="s">
        <v>21</v>
      </c>
      <c r="E21" s="9"/>
      <c r="F21" s="9" t="s">
        <v>22</v>
      </c>
      <c r="G21" s="9" t="s">
        <v>23</v>
      </c>
      <c r="H21" s="13" t="s">
        <v>27</v>
      </c>
      <c r="I21" s="10" t="s">
        <v>38</v>
      </c>
      <c r="J21" s="10" t="s">
        <v>37</v>
      </c>
      <c r="K21" s="17" t="s">
        <v>42</v>
      </c>
      <c r="L21" s="10" t="s">
        <v>39</v>
      </c>
      <c r="M21" s="21"/>
      <c r="N21" s="21"/>
      <c r="O21" s="21"/>
    </row>
    <row r="22" spans="3:15" ht="6" customHeight="1" x14ac:dyDescent="0.25">
      <c r="M22" s="21"/>
      <c r="N22" s="21"/>
      <c r="O22" s="21"/>
    </row>
    <row r="23" spans="3:15" x14ac:dyDescent="0.25">
      <c r="C23" s="33" t="str">
        <f>IF(H23=1,"u","")</f>
        <v>u</v>
      </c>
      <c r="D23" s="11"/>
      <c r="E23" s="33"/>
      <c r="H23">
        <f>RANK(L23,L$23:L$43,1)</f>
        <v>1</v>
      </c>
      <c r="I23" s="4"/>
      <c r="J23" s="4"/>
      <c r="K23" s="7"/>
      <c r="L23" s="4">
        <f>+I23+J23+(K23*K$7)+$K$7</f>
        <v>0</v>
      </c>
      <c r="M23" s="22"/>
      <c r="N23" s="22"/>
      <c r="O23" s="22"/>
    </row>
    <row r="24" spans="3:15" x14ac:dyDescent="0.25">
      <c r="C24" s="33" t="str">
        <f>IF(H24=1,"u","")</f>
        <v>u</v>
      </c>
      <c r="D24" s="11"/>
      <c r="E24" s="33"/>
      <c r="H24">
        <f t="shared" ref="H24:H29" si="0">RANK(L24,L$23:L$43,1)</f>
        <v>1</v>
      </c>
      <c r="I24" s="4"/>
      <c r="J24" s="4"/>
      <c r="K24" s="7"/>
      <c r="L24" s="4">
        <f t="shared" ref="L24:L29" si="1">+I24+J24+(K24*K$7)+$K$7</f>
        <v>0</v>
      </c>
      <c r="M24" s="22"/>
      <c r="N24" s="22"/>
      <c r="O24" s="22"/>
    </row>
    <row r="25" spans="3:15" x14ac:dyDescent="0.25">
      <c r="C25" s="33" t="str">
        <f>IF(H25=1,"u","")</f>
        <v>u</v>
      </c>
      <c r="D25" s="11"/>
      <c r="E25" s="33"/>
      <c r="H25">
        <f t="shared" si="0"/>
        <v>1</v>
      </c>
      <c r="I25" s="4"/>
      <c r="J25" s="4"/>
      <c r="K25" s="7"/>
      <c r="L25" s="4">
        <f t="shared" si="1"/>
        <v>0</v>
      </c>
      <c r="M25" s="22"/>
      <c r="N25" s="22"/>
      <c r="O25" s="22"/>
    </row>
    <row r="26" spans="3:15" x14ac:dyDescent="0.25">
      <c r="C26" s="33" t="str">
        <f t="shared" ref="C26:C43" si="2">IF(H26=1,"u","")</f>
        <v>u</v>
      </c>
      <c r="D26" s="11"/>
      <c r="E26" s="33"/>
      <c r="H26">
        <f t="shared" si="0"/>
        <v>1</v>
      </c>
      <c r="I26" s="4"/>
      <c r="J26" s="4"/>
      <c r="K26" s="7"/>
      <c r="L26" s="4">
        <f t="shared" si="1"/>
        <v>0</v>
      </c>
      <c r="M26" s="22"/>
      <c r="N26" s="22"/>
      <c r="O26" s="22"/>
    </row>
    <row r="27" spans="3:15" x14ac:dyDescent="0.25">
      <c r="C27" s="33" t="str">
        <f t="shared" si="2"/>
        <v>u</v>
      </c>
      <c r="D27" s="11"/>
      <c r="E27" s="33"/>
      <c r="H27">
        <f t="shared" si="0"/>
        <v>1</v>
      </c>
      <c r="I27" s="4"/>
      <c r="J27" s="4"/>
      <c r="K27" s="7"/>
      <c r="L27" s="4">
        <f t="shared" si="1"/>
        <v>0</v>
      </c>
      <c r="M27" s="22"/>
      <c r="N27" s="22"/>
      <c r="O27" s="22"/>
    </row>
    <row r="28" spans="3:15" x14ac:dyDescent="0.25">
      <c r="C28" s="33" t="str">
        <f t="shared" si="2"/>
        <v>u</v>
      </c>
      <c r="D28" s="11"/>
      <c r="E28" s="33"/>
      <c r="H28">
        <f t="shared" si="0"/>
        <v>1</v>
      </c>
      <c r="I28" s="4"/>
      <c r="J28" s="4"/>
      <c r="K28" s="7"/>
      <c r="L28" s="4">
        <f t="shared" si="1"/>
        <v>0</v>
      </c>
      <c r="M28" s="22"/>
      <c r="N28" s="22"/>
      <c r="O28" s="22"/>
    </row>
    <row r="29" spans="3:15" x14ac:dyDescent="0.25">
      <c r="C29" s="33" t="str">
        <f t="shared" si="2"/>
        <v>u</v>
      </c>
      <c r="D29" s="11"/>
      <c r="E29" s="33"/>
      <c r="H29">
        <f t="shared" si="0"/>
        <v>1</v>
      </c>
      <c r="I29" s="4"/>
      <c r="J29" s="4"/>
      <c r="K29" s="7"/>
      <c r="L29" s="4">
        <f t="shared" si="1"/>
        <v>0</v>
      </c>
      <c r="M29" s="22"/>
      <c r="N29" s="22"/>
      <c r="O29" s="22"/>
    </row>
    <row r="30" spans="3:15" x14ac:dyDescent="0.25">
      <c r="C30" s="33" t="str">
        <f t="shared" si="2"/>
        <v/>
      </c>
      <c r="D30" s="11"/>
      <c r="E30" s="33" t="str">
        <f t="shared" ref="E30:E43" si="3">IF(H30=1,"t","")</f>
        <v/>
      </c>
      <c r="I30" s="4"/>
      <c r="J30" s="4"/>
      <c r="K30" s="7"/>
      <c r="L30" s="4"/>
      <c r="M30" s="22"/>
      <c r="N30" s="22"/>
      <c r="O30" s="22"/>
    </row>
    <row r="31" spans="3:15" x14ac:dyDescent="0.25">
      <c r="C31" s="33" t="str">
        <f t="shared" si="2"/>
        <v/>
      </c>
      <c r="D31" s="11"/>
      <c r="E31" s="33" t="str">
        <f t="shared" si="3"/>
        <v/>
      </c>
      <c r="I31" s="4"/>
      <c r="J31" s="4"/>
      <c r="K31" s="7"/>
      <c r="L31" s="4"/>
      <c r="M31" s="22"/>
      <c r="N31" s="22"/>
      <c r="O31" s="22"/>
    </row>
    <row r="32" spans="3:15" x14ac:dyDescent="0.25">
      <c r="C32" s="33" t="str">
        <f t="shared" si="2"/>
        <v/>
      </c>
      <c r="D32" s="11"/>
      <c r="E32" s="33" t="str">
        <f t="shared" si="3"/>
        <v/>
      </c>
      <c r="I32" s="4"/>
      <c r="J32" s="4"/>
      <c r="K32" s="7"/>
      <c r="L32" s="4"/>
      <c r="M32" s="22"/>
      <c r="N32" s="22"/>
      <c r="O32" s="22"/>
    </row>
    <row r="33" spans="3:15" x14ac:dyDescent="0.25">
      <c r="C33" s="33" t="str">
        <f t="shared" si="2"/>
        <v/>
      </c>
      <c r="D33" s="11"/>
      <c r="E33" s="33" t="str">
        <f t="shared" si="3"/>
        <v/>
      </c>
      <c r="I33" s="4"/>
      <c r="J33" s="4"/>
      <c r="K33" s="7"/>
      <c r="L33" s="4"/>
      <c r="M33" s="21"/>
      <c r="N33" s="21"/>
      <c r="O33" s="21"/>
    </row>
    <row r="34" spans="3:15" x14ac:dyDescent="0.25">
      <c r="C34" s="33" t="str">
        <f t="shared" si="2"/>
        <v/>
      </c>
      <c r="D34" s="11"/>
      <c r="E34" s="33" t="str">
        <f t="shared" si="3"/>
        <v/>
      </c>
      <c r="K34" s="7"/>
      <c r="M34" s="21"/>
      <c r="N34" s="21"/>
      <c r="O34" s="21"/>
    </row>
    <row r="35" spans="3:15" x14ac:dyDescent="0.25">
      <c r="C35" s="33" t="str">
        <f t="shared" si="2"/>
        <v/>
      </c>
      <c r="D35" s="11"/>
      <c r="E35" s="33" t="str">
        <f t="shared" si="3"/>
        <v/>
      </c>
      <c r="K35" s="7"/>
      <c r="M35" s="21"/>
      <c r="N35" s="21"/>
      <c r="O35" s="21"/>
    </row>
    <row r="36" spans="3:15" x14ac:dyDescent="0.25">
      <c r="C36" s="33" t="str">
        <f t="shared" si="2"/>
        <v/>
      </c>
      <c r="D36" s="11"/>
      <c r="E36" s="33" t="str">
        <f t="shared" si="3"/>
        <v/>
      </c>
      <c r="K36" s="7"/>
      <c r="M36" s="21"/>
      <c r="N36" s="21"/>
      <c r="O36" s="21"/>
    </row>
    <row r="37" spans="3:15" x14ac:dyDescent="0.25">
      <c r="C37" s="33" t="str">
        <f t="shared" si="2"/>
        <v/>
      </c>
      <c r="D37" s="11"/>
      <c r="E37" s="33" t="str">
        <f t="shared" si="3"/>
        <v/>
      </c>
      <c r="K37" s="7"/>
      <c r="M37" s="21"/>
      <c r="N37" s="21"/>
      <c r="O37" s="21"/>
    </row>
    <row r="38" spans="3:15" x14ac:dyDescent="0.25">
      <c r="C38" s="33" t="str">
        <f t="shared" si="2"/>
        <v/>
      </c>
      <c r="D38" s="11"/>
      <c r="E38" s="33" t="str">
        <f t="shared" si="3"/>
        <v/>
      </c>
      <c r="K38" s="7"/>
      <c r="M38" s="21"/>
      <c r="N38" s="21"/>
      <c r="O38" s="21"/>
    </row>
    <row r="39" spans="3:15" x14ac:dyDescent="0.25">
      <c r="C39" s="33" t="str">
        <f t="shared" si="2"/>
        <v/>
      </c>
      <c r="D39" s="11"/>
      <c r="E39" s="33" t="str">
        <f t="shared" si="3"/>
        <v/>
      </c>
      <c r="K39" s="7"/>
      <c r="M39" s="21"/>
      <c r="N39" s="21"/>
      <c r="O39" s="21"/>
    </row>
    <row r="40" spans="3:15" x14ac:dyDescent="0.25">
      <c r="C40" s="33" t="str">
        <f t="shared" si="2"/>
        <v/>
      </c>
      <c r="D40" s="11"/>
      <c r="E40" s="33" t="str">
        <f t="shared" si="3"/>
        <v/>
      </c>
      <c r="K40" s="7"/>
      <c r="M40" s="21"/>
      <c r="N40" s="21"/>
      <c r="O40" s="21"/>
    </row>
    <row r="41" spans="3:15" x14ac:dyDescent="0.25">
      <c r="C41" s="33" t="str">
        <f t="shared" si="2"/>
        <v/>
      </c>
      <c r="D41" s="11"/>
      <c r="E41" s="33" t="str">
        <f t="shared" si="3"/>
        <v/>
      </c>
      <c r="K41" s="7"/>
      <c r="M41" s="21"/>
      <c r="N41" s="21"/>
      <c r="O41" s="21"/>
    </row>
    <row r="42" spans="3:15" x14ac:dyDescent="0.25">
      <c r="C42" s="33" t="str">
        <f t="shared" si="2"/>
        <v/>
      </c>
      <c r="D42" s="11"/>
      <c r="E42" s="33" t="str">
        <f t="shared" si="3"/>
        <v/>
      </c>
      <c r="K42" s="7"/>
      <c r="M42" s="21"/>
      <c r="N42" s="21"/>
      <c r="O42" s="21"/>
    </row>
    <row r="43" spans="3:15" x14ac:dyDescent="0.25">
      <c r="C43" s="33" t="str">
        <f t="shared" si="2"/>
        <v/>
      </c>
      <c r="D43" s="11"/>
      <c r="E43" s="33" t="str">
        <f t="shared" si="3"/>
        <v/>
      </c>
      <c r="K43" s="7"/>
      <c r="M43" s="21"/>
      <c r="N43" s="21"/>
      <c r="O43" s="21"/>
    </row>
    <row r="44" spans="3:15" ht="6" customHeight="1" x14ac:dyDescent="0.25">
      <c r="C44" s="9"/>
      <c r="D44" s="9"/>
      <c r="E44" s="9"/>
      <c r="F44" s="9"/>
      <c r="G44" s="9"/>
      <c r="H44" s="9"/>
      <c r="I44" s="9"/>
      <c r="J44" s="9"/>
      <c r="K44" s="9"/>
      <c r="L44" s="9"/>
      <c r="M44" s="21"/>
      <c r="N44" s="21"/>
      <c r="O44" s="21"/>
    </row>
    <row r="45" spans="3:15" ht="6" customHeight="1" x14ac:dyDescent="0.25">
      <c r="M45" s="21"/>
      <c r="N45" s="21"/>
      <c r="O45" s="21"/>
    </row>
    <row r="46" spans="3:15" x14ac:dyDescent="0.25">
      <c r="C46" s="15" t="s">
        <v>79</v>
      </c>
      <c r="M46" s="21"/>
      <c r="N46" s="21"/>
      <c r="O46" s="21"/>
    </row>
    <row r="47" spans="3:15" x14ac:dyDescent="0.25">
      <c r="C47" s="15" t="s">
        <v>78</v>
      </c>
      <c r="M47" s="21"/>
      <c r="N47" s="21"/>
      <c r="O47" s="21"/>
    </row>
  </sheetData>
  <mergeCells count="1">
    <mergeCell ref="G13:H13"/>
  </mergeCells>
  <conditionalFormatting sqref="I9 F11">
    <cfRule type="containsText" dxfId="11" priority="18" operator="containsText" text="FAIL">
      <formula>NOT(ISERROR(SEARCH("FAIL",F9)))</formula>
    </cfRule>
  </conditionalFormatting>
  <conditionalFormatting sqref="I9 F11">
    <cfRule type="containsText" dxfId="10" priority="17" operator="containsText" text="GOOD">
      <formula>NOT(ISERROR(SEARCH("GOOD",F9)))</formula>
    </cfRule>
  </conditionalFormatting>
  <conditionalFormatting sqref="I9">
    <cfRule type="containsText" dxfId="9" priority="10" operator="containsText" text="FAIL">
      <formula>NOT(ISERROR(SEARCH("FAIL",I9)))</formula>
    </cfRule>
  </conditionalFormatting>
  <conditionalFormatting sqref="I9">
    <cfRule type="containsText" dxfId="8" priority="9" operator="containsText" text="GOOD">
      <formula>NOT(ISERROR(SEARCH("GOOD",I9)))</formula>
    </cfRule>
  </conditionalFormatting>
  <conditionalFormatting sqref="D25">
    <cfRule type="expression" dxfId="7" priority="6" stopIfTrue="1">
      <formula>IF($H$25=1,0)</formula>
    </cfRule>
  </conditionalFormatting>
  <conditionalFormatting sqref="D23:D43">
    <cfRule type="expression" dxfId="6" priority="3">
      <formula>H23=1</formula>
    </cfRule>
  </conditionalFormatting>
  <conditionalFormatting sqref="C23:C43">
    <cfRule type="expression" dxfId="5" priority="2">
      <formula>H23=1</formula>
    </cfRule>
  </conditionalFormatting>
  <conditionalFormatting sqref="E23:E43">
    <cfRule type="expression" dxfId="4" priority="1">
      <formula>H23=1</formula>
    </cfRule>
  </conditionalFormatting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000-000000000000}">
  <sheetPr codeName="Sheet130">
    <tabColor rgb="FFFF0000"/>
  </sheetPr>
  <dimension ref="A2:O47"/>
  <sheetViews>
    <sheetView workbookViewId="0">
      <selection activeCell="K28" sqref="K28"/>
    </sheetView>
  </sheetViews>
  <sheetFormatPr defaultRowHeight="15" x14ac:dyDescent="0.25"/>
  <cols>
    <col min="1" max="2" width="4.42578125" customWidth="1"/>
    <col min="3" max="3" width="3" customWidth="1"/>
    <col min="4" max="4" width="24.85546875" customWidth="1"/>
    <col min="5" max="5" width="3" customWidth="1"/>
    <col min="6" max="6" width="15.7109375" hidden="1" customWidth="1"/>
    <col min="7" max="7" width="8.5703125" hidden="1" customWidth="1"/>
    <col min="8" max="8" width="5.85546875" customWidth="1"/>
    <col min="9" max="15" width="15.7109375" customWidth="1"/>
  </cols>
  <sheetData>
    <row r="2" spans="1:11" x14ac:dyDescent="0.25">
      <c r="C2" s="15" t="s">
        <v>32</v>
      </c>
      <c r="E2" s="15"/>
      <c r="F2" s="15"/>
      <c r="G2" s="15" t="s">
        <v>33</v>
      </c>
      <c r="H2" s="15"/>
      <c r="I2" s="15"/>
      <c r="J2" s="15"/>
      <c r="K2" s="15"/>
    </row>
    <row r="3" spans="1:11" ht="18.75" x14ac:dyDescent="0.3">
      <c r="C3" s="3" t="s">
        <v>26</v>
      </c>
      <c r="J3" s="8" t="s">
        <v>17</v>
      </c>
    </row>
    <row r="4" spans="1:11" x14ac:dyDescent="0.25">
      <c r="D4" s="2" t="s">
        <v>0</v>
      </c>
      <c r="E4" s="1"/>
      <c r="F4" t="s">
        <v>441</v>
      </c>
      <c r="I4" s="2" t="s">
        <v>4</v>
      </c>
      <c r="J4" t="s">
        <v>442</v>
      </c>
    </row>
    <row r="5" spans="1:11" x14ac:dyDescent="0.25">
      <c r="D5" s="2" t="s">
        <v>1</v>
      </c>
      <c r="F5" t="s">
        <v>443</v>
      </c>
    </row>
    <row r="6" spans="1:11" x14ac:dyDescent="0.25">
      <c r="D6" s="2" t="s">
        <v>2</v>
      </c>
      <c r="F6" s="6">
        <v>42355</v>
      </c>
      <c r="H6" s="11"/>
    </row>
    <row r="7" spans="1:11" x14ac:dyDescent="0.25">
      <c r="D7" s="2" t="s">
        <v>3</v>
      </c>
      <c r="F7" s="5">
        <v>640000</v>
      </c>
      <c r="G7" s="2" t="s">
        <v>177</v>
      </c>
      <c r="H7" s="11"/>
    </row>
    <row r="8" spans="1:11" x14ac:dyDescent="0.25">
      <c r="D8" s="2" t="s">
        <v>18</v>
      </c>
      <c r="F8" s="5">
        <f>MIN(I23:I43)</f>
        <v>898000</v>
      </c>
      <c r="H8" s="11"/>
    </row>
    <row r="9" spans="1:11" x14ac:dyDescent="0.25">
      <c r="D9" s="2" t="s">
        <v>67</v>
      </c>
      <c r="F9" s="4">
        <f>+F8-F7</f>
        <v>258000</v>
      </c>
      <c r="G9" s="16">
        <f>+F9/F7</f>
        <v>0.40312500000000001</v>
      </c>
      <c r="H9" s="12" t="s">
        <v>20</v>
      </c>
      <c r="I9" s="11" t="str">
        <f>(IF(G9&lt;-0.1,"FAIL",IF(G9&gt;0.05,"FAIL","GOOD")))</f>
        <v>FAIL</v>
      </c>
      <c r="J9" s="14" t="s">
        <v>72</v>
      </c>
    </row>
    <row r="10" spans="1:11" x14ac:dyDescent="0.25">
      <c r="D10" s="2" t="s">
        <v>68</v>
      </c>
      <c r="F10" s="4">
        <f>+F7-F12</f>
        <v>-514385.66666666674</v>
      </c>
      <c r="H10" s="11"/>
    </row>
    <row r="11" spans="1:11" x14ac:dyDescent="0.25">
      <c r="A11" s="30"/>
      <c r="D11" s="2" t="s">
        <v>71</v>
      </c>
      <c r="F11" s="11" t="str">
        <f>(IF(F7&lt;J12,"FAIL",IF(F7&gt;J13,"FAIL","GOOD")))</f>
        <v>FAIL</v>
      </c>
      <c r="H11" s="11"/>
    </row>
    <row r="12" spans="1:11" x14ac:dyDescent="0.25">
      <c r="D12" s="2" t="s">
        <v>28</v>
      </c>
      <c r="F12" s="4">
        <f>SUM(I23:I43)/H12</f>
        <v>1154385.6666666667</v>
      </c>
      <c r="G12" s="14"/>
      <c r="H12" s="11">
        <f>COUNT(I23:I43)</f>
        <v>3</v>
      </c>
      <c r="I12" s="1" t="s">
        <v>31</v>
      </c>
      <c r="J12" s="4">
        <f>+F8*0.9</f>
        <v>808200</v>
      </c>
      <c r="K12" s="1" t="s">
        <v>69</v>
      </c>
    </row>
    <row r="13" spans="1:11" x14ac:dyDescent="0.25">
      <c r="D13" s="2" t="s">
        <v>29</v>
      </c>
      <c r="F13" s="4">
        <f>MAX(I23:I43)-MIN(I23:I43)</f>
        <v>492452</v>
      </c>
      <c r="G13" s="399">
        <f>MEDIAN(I23:I43)</f>
        <v>1174705</v>
      </c>
      <c r="H13" s="400"/>
      <c r="I13" s="1" t="s">
        <v>30</v>
      </c>
      <c r="J13" s="4">
        <f>+F12*1.1</f>
        <v>1269824.2333333336</v>
      </c>
      <c r="K13" s="1" t="s">
        <v>70</v>
      </c>
    </row>
    <row r="14" spans="1:11" x14ac:dyDescent="0.25">
      <c r="H14" s="11"/>
    </row>
    <row r="15" spans="1:11" x14ac:dyDescent="0.25">
      <c r="D15" s="2" t="s">
        <v>8</v>
      </c>
      <c r="F15" s="4">
        <v>2000000</v>
      </c>
      <c r="G15" s="1" t="s">
        <v>9</v>
      </c>
      <c r="H15" s="11"/>
      <c r="I15" t="s">
        <v>15</v>
      </c>
      <c r="J15" s="7">
        <f>+F16/F15</f>
        <v>1.0249999999999999</v>
      </c>
    </row>
    <row r="16" spans="1:11" x14ac:dyDescent="0.25">
      <c r="F16" s="4">
        <v>2050000</v>
      </c>
      <c r="G16" s="1" t="s">
        <v>10</v>
      </c>
      <c r="H16" s="11"/>
      <c r="I16" t="s">
        <v>14</v>
      </c>
      <c r="J16" s="7">
        <f>+F17/F16</f>
        <v>0.87804878048780488</v>
      </c>
    </row>
    <row r="17" spans="3:15" x14ac:dyDescent="0.25">
      <c r="F17" s="4">
        <v>1800000</v>
      </c>
      <c r="G17" s="1" t="s">
        <v>11</v>
      </c>
      <c r="H17" s="11"/>
      <c r="I17" t="s">
        <v>13</v>
      </c>
      <c r="J17" s="7">
        <f>+F18/F17</f>
        <v>0.35555555555555557</v>
      </c>
      <c r="M17" s="21"/>
      <c r="N17" s="21"/>
      <c r="O17" s="21"/>
    </row>
    <row r="18" spans="3:15" x14ac:dyDescent="0.25">
      <c r="F18" s="4">
        <f>+F7</f>
        <v>640000</v>
      </c>
      <c r="G18" s="1" t="s">
        <v>12</v>
      </c>
      <c r="H18" s="11"/>
      <c r="I18" t="s">
        <v>16</v>
      </c>
      <c r="J18" s="7">
        <f>+F8/F18</f>
        <v>1.403125</v>
      </c>
      <c r="M18" s="21"/>
      <c r="N18" s="21"/>
      <c r="O18" s="21"/>
    </row>
    <row r="19" spans="3:15" x14ac:dyDescent="0.25">
      <c r="F19" s="2" t="s">
        <v>51</v>
      </c>
      <c r="G19">
        <v>0</v>
      </c>
      <c r="H19" s="11" t="s">
        <v>52</v>
      </c>
      <c r="I19" t="s">
        <v>41</v>
      </c>
      <c r="J19" s="7">
        <f>+F8/F15</f>
        <v>0.44900000000000001</v>
      </c>
      <c r="M19" s="21"/>
      <c r="N19" s="21"/>
      <c r="O19" s="21"/>
    </row>
    <row r="20" spans="3:15" x14ac:dyDescent="0.25">
      <c r="H20" s="11"/>
      <c r="M20" s="21"/>
      <c r="N20" s="21"/>
      <c r="O20" s="21"/>
    </row>
    <row r="21" spans="3:15" x14ac:dyDescent="0.25">
      <c r="C21" s="9"/>
      <c r="D21" s="13" t="s">
        <v>21</v>
      </c>
      <c r="E21" s="9"/>
      <c r="F21" s="9" t="s">
        <v>22</v>
      </c>
      <c r="G21" s="9" t="s">
        <v>23</v>
      </c>
      <c r="H21" s="13" t="s">
        <v>27</v>
      </c>
      <c r="I21" s="10" t="s">
        <v>24</v>
      </c>
      <c r="J21" s="9"/>
      <c r="K21" s="9"/>
      <c r="L21" s="9"/>
      <c r="M21" s="21"/>
      <c r="N21" s="21"/>
      <c r="O21" s="21"/>
    </row>
    <row r="22" spans="3:15" ht="6" customHeight="1" x14ac:dyDescent="0.25">
      <c r="M22" s="21"/>
      <c r="N22" s="21"/>
      <c r="O22" s="21"/>
    </row>
    <row r="23" spans="3:15" x14ac:dyDescent="0.25">
      <c r="C23" s="33" t="str">
        <f>IF(H23=1,"u","")</f>
        <v>u</v>
      </c>
      <c r="D23" s="11" t="s">
        <v>444</v>
      </c>
      <c r="E23" s="33"/>
      <c r="F23" t="s">
        <v>445</v>
      </c>
      <c r="G23" t="s">
        <v>93</v>
      </c>
      <c r="H23">
        <f>RANK(I23,I$23:I$43,1)</f>
        <v>1</v>
      </c>
      <c r="I23" s="4">
        <v>898000</v>
      </c>
      <c r="J23" s="4"/>
      <c r="K23" s="4"/>
      <c r="L23" s="4"/>
      <c r="M23" s="22"/>
      <c r="N23" s="22"/>
      <c r="O23" s="22"/>
    </row>
    <row r="24" spans="3:15" x14ac:dyDescent="0.25">
      <c r="C24" s="33" t="str">
        <f>IF(H24=1,"u","")</f>
        <v/>
      </c>
      <c r="D24" s="11" t="s">
        <v>446</v>
      </c>
      <c r="E24" s="33"/>
      <c r="F24" t="s">
        <v>95</v>
      </c>
      <c r="G24" t="s">
        <v>93</v>
      </c>
      <c r="H24">
        <f>RANK(I24,I$23:I$43,1)</f>
        <v>2</v>
      </c>
      <c r="I24" s="4">
        <v>1174705</v>
      </c>
      <c r="J24" s="4"/>
      <c r="K24" s="4"/>
      <c r="L24" s="4"/>
      <c r="M24" s="22"/>
      <c r="N24" s="22"/>
      <c r="O24" s="22"/>
    </row>
    <row r="25" spans="3:15" x14ac:dyDescent="0.25">
      <c r="C25" s="33" t="str">
        <f>IF(H25=1,"u","")</f>
        <v/>
      </c>
      <c r="D25" s="11" t="s">
        <v>104</v>
      </c>
      <c r="E25" s="33"/>
      <c r="F25" t="s">
        <v>105</v>
      </c>
      <c r="G25" t="s">
        <v>93</v>
      </c>
      <c r="H25">
        <f>RANK(I25,I$23:I$43,1)</f>
        <v>3</v>
      </c>
      <c r="I25" s="4">
        <v>1390452</v>
      </c>
      <c r="J25" s="4"/>
      <c r="K25" s="4"/>
      <c r="L25" s="4"/>
      <c r="M25" s="22"/>
      <c r="N25" s="22"/>
      <c r="O25" s="22"/>
    </row>
    <row r="26" spans="3:15" x14ac:dyDescent="0.25">
      <c r="C26" s="33" t="str">
        <f t="shared" ref="C26:C43" si="0">IF(H26=1,"u","")</f>
        <v/>
      </c>
      <c r="D26" s="11"/>
      <c r="E26" s="33"/>
      <c r="I26" s="4"/>
      <c r="J26" s="4"/>
      <c r="K26" s="4"/>
      <c r="L26" s="4"/>
      <c r="M26" s="22"/>
      <c r="N26" s="22"/>
      <c r="O26" s="22"/>
    </row>
    <row r="27" spans="3:15" x14ac:dyDescent="0.25">
      <c r="C27" s="33" t="str">
        <f t="shared" si="0"/>
        <v/>
      </c>
      <c r="D27" s="11"/>
      <c r="E27" s="33" t="str">
        <f t="shared" ref="E27:E43" si="1">IF(H27=1,"t","")</f>
        <v/>
      </c>
      <c r="I27" s="4"/>
      <c r="J27" s="4"/>
      <c r="K27" s="4"/>
      <c r="L27" s="4"/>
      <c r="M27" s="22"/>
      <c r="N27" s="22"/>
      <c r="O27" s="22"/>
    </row>
    <row r="28" spans="3:15" x14ac:dyDescent="0.25">
      <c r="C28" s="33" t="str">
        <f t="shared" si="0"/>
        <v/>
      </c>
      <c r="D28" s="11"/>
      <c r="E28" s="33" t="str">
        <f t="shared" si="1"/>
        <v/>
      </c>
      <c r="I28" s="4"/>
      <c r="J28" s="4"/>
      <c r="K28" s="4"/>
      <c r="L28" s="4"/>
      <c r="M28" s="22"/>
      <c r="N28" s="22"/>
      <c r="O28" s="22"/>
    </row>
    <row r="29" spans="3:15" x14ac:dyDescent="0.25">
      <c r="C29" s="33" t="str">
        <f t="shared" si="0"/>
        <v/>
      </c>
      <c r="D29" s="11"/>
      <c r="E29" s="33" t="str">
        <f t="shared" si="1"/>
        <v/>
      </c>
      <c r="I29" s="4"/>
      <c r="J29" s="4"/>
      <c r="K29" s="4"/>
      <c r="L29" s="4"/>
      <c r="M29" s="22"/>
      <c r="N29" s="22"/>
      <c r="O29" s="22"/>
    </row>
    <row r="30" spans="3:15" x14ac:dyDescent="0.25">
      <c r="C30" s="33" t="str">
        <f t="shared" si="0"/>
        <v/>
      </c>
      <c r="D30" s="11"/>
      <c r="E30" s="33" t="str">
        <f t="shared" si="1"/>
        <v/>
      </c>
      <c r="I30" s="4"/>
      <c r="J30" s="4"/>
      <c r="K30" s="4"/>
      <c r="L30" s="4"/>
      <c r="M30" s="22"/>
      <c r="N30" s="22"/>
      <c r="O30" s="22"/>
    </row>
    <row r="31" spans="3:15" x14ac:dyDescent="0.25">
      <c r="C31" s="33" t="str">
        <f t="shared" si="0"/>
        <v/>
      </c>
      <c r="D31" s="11"/>
      <c r="E31" s="33" t="str">
        <f t="shared" si="1"/>
        <v/>
      </c>
      <c r="I31" s="4"/>
      <c r="J31" s="4"/>
      <c r="K31" s="4"/>
      <c r="L31" s="4"/>
      <c r="M31" s="22"/>
      <c r="N31" s="22"/>
      <c r="O31" s="22"/>
    </row>
    <row r="32" spans="3:15" x14ac:dyDescent="0.25">
      <c r="C32" s="33" t="str">
        <f t="shared" si="0"/>
        <v/>
      </c>
      <c r="D32" s="11"/>
      <c r="E32" s="33" t="str">
        <f t="shared" si="1"/>
        <v/>
      </c>
      <c r="I32" s="4"/>
      <c r="J32" s="4"/>
      <c r="K32" s="4"/>
      <c r="L32" s="4"/>
      <c r="M32" s="22"/>
      <c r="N32" s="22"/>
      <c r="O32" s="22"/>
    </row>
    <row r="33" spans="3:15" x14ac:dyDescent="0.25">
      <c r="C33" s="33" t="str">
        <f t="shared" si="0"/>
        <v/>
      </c>
      <c r="D33" s="11"/>
      <c r="E33" s="33" t="str">
        <f t="shared" si="1"/>
        <v/>
      </c>
      <c r="M33" s="21"/>
      <c r="N33" s="21"/>
      <c r="O33" s="21"/>
    </row>
    <row r="34" spans="3:15" x14ac:dyDescent="0.25">
      <c r="C34" s="33" t="str">
        <f t="shared" si="0"/>
        <v/>
      </c>
      <c r="D34" s="11"/>
      <c r="E34" s="33" t="str">
        <f t="shared" si="1"/>
        <v/>
      </c>
      <c r="M34" s="21"/>
      <c r="N34" s="21"/>
      <c r="O34" s="21"/>
    </row>
    <row r="35" spans="3:15" x14ac:dyDescent="0.25">
      <c r="C35" s="33" t="str">
        <f t="shared" si="0"/>
        <v/>
      </c>
      <c r="D35" s="11"/>
      <c r="E35" s="33" t="str">
        <f t="shared" si="1"/>
        <v/>
      </c>
      <c r="M35" s="21"/>
      <c r="N35" s="21"/>
      <c r="O35" s="21"/>
    </row>
    <row r="36" spans="3:15" x14ac:dyDescent="0.25">
      <c r="C36" s="33" t="str">
        <f t="shared" si="0"/>
        <v/>
      </c>
      <c r="D36" s="11"/>
      <c r="E36" s="33" t="str">
        <f t="shared" si="1"/>
        <v/>
      </c>
      <c r="M36" s="21"/>
      <c r="N36" s="21"/>
      <c r="O36" s="21"/>
    </row>
    <row r="37" spans="3:15" x14ac:dyDescent="0.25">
      <c r="C37" s="33" t="str">
        <f t="shared" si="0"/>
        <v/>
      </c>
      <c r="D37" s="11"/>
      <c r="E37" s="33" t="str">
        <f t="shared" si="1"/>
        <v/>
      </c>
      <c r="M37" s="21"/>
      <c r="N37" s="21"/>
      <c r="O37" s="21"/>
    </row>
    <row r="38" spans="3:15" x14ac:dyDescent="0.25">
      <c r="C38" s="33" t="str">
        <f t="shared" si="0"/>
        <v/>
      </c>
      <c r="D38" s="11"/>
      <c r="E38" s="33" t="str">
        <f t="shared" si="1"/>
        <v/>
      </c>
      <c r="M38" s="21"/>
      <c r="N38" s="21"/>
      <c r="O38" s="21"/>
    </row>
    <row r="39" spans="3:15" x14ac:dyDescent="0.25">
      <c r="C39" s="33" t="str">
        <f t="shared" si="0"/>
        <v/>
      </c>
      <c r="D39" s="11"/>
      <c r="E39" s="33" t="str">
        <f t="shared" si="1"/>
        <v/>
      </c>
      <c r="M39" s="21"/>
      <c r="N39" s="21"/>
      <c r="O39" s="21"/>
    </row>
    <row r="40" spans="3:15" x14ac:dyDescent="0.25">
      <c r="C40" s="33" t="str">
        <f t="shared" si="0"/>
        <v/>
      </c>
      <c r="D40" s="11"/>
      <c r="E40" s="33" t="str">
        <f t="shared" si="1"/>
        <v/>
      </c>
      <c r="M40" s="21"/>
      <c r="N40" s="21"/>
      <c r="O40" s="21"/>
    </row>
    <row r="41" spans="3:15" x14ac:dyDescent="0.25">
      <c r="C41" s="33" t="str">
        <f t="shared" si="0"/>
        <v/>
      </c>
      <c r="D41" s="11"/>
      <c r="E41" s="33" t="str">
        <f t="shared" si="1"/>
        <v/>
      </c>
      <c r="M41" s="21"/>
      <c r="N41" s="21"/>
      <c r="O41" s="21"/>
    </row>
    <row r="42" spans="3:15" x14ac:dyDescent="0.25">
      <c r="C42" s="33" t="str">
        <f t="shared" si="0"/>
        <v/>
      </c>
      <c r="D42" s="11"/>
      <c r="E42" s="33" t="str">
        <f t="shared" si="1"/>
        <v/>
      </c>
      <c r="M42" s="21"/>
      <c r="N42" s="21"/>
      <c r="O42" s="21"/>
    </row>
    <row r="43" spans="3:15" x14ac:dyDescent="0.25">
      <c r="C43" s="33" t="str">
        <f t="shared" si="0"/>
        <v/>
      </c>
      <c r="D43" s="11"/>
      <c r="E43" s="33" t="str">
        <f t="shared" si="1"/>
        <v/>
      </c>
      <c r="M43" s="21"/>
      <c r="N43" s="21"/>
      <c r="O43" s="21"/>
    </row>
    <row r="44" spans="3:15" ht="6" customHeight="1" x14ac:dyDescent="0.25">
      <c r="C44" s="9"/>
      <c r="D44" s="9"/>
      <c r="E44" s="9"/>
      <c r="F44" s="9"/>
      <c r="G44" s="9"/>
      <c r="H44" s="9"/>
      <c r="I44" s="9"/>
      <c r="J44" s="9"/>
      <c r="K44" s="9"/>
      <c r="L44" s="9"/>
      <c r="M44" s="21"/>
      <c r="N44" s="21"/>
      <c r="O44" s="21"/>
    </row>
    <row r="45" spans="3:15" ht="6" customHeight="1" x14ac:dyDescent="0.25">
      <c r="M45" s="21"/>
      <c r="N45" s="21"/>
      <c r="O45" s="21"/>
    </row>
    <row r="46" spans="3:15" x14ac:dyDescent="0.25">
      <c r="C46" s="15" t="s">
        <v>79</v>
      </c>
      <c r="M46" s="21"/>
      <c r="N46" s="21"/>
      <c r="O46" s="21"/>
    </row>
    <row r="47" spans="3:15" x14ac:dyDescent="0.25">
      <c r="C47" s="15" t="s">
        <v>78</v>
      </c>
    </row>
  </sheetData>
  <mergeCells count="1">
    <mergeCell ref="G13:H13"/>
  </mergeCells>
  <conditionalFormatting sqref="I9">
    <cfRule type="containsText" dxfId="527" priority="10" operator="containsText" text="FAIL">
      <formula>NOT(ISERROR(SEARCH("FAIL",I9)))</formula>
    </cfRule>
  </conditionalFormatting>
  <conditionalFormatting sqref="I9">
    <cfRule type="containsText" dxfId="526" priority="9" operator="containsText" text="GOOD">
      <formula>NOT(ISERROR(SEARCH("GOOD",I9)))</formula>
    </cfRule>
  </conditionalFormatting>
  <conditionalFormatting sqref="F11">
    <cfRule type="containsText" dxfId="525" priority="8" operator="containsText" text="FAIL">
      <formula>NOT(ISERROR(SEARCH("FAIL",F11)))</formula>
    </cfRule>
  </conditionalFormatting>
  <conditionalFormatting sqref="F11">
    <cfRule type="containsText" dxfId="524" priority="7" operator="containsText" text="GOOD">
      <formula>NOT(ISERROR(SEARCH("GOOD",F11)))</formula>
    </cfRule>
  </conditionalFormatting>
  <conditionalFormatting sqref="D25">
    <cfRule type="expression" dxfId="523" priority="6" stopIfTrue="1">
      <formula>IF($H$25=1,0)</formula>
    </cfRule>
  </conditionalFormatting>
  <conditionalFormatting sqref="D23:D43">
    <cfRule type="expression" dxfId="522" priority="5">
      <formula>H23=1</formula>
    </cfRule>
  </conditionalFormatting>
  <conditionalFormatting sqref="C23:C43">
    <cfRule type="expression" dxfId="521" priority="4">
      <formula>H23=1</formula>
    </cfRule>
  </conditionalFormatting>
  <conditionalFormatting sqref="E23:E43">
    <cfRule type="expression" dxfId="520" priority="3">
      <formula>H23=1</formula>
    </cfRule>
  </conditionalFormatting>
  <conditionalFormatting sqref="F11">
    <cfRule type="containsText" dxfId="519" priority="2" operator="containsText" text="FAIL">
      <formula>NOT(ISERROR(SEARCH("FAIL",F11)))</formula>
    </cfRule>
  </conditionalFormatting>
  <conditionalFormatting sqref="F11">
    <cfRule type="containsText" dxfId="518" priority="1" operator="containsText" text="GOOD">
      <formula>NOT(ISERROR(SEARCH("GOOD",F11)))</formula>
    </cfRule>
  </conditionalFormatting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200-000000000000}">
  <sheetPr codeName="Sheet116"/>
  <dimension ref="A2:O47"/>
  <sheetViews>
    <sheetView zoomScaleNormal="100" workbookViewId="0">
      <selection activeCell="K25" sqref="K25"/>
    </sheetView>
  </sheetViews>
  <sheetFormatPr defaultRowHeight="15" x14ac:dyDescent="0.25"/>
  <cols>
    <col min="1" max="2" width="4.42578125" customWidth="1"/>
    <col min="3" max="3" width="3" customWidth="1"/>
    <col min="4" max="4" width="24.85546875" customWidth="1"/>
    <col min="5" max="5" width="3" customWidth="1"/>
    <col min="6" max="6" width="15.7109375" hidden="1" customWidth="1"/>
    <col min="7" max="7" width="8.5703125" hidden="1" customWidth="1"/>
    <col min="8" max="8" width="5.85546875" customWidth="1"/>
    <col min="9" max="15" width="15.7109375" customWidth="1"/>
  </cols>
  <sheetData>
    <row r="2" spans="1:11" x14ac:dyDescent="0.25">
      <c r="C2" s="15" t="s">
        <v>32</v>
      </c>
      <c r="E2" s="15"/>
      <c r="F2" s="15"/>
      <c r="G2" s="15" t="s">
        <v>33</v>
      </c>
      <c r="H2" s="15"/>
      <c r="I2" s="15"/>
      <c r="J2" s="15"/>
      <c r="K2" s="15"/>
    </row>
    <row r="3" spans="1:11" ht="18.75" x14ac:dyDescent="0.3">
      <c r="C3" s="3" t="s">
        <v>26</v>
      </c>
      <c r="J3" s="8" t="s">
        <v>17</v>
      </c>
    </row>
    <row r="4" spans="1:11" x14ac:dyDescent="0.25">
      <c r="D4" s="2" t="s">
        <v>0</v>
      </c>
      <c r="E4" s="1"/>
      <c r="F4" t="s">
        <v>609</v>
      </c>
      <c r="I4" s="2" t="s">
        <v>4</v>
      </c>
      <c r="J4" t="s">
        <v>442</v>
      </c>
    </row>
    <row r="5" spans="1:11" x14ac:dyDescent="0.25">
      <c r="D5" s="2" t="s">
        <v>1</v>
      </c>
      <c r="F5" t="s">
        <v>443</v>
      </c>
    </row>
    <row r="6" spans="1:11" x14ac:dyDescent="0.25">
      <c r="D6" s="2" t="s">
        <v>2</v>
      </c>
      <c r="F6" s="6">
        <v>42474</v>
      </c>
      <c r="H6" s="11"/>
    </row>
    <row r="7" spans="1:11" x14ac:dyDescent="0.25">
      <c r="D7" s="2" t="s">
        <v>3</v>
      </c>
      <c r="F7" s="5">
        <v>700000</v>
      </c>
      <c r="G7" s="2" t="s">
        <v>34</v>
      </c>
      <c r="H7" s="11"/>
    </row>
    <row r="8" spans="1:11" x14ac:dyDescent="0.25">
      <c r="D8" s="2" t="s">
        <v>18</v>
      </c>
      <c r="F8" s="5">
        <f>MIN(I23:I43)</f>
        <v>442247</v>
      </c>
      <c r="H8" s="11"/>
    </row>
    <row r="9" spans="1:11" x14ac:dyDescent="0.25">
      <c r="D9" s="2" t="s">
        <v>67</v>
      </c>
      <c r="F9" s="4">
        <f>+F8-F7</f>
        <v>-257753</v>
      </c>
      <c r="G9" s="16">
        <f>+F9/F7</f>
        <v>-0.36821857142857145</v>
      </c>
      <c r="H9" s="12" t="s">
        <v>20</v>
      </c>
      <c r="I9" s="11" t="str">
        <f>(IF(G9&lt;-0.1,"FAIL",IF(G9&gt;0.05,"FAIL","GOOD")))</f>
        <v>FAIL</v>
      </c>
      <c r="J9" s="14" t="s">
        <v>72</v>
      </c>
    </row>
    <row r="10" spans="1:11" x14ac:dyDescent="0.25">
      <c r="D10" s="2" t="s">
        <v>68</v>
      </c>
      <c r="F10" s="4">
        <f>+F7-F12</f>
        <v>-155124.16666666663</v>
      </c>
      <c r="H10" s="11"/>
    </row>
    <row r="11" spans="1:11" x14ac:dyDescent="0.25">
      <c r="A11" s="52"/>
      <c r="D11" s="2" t="s">
        <v>71</v>
      </c>
      <c r="F11" s="11" t="str">
        <f>(IF(F7&lt;J12,"FAIL",IF(F7&gt;J13,"FAIL","GOOD")))</f>
        <v>GOOD</v>
      </c>
      <c r="H11" s="11"/>
    </row>
    <row r="12" spans="1:11" x14ac:dyDescent="0.25">
      <c r="D12" s="2" t="s">
        <v>28</v>
      </c>
      <c r="F12" s="4">
        <f>SUM(I23:I43)/H12</f>
        <v>855124.16666666663</v>
      </c>
      <c r="G12" s="14"/>
      <c r="H12" s="11">
        <f>COUNT(I23:I43)</f>
        <v>6</v>
      </c>
      <c r="I12" s="1" t="s">
        <v>31</v>
      </c>
      <c r="J12" s="4">
        <f>+F8*0.9</f>
        <v>398022.3</v>
      </c>
      <c r="K12" s="1" t="s">
        <v>69</v>
      </c>
    </row>
    <row r="13" spans="1:11" x14ac:dyDescent="0.25">
      <c r="D13" s="2" t="s">
        <v>29</v>
      </c>
      <c r="F13" s="4">
        <f>MAX(I23:I43)-MIN(I23:I43)</f>
        <v>799631</v>
      </c>
      <c r="G13" s="399">
        <f>MEDIAN(I23:I43)</f>
        <v>930350</v>
      </c>
      <c r="H13" s="400"/>
      <c r="I13" s="1" t="s">
        <v>30</v>
      </c>
      <c r="J13" s="4">
        <f>+F12*1.1</f>
        <v>940636.58333333337</v>
      </c>
      <c r="K13" s="1" t="s">
        <v>70</v>
      </c>
    </row>
    <row r="14" spans="1:11" x14ac:dyDescent="0.25">
      <c r="H14" s="11"/>
    </row>
    <row r="15" spans="1:11" x14ac:dyDescent="0.25">
      <c r="D15" s="2" t="s">
        <v>8</v>
      </c>
      <c r="F15" s="4"/>
      <c r="G15" s="1" t="s">
        <v>9</v>
      </c>
      <c r="H15" s="11"/>
      <c r="I15" t="s">
        <v>15</v>
      </c>
      <c r="J15" s="7" t="e">
        <f>+F16/F15</f>
        <v>#DIV/0!</v>
      </c>
    </row>
    <row r="16" spans="1:11" x14ac:dyDescent="0.25">
      <c r="F16" s="4"/>
      <c r="G16" s="1" t="s">
        <v>10</v>
      </c>
      <c r="H16" s="11"/>
      <c r="I16" t="s">
        <v>14</v>
      </c>
      <c r="J16" s="7" t="e">
        <f>+F17/F16</f>
        <v>#DIV/0!</v>
      </c>
    </row>
    <row r="17" spans="3:15" x14ac:dyDescent="0.25">
      <c r="F17" s="4"/>
      <c r="G17" s="1" t="s">
        <v>11</v>
      </c>
      <c r="H17" s="11"/>
      <c r="I17" t="s">
        <v>13</v>
      </c>
      <c r="J17" s="7" t="e">
        <f>+F18/F17</f>
        <v>#DIV/0!</v>
      </c>
      <c r="M17" s="21"/>
      <c r="N17" s="21"/>
      <c r="O17" s="21"/>
    </row>
    <row r="18" spans="3:15" x14ac:dyDescent="0.25">
      <c r="F18" s="4"/>
      <c r="G18" s="1" t="s">
        <v>12</v>
      </c>
      <c r="H18" s="11"/>
      <c r="I18" t="s">
        <v>16</v>
      </c>
      <c r="J18" s="7" t="e">
        <f>+F8/F18</f>
        <v>#DIV/0!</v>
      </c>
      <c r="M18" s="21"/>
      <c r="N18" s="21"/>
      <c r="O18" s="21"/>
    </row>
    <row r="19" spans="3:15" x14ac:dyDescent="0.25">
      <c r="F19" s="2" t="s">
        <v>51</v>
      </c>
      <c r="G19">
        <v>0</v>
      </c>
      <c r="H19" s="11" t="s">
        <v>52</v>
      </c>
      <c r="I19" t="s">
        <v>41</v>
      </c>
      <c r="J19" s="7" t="e">
        <f>+F8/F15</f>
        <v>#DIV/0!</v>
      </c>
      <c r="M19" s="21"/>
      <c r="N19" s="21"/>
      <c r="O19" s="21"/>
    </row>
    <row r="20" spans="3:15" x14ac:dyDescent="0.25">
      <c r="H20" s="11"/>
      <c r="M20" s="21"/>
      <c r="N20" s="21"/>
      <c r="O20" s="21"/>
    </row>
    <row r="21" spans="3:15" x14ac:dyDescent="0.25">
      <c r="C21" s="9"/>
      <c r="D21" s="13" t="s">
        <v>21</v>
      </c>
      <c r="E21" s="9"/>
      <c r="F21" s="9" t="s">
        <v>22</v>
      </c>
      <c r="G21" s="9" t="s">
        <v>23</v>
      </c>
      <c r="H21" s="13" t="s">
        <v>27</v>
      </c>
      <c r="I21" s="10" t="s">
        <v>24</v>
      </c>
      <c r="J21" s="9"/>
      <c r="K21" s="9"/>
      <c r="L21" s="9"/>
      <c r="M21" s="21"/>
      <c r="N21" s="21"/>
      <c r="O21" s="21"/>
    </row>
    <row r="22" spans="3:15" ht="6" customHeight="1" x14ac:dyDescent="0.25">
      <c r="M22" s="21"/>
      <c r="N22" s="21"/>
      <c r="O22" s="21"/>
    </row>
    <row r="23" spans="3:15" x14ac:dyDescent="0.25">
      <c r="C23" s="33" t="str">
        <f>IF(H23=1,"u","")</f>
        <v/>
      </c>
      <c r="D23" s="11" t="s">
        <v>104</v>
      </c>
      <c r="E23" s="33"/>
      <c r="F23" t="s">
        <v>105</v>
      </c>
      <c r="G23" t="s">
        <v>93</v>
      </c>
      <c r="H23">
        <f t="shared" ref="H23:H28" si="0">RANK(I23,I$23:I$43,1)</f>
        <v>6</v>
      </c>
      <c r="I23" s="4">
        <v>1241878</v>
      </c>
      <c r="J23" s="4"/>
      <c r="K23" s="4"/>
      <c r="L23" s="4"/>
      <c r="M23" s="22"/>
      <c r="N23" s="22"/>
      <c r="O23" s="22"/>
    </row>
    <row r="24" spans="3:15" x14ac:dyDescent="0.25">
      <c r="C24" s="33" t="str">
        <f>IF(H24=1,"u","")</f>
        <v/>
      </c>
      <c r="D24" s="11" t="s">
        <v>610</v>
      </c>
      <c r="E24" s="33"/>
      <c r="F24" t="s">
        <v>611</v>
      </c>
      <c r="G24" t="s">
        <v>25</v>
      </c>
      <c r="H24">
        <f t="shared" si="0"/>
        <v>5</v>
      </c>
      <c r="I24" s="4">
        <v>1067000</v>
      </c>
      <c r="J24" s="4"/>
      <c r="K24" s="4"/>
      <c r="L24" s="4"/>
      <c r="M24" s="22"/>
      <c r="N24" s="22"/>
      <c r="O24" s="22"/>
    </row>
    <row r="25" spans="3:15" x14ac:dyDescent="0.25">
      <c r="C25" s="33" t="str">
        <f>IF(H25=1,"u","")</f>
        <v>u</v>
      </c>
      <c r="D25" s="11" t="s">
        <v>612</v>
      </c>
      <c r="E25" s="33"/>
      <c r="F25" t="s">
        <v>139</v>
      </c>
      <c r="G25" t="s">
        <v>25</v>
      </c>
      <c r="H25">
        <f t="shared" si="0"/>
        <v>1</v>
      </c>
      <c r="I25" s="4">
        <v>442247</v>
      </c>
      <c r="J25" s="4"/>
      <c r="K25" s="4"/>
      <c r="L25" s="4"/>
      <c r="M25" s="22"/>
      <c r="N25" s="22"/>
      <c r="O25" s="22"/>
    </row>
    <row r="26" spans="3:15" x14ac:dyDescent="0.25">
      <c r="C26" s="33" t="str">
        <f t="shared" ref="C26:C43" si="1">IF(H26=1,"u","")</f>
        <v/>
      </c>
      <c r="D26" s="11" t="s">
        <v>613</v>
      </c>
      <c r="E26" s="33"/>
      <c r="F26" t="s">
        <v>327</v>
      </c>
      <c r="G26" t="s">
        <v>25</v>
      </c>
      <c r="H26">
        <f t="shared" si="0"/>
        <v>3</v>
      </c>
      <c r="I26" s="4">
        <v>865700</v>
      </c>
      <c r="J26" s="4"/>
      <c r="K26" s="4"/>
      <c r="L26" s="4"/>
      <c r="M26" s="22"/>
      <c r="N26" s="22"/>
      <c r="O26" s="22"/>
    </row>
    <row r="27" spans="3:15" x14ac:dyDescent="0.25">
      <c r="C27" s="33" t="str">
        <f t="shared" si="1"/>
        <v/>
      </c>
      <c r="D27" s="11" t="s">
        <v>603</v>
      </c>
      <c r="E27" s="33" t="str">
        <f t="shared" ref="E27:E43" si="2">IF(H27=1,"t","")</f>
        <v/>
      </c>
      <c r="F27" t="s">
        <v>85</v>
      </c>
      <c r="G27" t="s">
        <v>25</v>
      </c>
      <c r="H27">
        <f t="shared" si="0"/>
        <v>2</v>
      </c>
      <c r="I27" s="4">
        <v>518920</v>
      </c>
      <c r="J27" s="4"/>
      <c r="K27" s="4"/>
      <c r="L27" s="4"/>
      <c r="M27" s="22"/>
      <c r="N27" s="22"/>
      <c r="O27" s="22"/>
    </row>
    <row r="28" spans="3:15" x14ac:dyDescent="0.25">
      <c r="C28" s="33" t="str">
        <f t="shared" si="1"/>
        <v/>
      </c>
      <c r="D28" s="11" t="s">
        <v>430</v>
      </c>
      <c r="E28" s="33" t="str">
        <f t="shared" si="2"/>
        <v/>
      </c>
      <c r="F28" t="s">
        <v>186</v>
      </c>
      <c r="G28" t="s">
        <v>25</v>
      </c>
      <c r="H28">
        <f t="shared" si="0"/>
        <v>4</v>
      </c>
      <c r="I28" s="4">
        <v>995000</v>
      </c>
      <c r="J28" s="4"/>
      <c r="K28" s="4"/>
      <c r="L28" s="4"/>
      <c r="M28" s="22"/>
      <c r="N28" s="22"/>
      <c r="O28" s="22"/>
    </row>
    <row r="29" spans="3:15" x14ac:dyDescent="0.25">
      <c r="C29" s="33" t="str">
        <f t="shared" si="1"/>
        <v/>
      </c>
      <c r="D29" s="11"/>
      <c r="E29" s="33"/>
      <c r="I29" s="4"/>
      <c r="J29" s="4"/>
      <c r="K29" s="4"/>
      <c r="L29" s="4"/>
      <c r="M29" s="22"/>
      <c r="N29" s="22"/>
      <c r="O29" s="22"/>
    </row>
    <row r="30" spans="3:15" x14ac:dyDescent="0.25">
      <c r="C30" s="33" t="str">
        <f t="shared" si="1"/>
        <v/>
      </c>
      <c r="D30" s="11"/>
      <c r="E30" s="33"/>
      <c r="I30" s="4"/>
      <c r="J30" s="4"/>
      <c r="K30" s="4"/>
      <c r="L30" s="4"/>
      <c r="M30" s="22"/>
      <c r="N30" s="22"/>
      <c r="O30" s="22"/>
    </row>
    <row r="31" spans="3:15" x14ac:dyDescent="0.25">
      <c r="C31" s="33" t="str">
        <f t="shared" si="1"/>
        <v/>
      </c>
      <c r="D31" s="11"/>
      <c r="E31" s="33"/>
      <c r="I31" s="4"/>
      <c r="J31" s="4"/>
      <c r="K31" s="4"/>
      <c r="L31" s="4"/>
      <c r="M31" s="22"/>
      <c r="N31" s="22"/>
      <c r="O31" s="22"/>
    </row>
    <row r="32" spans="3:15" x14ac:dyDescent="0.25">
      <c r="C32" s="33" t="str">
        <f t="shared" si="1"/>
        <v/>
      </c>
      <c r="D32" s="11"/>
      <c r="E32" s="33"/>
      <c r="I32" s="4"/>
      <c r="J32" s="4"/>
      <c r="K32" s="4"/>
      <c r="L32" s="4"/>
      <c r="M32" s="22"/>
      <c r="N32" s="22"/>
      <c r="O32" s="22"/>
    </row>
    <row r="33" spans="3:15" x14ac:dyDescent="0.25">
      <c r="C33" s="33" t="str">
        <f t="shared" si="1"/>
        <v/>
      </c>
      <c r="D33" s="11"/>
      <c r="E33" s="33"/>
      <c r="I33" s="4"/>
      <c r="M33" s="21"/>
      <c r="N33" s="21"/>
      <c r="O33" s="21"/>
    </row>
    <row r="34" spans="3:15" x14ac:dyDescent="0.25">
      <c r="C34" s="33" t="str">
        <f t="shared" si="1"/>
        <v/>
      </c>
      <c r="D34" s="11"/>
      <c r="E34" s="33" t="str">
        <f t="shared" si="2"/>
        <v/>
      </c>
      <c r="M34" s="21"/>
      <c r="N34" s="21"/>
      <c r="O34" s="21"/>
    </row>
    <row r="35" spans="3:15" x14ac:dyDescent="0.25">
      <c r="C35" s="33" t="str">
        <f t="shared" si="1"/>
        <v/>
      </c>
      <c r="D35" s="11"/>
      <c r="E35" s="33" t="str">
        <f t="shared" si="2"/>
        <v/>
      </c>
      <c r="M35" s="21"/>
      <c r="N35" s="21"/>
      <c r="O35" s="21"/>
    </row>
    <row r="36" spans="3:15" x14ac:dyDescent="0.25">
      <c r="C36" s="33" t="str">
        <f t="shared" si="1"/>
        <v/>
      </c>
      <c r="D36" s="11"/>
      <c r="E36" s="33" t="str">
        <f t="shared" si="2"/>
        <v/>
      </c>
      <c r="M36" s="21"/>
      <c r="N36" s="21"/>
      <c r="O36" s="21"/>
    </row>
    <row r="37" spans="3:15" x14ac:dyDescent="0.25">
      <c r="C37" s="33" t="str">
        <f t="shared" si="1"/>
        <v/>
      </c>
      <c r="D37" s="11"/>
      <c r="E37" s="33" t="str">
        <f t="shared" si="2"/>
        <v/>
      </c>
      <c r="M37" s="21"/>
      <c r="N37" s="21"/>
      <c r="O37" s="21"/>
    </row>
    <row r="38" spans="3:15" x14ac:dyDescent="0.25">
      <c r="C38" s="33" t="str">
        <f t="shared" si="1"/>
        <v/>
      </c>
      <c r="D38" s="11"/>
      <c r="E38" s="33" t="str">
        <f t="shared" si="2"/>
        <v/>
      </c>
      <c r="M38" s="21"/>
      <c r="N38" s="21"/>
      <c r="O38" s="21"/>
    </row>
    <row r="39" spans="3:15" x14ac:dyDescent="0.25">
      <c r="C39" s="33" t="str">
        <f t="shared" si="1"/>
        <v/>
      </c>
      <c r="D39" s="11"/>
      <c r="E39" s="33" t="str">
        <f t="shared" si="2"/>
        <v/>
      </c>
      <c r="M39" s="21"/>
      <c r="N39" s="21"/>
      <c r="O39" s="21"/>
    </row>
    <row r="40" spans="3:15" x14ac:dyDescent="0.25">
      <c r="C40" s="33" t="str">
        <f t="shared" si="1"/>
        <v/>
      </c>
      <c r="D40" s="11"/>
      <c r="E40" s="33" t="str">
        <f t="shared" si="2"/>
        <v/>
      </c>
      <c r="M40" s="21"/>
      <c r="N40" s="21"/>
      <c r="O40" s="21"/>
    </row>
    <row r="41" spans="3:15" x14ac:dyDescent="0.25">
      <c r="C41" s="33" t="str">
        <f t="shared" si="1"/>
        <v/>
      </c>
      <c r="D41" s="11"/>
      <c r="E41" s="33" t="str">
        <f t="shared" si="2"/>
        <v/>
      </c>
      <c r="M41" s="21"/>
      <c r="N41" s="21"/>
      <c r="O41" s="21"/>
    </row>
    <row r="42" spans="3:15" x14ac:dyDescent="0.25">
      <c r="C42" s="33" t="str">
        <f t="shared" si="1"/>
        <v/>
      </c>
      <c r="D42" s="11"/>
      <c r="E42" s="33" t="str">
        <f t="shared" si="2"/>
        <v/>
      </c>
      <c r="M42" s="21"/>
      <c r="N42" s="21"/>
      <c r="O42" s="21"/>
    </row>
    <row r="43" spans="3:15" x14ac:dyDescent="0.25">
      <c r="C43" s="33" t="str">
        <f t="shared" si="1"/>
        <v/>
      </c>
      <c r="D43" s="11"/>
      <c r="E43" s="33" t="str">
        <f t="shared" si="2"/>
        <v/>
      </c>
      <c r="M43" s="21"/>
      <c r="N43" s="21"/>
      <c r="O43" s="21"/>
    </row>
    <row r="44" spans="3:15" ht="6" customHeight="1" x14ac:dyDescent="0.25">
      <c r="C44" s="9"/>
      <c r="D44" s="9"/>
      <c r="E44" s="9"/>
      <c r="F44" s="9"/>
      <c r="G44" s="9"/>
      <c r="H44" s="9"/>
      <c r="I44" s="9"/>
      <c r="J44" s="9"/>
      <c r="K44" s="9"/>
      <c r="L44" s="9"/>
      <c r="M44" s="21"/>
      <c r="N44" s="21"/>
      <c r="O44" s="21"/>
    </row>
    <row r="45" spans="3:15" ht="6" customHeight="1" x14ac:dyDescent="0.25">
      <c r="M45" s="21"/>
      <c r="N45" s="21"/>
      <c r="O45" s="21"/>
    </row>
    <row r="46" spans="3:15" x14ac:dyDescent="0.25">
      <c r="C46" s="15" t="s">
        <v>79</v>
      </c>
      <c r="M46" s="21"/>
      <c r="N46" s="21"/>
      <c r="O46" s="21"/>
    </row>
    <row r="47" spans="3:15" x14ac:dyDescent="0.25">
      <c r="C47" s="15" t="s">
        <v>78</v>
      </c>
    </row>
  </sheetData>
  <mergeCells count="1">
    <mergeCell ref="G13:H13"/>
  </mergeCells>
  <conditionalFormatting sqref="I9">
    <cfRule type="containsText" dxfId="719" priority="10" operator="containsText" text="FAIL">
      <formula>NOT(ISERROR(SEARCH("FAIL",I9)))</formula>
    </cfRule>
  </conditionalFormatting>
  <conditionalFormatting sqref="I9">
    <cfRule type="containsText" dxfId="718" priority="9" operator="containsText" text="GOOD">
      <formula>NOT(ISERROR(SEARCH("GOOD",I9)))</formula>
    </cfRule>
  </conditionalFormatting>
  <conditionalFormatting sqref="F11">
    <cfRule type="containsText" dxfId="717" priority="8" operator="containsText" text="FAIL">
      <formula>NOT(ISERROR(SEARCH("FAIL",F11)))</formula>
    </cfRule>
  </conditionalFormatting>
  <conditionalFormatting sqref="F11">
    <cfRule type="containsText" dxfId="716" priority="7" operator="containsText" text="GOOD">
      <formula>NOT(ISERROR(SEARCH("GOOD",F11)))</formula>
    </cfRule>
  </conditionalFormatting>
  <conditionalFormatting sqref="D25">
    <cfRule type="expression" dxfId="715" priority="6" stopIfTrue="1">
      <formula>IF($H$25=1,0)</formula>
    </cfRule>
  </conditionalFormatting>
  <conditionalFormatting sqref="D23:D43">
    <cfRule type="expression" dxfId="714" priority="5">
      <formula>H23=1</formula>
    </cfRule>
  </conditionalFormatting>
  <conditionalFormatting sqref="C23:C43">
    <cfRule type="expression" dxfId="713" priority="4">
      <formula>H23=1</formula>
    </cfRule>
  </conditionalFormatting>
  <conditionalFormatting sqref="E23:E43">
    <cfRule type="expression" dxfId="712" priority="3">
      <formula>H23=1</formula>
    </cfRule>
  </conditionalFormatting>
  <conditionalFormatting sqref="F11">
    <cfRule type="containsText" dxfId="711" priority="2" operator="containsText" text="FAIL">
      <formula>NOT(ISERROR(SEARCH("FAIL",F11)))</formula>
    </cfRule>
  </conditionalFormatting>
  <conditionalFormatting sqref="F11">
    <cfRule type="containsText" dxfId="710" priority="1" operator="containsText" text="GOOD">
      <formula>NOT(ISERROR(SEARCH("GOOD",F11)))</formula>
    </cfRule>
  </conditionalFormatting>
  <pageMargins left="0.7" right="0.7" top="0.75" bottom="0.75" header="0.3" footer="0.3"/>
  <pageSetup scale="68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sheetPr codeName="Sheet55"/>
  <dimension ref="A2:O47"/>
  <sheetViews>
    <sheetView zoomScaleNormal="100" workbookViewId="0">
      <selection activeCell="G8" sqref="G8"/>
    </sheetView>
  </sheetViews>
  <sheetFormatPr defaultRowHeight="15" x14ac:dyDescent="0.25"/>
  <cols>
    <col min="1" max="2" width="4.42578125" customWidth="1"/>
    <col min="3" max="3" width="3" customWidth="1"/>
    <col min="4" max="4" width="24.85546875" customWidth="1"/>
    <col min="5" max="5" width="3" customWidth="1"/>
    <col min="6" max="6" width="15.7109375" customWidth="1"/>
    <col min="7" max="7" width="8.5703125" customWidth="1"/>
    <col min="8" max="8" width="5.85546875" customWidth="1"/>
    <col min="9" max="15" width="15.7109375" customWidth="1"/>
  </cols>
  <sheetData>
    <row r="2" spans="1:11" x14ac:dyDescent="0.25">
      <c r="C2" s="15" t="s">
        <v>32</v>
      </c>
      <c r="E2" s="15"/>
      <c r="F2" s="15"/>
      <c r="G2" s="15" t="s">
        <v>33</v>
      </c>
      <c r="H2" s="15"/>
      <c r="I2" s="15"/>
      <c r="J2" s="15"/>
      <c r="K2" s="15"/>
    </row>
    <row r="3" spans="1:11" ht="18.75" x14ac:dyDescent="0.3">
      <c r="C3" s="3" t="s">
        <v>26</v>
      </c>
      <c r="J3" s="8" t="s">
        <v>17</v>
      </c>
    </row>
    <row r="4" spans="1:11" x14ac:dyDescent="0.25">
      <c r="D4" s="2" t="s">
        <v>0</v>
      </c>
      <c r="E4" s="1"/>
      <c r="F4" t="s">
        <v>999</v>
      </c>
      <c r="I4" s="2" t="s">
        <v>4</v>
      </c>
      <c r="J4" t="s">
        <v>816</v>
      </c>
    </row>
    <row r="5" spans="1:11" x14ac:dyDescent="0.25">
      <c r="D5" s="2" t="s">
        <v>1</v>
      </c>
      <c r="F5" t="s">
        <v>1000</v>
      </c>
    </row>
    <row r="6" spans="1:11" x14ac:dyDescent="0.25">
      <c r="D6" s="2" t="s">
        <v>2</v>
      </c>
      <c r="F6" s="6">
        <v>42871</v>
      </c>
      <c r="H6" s="11"/>
    </row>
    <row r="7" spans="1:11" x14ac:dyDescent="0.25">
      <c r="D7" s="2" t="s">
        <v>3</v>
      </c>
      <c r="F7" s="5">
        <v>9000000</v>
      </c>
      <c r="G7" s="2" t="s">
        <v>34</v>
      </c>
      <c r="H7" s="11"/>
    </row>
    <row r="8" spans="1:11" x14ac:dyDescent="0.25">
      <c r="D8" s="2" t="s">
        <v>18</v>
      </c>
      <c r="F8" s="5">
        <f>MIN(I23:I43)</f>
        <v>10805265</v>
      </c>
      <c r="H8" s="11"/>
    </row>
    <row r="9" spans="1:11" x14ac:dyDescent="0.25">
      <c r="D9" s="2" t="s">
        <v>67</v>
      </c>
      <c r="F9" s="4">
        <f>+F8-F7</f>
        <v>1805265</v>
      </c>
      <c r="G9" s="16">
        <f>+F9/F7</f>
        <v>0.20058500000000001</v>
      </c>
      <c r="H9" s="12" t="s">
        <v>20</v>
      </c>
      <c r="I9" s="11" t="str">
        <f>(IF(G9&lt;-0.1,"FAIL",IF(G9&gt;0.05,"FAIL","GOOD")))</f>
        <v>FAIL</v>
      </c>
      <c r="J9" s="14" t="s">
        <v>72</v>
      </c>
    </row>
    <row r="10" spans="1:11" x14ac:dyDescent="0.25">
      <c r="D10" s="2" t="s">
        <v>68</v>
      </c>
      <c r="F10" s="4">
        <f>+F7-F12</f>
        <v>-4051670</v>
      </c>
      <c r="H10" s="11"/>
    </row>
    <row r="11" spans="1:11" x14ac:dyDescent="0.25">
      <c r="A11" s="52"/>
      <c r="D11" s="2" t="s">
        <v>71</v>
      </c>
      <c r="F11" s="11" t="str">
        <f>(IF(F7&lt;J12,"FAIL",IF(F7&gt;J13,"FAIL","GOOD")))</f>
        <v>FAIL</v>
      </c>
      <c r="H11" s="11"/>
    </row>
    <row r="12" spans="1:11" x14ac:dyDescent="0.25">
      <c r="D12" s="2" t="s">
        <v>28</v>
      </c>
      <c r="F12" s="4">
        <f>SUM(I23:I43)/H12</f>
        <v>13051670</v>
      </c>
      <c r="G12" s="14"/>
      <c r="H12" s="11">
        <f>COUNT(I23:I43)</f>
        <v>2</v>
      </c>
      <c r="I12" s="1" t="s">
        <v>31</v>
      </c>
      <c r="J12" s="4">
        <f>+F8*0.9</f>
        <v>9724738.5</v>
      </c>
      <c r="K12" s="1" t="s">
        <v>69</v>
      </c>
    </row>
    <row r="13" spans="1:11" x14ac:dyDescent="0.25">
      <c r="D13" s="2" t="s">
        <v>29</v>
      </c>
      <c r="F13" s="4">
        <f>MAX(I23:I43)-MIN(I23:I43)</f>
        <v>4492810</v>
      </c>
      <c r="G13" s="399">
        <f>MEDIAN(I23:I43)</f>
        <v>13051670</v>
      </c>
      <c r="H13" s="400"/>
      <c r="I13" s="1" t="s">
        <v>30</v>
      </c>
      <c r="J13" s="4">
        <f>+F12*1.1</f>
        <v>14356837.000000002</v>
      </c>
      <c r="K13" s="1" t="s">
        <v>70</v>
      </c>
    </row>
    <row r="14" spans="1:11" x14ac:dyDescent="0.25">
      <c r="H14" s="11"/>
    </row>
    <row r="15" spans="1:11" x14ac:dyDescent="0.25">
      <c r="D15" s="2" t="s">
        <v>8</v>
      </c>
      <c r="F15" s="4"/>
      <c r="G15" s="1" t="s">
        <v>9</v>
      </c>
      <c r="H15" s="11"/>
      <c r="I15" t="s">
        <v>15</v>
      </c>
      <c r="J15" s="7" t="e">
        <f>+F16/F15</f>
        <v>#DIV/0!</v>
      </c>
    </row>
    <row r="16" spans="1:11" x14ac:dyDescent="0.25">
      <c r="F16" s="4"/>
      <c r="G16" s="1" t="s">
        <v>10</v>
      </c>
      <c r="H16" s="11"/>
      <c r="I16" t="s">
        <v>14</v>
      </c>
      <c r="J16" s="7" t="e">
        <f>+F17/F16</f>
        <v>#DIV/0!</v>
      </c>
    </row>
    <row r="17" spans="3:15" x14ac:dyDescent="0.25">
      <c r="F17" s="4"/>
      <c r="G17" s="1" t="s">
        <v>11</v>
      </c>
      <c r="H17" s="11"/>
      <c r="I17" t="s">
        <v>13</v>
      </c>
      <c r="J17" s="7" t="e">
        <f>+F18/F17</f>
        <v>#DIV/0!</v>
      </c>
      <c r="M17" s="21"/>
      <c r="N17" s="21"/>
      <c r="O17" s="21"/>
    </row>
    <row r="18" spans="3:15" x14ac:dyDescent="0.25">
      <c r="F18" s="4"/>
      <c r="G18" s="1" t="s">
        <v>12</v>
      </c>
      <c r="H18" s="11"/>
      <c r="I18" t="s">
        <v>16</v>
      </c>
      <c r="J18" s="7" t="e">
        <f>+F8/F18</f>
        <v>#DIV/0!</v>
      </c>
      <c r="M18" s="21"/>
      <c r="N18" s="21"/>
      <c r="O18" s="21"/>
    </row>
    <row r="19" spans="3:15" x14ac:dyDescent="0.25">
      <c r="F19" s="2" t="s">
        <v>51</v>
      </c>
      <c r="G19">
        <v>0</v>
      </c>
      <c r="H19" s="11" t="s">
        <v>52</v>
      </c>
      <c r="I19" t="s">
        <v>41</v>
      </c>
      <c r="J19" s="7" t="e">
        <f>+F8/F15</f>
        <v>#DIV/0!</v>
      </c>
      <c r="M19" s="21"/>
      <c r="N19" s="21"/>
      <c r="O19" s="21"/>
    </row>
    <row r="20" spans="3:15" x14ac:dyDescent="0.25">
      <c r="H20" s="11"/>
      <c r="M20" s="21"/>
      <c r="N20" s="21"/>
      <c r="O20" s="21"/>
    </row>
    <row r="21" spans="3:15" x14ac:dyDescent="0.25">
      <c r="C21" s="9"/>
      <c r="D21" s="13" t="s">
        <v>21</v>
      </c>
      <c r="E21" s="9"/>
      <c r="F21" s="9" t="s">
        <v>22</v>
      </c>
      <c r="G21" s="9" t="s">
        <v>23</v>
      </c>
      <c r="H21" s="13" t="s">
        <v>27</v>
      </c>
      <c r="I21" s="10" t="s">
        <v>24</v>
      </c>
      <c r="J21" s="9"/>
      <c r="K21" s="9"/>
      <c r="L21" s="9"/>
      <c r="M21" s="21"/>
      <c r="N21" s="21"/>
      <c r="O21" s="21"/>
    </row>
    <row r="22" spans="3:15" ht="6" customHeight="1" x14ac:dyDescent="0.25">
      <c r="M22" s="21"/>
      <c r="N22" s="21"/>
      <c r="O22" s="21"/>
    </row>
    <row r="23" spans="3:15" x14ac:dyDescent="0.25">
      <c r="C23" s="33" t="str">
        <f>IF(H23=1,"u","")</f>
        <v>u</v>
      </c>
      <c r="D23" s="11" t="s">
        <v>626</v>
      </c>
      <c r="E23" s="33"/>
      <c r="F23" t="s">
        <v>308</v>
      </c>
      <c r="G23" t="s">
        <v>25</v>
      </c>
      <c r="H23">
        <f>RANK(I23,I$23:I$43,1)</f>
        <v>1</v>
      </c>
      <c r="I23" s="4">
        <v>10805265</v>
      </c>
      <c r="J23" s="4"/>
      <c r="K23" s="4"/>
      <c r="L23" s="4"/>
      <c r="M23" s="22"/>
      <c r="N23" s="22"/>
      <c r="O23" s="22"/>
    </row>
    <row r="24" spans="3:15" x14ac:dyDescent="0.25">
      <c r="C24" s="33" t="str">
        <f>IF(H24=1,"u","")</f>
        <v/>
      </c>
      <c r="D24" s="11" t="s">
        <v>997</v>
      </c>
      <c r="E24" s="33"/>
      <c r="F24" t="s">
        <v>998</v>
      </c>
      <c r="G24" t="s">
        <v>25</v>
      </c>
      <c r="H24">
        <f>RANK(I24,I$23:I$43,1)</f>
        <v>2</v>
      </c>
      <c r="I24" s="4">
        <v>15298075</v>
      </c>
      <c r="J24" s="4"/>
      <c r="K24" s="4"/>
      <c r="L24" s="4"/>
      <c r="M24" s="22"/>
      <c r="N24" s="22"/>
      <c r="O24" s="22"/>
    </row>
    <row r="25" spans="3:15" x14ac:dyDescent="0.25">
      <c r="C25" s="33" t="str">
        <f>IF(H25=1,"u","")</f>
        <v/>
      </c>
      <c r="D25" s="11"/>
      <c r="E25" s="33"/>
      <c r="I25" s="4"/>
      <c r="J25" s="4"/>
      <c r="K25" s="4"/>
      <c r="L25" s="4"/>
      <c r="M25" s="22"/>
      <c r="N25" s="22"/>
      <c r="O25" s="22"/>
    </row>
    <row r="26" spans="3:15" x14ac:dyDescent="0.25">
      <c r="C26" s="33"/>
      <c r="D26" s="11"/>
      <c r="E26" s="33"/>
      <c r="I26" s="4"/>
      <c r="J26" s="4"/>
      <c r="K26" s="4"/>
      <c r="L26" s="4"/>
      <c r="M26" s="22"/>
      <c r="N26" s="22"/>
      <c r="O26" s="22"/>
    </row>
    <row r="27" spans="3:15" x14ac:dyDescent="0.25">
      <c r="C27" s="33"/>
      <c r="D27" s="11"/>
      <c r="E27" s="33"/>
      <c r="I27" s="4"/>
      <c r="J27" s="4"/>
      <c r="K27" s="4"/>
      <c r="L27" s="4"/>
      <c r="M27" s="22"/>
      <c r="N27" s="22"/>
      <c r="O27" s="22"/>
    </row>
    <row r="28" spans="3:15" x14ac:dyDescent="0.25">
      <c r="C28" s="33"/>
      <c r="D28" s="11"/>
      <c r="E28" s="33"/>
      <c r="I28" s="4"/>
      <c r="J28" s="4"/>
      <c r="K28" s="4"/>
      <c r="L28" s="4"/>
      <c r="M28" s="22"/>
      <c r="N28" s="22"/>
      <c r="O28" s="22"/>
    </row>
    <row r="29" spans="3:15" x14ac:dyDescent="0.25">
      <c r="C29" s="33" t="str">
        <f t="shared" ref="C29:C43" si="0">IF(H29=1,"u","")</f>
        <v/>
      </c>
      <c r="D29" s="11"/>
      <c r="E29" s="33"/>
      <c r="I29" s="4"/>
      <c r="J29" s="4"/>
      <c r="K29" s="4"/>
      <c r="L29" s="4"/>
      <c r="M29" s="22"/>
      <c r="N29" s="22"/>
      <c r="O29" s="22"/>
    </row>
    <row r="30" spans="3:15" x14ac:dyDescent="0.25">
      <c r="C30" s="33" t="str">
        <f t="shared" si="0"/>
        <v/>
      </c>
      <c r="D30" s="11"/>
      <c r="E30" s="33"/>
      <c r="I30" s="4"/>
      <c r="J30" s="4"/>
      <c r="K30" s="4"/>
      <c r="L30" s="4"/>
      <c r="M30" s="22"/>
      <c r="N30" s="22"/>
      <c r="O30" s="22"/>
    </row>
    <row r="31" spans="3:15" x14ac:dyDescent="0.25">
      <c r="C31" s="33" t="str">
        <f t="shared" si="0"/>
        <v/>
      </c>
      <c r="D31" s="11"/>
      <c r="E31" s="33"/>
      <c r="I31" s="4"/>
      <c r="J31" s="4"/>
      <c r="K31" s="4"/>
      <c r="L31" s="4"/>
      <c r="M31" s="22"/>
      <c r="N31" s="22"/>
      <c r="O31" s="22"/>
    </row>
    <row r="32" spans="3:15" x14ac:dyDescent="0.25">
      <c r="C32" s="33" t="str">
        <f t="shared" si="0"/>
        <v/>
      </c>
      <c r="D32" s="11"/>
      <c r="E32" s="33"/>
      <c r="I32" s="4"/>
      <c r="J32" s="4"/>
      <c r="K32" s="4"/>
      <c r="L32" s="4"/>
      <c r="M32" s="22"/>
      <c r="N32" s="22"/>
      <c r="O32" s="22"/>
    </row>
    <row r="33" spans="3:15" x14ac:dyDescent="0.25">
      <c r="C33" s="33" t="str">
        <f t="shared" si="0"/>
        <v/>
      </c>
      <c r="D33" s="11"/>
      <c r="E33" s="33"/>
      <c r="I33" s="4"/>
      <c r="M33" s="21"/>
      <c r="N33" s="21"/>
      <c r="O33" s="21"/>
    </row>
    <row r="34" spans="3:15" x14ac:dyDescent="0.25">
      <c r="C34" s="33" t="str">
        <f t="shared" si="0"/>
        <v/>
      </c>
      <c r="D34" s="11"/>
      <c r="E34" s="33" t="str">
        <f t="shared" ref="E34:E43" si="1">IF(H34=1,"t","")</f>
        <v/>
      </c>
      <c r="M34" s="21"/>
      <c r="N34" s="21"/>
      <c r="O34" s="21"/>
    </row>
    <row r="35" spans="3:15" x14ac:dyDescent="0.25">
      <c r="C35" s="33" t="str">
        <f t="shared" si="0"/>
        <v/>
      </c>
      <c r="D35" s="11"/>
      <c r="E35" s="33" t="str">
        <f t="shared" si="1"/>
        <v/>
      </c>
      <c r="M35" s="21"/>
      <c r="N35" s="21"/>
      <c r="O35" s="21"/>
    </row>
    <row r="36" spans="3:15" x14ac:dyDescent="0.25">
      <c r="C36" s="33" t="str">
        <f t="shared" si="0"/>
        <v/>
      </c>
      <c r="D36" s="11"/>
      <c r="E36" s="33" t="str">
        <f t="shared" si="1"/>
        <v/>
      </c>
      <c r="M36" s="21"/>
      <c r="N36" s="21"/>
      <c r="O36" s="21"/>
    </row>
    <row r="37" spans="3:15" x14ac:dyDescent="0.25">
      <c r="C37" s="33" t="str">
        <f t="shared" si="0"/>
        <v/>
      </c>
      <c r="D37" s="11"/>
      <c r="E37" s="33" t="str">
        <f t="shared" si="1"/>
        <v/>
      </c>
      <c r="M37" s="21"/>
      <c r="N37" s="21"/>
      <c r="O37" s="21"/>
    </row>
    <row r="38" spans="3:15" x14ac:dyDescent="0.25">
      <c r="C38" s="33" t="str">
        <f t="shared" si="0"/>
        <v/>
      </c>
      <c r="D38" s="11"/>
      <c r="E38" s="33" t="str">
        <f t="shared" si="1"/>
        <v/>
      </c>
      <c r="M38" s="21"/>
      <c r="N38" s="21"/>
      <c r="O38" s="21"/>
    </row>
    <row r="39" spans="3:15" x14ac:dyDescent="0.25">
      <c r="C39" s="33" t="str">
        <f t="shared" si="0"/>
        <v/>
      </c>
      <c r="D39" s="11"/>
      <c r="E39" s="33" t="str">
        <f t="shared" si="1"/>
        <v/>
      </c>
      <c r="M39" s="21"/>
      <c r="N39" s="21"/>
      <c r="O39" s="21"/>
    </row>
    <row r="40" spans="3:15" x14ac:dyDescent="0.25">
      <c r="C40" s="33" t="str">
        <f t="shared" si="0"/>
        <v/>
      </c>
      <c r="D40" s="11"/>
      <c r="E40" s="33" t="str">
        <f t="shared" si="1"/>
        <v/>
      </c>
      <c r="M40" s="21"/>
      <c r="N40" s="21"/>
      <c r="O40" s="21"/>
    </row>
    <row r="41" spans="3:15" x14ac:dyDescent="0.25">
      <c r="C41" s="33" t="str">
        <f t="shared" si="0"/>
        <v/>
      </c>
      <c r="D41" s="11"/>
      <c r="E41" s="33" t="str">
        <f t="shared" si="1"/>
        <v/>
      </c>
      <c r="M41" s="21"/>
      <c r="N41" s="21"/>
      <c r="O41" s="21"/>
    </row>
    <row r="42" spans="3:15" x14ac:dyDescent="0.25">
      <c r="C42" s="33" t="str">
        <f t="shared" si="0"/>
        <v/>
      </c>
      <c r="D42" s="11"/>
      <c r="E42" s="33" t="str">
        <f t="shared" si="1"/>
        <v/>
      </c>
      <c r="M42" s="21"/>
      <c r="N42" s="21"/>
      <c r="O42" s="21"/>
    </row>
    <row r="43" spans="3:15" x14ac:dyDescent="0.25">
      <c r="C43" s="33" t="str">
        <f t="shared" si="0"/>
        <v/>
      </c>
      <c r="D43" s="11"/>
      <c r="E43" s="33" t="str">
        <f t="shared" si="1"/>
        <v/>
      </c>
      <c r="M43" s="21"/>
      <c r="N43" s="21"/>
      <c r="O43" s="21"/>
    </row>
    <row r="44" spans="3:15" ht="6" customHeight="1" x14ac:dyDescent="0.25">
      <c r="C44" s="9"/>
      <c r="D44" s="9"/>
      <c r="E44" s="9"/>
      <c r="F44" s="9"/>
      <c r="G44" s="9"/>
      <c r="H44" s="9"/>
      <c r="I44" s="9"/>
      <c r="J44" s="9"/>
      <c r="K44" s="9"/>
      <c r="L44" s="9"/>
      <c r="M44" s="21"/>
      <c r="N44" s="21"/>
      <c r="O44" s="21"/>
    </row>
    <row r="45" spans="3:15" ht="6" customHeight="1" x14ac:dyDescent="0.25">
      <c r="M45" s="21"/>
      <c r="N45" s="21"/>
      <c r="O45" s="21"/>
    </row>
    <row r="46" spans="3:15" x14ac:dyDescent="0.25">
      <c r="C46" s="15" t="s">
        <v>79</v>
      </c>
      <c r="M46" s="21"/>
      <c r="N46" s="21"/>
      <c r="O46" s="21"/>
    </row>
    <row r="47" spans="3:15" x14ac:dyDescent="0.25">
      <c r="C47" s="15" t="s">
        <v>78</v>
      </c>
    </row>
  </sheetData>
  <mergeCells count="1">
    <mergeCell ref="G13:H13"/>
  </mergeCells>
  <conditionalFormatting sqref="I9">
    <cfRule type="containsText" dxfId="1645" priority="16" operator="containsText" text="FAIL">
      <formula>NOT(ISERROR(SEARCH("FAIL",I9)))</formula>
    </cfRule>
  </conditionalFormatting>
  <conditionalFormatting sqref="I9">
    <cfRule type="containsText" dxfId="1644" priority="15" operator="containsText" text="GOOD">
      <formula>NOT(ISERROR(SEARCH("GOOD",I9)))</formula>
    </cfRule>
  </conditionalFormatting>
  <conditionalFormatting sqref="F11">
    <cfRule type="containsText" dxfId="1643" priority="14" operator="containsText" text="FAIL">
      <formula>NOT(ISERROR(SEARCH("FAIL",F11)))</formula>
    </cfRule>
  </conditionalFormatting>
  <conditionalFormatting sqref="F11">
    <cfRule type="containsText" dxfId="1642" priority="13" operator="containsText" text="GOOD">
      <formula>NOT(ISERROR(SEARCH("GOOD",F11)))</formula>
    </cfRule>
  </conditionalFormatting>
  <conditionalFormatting sqref="D25">
    <cfRule type="expression" dxfId="1641" priority="12" stopIfTrue="1">
      <formula>IF($H$25=1,0)</formula>
    </cfRule>
  </conditionalFormatting>
  <conditionalFormatting sqref="D23 D29:D43 D25:D26">
    <cfRule type="expression" dxfId="1640" priority="11">
      <formula>H23=1</formula>
    </cfRule>
  </conditionalFormatting>
  <conditionalFormatting sqref="C23:C26 C29:C43">
    <cfRule type="expression" dxfId="1639" priority="10">
      <formula>H23=1</formula>
    </cfRule>
  </conditionalFormatting>
  <conditionalFormatting sqref="E23 E29:E43 E25:E26">
    <cfRule type="expression" dxfId="1638" priority="9">
      <formula>H23=1</formula>
    </cfRule>
  </conditionalFormatting>
  <conditionalFormatting sqref="F11">
    <cfRule type="containsText" dxfId="1637" priority="8" operator="containsText" text="FAIL">
      <formula>NOT(ISERROR(SEARCH("FAIL",F11)))</formula>
    </cfRule>
  </conditionalFormatting>
  <conditionalFormatting sqref="F11">
    <cfRule type="containsText" dxfId="1636" priority="7" operator="containsText" text="GOOD">
      <formula>NOT(ISERROR(SEARCH("GOOD",F11)))</formula>
    </cfRule>
  </conditionalFormatting>
  <conditionalFormatting sqref="D27:D28">
    <cfRule type="expression" dxfId="1635" priority="6">
      <formula>H27=1</formula>
    </cfRule>
  </conditionalFormatting>
  <conditionalFormatting sqref="C27:C28">
    <cfRule type="expression" dxfId="1634" priority="5">
      <formula>H27=1</formula>
    </cfRule>
  </conditionalFormatting>
  <conditionalFormatting sqref="E27:E28">
    <cfRule type="expression" dxfId="1633" priority="4">
      <formula>H27=1</formula>
    </cfRule>
  </conditionalFormatting>
  <conditionalFormatting sqref="D24">
    <cfRule type="expression" dxfId="1632" priority="3" stopIfTrue="1">
      <formula>IF($H$25=1,0)</formula>
    </cfRule>
  </conditionalFormatting>
  <conditionalFormatting sqref="D24">
    <cfRule type="expression" dxfId="1631" priority="2">
      <formula>H24=1</formula>
    </cfRule>
  </conditionalFormatting>
  <conditionalFormatting sqref="E24">
    <cfRule type="expression" dxfId="1630" priority="1">
      <formula>H24=1</formula>
    </cfRule>
  </conditionalFormatting>
  <pageMargins left="0.7" right="0.7" top="0.75" bottom="0.75" header="0.3" footer="0.3"/>
  <pageSetup scale="68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A00-000000000000}">
  <sheetPr codeName="Sheet140"/>
  <dimension ref="A2:O47"/>
  <sheetViews>
    <sheetView workbookViewId="0">
      <selection activeCell="I28" sqref="I28"/>
    </sheetView>
  </sheetViews>
  <sheetFormatPr defaultRowHeight="15" x14ac:dyDescent="0.25"/>
  <cols>
    <col min="1" max="2" width="4.42578125" customWidth="1"/>
    <col min="3" max="3" width="3" customWidth="1"/>
    <col min="4" max="4" width="24.85546875" customWidth="1"/>
    <col min="5" max="5" width="3" customWidth="1"/>
    <col min="6" max="6" width="15.7109375" customWidth="1"/>
    <col min="7" max="7" width="8.5703125" customWidth="1"/>
    <col min="8" max="8" width="5.85546875" customWidth="1"/>
    <col min="9" max="15" width="15.7109375" customWidth="1"/>
  </cols>
  <sheetData>
    <row r="2" spans="1:11" x14ac:dyDescent="0.25">
      <c r="C2" s="15" t="s">
        <v>32</v>
      </c>
      <c r="E2" s="15"/>
      <c r="F2" s="15"/>
      <c r="G2" s="15" t="s">
        <v>33</v>
      </c>
      <c r="H2" s="15"/>
      <c r="I2" s="15"/>
      <c r="J2" s="15"/>
      <c r="K2" s="15"/>
    </row>
    <row r="3" spans="1:11" ht="18.75" x14ac:dyDescent="0.3">
      <c r="C3" s="3" t="s">
        <v>26</v>
      </c>
      <c r="J3" s="8" t="s">
        <v>17</v>
      </c>
    </row>
    <row r="4" spans="1:11" x14ac:dyDescent="0.25">
      <c r="D4" s="2" t="s">
        <v>0</v>
      </c>
      <c r="E4" s="1"/>
      <c r="F4" t="s">
        <v>106</v>
      </c>
      <c r="I4" s="2" t="s">
        <v>4</v>
      </c>
    </row>
    <row r="5" spans="1:11" x14ac:dyDescent="0.25">
      <c r="D5" s="2" t="s">
        <v>1</v>
      </c>
      <c r="F5" t="s">
        <v>107</v>
      </c>
    </row>
    <row r="6" spans="1:11" x14ac:dyDescent="0.25">
      <c r="D6" s="2" t="s">
        <v>2</v>
      </c>
      <c r="F6" s="6">
        <v>42292</v>
      </c>
      <c r="H6" s="11"/>
    </row>
    <row r="7" spans="1:11" x14ac:dyDescent="0.25">
      <c r="D7" s="2" t="s">
        <v>3</v>
      </c>
      <c r="F7" s="5">
        <v>3650000</v>
      </c>
      <c r="G7" s="2" t="s">
        <v>34</v>
      </c>
      <c r="H7" s="11"/>
    </row>
    <row r="8" spans="1:11" x14ac:dyDescent="0.25">
      <c r="D8" s="2" t="s">
        <v>18</v>
      </c>
      <c r="F8" s="5">
        <f>MIN(I23:I43)</f>
        <v>3270000</v>
      </c>
      <c r="H8" s="11"/>
    </row>
    <row r="9" spans="1:11" x14ac:dyDescent="0.25">
      <c r="D9" s="2" t="s">
        <v>67</v>
      </c>
      <c r="F9" s="4">
        <f>+F8-F7</f>
        <v>-380000</v>
      </c>
      <c r="G9" s="16">
        <f>+F9/F7</f>
        <v>-0.10410958904109589</v>
      </c>
      <c r="H9" s="12" t="s">
        <v>20</v>
      </c>
      <c r="I9" s="11" t="str">
        <f>(IF(G9&lt;-0.1,"FAIL",IF(G9&gt;0.05,"FAIL","GOOD")))</f>
        <v>FAIL</v>
      </c>
      <c r="J9" s="14" t="s">
        <v>72</v>
      </c>
    </row>
    <row r="10" spans="1:11" x14ac:dyDescent="0.25">
      <c r="D10" s="2" t="s">
        <v>68</v>
      </c>
      <c r="F10" s="4">
        <f>+F7-F12</f>
        <v>-901000</v>
      </c>
      <c r="H10" s="11"/>
    </row>
    <row r="11" spans="1:11" x14ac:dyDescent="0.25">
      <c r="A11" s="30"/>
      <c r="D11" s="2" t="s">
        <v>71</v>
      </c>
      <c r="F11" s="11" t="str">
        <f>(IF(F7&lt;J12,"FAIL",IF(F7&gt;J13,"FAIL","GOOD")))</f>
        <v>GOOD</v>
      </c>
      <c r="H11" s="11"/>
    </row>
    <row r="12" spans="1:11" x14ac:dyDescent="0.25">
      <c r="D12" s="2" t="s">
        <v>28</v>
      </c>
      <c r="F12" s="4">
        <f>SUM(I23:I43)/H12</f>
        <v>4551000</v>
      </c>
      <c r="G12" s="14"/>
      <c r="H12" s="11">
        <f>COUNT(I23:I43)</f>
        <v>6</v>
      </c>
      <c r="I12" s="1" t="s">
        <v>31</v>
      </c>
      <c r="J12" s="4">
        <f>+F8*0.9</f>
        <v>2943000</v>
      </c>
      <c r="K12" s="1" t="s">
        <v>69</v>
      </c>
    </row>
    <row r="13" spans="1:11" x14ac:dyDescent="0.25">
      <c r="D13" s="2" t="s">
        <v>29</v>
      </c>
      <c r="F13" s="4">
        <f>MAX(I23:I43)-MIN(I23:I43)</f>
        <v>5225000</v>
      </c>
      <c r="G13" s="399">
        <f>MEDIAN(I23:I43)</f>
        <v>3758500</v>
      </c>
      <c r="H13" s="400"/>
      <c r="I13" s="1" t="s">
        <v>30</v>
      </c>
      <c r="J13" s="4">
        <f>+F12*1.1</f>
        <v>5006100</v>
      </c>
      <c r="K13" s="1" t="s">
        <v>70</v>
      </c>
    </row>
    <row r="14" spans="1:11" x14ac:dyDescent="0.25">
      <c r="H14" s="11"/>
    </row>
    <row r="15" spans="1:11" x14ac:dyDescent="0.25">
      <c r="D15" s="2" t="s">
        <v>8</v>
      </c>
      <c r="F15" s="4"/>
      <c r="G15" s="1" t="s">
        <v>9</v>
      </c>
      <c r="H15" s="11"/>
      <c r="I15" t="s">
        <v>15</v>
      </c>
      <c r="J15" s="7" t="e">
        <f>+F16/F15</f>
        <v>#DIV/0!</v>
      </c>
    </row>
    <row r="16" spans="1:11" x14ac:dyDescent="0.25">
      <c r="F16" s="4"/>
      <c r="G16" s="1" t="s">
        <v>10</v>
      </c>
      <c r="H16" s="11"/>
      <c r="I16" t="s">
        <v>14</v>
      </c>
      <c r="J16" s="7" t="e">
        <f>+F17/F16</f>
        <v>#DIV/0!</v>
      </c>
    </row>
    <row r="17" spans="3:15" x14ac:dyDescent="0.25">
      <c r="F17" s="4"/>
      <c r="G17" s="1" t="s">
        <v>11</v>
      </c>
      <c r="H17" s="11"/>
      <c r="I17" t="s">
        <v>13</v>
      </c>
      <c r="J17" s="7" t="e">
        <f>+F18/F17</f>
        <v>#DIV/0!</v>
      </c>
      <c r="M17" s="21"/>
      <c r="N17" s="21"/>
      <c r="O17" s="21"/>
    </row>
    <row r="18" spans="3:15" x14ac:dyDescent="0.25">
      <c r="F18" s="4"/>
      <c r="G18" s="1" t="s">
        <v>12</v>
      </c>
      <c r="H18" s="11"/>
      <c r="I18" t="s">
        <v>16</v>
      </c>
      <c r="J18" s="7" t="e">
        <f>+F8/F18</f>
        <v>#DIV/0!</v>
      </c>
      <c r="M18" s="21"/>
      <c r="N18" s="21"/>
      <c r="O18" s="21"/>
    </row>
    <row r="19" spans="3:15" x14ac:dyDescent="0.25">
      <c r="F19" s="2" t="s">
        <v>51</v>
      </c>
      <c r="H19" s="11" t="s">
        <v>52</v>
      </c>
      <c r="I19" t="s">
        <v>41</v>
      </c>
      <c r="J19" s="7" t="e">
        <f>+F8/F15</f>
        <v>#DIV/0!</v>
      </c>
      <c r="M19" s="21"/>
      <c r="N19" s="21"/>
      <c r="O19" s="21"/>
    </row>
    <row r="20" spans="3:15" x14ac:dyDescent="0.25">
      <c r="H20" s="11"/>
      <c r="M20" s="21"/>
      <c r="N20" s="21"/>
      <c r="O20" s="21"/>
    </row>
    <row r="21" spans="3:15" x14ac:dyDescent="0.25">
      <c r="C21" s="9"/>
      <c r="D21" s="13" t="s">
        <v>21</v>
      </c>
      <c r="E21" s="9"/>
      <c r="F21" s="9" t="s">
        <v>22</v>
      </c>
      <c r="G21" s="9" t="s">
        <v>23</v>
      </c>
      <c r="H21" s="13" t="s">
        <v>27</v>
      </c>
      <c r="I21" s="10" t="s">
        <v>24</v>
      </c>
      <c r="J21" s="9"/>
      <c r="K21" s="9"/>
      <c r="L21" s="9"/>
      <c r="M21" s="21"/>
      <c r="N21" s="21"/>
      <c r="O21" s="21"/>
    </row>
    <row r="22" spans="3:15" ht="6" customHeight="1" x14ac:dyDescent="0.25">
      <c r="M22" s="21"/>
      <c r="N22" s="21"/>
      <c r="O22" s="21"/>
    </row>
    <row r="23" spans="3:15" x14ac:dyDescent="0.25">
      <c r="C23" s="33" t="str">
        <f t="shared" ref="C23:C28" si="0">IF(H23=1,"u","")</f>
        <v>u</v>
      </c>
      <c r="D23" s="23" t="s">
        <v>108</v>
      </c>
      <c r="E23" s="33"/>
      <c r="F23" t="s">
        <v>109</v>
      </c>
      <c r="G23" t="s">
        <v>25</v>
      </c>
      <c r="H23">
        <f t="shared" ref="H23:H28" si="1">RANK(I23,I$23:I$43,1)</f>
        <v>1</v>
      </c>
      <c r="I23" s="4">
        <v>3270000</v>
      </c>
      <c r="J23" s="4"/>
      <c r="K23" s="4"/>
      <c r="L23" s="4"/>
      <c r="M23" s="22"/>
      <c r="N23" s="22"/>
      <c r="O23" s="22"/>
    </row>
    <row r="24" spans="3:15" x14ac:dyDescent="0.25">
      <c r="C24" s="33" t="str">
        <f t="shared" si="0"/>
        <v/>
      </c>
      <c r="D24" s="23" t="s">
        <v>110</v>
      </c>
      <c r="E24" s="33"/>
      <c r="F24" t="s">
        <v>111</v>
      </c>
      <c r="G24" t="s">
        <v>25</v>
      </c>
      <c r="H24">
        <f t="shared" si="1"/>
        <v>2</v>
      </c>
      <c r="I24" s="4">
        <v>3654000</v>
      </c>
      <c r="J24" s="4"/>
      <c r="K24" s="4"/>
      <c r="L24" s="4"/>
      <c r="M24" s="22"/>
      <c r="N24" s="22"/>
      <c r="O24" s="22"/>
    </row>
    <row r="25" spans="3:15" x14ac:dyDescent="0.25">
      <c r="C25" s="33" t="str">
        <f t="shared" si="0"/>
        <v/>
      </c>
      <c r="D25" s="23" t="s">
        <v>87</v>
      </c>
      <c r="E25" s="33"/>
      <c r="F25" t="s">
        <v>88</v>
      </c>
      <c r="G25" t="s">
        <v>25</v>
      </c>
      <c r="H25">
        <f t="shared" si="1"/>
        <v>3</v>
      </c>
      <c r="I25" s="4">
        <v>3667000</v>
      </c>
      <c r="J25" s="4"/>
      <c r="K25" s="4"/>
      <c r="L25" s="4"/>
      <c r="M25" s="22"/>
      <c r="N25" s="22"/>
      <c r="O25" s="22"/>
    </row>
    <row r="26" spans="3:15" x14ac:dyDescent="0.25">
      <c r="C26" s="33" t="str">
        <f t="shared" si="0"/>
        <v/>
      </c>
      <c r="D26" s="23" t="s">
        <v>112</v>
      </c>
      <c r="E26" s="33"/>
      <c r="F26" t="s">
        <v>113</v>
      </c>
      <c r="G26" t="s">
        <v>25</v>
      </c>
      <c r="H26">
        <f t="shared" si="1"/>
        <v>4</v>
      </c>
      <c r="I26" s="4">
        <v>3850000</v>
      </c>
      <c r="J26" s="4"/>
      <c r="K26" s="4"/>
      <c r="L26" s="4"/>
      <c r="M26" s="22"/>
      <c r="N26" s="22"/>
      <c r="O26" s="22"/>
    </row>
    <row r="27" spans="3:15" x14ac:dyDescent="0.25">
      <c r="C27" s="33" t="str">
        <f t="shared" si="0"/>
        <v/>
      </c>
      <c r="D27" s="23" t="s">
        <v>114</v>
      </c>
      <c r="E27" s="33" t="str">
        <f>IF(H27=1,"t","")</f>
        <v/>
      </c>
      <c r="F27" t="s">
        <v>115</v>
      </c>
      <c r="G27" t="s">
        <v>25</v>
      </c>
      <c r="H27">
        <f t="shared" si="1"/>
        <v>5</v>
      </c>
      <c r="I27" s="4">
        <v>4370000</v>
      </c>
      <c r="J27" s="4"/>
      <c r="K27" s="4"/>
      <c r="L27" s="4"/>
      <c r="M27" s="22"/>
      <c r="N27" s="22"/>
      <c r="O27" s="22"/>
    </row>
    <row r="28" spans="3:15" x14ac:dyDescent="0.25">
      <c r="C28" s="33" t="str">
        <f t="shared" si="0"/>
        <v/>
      </c>
      <c r="D28" s="23" t="s">
        <v>116</v>
      </c>
      <c r="E28" s="33" t="str">
        <f>IF(H28=1,"t","")</f>
        <v/>
      </c>
      <c r="F28" t="s">
        <v>113</v>
      </c>
      <c r="G28" t="s">
        <v>25</v>
      </c>
      <c r="H28">
        <f t="shared" si="1"/>
        <v>6</v>
      </c>
      <c r="I28" s="4">
        <v>8495000</v>
      </c>
      <c r="J28" s="4"/>
      <c r="K28" s="4"/>
      <c r="L28" s="4"/>
      <c r="M28" s="22"/>
      <c r="N28" s="22"/>
      <c r="O28" s="22"/>
    </row>
    <row r="29" spans="3:15" x14ac:dyDescent="0.25">
      <c r="C29" s="33"/>
      <c r="D29" s="23"/>
      <c r="E29" s="33"/>
      <c r="I29" s="4"/>
      <c r="J29" s="4"/>
      <c r="K29" s="4"/>
      <c r="L29" s="4"/>
      <c r="M29" s="22"/>
      <c r="N29" s="22"/>
      <c r="O29" s="22"/>
    </row>
    <row r="30" spans="3:15" x14ac:dyDescent="0.25">
      <c r="C30" s="33"/>
      <c r="D30" s="23"/>
      <c r="E30" s="33"/>
      <c r="I30" s="4"/>
      <c r="J30" s="4"/>
      <c r="K30" s="4"/>
      <c r="L30" s="4"/>
      <c r="M30" s="22"/>
      <c r="N30" s="22"/>
      <c r="O30" s="22"/>
    </row>
    <row r="31" spans="3:15" x14ac:dyDescent="0.25">
      <c r="C31" s="33"/>
      <c r="D31" s="23"/>
      <c r="E31" s="33"/>
      <c r="I31" s="4"/>
      <c r="J31" s="4"/>
      <c r="K31" s="4"/>
      <c r="L31" s="4"/>
      <c r="M31" s="22"/>
      <c r="N31" s="22"/>
      <c r="O31" s="22"/>
    </row>
    <row r="32" spans="3:15" x14ac:dyDescent="0.25">
      <c r="C32" s="33"/>
      <c r="D32" s="23"/>
      <c r="E32" s="33"/>
      <c r="I32" s="4"/>
      <c r="J32" s="4"/>
      <c r="K32" s="4"/>
      <c r="L32" s="4"/>
      <c r="M32" s="22"/>
      <c r="N32" s="22"/>
      <c r="O32" s="22"/>
    </row>
    <row r="33" spans="3:15" x14ac:dyDescent="0.25">
      <c r="C33" s="33"/>
      <c r="D33" s="23"/>
      <c r="E33" s="33"/>
      <c r="M33" s="21"/>
      <c r="N33" s="21"/>
      <c r="O33" s="21"/>
    </row>
    <row r="34" spans="3:15" x14ac:dyDescent="0.25">
      <c r="C34" s="33"/>
      <c r="D34" s="23"/>
      <c r="E34" s="33"/>
      <c r="M34" s="21"/>
      <c r="N34" s="21"/>
      <c r="O34" s="21"/>
    </row>
    <row r="35" spans="3:15" x14ac:dyDescent="0.25">
      <c r="C35" s="33"/>
      <c r="D35" s="23"/>
      <c r="E35" s="33"/>
      <c r="M35" s="21"/>
      <c r="N35" s="21"/>
      <c r="O35" s="21"/>
    </row>
    <row r="36" spans="3:15" x14ac:dyDescent="0.25">
      <c r="C36" s="33"/>
      <c r="D36" s="23"/>
      <c r="E36" s="33"/>
      <c r="M36" s="21"/>
      <c r="N36" s="21"/>
      <c r="O36" s="21"/>
    </row>
    <row r="37" spans="3:15" x14ac:dyDescent="0.25">
      <c r="C37" s="33"/>
      <c r="D37" s="23"/>
      <c r="E37" s="33"/>
      <c r="M37" s="21"/>
      <c r="N37" s="21"/>
      <c r="O37" s="21"/>
    </row>
    <row r="38" spans="3:15" x14ac:dyDescent="0.25">
      <c r="C38" s="33"/>
      <c r="D38" s="23"/>
      <c r="E38" s="33"/>
      <c r="M38" s="21"/>
      <c r="N38" s="21"/>
      <c r="O38" s="21"/>
    </row>
    <row r="39" spans="3:15" x14ac:dyDescent="0.25">
      <c r="C39" s="33"/>
      <c r="D39" s="23"/>
      <c r="E39" s="33"/>
      <c r="M39" s="21"/>
      <c r="N39" s="21"/>
      <c r="O39" s="21"/>
    </row>
    <row r="40" spans="3:15" x14ac:dyDescent="0.25">
      <c r="C40" s="33"/>
      <c r="D40" s="23"/>
      <c r="E40" s="33"/>
      <c r="M40" s="21"/>
      <c r="N40" s="21"/>
      <c r="O40" s="21"/>
    </row>
    <row r="41" spans="3:15" x14ac:dyDescent="0.25">
      <c r="C41" s="33"/>
      <c r="D41" s="23"/>
      <c r="E41" s="33"/>
      <c r="M41" s="21"/>
      <c r="N41" s="21"/>
      <c r="O41" s="21"/>
    </row>
    <row r="42" spans="3:15" x14ac:dyDescent="0.25">
      <c r="C42" s="33"/>
      <c r="D42" s="23"/>
      <c r="E42" s="33"/>
      <c r="M42" s="21"/>
      <c r="N42" s="21"/>
      <c r="O42" s="21"/>
    </row>
    <row r="43" spans="3:15" x14ac:dyDescent="0.25">
      <c r="C43" s="33"/>
      <c r="D43" s="23"/>
      <c r="E43" s="33"/>
      <c r="M43" s="21"/>
      <c r="N43" s="21"/>
      <c r="O43" s="21"/>
    </row>
    <row r="44" spans="3:15" ht="6" customHeight="1" x14ac:dyDescent="0.25">
      <c r="C44" s="9"/>
      <c r="D44" s="9"/>
      <c r="E44" s="9"/>
      <c r="F44" s="9"/>
      <c r="G44" s="9"/>
      <c r="H44" s="9"/>
      <c r="I44" s="9"/>
      <c r="J44" s="9"/>
      <c r="K44" s="9"/>
      <c r="L44" s="9"/>
      <c r="M44" s="21"/>
      <c r="N44" s="21"/>
      <c r="O44" s="21"/>
    </row>
    <row r="45" spans="3:15" ht="6" customHeight="1" x14ac:dyDescent="0.25">
      <c r="M45" s="21"/>
      <c r="N45" s="21"/>
      <c r="O45" s="21"/>
    </row>
    <row r="46" spans="3:15" x14ac:dyDescent="0.25">
      <c r="C46" s="15" t="s">
        <v>79</v>
      </c>
      <c r="M46" s="21"/>
      <c r="N46" s="21"/>
      <c r="O46" s="21"/>
    </row>
    <row r="47" spans="3:15" x14ac:dyDescent="0.25">
      <c r="C47" s="15" t="s">
        <v>78</v>
      </c>
    </row>
  </sheetData>
  <mergeCells count="1">
    <mergeCell ref="G13:H13"/>
  </mergeCells>
  <conditionalFormatting sqref="I9">
    <cfRule type="containsText" dxfId="419" priority="10" operator="containsText" text="FAIL">
      <formula>NOT(ISERROR(SEARCH("FAIL",I9)))</formula>
    </cfRule>
  </conditionalFormatting>
  <conditionalFormatting sqref="I9">
    <cfRule type="containsText" dxfId="418" priority="9" operator="containsText" text="GOOD">
      <formula>NOT(ISERROR(SEARCH("GOOD",I9)))</formula>
    </cfRule>
  </conditionalFormatting>
  <conditionalFormatting sqref="F11">
    <cfRule type="containsText" dxfId="417" priority="8" operator="containsText" text="FAIL">
      <formula>NOT(ISERROR(SEARCH("FAIL",F11)))</formula>
    </cfRule>
  </conditionalFormatting>
  <conditionalFormatting sqref="F11">
    <cfRule type="containsText" dxfId="416" priority="7" operator="containsText" text="GOOD">
      <formula>NOT(ISERROR(SEARCH("GOOD",F11)))</formula>
    </cfRule>
  </conditionalFormatting>
  <conditionalFormatting sqref="D25">
    <cfRule type="expression" dxfId="415" priority="6" stopIfTrue="1">
      <formula>IF($H$25=1,0)</formula>
    </cfRule>
  </conditionalFormatting>
  <conditionalFormatting sqref="D23:D43">
    <cfRule type="expression" dxfId="414" priority="5">
      <formula>H23=1</formula>
    </cfRule>
  </conditionalFormatting>
  <conditionalFormatting sqref="C23:C43">
    <cfRule type="expression" dxfId="413" priority="4">
      <formula>H23=1</formula>
    </cfRule>
  </conditionalFormatting>
  <conditionalFormatting sqref="E23:E43">
    <cfRule type="expression" dxfId="412" priority="3">
      <formula>H23=1</formula>
    </cfRule>
  </conditionalFormatting>
  <conditionalFormatting sqref="F11">
    <cfRule type="containsText" dxfId="411" priority="2" operator="containsText" text="FAIL">
      <formula>NOT(ISERROR(SEARCH("FAIL",F11)))</formula>
    </cfRule>
  </conditionalFormatting>
  <conditionalFormatting sqref="F11">
    <cfRule type="containsText" dxfId="410" priority="1" operator="containsText" text="GOOD">
      <formula>NOT(ISERROR(SEARCH("GOOD",F11)))</formula>
    </cfRule>
  </conditionalFormatting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600-000000000000}">
  <sheetPr codeName="Sheet120"/>
  <dimension ref="A2:O47"/>
  <sheetViews>
    <sheetView view="pageBreakPreview" zoomScale="60" zoomScaleNormal="100" workbookViewId="0">
      <selection activeCell="O20" sqref="O20"/>
    </sheetView>
  </sheetViews>
  <sheetFormatPr defaultRowHeight="15" x14ac:dyDescent="0.25"/>
  <cols>
    <col min="1" max="2" width="4.42578125" customWidth="1"/>
    <col min="3" max="3" width="3" customWidth="1"/>
    <col min="4" max="4" width="24.7109375" customWidth="1"/>
    <col min="5" max="5" width="3" customWidth="1"/>
    <col min="6" max="6" width="15.7109375" customWidth="1"/>
    <col min="7" max="7" width="8.5703125" customWidth="1"/>
    <col min="8" max="8" width="5.85546875" customWidth="1"/>
    <col min="9" max="15" width="15.7109375" customWidth="1"/>
  </cols>
  <sheetData>
    <row r="2" spans="1:11" x14ac:dyDescent="0.25">
      <c r="C2" s="15" t="s">
        <v>32</v>
      </c>
      <c r="E2" s="15"/>
      <c r="F2" s="15"/>
      <c r="G2" s="15" t="s">
        <v>33</v>
      </c>
      <c r="H2" s="15"/>
      <c r="I2" s="15"/>
      <c r="J2" s="15"/>
      <c r="K2" s="15"/>
    </row>
    <row r="3" spans="1:11" ht="18.75" x14ac:dyDescent="0.3">
      <c r="C3" s="3" t="s">
        <v>26</v>
      </c>
      <c r="J3" s="8" t="s">
        <v>47</v>
      </c>
    </row>
    <row r="4" spans="1:11" x14ac:dyDescent="0.25">
      <c r="D4" s="2" t="s">
        <v>0</v>
      </c>
      <c r="E4" s="1"/>
      <c r="F4" t="s">
        <v>552</v>
      </c>
      <c r="I4" s="2" t="s">
        <v>4</v>
      </c>
      <c r="J4" t="s">
        <v>447</v>
      </c>
    </row>
    <row r="5" spans="1:11" x14ac:dyDescent="0.25">
      <c r="D5" s="2" t="s">
        <v>1</v>
      </c>
      <c r="F5" t="s">
        <v>553</v>
      </c>
    </row>
    <row r="6" spans="1:11" x14ac:dyDescent="0.25">
      <c r="D6" s="2" t="s">
        <v>2</v>
      </c>
      <c r="F6" s="6">
        <v>42438</v>
      </c>
      <c r="H6" s="11"/>
    </row>
    <row r="7" spans="1:11" x14ac:dyDescent="0.25">
      <c r="D7" s="2" t="s">
        <v>3</v>
      </c>
      <c r="F7" s="5">
        <f>+I7+J7</f>
        <v>25210000</v>
      </c>
      <c r="G7" s="2" t="s">
        <v>34</v>
      </c>
      <c r="H7" s="11"/>
      <c r="I7" s="19">
        <v>3772000</v>
      </c>
      <c r="J7" s="19">
        <f>21228000+210000</f>
        <v>21438000</v>
      </c>
    </row>
    <row r="8" spans="1:11" x14ac:dyDescent="0.25">
      <c r="D8" s="2" t="s">
        <v>18</v>
      </c>
      <c r="F8" s="5">
        <f>MIN(K23:K43)</f>
        <v>17827873</v>
      </c>
      <c r="H8" s="11"/>
      <c r="I8" s="18" t="s">
        <v>43</v>
      </c>
      <c r="J8" s="18" t="s">
        <v>44</v>
      </c>
    </row>
    <row r="9" spans="1:11" x14ac:dyDescent="0.25">
      <c r="D9" s="2" t="s">
        <v>19</v>
      </c>
      <c r="F9" s="4">
        <f>+F8-F7</f>
        <v>-7382127</v>
      </c>
      <c r="G9" s="16">
        <f>+F9/F7</f>
        <v>-0.29282534708449026</v>
      </c>
      <c r="H9" s="12" t="s">
        <v>20</v>
      </c>
      <c r="I9" s="11" t="str">
        <f>(IF(G9&lt;-0.1,"FAIL",IF(G9&gt;0.05,"FAIL","GOOD")))</f>
        <v>FAIL</v>
      </c>
      <c r="J9" s="14" t="s">
        <v>72</v>
      </c>
    </row>
    <row r="10" spans="1:11" x14ac:dyDescent="0.25">
      <c r="D10" s="2" t="s">
        <v>68</v>
      </c>
      <c r="F10" s="4">
        <f>+F7-F12</f>
        <v>3737591.384615384</v>
      </c>
      <c r="H10" s="11"/>
    </row>
    <row r="11" spans="1:11" x14ac:dyDescent="0.25">
      <c r="A11" s="30"/>
      <c r="D11" s="2" t="s">
        <v>71</v>
      </c>
      <c r="F11" s="11" t="str">
        <f>(IF(F7&lt;J12,"FAIL",IF(F7&gt;J13,"FAIL","GOOD")))</f>
        <v>FAIL</v>
      </c>
      <c r="H11" s="11"/>
    </row>
    <row r="12" spans="1:11" x14ac:dyDescent="0.25">
      <c r="D12" s="2" t="s">
        <v>28</v>
      </c>
      <c r="F12" s="4">
        <f>SUM(K23:K43)/H12</f>
        <v>21472408.615384616</v>
      </c>
      <c r="G12" s="14"/>
      <c r="H12" s="11">
        <f>COUNT(K23:K43)</f>
        <v>13</v>
      </c>
      <c r="I12" s="1" t="s">
        <v>31</v>
      </c>
      <c r="J12" s="4">
        <f>+F8*0.9</f>
        <v>16045085.700000001</v>
      </c>
      <c r="K12" s="1" t="s">
        <v>69</v>
      </c>
    </row>
    <row r="13" spans="1:11" x14ac:dyDescent="0.25">
      <c r="D13" s="2" t="s">
        <v>29</v>
      </c>
      <c r="F13" s="4">
        <f>MAX(K23:K43)-MIN(K23:K43)</f>
        <v>9579922</v>
      </c>
      <c r="G13" s="399">
        <f>MEDIAN(K23:K43)</f>
        <v>20457000</v>
      </c>
      <c r="H13" s="400"/>
      <c r="I13" s="1" t="s">
        <v>30</v>
      </c>
      <c r="J13" s="4">
        <f>+F12*1.1</f>
        <v>23619649.476923078</v>
      </c>
      <c r="K13" s="1" t="s">
        <v>70</v>
      </c>
    </row>
    <row r="14" spans="1:11" x14ac:dyDescent="0.25">
      <c r="H14" s="11"/>
    </row>
    <row r="15" spans="1:11" x14ac:dyDescent="0.25">
      <c r="D15" s="2" t="s">
        <v>8</v>
      </c>
      <c r="F15" s="4"/>
      <c r="G15" s="1" t="s">
        <v>9</v>
      </c>
      <c r="H15" s="11"/>
      <c r="I15" t="s">
        <v>15</v>
      </c>
      <c r="J15" s="7" t="e">
        <f>+F16/F15</f>
        <v>#DIV/0!</v>
      </c>
    </row>
    <row r="16" spans="1:11" x14ac:dyDescent="0.25">
      <c r="F16" s="4"/>
      <c r="G16" s="1" t="s">
        <v>10</v>
      </c>
      <c r="H16" s="11"/>
      <c r="I16" t="s">
        <v>14</v>
      </c>
      <c r="J16" s="7" t="e">
        <f>+F17/F16</f>
        <v>#DIV/0!</v>
      </c>
    </row>
    <row r="17" spans="3:15" x14ac:dyDescent="0.25">
      <c r="F17" s="4"/>
      <c r="G17" s="1" t="s">
        <v>11</v>
      </c>
      <c r="H17" s="11"/>
      <c r="I17" t="s">
        <v>13</v>
      </c>
      <c r="J17" s="7" t="e">
        <f>+F18/F17</f>
        <v>#DIV/0!</v>
      </c>
    </row>
    <row r="18" spans="3:15" x14ac:dyDescent="0.25">
      <c r="F18" s="4"/>
      <c r="G18" s="1" t="s">
        <v>12</v>
      </c>
      <c r="H18" s="11"/>
      <c r="I18" t="s">
        <v>16</v>
      </c>
      <c r="J18" s="7" t="e">
        <f>+F8/F18</f>
        <v>#DIV/0!</v>
      </c>
    </row>
    <row r="19" spans="3:15" x14ac:dyDescent="0.25">
      <c r="F19" s="2" t="s">
        <v>51</v>
      </c>
      <c r="G19">
        <v>0</v>
      </c>
      <c r="H19" s="11" t="s">
        <v>52</v>
      </c>
      <c r="I19" t="s">
        <v>41</v>
      </c>
      <c r="J19" s="7" t="e">
        <f>+F8/F15</f>
        <v>#DIV/0!</v>
      </c>
    </row>
    <row r="20" spans="3:15" x14ac:dyDescent="0.25">
      <c r="H20" s="11"/>
      <c r="M20" s="21"/>
      <c r="N20" s="21"/>
      <c r="O20" s="21"/>
    </row>
    <row r="21" spans="3:15" x14ac:dyDescent="0.25">
      <c r="C21" s="9"/>
      <c r="D21" s="13" t="s">
        <v>21</v>
      </c>
      <c r="E21" s="9"/>
      <c r="F21" s="9" t="s">
        <v>22</v>
      </c>
      <c r="G21" s="9" t="s">
        <v>23</v>
      </c>
      <c r="H21" s="13" t="s">
        <v>27</v>
      </c>
      <c r="I21" s="10" t="s">
        <v>38</v>
      </c>
      <c r="J21" s="10" t="s">
        <v>37</v>
      </c>
      <c r="K21" s="10" t="s">
        <v>39</v>
      </c>
      <c r="L21" s="9"/>
      <c r="M21" s="21"/>
      <c r="N21" s="21"/>
      <c r="O21" s="21"/>
    </row>
    <row r="22" spans="3:15" ht="6" customHeight="1" x14ac:dyDescent="0.25">
      <c r="M22" s="21"/>
      <c r="N22" s="21"/>
      <c r="O22" s="21"/>
    </row>
    <row r="23" spans="3:15" x14ac:dyDescent="0.25">
      <c r="C23" s="33" t="str">
        <f>IF(H23=1,"u","")</f>
        <v/>
      </c>
      <c r="D23" s="11" t="s">
        <v>491</v>
      </c>
      <c r="E23" s="33"/>
      <c r="F23" t="s">
        <v>203</v>
      </c>
      <c r="G23" t="s">
        <v>204</v>
      </c>
      <c r="H23">
        <f>RANK(K23,K$23:K$43,1)</f>
        <v>12</v>
      </c>
      <c r="I23" s="4">
        <v>4043775</v>
      </c>
      <c r="J23" s="4">
        <f>22889905+166320</f>
        <v>23056225</v>
      </c>
      <c r="K23" s="4">
        <f>+J23+I23</f>
        <v>27100000</v>
      </c>
      <c r="L23" s="4"/>
      <c r="M23" s="22"/>
      <c r="N23" s="22"/>
      <c r="O23" s="22"/>
    </row>
    <row r="24" spans="3:15" x14ac:dyDescent="0.25">
      <c r="C24" s="33" t="str">
        <f>IF(H24=1,"u","")</f>
        <v>u</v>
      </c>
      <c r="D24" s="11" t="s">
        <v>554</v>
      </c>
      <c r="E24" s="33"/>
      <c r="F24" t="s">
        <v>397</v>
      </c>
      <c r="G24" t="s">
        <v>25</v>
      </c>
      <c r="H24">
        <f t="shared" ref="H24:H33" si="0">RANK(K24,K$23:K$43,1)</f>
        <v>1</v>
      </c>
      <c r="I24" s="4">
        <v>2992825</v>
      </c>
      <c r="J24" s="4">
        <f>14727048+108000</f>
        <v>14835048</v>
      </c>
      <c r="K24" s="4">
        <f t="shared" ref="K24:K33" si="1">+J24+I24</f>
        <v>17827873</v>
      </c>
      <c r="L24" s="4"/>
      <c r="M24" s="22"/>
      <c r="N24" s="22"/>
      <c r="O24" s="22"/>
    </row>
    <row r="25" spans="3:15" x14ac:dyDescent="0.25">
      <c r="C25" s="33" t="str">
        <f>IF(H25=1,"u","")</f>
        <v/>
      </c>
      <c r="D25" s="11" t="s">
        <v>555</v>
      </c>
      <c r="E25" s="33"/>
      <c r="F25" t="s">
        <v>129</v>
      </c>
      <c r="G25" t="s">
        <v>25</v>
      </c>
      <c r="H25">
        <f t="shared" si="0"/>
        <v>3</v>
      </c>
      <c r="I25" s="4">
        <v>3185292</v>
      </c>
      <c r="J25" s="4">
        <f>15597251+144000</f>
        <v>15741251</v>
      </c>
      <c r="K25" s="4">
        <f t="shared" si="1"/>
        <v>18926543</v>
      </c>
      <c r="L25" s="4"/>
      <c r="M25" s="22"/>
      <c r="N25" s="22"/>
      <c r="O25" s="22"/>
    </row>
    <row r="26" spans="3:15" x14ac:dyDescent="0.25">
      <c r="C26" s="33" t="str">
        <f t="shared" ref="C26:C43" si="2">IF(H26=1,"u","")</f>
        <v/>
      </c>
      <c r="D26" s="11" t="s">
        <v>556</v>
      </c>
      <c r="E26" s="33"/>
      <c r="F26" t="s">
        <v>201</v>
      </c>
      <c r="G26" t="s">
        <v>25</v>
      </c>
      <c r="H26">
        <f t="shared" si="0"/>
        <v>5</v>
      </c>
      <c r="I26" s="4">
        <v>2656835</v>
      </c>
      <c r="J26" s="4">
        <f>16997806+216000</f>
        <v>17213806</v>
      </c>
      <c r="K26" s="4">
        <f t="shared" si="1"/>
        <v>19870641</v>
      </c>
      <c r="L26" s="4"/>
      <c r="M26" s="22"/>
      <c r="N26" s="22"/>
      <c r="O26" s="22"/>
    </row>
    <row r="27" spans="3:15" x14ac:dyDescent="0.25">
      <c r="C27" s="33" t="str">
        <f t="shared" si="2"/>
        <v/>
      </c>
      <c r="D27" s="11" t="s">
        <v>440</v>
      </c>
      <c r="E27" s="33"/>
      <c r="F27" t="s">
        <v>193</v>
      </c>
      <c r="G27" t="s">
        <v>25</v>
      </c>
      <c r="H27">
        <f t="shared" si="0"/>
        <v>10</v>
      </c>
      <c r="I27" s="4">
        <v>3890095</v>
      </c>
      <c r="J27" s="4">
        <f>18805662+196560</f>
        <v>19002222</v>
      </c>
      <c r="K27" s="4">
        <f t="shared" si="1"/>
        <v>22892317</v>
      </c>
      <c r="L27" s="4"/>
      <c r="M27" s="22"/>
      <c r="N27" s="22"/>
      <c r="O27" s="22"/>
    </row>
    <row r="28" spans="3:15" x14ac:dyDescent="0.25">
      <c r="C28" s="33" t="str">
        <f t="shared" si="2"/>
        <v/>
      </c>
      <c r="D28" s="11" t="s">
        <v>557</v>
      </c>
      <c r="E28" s="33"/>
      <c r="F28" t="s">
        <v>558</v>
      </c>
      <c r="G28" t="s">
        <v>25</v>
      </c>
      <c r="H28">
        <f t="shared" si="0"/>
        <v>2</v>
      </c>
      <c r="I28" s="4">
        <v>2764050</v>
      </c>
      <c r="J28" s="4">
        <f>15808410+90000</f>
        <v>15898410</v>
      </c>
      <c r="K28" s="4">
        <f t="shared" si="1"/>
        <v>18662460</v>
      </c>
      <c r="L28" s="4"/>
      <c r="M28" s="22"/>
      <c r="N28" s="22"/>
      <c r="O28" s="22"/>
    </row>
    <row r="29" spans="3:15" x14ac:dyDescent="0.25">
      <c r="C29" s="33" t="str">
        <f t="shared" si="2"/>
        <v/>
      </c>
      <c r="D29" s="11" t="s">
        <v>559</v>
      </c>
      <c r="E29" s="33"/>
      <c r="F29" t="s">
        <v>302</v>
      </c>
      <c r="G29" t="s">
        <v>25</v>
      </c>
      <c r="H29">
        <f t="shared" si="0"/>
        <v>11</v>
      </c>
      <c r="I29" s="4">
        <v>3075530</v>
      </c>
      <c r="J29" s="4">
        <f>19907485+217800</f>
        <v>20125285</v>
      </c>
      <c r="K29" s="4">
        <f t="shared" si="1"/>
        <v>23200815</v>
      </c>
      <c r="L29" s="4"/>
      <c r="M29" s="22"/>
      <c r="N29" s="22"/>
      <c r="O29" s="22"/>
    </row>
    <row r="30" spans="3:15" x14ac:dyDescent="0.25">
      <c r="C30" s="33" t="str">
        <f t="shared" si="2"/>
        <v/>
      </c>
      <c r="D30" s="11" t="s">
        <v>510</v>
      </c>
      <c r="E30" s="33"/>
      <c r="F30" t="s">
        <v>486</v>
      </c>
      <c r="G30" t="s">
        <v>25</v>
      </c>
      <c r="H30">
        <f t="shared" si="0"/>
        <v>4</v>
      </c>
      <c r="I30" s="4">
        <v>3382695</v>
      </c>
      <c r="J30" s="4">
        <f>16144648+187200</f>
        <v>16331848</v>
      </c>
      <c r="K30" s="4">
        <f t="shared" si="1"/>
        <v>19714543</v>
      </c>
      <c r="L30" s="4"/>
      <c r="M30" s="22"/>
      <c r="N30" s="22"/>
      <c r="O30" s="22"/>
    </row>
    <row r="31" spans="3:15" x14ac:dyDescent="0.25">
      <c r="C31" s="33" t="str">
        <f t="shared" si="2"/>
        <v/>
      </c>
      <c r="D31" s="11" t="s">
        <v>560</v>
      </c>
      <c r="E31" s="33"/>
      <c r="F31" t="s">
        <v>131</v>
      </c>
      <c r="G31" t="s">
        <v>25</v>
      </c>
      <c r="H31">
        <f t="shared" si="0"/>
        <v>6</v>
      </c>
      <c r="I31" s="4">
        <v>2678550</v>
      </c>
      <c r="J31" s="4">
        <f>17161003+144000</f>
        <v>17305003</v>
      </c>
      <c r="K31" s="4">
        <f t="shared" si="1"/>
        <v>19983553</v>
      </c>
      <c r="L31" s="4"/>
      <c r="M31" s="22"/>
      <c r="N31" s="22"/>
      <c r="O31" s="22"/>
    </row>
    <row r="32" spans="3:15" x14ac:dyDescent="0.25">
      <c r="C32" s="33" t="str">
        <f t="shared" si="2"/>
        <v/>
      </c>
      <c r="D32" s="11" t="s">
        <v>561</v>
      </c>
      <c r="E32" s="33"/>
      <c r="F32" t="s">
        <v>215</v>
      </c>
      <c r="G32" t="s">
        <v>25</v>
      </c>
      <c r="H32">
        <f t="shared" si="0"/>
        <v>13</v>
      </c>
      <c r="I32" s="4">
        <v>3333605</v>
      </c>
      <c r="J32" s="4">
        <f>23901390+172800</f>
        <v>24074190</v>
      </c>
      <c r="K32" s="4">
        <f t="shared" si="1"/>
        <v>27407795</v>
      </c>
      <c r="L32" s="4"/>
      <c r="M32" s="22"/>
      <c r="N32" s="22"/>
      <c r="O32" s="22"/>
    </row>
    <row r="33" spans="3:15" x14ac:dyDescent="0.25">
      <c r="C33" s="33" t="str">
        <f t="shared" si="2"/>
        <v/>
      </c>
      <c r="D33" s="11" t="s">
        <v>507</v>
      </c>
      <c r="E33" s="33"/>
      <c r="F33" t="s">
        <v>137</v>
      </c>
      <c r="G33" t="s">
        <v>25</v>
      </c>
      <c r="H33">
        <f t="shared" si="0"/>
        <v>7</v>
      </c>
      <c r="I33" s="4">
        <v>3223200</v>
      </c>
      <c r="J33" s="4">
        <f>16989000+244800</f>
        <v>17233800</v>
      </c>
      <c r="K33" s="4">
        <f t="shared" si="1"/>
        <v>20457000</v>
      </c>
      <c r="M33" s="21"/>
      <c r="N33" s="21"/>
      <c r="O33" s="21"/>
    </row>
    <row r="34" spans="3:15" x14ac:dyDescent="0.25">
      <c r="C34" s="33" t="str">
        <f>IF(H34=1,"u","")</f>
        <v/>
      </c>
      <c r="D34" s="11" t="s">
        <v>562</v>
      </c>
      <c r="E34" s="33"/>
      <c r="F34" t="s">
        <v>563</v>
      </c>
      <c r="G34" t="s">
        <v>25</v>
      </c>
      <c r="H34">
        <f>RANK(K34,K$23:K$43,1)</f>
        <v>8</v>
      </c>
      <c r="I34" s="4">
        <v>3496200</v>
      </c>
      <c r="J34" s="4">
        <f>17445000+36000</f>
        <v>17481000</v>
      </c>
      <c r="K34" s="4">
        <f>+J34+I34</f>
        <v>20977200</v>
      </c>
      <c r="M34" s="21"/>
      <c r="N34" s="21"/>
      <c r="O34" s="21"/>
    </row>
    <row r="35" spans="3:15" x14ac:dyDescent="0.25">
      <c r="C35" s="33" t="str">
        <f>IF(H35=1,"u","")</f>
        <v/>
      </c>
      <c r="D35" s="11" t="s">
        <v>564</v>
      </c>
      <c r="E35" s="33"/>
      <c r="F35" t="s">
        <v>558</v>
      </c>
      <c r="G35" t="s">
        <v>25</v>
      </c>
      <c r="H35">
        <f>RANK(K35,K$23:K$43,1)</f>
        <v>9</v>
      </c>
      <c r="I35" s="4">
        <v>3348685</v>
      </c>
      <c r="J35" s="4">
        <f>18573887+198000</f>
        <v>18771887</v>
      </c>
      <c r="K35" s="4">
        <f>+J35+I35</f>
        <v>22120572</v>
      </c>
      <c r="M35" s="21"/>
      <c r="N35" s="21"/>
      <c r="O35" s="21"/>
    </row>
    <row r="36" spans="3:15" x14ac:dyDescent="0.25">
      <c r="C36" s="33" t="str">
        <f t="shared" si="2"/>
        <v/>
      </c>
      <c r="D36" s="11"/>
      <c r="E36" s="33" t="str">
        <f t="shared" ref="E36:E43" si="3">IF(H36=1,"t","")</f>
        <v/>
      </c>
      <c r="K36" s="4"/>
      <c r="M36" s="21"/>
      <c r="N36" s="21"/>
      <c r="O36" s="21"/>
    </row>
    <row r="37" spans="3:15" x14ac:dyDescent="0.25">
      <c r="C37" s="33" t="str">
        <f t="shared" si="2"/>
        <v/>
      </c>
      <c r="D37" s="11"/>
      <c r="E37" s="33" t="str">
        <f t="shared" si="3"/>
        <v/>
      </c>
      <c r="K37" s="4"/>
      <c r="M37" s="21"/>
      <c r="N37" s="21"/>
      <c r="O37" s="21"/>
    </row>
    <row r="38" spans="3:15" x14ac:dyDescent="0.25">
      <c r="C38" s="33" t="str">
        <f t="shared" si="2"/>
        <v/>
      </c>
      <c r="D38" s="11"/>
      <c r="E38" s="33" t="str">
        <f t="shared" si="3"/>
        <v/>
      </c>
      <c r="K38" s="4"/>
      <c r="M38" s="21"/>
      <c r="N38" s="21"/>
      <c r="O38" s="21"/>
    </row>
    <row r="39" spans="3:15" x14ac:dyDescent="0.25">
      <c r="C39" s="33" t="str">
        <f t="shared" si="2"/>
        <v/>
      </c>
      <c r="D39" s="11"/>
      <c r="E39" s="33" t="str">
        <f t="shared" si="3"/>
        <v/>
      </c>
      <c r="K39" s="4"/>
      <c r="M39" s="21"/>
      <c r="N39" s="21"/>
      <c r="O39" s="21"/>
    </row>
    <row r="40" spans="3:15" x14ac:dyDescent="0.25">
      <c r="C40" s="33" t="str">
        <f t="shared" si="2"/>
        <v/>
      </c>
      <c r="D40" s="11"/>
      <c r="E40" s="33" t="str">
        <f t="shared" si="3"/>
        <v/>
      </c>
      <c r="K40" s="4"/>
      <c r="M40" s="21"/>
      <c r="N40" s="21"/>
      <c r="O40" s="21"/>
    </row>
    <row r="41" spans="3:15" x14ac:dyDescent="0.25">
      <c r="C41" s="33" t="str">
        <f t="shared" si="2"/>
        <v/>
      </c>
      <c r="D41" s="11"/>
      <c r="E41" s="33" t="str">
        <f t="shared" si="3"/>
        <v/>
      </c>
      <c r="K41" s="4"/>
      <c r="M41" s="21"/>
      <c r="N41" s="21"/>
      <c r="O41" s="21"/>
    </row>
    <row r="42" spans="3:15" x14ac:dyDescent="0.25">
      <c r="C42" s="33" t="str">
        <f t="shared" si="2"/>
        <v/>
      </c>
      <c r="D42" s="11"/>
      <c r="E42" s="33" t="str">
        <f t="shared" si="3"/>
        <v/>
      </c>
      <c r="K42" s="4"/>
      <c r="M42" s="21"/>
      <c r="N42" s="21"/>
      <c r="O42" s="21"/>
    </row>
    <row r="43" spans="3:15" x14ac:dyDescent="0.25">
      <c r="C43" s="33" t="str">
        <f t="shared" si="2"/>
        <v/>
      </c>
      <c r="D43" s="11"/>
      <c r="E43" s="33" t="str">
        <f t="shared" si="3"/>
        <v/>
      </c>
      <c r="K43" s="4"/>
      <c r="M43" s="21"/>
      <c r="N43" s="21"/>
      <c r="O43" s="21"/>
    </row>
    <row r="44" spans="3:15" ht="6" customHeight="1" x14ac:dyDescent="0.25">
      <c r="C44" s="9"/>
      <c r="D44" s="9"/>
      <c r="E44" s="9"/>
      <c r="F44" s="9"/>
      <c r="G44" s="9"/>
      <c r="H44" s="9"/>
      <c r="I44" s="9"/>
      <c r="J44" s="9"/>
      <c r="K44" s="9"/>
      <c r="L44" s="9"/>
      <c r="M44" s="21"/>
      <c r="N44" s="21"/>
      <c r="O44" s="21"/>
    </row>
    <row r="45" spans="3:15" ht="6" customHeight="1" x14ac:dyDescent="0.25">
      <c r="M45" s="21"/>
      <c r="N45" s="21"/>
      <c r="O45" s="21"/>
    </row>
    <row r="46" spans="3:15" x14ac:dyDescent="0.25">
      <c r="C46" s="15" t="s">
        <v>79</v>
      </c>
      <c r="M46" s="21"/>
      <c r="N46" s="21"/>
      <c r="O46" s="21"/>
    </row>
    <row r="47" spans="3:15" x14ac:dyDescent="0.25">
      <c r="C47" s="15" t="s">
        <v>78</v>
      </c>
    </row>
  </sheetData>
  <mergeCells count="1">
    <mergeCell ref="G13:H13"/>
  </mergeCells>
  <conditionalFormatting sqref="I9">
    <cfRule type="containsText" dxfId="676" priority="23" operator="containsText" text="FAIL">
      <formula>NOT(ISERROR(SEARCH("FAIL",I9)))</formula>
    </cfRule>
  </conditionalFormatting>
  <conditionalFormatting sqref="I9">
    <cfRule type="containsText" dxfId="675" priority="22" operator="containsText" text="GOOD">
      <formula>NOT(ISERROR(SEARCH("GOOD",I9)))</formula>
    </cfRule>
  </conditionalFormatting>
  <conditionalFormatting sqref="I9">
    <cfRule type="containsText" dxfId="674" priority="21" operator="containsText" text="FAIL">
      <formula>NOT(ISERROR(SEARCH("FAIL",I9)))</formula>
    </cfRule>
  </conditionalFormatting>
  <conditionalFormatting sqref="I9">
    <cfRule type="containsText" dxfId="673" priority="20" operator="containsText" text="GOOD">
      <formula>NOT(ISERROR(SEARCH("GOOD",I9)))</formula>
    </cfRule>
  </conditionalFormatting>
  <conditionalFormatting sqref="I9">
    <cfRule type="containsText" dxfId="672" priority="19" operator="containsText" text="FAIL">
      <formula>NOT(ISERROR(SEARCH("FAIL",I9)))</formula>
    </cfRule>
  </conditionalFormatting>
  <conditionalFormatting sqref="I9">
    <cfRule type="containsText" dxfId="671" priority="18" operator="containsText" text="GOOD">
      <formula>NOT(ISERROR(SEARCH("GOOD",I9)))</formula>
    </cfRule>
  </conditionalFormatting>
  <conditionalFormatting sqref="F11">
    <cfRule type="containsText" dxfId="670" priority="17" operator="containsText" text="FAIL">
      <formula>NOT(ISERROR(SEARCH("FAIL",F11)))</formula>
    </cfRule>
  </conditionalFormatting>
  <conditionalFormatting sqref="F11">
    <cfRule type="containsText" dxfId="669" priority="16" operator="containsText" text="GOOD">
      <formula>NOT(ISERROR(SEARCH("GOOD",F11)))</formula>
    </cfRule>
  </conditionalFormatting>
  <conditionalFormatting sqref="I9">
    <cfRule type="containsText" dxfId="668" priority="15" operator="containsText" text="FAIL">
      <formula>NOT(ISERROR(SEARCH("FAIL",I9)))</formula>
    </cfRule>
  </conditionalFormatting>
  <conditionalFormatting sqref="I9">
    <cfRule type="containsText" dxfId="667" priority="14" operator="containsText" text="GOOD">
      <formula>NOT(ISERROR(SEARCH("GOOD",I9)))</formula>
    </cfRule>
  </conditionalFormatting>
  <conditionalFormatting sqref="F11">
    <cfRule type="containsText" dxfId="666" priority="13" operator="containsText" text="FAIL">
      <formula>NOT(ISERROR(SEARCH("FAIL",F11)))</formula>
    </cfRule>
  </conditionalFormatting>
  <conditionalFormatting sqref="F11">
    <cfRule type="containsText" dxfId="665" priority="12" operator="containsText" text="GOOD">
      <formula>NOT(ISERROR(SEARCH("GOOD",F11)))</formula>
    </cfRule>
  </conditionalFormatting>
  <conditionalFormatting sqref="D25">
    <cfRule type="expression" dxfId="664" priority="11" stopIfTrue="1">
      <formula>IF($H$25=1,0)</formula>
    </cfRule>
  </conditionalFormatting>
  <conditionalFormatting sqref="D23:D33 D36:D43">
    <cfRule type="expression" dxfId="663" priority="10">
      <formula>H23=1</formula>
    </cfRule>
  </conditionalFormatting>
  <conditionalFormatting sqref="C23:C33 C36:C43">
    <cfRule type="expression" dxfId="662" priority="9">
      <formula>H23=1</formula>
    </cfRule>
  </conditionalFormatting>
  <conditionalFormatting sqref="E23:E33 E36:E43">
    <cfRule type="expression" dxfId="661" priority="8">
      <formula>H23=1</formula>
    </cfRule>
  </conditionalFormatting>
  <conditionalFormatting sqref="E23:E33 E36:E43">
    <cfRule type="expression" dxfId="660" priority="7">
      <formula>H23=1</formula>
    </cfRule>
  </conditionalFormatting>
  <conditionalFormatting sqref="F11">
    <cfRule type="containsText" dxfId="659" priority="6" operator="containsText" text="FAIL">
      <formula>NOT(ISERROR(SEARCH("FAIL",F11)))</formula>
    </cfRule>
  </conditionalFormatting>
  <conditionalFormatting sqref="F11">
    <cfRule type="containsText" dxfId="658" priority="5" operator="containsText" text="GOOD">
      <formula>NOT(ISERROR(SEARCH("GOOD",F11)))</formula>
    </cfRule>
  </conditionalFormatting>
  <conditionalFormatting sqref="D34:D35">
    <cfRule type="expression" dxfId="657" priority="4">
      <formula>H34=1</formula>
    </cfRule>
  </conditionalFormatting>
  <conditionalFormatting sqref="C34:C35">
    <cfRule type="expression" dxfId="656" priority="3">
      <formula>H34=1</formula>
    </cfRule>
  </conditionalFormatting>
  <conditionalFormatting sqref="E34:E35">
    <cfRule type="expression" dxfId="655" priority="2">
      <formula>H34=1</formula>
    </cfRule>
  </conditionalFormatting>
  <conditionalFormatting sqref="E34:E35">
    <cfRule type="expression" dxfId="654" priority="1">
      <formula>H34=1</formula>
    </cfRule>
  </conditionalFormatting>
  <pageMargins left="0.7" right="0.7" top="0.75" bottom="0.75" header="0.3" footer="0.3"/>
  <pageSetup scale="68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 codeName="Sheet46"/>
  <dimension ref="A2:P47"/>
  <sheetViews>
    <sheetView zoomScaleNormal="100" workbookViewId="0">
      <selection activeCell="G7" sqref="G7"/>
    </sheetView>
  </sheetViews>
  <sheetFormatPr defaultRowHeight="15" x14ac:dyDescent="0.25"/>
  <cols>
    <col min="1" max="2" width="4.42578125" customWidth="1"/>
    <col min="3" max="3" width="3" customWidth="1"/>
    <col min="4" max="4" width="24.85546875" customWidth="1"/>
    <col min="5" max="5" width="3" customWidth="1"/>
    <col min="6" max="6" width="15.7109375" customWidth="1"/>
    <col min="7" max="7" width="8.5703125" customWidth="1"/>
    <col min="8" max="8" width="5.85546875" customWidth="1"/>
    <col min="9" max="15" width="15.7109375" customWidth="1"/>
  </cols>
  <sheetData>
    <row r="2" spans="1:16" x14ac:dyDescent="0.25">
      <c r="C2" s="15" t="s">
        <v>32</v>
      </c>
      <c r="E2" s="15"/>
      <c r="F2" s="15"/>
      <c r="G2" s="15" t="s">
        <v>33</v>
      </c>
      <c r="H2" s="15"/>
      <c r="I2" s="15"/>
      <c r="J2" s="15"/>
      <c r="K2" s="15"/>
    </row>
    <row r="3" spans="1:16" ht="18.75" x14ac:dyDescent="0.3">
      <c r="C3" s="3" t="s">
        <v>26</v>
      </c>
      <c r="J3" s="8" t="s">
        <v>17</v>
      </c>
      <c r="P3" s="100"/>
    </row>
    <row r="4" spans="1:16" x14ac:dyDescent="0.25">
      <c r="D4" s="2" t="s">
        <v>0</v>
      </c>
      <c r="E4" s="1"/>
      <c r="F4" t="s">
        <v>1035</v>
      </c>
      <c r="I4" s="2" t="s">
        <v>4</v>
      </c>
      <c r="J4" t="s">
        <v>447</v>
      </c>
    </row>
    <row r="5" spans="1:16" x14ac:dyDescent="0.25">
      <c r="D5" s="2" t="s">
        <v>1</v>
      </c>
      <c r="F5" t="s">
        <v>1036</v>
      </c>
    </row>
    <row r="6" spans="1:16" x14ac:dyDescent="0.25">
      <c r="D6" s="2" t="s">
        <v>2</v>
      </c>
      <c r="F6" s="6">
        <v>42900</v>
      </c>
      <c r="H6" s="11"/>
    </row>
    <row r="7" spans="1:16" x14ac:dyDescent="0.25">
      <c r="D7" s="2" t="s">
        <v>3</v>
      </c>
      <c r="F7" s="5">
        <v>2900000</v>
      </c>
      <c r="G7" s="2" t="s">
        <v>756</v>
      </c>
      <c r="H7" s="11"/>
    </row>
    <row r="8" spans="1:16" x14ac:dyDescent="0.25">
      <c r="D8" s="2" t="s">
        <v>18</v>
      </c>
      <c r="F8" s="5">
        <f>MIN(I23:I43)</f>
        <v>1157000</v>
      </c>
      <c r="H8" s="11"/>
    </row>
    <row r="9" spans="1:16" x14ac:dyDescent="0.25">
      <c r="D9" s="2" t="s">
        <v>67</v>
      </c>
      <c r="F9" s="4">
        <f>+F8-F7</f>
        <v>-1743000</v>
      </c>
      <c r="G9" s="16">
        <f>+F9/F7</f>
        <v>-0.6010344827586207</v>
      </c>
      <c r="H9" s="12" t="s">
        <v>20</v>
      </c>
      <c r="I9" s="11" t="str">
        <f>(IF(G9&lt;-0.1,"FAIL",IF(G9&gt;0.05,"FAIL","GOOD")))</f>
        <v>FAIL</v>
      </c>
      <c r="J9" s="14" t="s">
        <v>72</v>
      </c>
    </row>
    <row r="10" spans="1:16" x14ac:dyDescent="0.25">
      <c r="D10" s="2" t="s">
        <v>68</v>
      </c>
      <c r="F10" s="4">
        <f>+F7-F12</f>
        <v>989623.39999999991</v>
      </c>
      <c r="H10" s="11"/>
    </row>
    <row r="11" spans="1:16" x14ac:dyDescent="0.25">
      <c r="A11" s="52"/>
      <c r="D11" s="2" t="s">
        <v>71</v>
      </c>
      <c r="F11" s="11" t="str">
        <f>(IF(F7&lt;J12,"FAIL",IF(F7&gt;J13,"FAIL","GOOD")))</f>
        <v>FAIL</v>
      </c>
      <c r="H11" s="11"/>
    </row>
    <row r="12" spans="1:16" x14ac:dyDescent="0.25">
      <c r="D12" s="2" t="s">
        <v>28</v>
      </c>
      <c r="F12" s="4">
        <f>SUM(I23:I43)/H12</f>
        <v>1910376.6</v>
      </c>
      <c r="G12" s="14"/>
      <c r="H12" s="11">
        <f>COUNT(I23:I43)</f>
        <v>5</v>
      </c>
      <c r="I12" s="1" t="s">
        <v>31</v>
      </c>
      <c r="J12" s="4">
        <f>+F8*0.9</f>
        <v>1041300</v>
      </c>
      <c r="K12" s="1" t="s">
        <v>69</v>
      </c>
    </row>
    <row r="13" spans="1:16" x14ac:dyDescent="0.25">
      <c r="D13" s="2" t="s">
        <v>29</v>
      </c>
      <c r="F13" s="4">
        <f>MAX(I23:I43)-MIN(I23:I43)</f>
        <v>1439000</v>
      </c>
      <c r="G13" s="399">
        <f>MEDIAN(I23:I43)</f>
        <v>2130086</v>
      </c>
      <c r="H13" s="400"/>
      <c r="I13" s="1" t="s">
        <v>30</v>
      </c>
      <c r="J13" s="4">
        <f>+F12*1.1</f>
        <v>2101414.2600000002</v>
      </c>
      <c r="K13" s="1" t="s">
        <v>70</v>
      </c>
    </row>
    <row r="14" spans="1:16" x14ac:dyDescent="0.25">
      <c r="H14" s="11"/>
    </row>
    <row r="15" spans="1:16" x14ac:dyDescent="0.25">
      <c r="D15" s="2" t="s">
        <v>8</v>
      </c>
      <c r="F15" s="4"/>
      <c r="G15" s="1" t="s">
        <v>9</v>
      </c>
      <c r="H15" s="11"/>
      <c r="I15" t="s">
        <v>15</v>
      </c>
      <c r="J15" s="7" t="e">
        <f>+F16/F15</f>
        <v>#DIV/0!</v>
      </c>
    </row>
    <row r="16" spans="1:16" x14ac:dyDescent="0.25">
      <c r="F16" s="4"/>
      <c r="G16" s="1" t="s">
        <v>10</v>
      </c>
      <c r="H16" s="11"/>
      <c r="I16" t="s">
        <v>14</v>
      </c>
      <c r="J16" s="7" t="e">
        <f>+F17/F16</f>
        <v>#DIV/0!</v>
      </c>
    </row>
    <row r="17" spans="3:15" x14ac:dyDescent="0.25">
      <c r="F17" s="4"/>
      <c r="G17" s="1" t="s">
        <v>11</v>
      </c>
      <c r="H17" s="11"/>
      <c r="I17" t="s">
        <v>13</v>
      </c>
      <c r="J17" s="7" t="e">
        <f>+F18/F17</f>
        <v>#DIV/0!</v>
      </c>
      <c r="M17" s="21"/>
      <c r="N17" s="21"/>
      <c r="O17" s="21"/>
    </row>
    <row r="18" spans="3:15" x14ac:dyDescent="0.25">
      <c r="F18" s="4"/>
      <c r="G18" s="1" t="s">
        <v>12</v>
      </c>
      <c r="H18" s="11"/>
      <c r="I18" t="s">
        <v>16</v>
      </c>
      <c r="J18" s="7" t="e">
        <f>+F8/F18</f>
        <v>#DIV/0!</v>
      </c>
      <c r="M18" s="21"/>
      <c r="N18" s="21"/>
      <c r="O18" s="21"/>
    </row>
    <row r="19" spans="3:15" x14ac:dyDescent="0.25">
      <c r="F19" s="2" t="s">
        <v>51</v>
      </c>
      <c r="G19">
        <v>0</v>
      </c>
      <c r="H19" s="11" t="s">
        <v>52</v>
      </c>
      <c r="I19" t="s">
        <v>41</v>
      </c>
      <c r="J19" s="7" t="e">
        <f>+F8/F15</f>
        <v>#DIV/0!</v>
      </c>
      <c r="M19" s="21"/>
      <c r="N19" s="21"/>
      <c r="O19" s="21"/>
    </row>
    <row r="20" spans="3:15" x14ac:dyDescent="0.25">
      <c r="H20" s="11"/>
      <c r="M20" s="21"/>
      <c r="N20" s="21"/>
      <c r="O20" s="21"/>
    </row>
    <row r="21" spans="3:15" x14ac:dyDescent="0.25">
      <c r="C21" s="9"/>
      <c r="D21" s="13" t="s">
        <v>21</v>
      </c>
      <c r="E21" s="9"/>
      <c r="F21" s="9" t="s">
        <v>22</v>
      </c>
      <c r="G21" s="9" t="s">
        <v>23</v>
      </c>
      <c r="H21" s="13" t="s">
        <v>27</v>
      </c>
      <c r="I21" s="10" t="s">
        <v>24</v>
      </c>
      <c r="J21" s="9"/>
      <c r="K21" s="9"/>
      <c r="L21" s="9"/>
      <c r="M21" s="21"/>
      <c r="N21" s="21"/>
      <c r="O21" s="21"/>
    </row>
    <row r="22" spans="3:15" ht="6" customHeight="1" x14ac:dyDescent="0.25">
      <c r="M22" s="21"/>
      <c r="N22" s="21"/>
      <c r="O22" s="21"/>
    </row>
    <row r="23" spans="3:15" x14ac:dyDescent="0.25">
      <c r="C23" s="33" t="str">
        <f>IF(H23=1,"u","")</f>
        <v/>
      </c>
      <c r="D23" s="11" t="s">
        <v>487</v>
      </c>
      <c r="E23" s="33"/>
      <c r="F23" t="s">
        <v>113</v>
      </c>
      <c r="G23" t="s">
        <v>25</v>
      </c>
      <c r="H23">
        <f>RANK(I23,I$23:I$43,1)</f>
        <v>5</v>
      </c>
      <c r="I23" s="4">
        <v>2596000</v>
      </c>
      <c r="J23" s="4"/>
      <c r="K23" s="4"/>
      <c r="L23" s="4"/>
      <c r="M23" s="22"/>
      <c r="N23" s="22"/>
      <c r="O23" s="22"/>
    </row>
    <row r="24" spans="3:15" x14ac:dyDescent="0.25">
      <c r="C24" s="33" t="str">
        <f>IF(H24=1,"u","")</f>
        <v/>
      </c>
      <c r="D24" s="11" t="s">
        <v>968</v>
      </c>
      <c r="E24" s="33"/>
      <c r="F24" t="s">
        <v>203</v>
      </c>
      <c r="G24" t="s">
        <v>204</v>
      </c>
      <c r="H24">
        <f>RANK(I24,I$23:I$43,1)</f>
        <v>4</v>
      </c>
      <c r="I24" s="4">
        <v>2489032</v>
      </c>
      <c r="J24" s="4"/>
      <c r="K24" s="4"/>
      <c r="L24" s="4"/>
      <c r="M24" s="22"/>
      <c r="N24" s="22"/>
      <c r="O24" s="22"/>
    </row>
    <row r="25" spans="3:15" x14ac:dyDescent="0.25">
      <c r="C25" s="33" t="str">
        <f>IF(H25=1,"u","")</f>
        <v>u</v>
      </c>
      <c r="D25" s="11" t="s">
        <v>710</v>
      </c>
      <c r="E25" s="33"/>
      <c r="F25" t="s">
        <v>386</v>
      </c>
      <c r="G25" t="s">
        <v>25</v>
      </c>
      <c r="H25">
        <f>RANK(I25,I$23:I$43,1)</f>
        <v>1</v>
      </c>
      <c r="I25" s="4">
        <v>1157000</v>
      </c>
      <c r="J25" s="4"/>
      <c r="K25" s="4"/>
      <c r="L25" s="4"/>
      <c r="M25" s="22"/>
      <c r="N25" s="22"/>
      <c r="O25" s="22"/>
    </row>
    <row r="26" spans="3:15" x14ac:dyDescent="0.25">
      <c r="C26" s="33"/>
      <c r="D26" s="11" t="s">
        <v>1037</v>
      </c>
      <c r="E26" s="33"/>
      <c r="F26" t="s">
        <v>88</v>
      </c>
      <c r="G26" t="s">
        <v>25</v>
      </c>
      <c r="H26">
        <f>RANK(I26,I$23:I$43,1)</f>
        <v>3</v>
      </c>
      <c r="I26" s="4">
        <v>2130086</v>
      </c>
      <c r="J26" s="4"/>
      <c r="K26" s="4"/>
      <c r="L26" s="4"/>
      <c r="M26" s="22"/>
      <c r="N26" s="22"/>
      <c r="O26" s="22"/>
    </row>
    <row r="27" spans="3:15" x14ac:dyDescent="0.25">
      <c r="C27" s="33"/>
      <c r="D27" s="11" t="s">
        <v>605</v>
      </c>
      <c r="E27" s="33"/>
      <c r="F27" t="s">
        <v>120</v>
      </c>
      <c r="G27" t="s">
        <v>25</v>
      </c>
      <c r="H27">
        <f>RANK(I27,I$23:I$43,1)</f>
        <v>2</v>
      </c>
      <c r="I27" s="4">
        <v>1179765</v>
      </c>
      <c r="J27" s="4"/>
      <c r="K27" s="4"/>
      <c r="L27" s="4"/>
      <c r="M27" s="22"/>
      <c r="N27" s="22"/>
      <c r="O27" s="22"/>
    </row>
    <row r="28" spans="3:15" x14ac:dyDescent="0.25">
      <c r="C28" s="33"/>
      <c r="D28" s="11"/>
      <c r="E28" s="33"/>
      <c r="I28" s="4"/>
      <c r="J28" s="4"/>
      <c r="K28" s="4"/>
      <c r="L28" s="4"/>
      <c r="M28" s="22"/>
      <c r="N28" s="22"/>
      <c r="O28" s="22"/>
    </row>
    <row r="29" spans="3:15" x14ac:dyDescent="0.25">
      <c r="C29" s="33" t="str">
        <f t="shared" ref="C29:C43" si="0">IF(H29=1,"u","")</f>
        <v/>
      </c>
      <c r="D29" s="11"/>
      <c r="E29" s="33"/>
      <c r="I29" s="4"/>
      <c r="J29" s="4"/>
      <c r="K29" s="4"/>
      <c r="L29" s="4"/>
      <c r="M29" s="22"/>
      <c r="N29" s="22"/>
      <c r="O29" s="22"/>
    </row>
    <row r="30" spans="3:15" x14ac:dyDescent="0.25">
      <c r="C30" s="33" t="str">
        <f t="shared" si="0"/>
        <v/>
      </c>
      <c r="D30" s="11"/>
      <c r="E30" s="33"/>
      <c r="I30" s="4"/>
      <c r="J30" s="4"/>
      <c r="K30" s="4"/>
      <c r="L30" s="4"/>
      <c r="M30" s="22"/>
      <c r="N30" s="22"/>
      <c r="O30" s="22"/>
    </row>
    <row r="31" spans="3:15" x14ac:dyDescent="0.25">
      <c r="C31" s="33" t="str">
        <f t="shared" si="0"/>
        <v/>
      </c>
      <c r="D31" s="11"/>
      <c r="E31" s="33"/>
      <c r="I31" s="4"/>
      <c r="J31" s="4"/>
      <c r="K31" s="4"/>
      <c r="L31" s="4"/>
      <c r="M31" s="22"/>
      <c r="N31" s="22"/>
      <c r="O31" s="22"/>
    </row>
    <row r="32" spans="3:15" x14ac:dyDescent="0.25">
      <c r="C32" s="33" t="str">
        <f t="shared" si="0"/>
        <v/>
      </c>
      <c r="D32" s="11"/>
      <c r="E32" s="33"/>
      <c r="I32" s="4"/>
      <c r="J32" s="4"/>
      <c r="K32" s="4"/>
      <c r="L32" s="4"/>
      <c r="M32" s="22"/>
      <c r="N32" s="22"/>
      <c r="O32" s="22"/>
    </row>
    <row r="33" spans="3:15" x14ac:dyDescent="0.25">
      <c r="C33" s="33" t="str">
        <f t="shared" si="0"/>
        <v/>
      </c>
      <c r="D33" s="11"/>
      <c r="E33" s="33"/>
      <c r="I33" s="4"/>
      <c r="M33" s="21"/>
      <c r="N33" s="21"/>
      <c r="O33" s="21"/>
    </row>
    <row r="34" spans="3:15" x14ac:dyDescent="0.25">
      <c r="C34" s="33" t="str">
        <f t="shared" si="0"/>
        <v/>
      </c>
      <c r="D34" s="11"/>
      <c r="E34" s="33" t="str">
        <f t="shared" ref="E34:E43" si="1">IF(H34=1,"t","")</f>
        <v/>
      </c>
      <c r="M34" s="21"/>
      <c r="N34" s="21"/>
      <c r="O34" s="21"/>
    </row>
    <row r="35" spans="3:15" x14ac:dyDescent="0.25">
      <c r="C35" s="33" t="str">
        <f t="shared" si="0"/>
        <v/>
      </c>
      <c r="D35" s="11"/>
      <c r="E35" s="33" t="str">
        <f t="shared" si="1"/>
        <v/>
      </c>
      <c r="M35" s="21"/>
      <c r="N35" s="21"/>
      <c r="O35" s="21"/>
    </row>
    <row r="36" spans="3:15" x14ac:dyDescent="0.25">
      <c r="C36" s="33" t="str">
        <f t="shared" si="0"/>
        <v/>
      </c>
      <c r="D36" s="11"/>
      <c r="E36" s="33" t="str">
        <f t="shared" si="1"/>
        <v/>
      </c>
      <c r="M36" s="21"/>
      <c r="N36" s="21"/>
      <c r="O36" s="21"/>
    </row>
    <row r="37" spans="3:15" x14ac:dyDescent="0.25">
      <c r="C37" s="33" t="str">
        <f t="shared" si="0"/>
        <v/>
      </c>
      <c r="D37" s="11"/>
      <c r="E37" s="33" t="str">
        <f t="shared" si="1"/>
        <v/>
      </c>
      <c r="M37" s="21"/>
      <c r="N37" s="21"/>
      <c r="O37" s="21"/>
    </row>
    <row r="38" spans="3:15" x14ac:dyDescent="0.25">
      <c r="C38" s="33" t="str">
        <f t="shared" si="0"/>
        <v/>
      </c>
      <c r="D38" s="11"/>
      <c r="E38" s="33" t="str">
        <f t="shared" si="1"/>
        <v/>
      </c>
      <c r="M38" s="21"/>
      <c r="N38" s="21"/>
      <c r="O38" s="21"/>
    </row>
    <row r="39" spans="3:15" x14ac:dyDescent="0.25">
      <c r="C39" s="33" t="str">
        <f t="shared" si="0"/>
        <v/>
      </c>
      <c r="D39" s="11"/>
      <c r="E39" s="33" t="str">
        <f t="shared" si="1"/>
        <v/>
      </c>
      <c r="M39" s="21"/>
      <c r="N39" s="21"/>
      <c r="O39" s="21"/>
    </row>
    <row r="40" spans="3:15" x14ac:dyDescent="0.25">
      <c r="C40" s="33" t="str">
        <f t="shared" si="0"/>
        <v/>
      </c>
      <c r="D40" s="11"/>
      <c r="E40" s="33" t="str">
        <f t="shared" si="1"/>
        <v/>
      </c>
      <c r="M40" s="21"/>
      <c r="N40" s="21"/>
      <c r="O40" s="21"/>
    </row>
    <row r="41" spans="3:15" x14ac:dyDescent="0.25">
      <c r="C41" s="33" t="str">
        <f t="shared" si="0"/>
        <v/>
      </c>
      <c r="D41" s="11"/>
      <c r="E41" s="33" t="str">
        <f t="shared" si="1"/>
        <v/>
      </c>
      <c r="M41" s="21"/>
      <c r="N41" s="21"/>
      <c r="O41" s="21"/>
    </row>
    <row r="42" spans="3:15" x14ac:dyDescent="0.25">
      <c r="C42" s="33" t="str">
        <f t="shared" si="0"/>
        <v/>
      </c>
      <c r="D42" s="11"/>
      <c r="E42" s="33" t="str">
        <f t="shared" si="1"/>
        <v/>
      </c>
      <c r="M42" s="21"/>
      <c r="N42" s="21"/>
      <c r="O42" s="21"/>
    </row>
    <row r="43" spans="3:15" x14ac:dyDescent="0.25">
      <c r="C43" s="33" t="str">
        <f t="shared" si="0"/>
        <v/>
      </c>
      <c r="D43" s="11"/>
      <c r="E43" s="33" t="str">
        <f t="shared" si="1"/>
        <v/>
      </c>
      <c r="M43" s="21"/>
      <c r="N43" s="21"/>
      <c r="O43" s="21"/>
    </row>
    <row r="44" spans="3:15" ht="6" customHeight="1" x14ac:dyDescent="0.25">
      <c r="C44" s="9"/>
      <c r="D44" s="9"/>
      <c r="E44" s="9"/>
      <c r="F44" s="9"/>
      <c r="G44" s="9"/>
      <c r="H44" s="9"/>
      <c r="I44" s="9"/>
      <c r="J44" s="9"/>
      <c r="K44" s="9"/>
      <c r="L44" s="9"/>
      <c r="M44" s="21"/>
      <c r="N44" s="21"/>
      <c r="O44" s="21"/>
    </row>
    <row r="45" spans="3:15" ht="6" customHeight="1" x14ac:dyDescent="0.25">
      <c r="M45" s="21"/>
      <c r="N45" s="21"/>
      <c r="O45" s="21"/>
    </row>
    <row r="46" spans="3:15" x14ac:dyDescent="0.25">
      <c r="C46" s="15" t="s">
        <v>79</v>
      </c>
      <c r="M46" s="21"/>
      <c r="N46" s="21"/>
      <c r="O46" s="21"/>
    </row>
    <row r="47" spans="3:15" x14ac:dyDescent="0.25">
      <c r="C47" s="15" t="s">
        <v>78</v>
      </c>
    </row>
  </sheetData>
  <mergeCells count="1">
    <mergeCell ref="G13:H13"/>
  </mergeCells>
  <conditionalFormatting sqref="I9">
    <cfRule type="containsText" dxfId="1821" priority="16" operator="containsText" text="FAIL">
      <formula>NOT(ISERROR(SEARCH("FAIL",I9)))</formula>
    </cfRule>
  </conditionalFormatting>
  <conditionalFormatting sqref="I9">
    <cfRule type="containsText" dxfId="1820" priority="15" operator="containsText" text="GOOD">
      <formula>NOT(ISERROR(SEARCH("GOOD",I9)))</formula>
    </cfRule>
  </conditionalFormatting>
  <conditionalFormatting sqref="F11">
    <cfRule type="containsText" dxfId="1819" priority="14" operator="containsText" text="FAIL">
      <formula>NOT(ISERROR(SEARCH("FAIL",F11)))</formula>
    </cfRule>
  </conditionalFormatting>
  <conditionalFormatting sqref="F11">
    <cfRule type="containsText" dxfId="1818" priority="13" operator="containsText" text="GOOD">
      <formula>NOT(ISERROR(SEARCH("GOOD",F11)))</formula>
    </cfRule>
  </conditionalFormatting>
  <conditionalFormatting sqref="D25">
    <cfRule type="expression" dxfId="1817" priority="12" stopIfTrue="1">
      <formula>IF($H$25=1,0)</formula>
    </cfRule>
  </conditionalFormatting>
  <conditionalFormatting sqref="D23 D29:D43 D25:D26">
    <cfRule type="expression" dxfId="1816" priority="11">
      <formula>H23=1</formula>
    </cfRule>
  </conditionalFormatting>
  <conditionalFormatting sqref="C23:C26 C29:C43">
    <cfRule type="expression" dxfId="1815" priority="10">
      <formula>H23=1</formula>
    </cfRule>
  </conditionalFormatting>
  <conditionalFormatting sqref="E23 E29:E43 E25:E26">
    <cfRule type="expression" dxfId="1814" priority="9">
      <formula>H23=1</formula>
    </cfRule>
  </conditionalFormatting>
  <conditionalFormatting sqref="F11">
    <cfRule type="containsText" dxfId="1813" priority="8" operator="containsText" text="FAIL">
      <formula>NOT(ISERROR(SEARCH("FAIL",F11)))</formula>
    </cfRule>
  </conditionalFormatting>
  <conditionalFormatting sqref="F11">
    <cfRule type="containsText" dxfId="1812" priority="7" operator="containsText" text="GOOD">
      <formula>NOT(ISERROR(SEARCH("GOOD",F11)))</formula>
    </cfRule>
  </conditionalFormatting>
  <conditionalFormatting sqref="D27:D28">
    <cfRule type="expression" dxfId="1811" priority="6">
      <formula>H27=1</formula>
    </cfRule>
  </conditionalFormatting>
  <conditionalFormatting sqref="C27:C28">
    <cfRule type="expression" dxfId="1810" priority="5">
      <formula>H27=1</formula>
    </cfRule>
  </conditionalFormatting>
  <conditionalFormatting sqref="E27:E28">
    <cfRule type="expression" dxfId="1809" priority="4">
      <formula>H27=1</formula>
    </cfRule>
  </conditionalFormatting>
  <conditionalFormatting sqref="D24">
    <cfRule type="expression" dxfId="1808" priority="3" stopIfTrue="1">
      <formula>IF($H$25=1,0)</formula>
    </cfRule>
  </conditionalFormatting>
  <conditionalFormatting sqref="D24">
    <cfRule type="expression" dxfId="1807" priority="2">
      <formula>H24=1</formula>
    </cfRule>
  </conditionalFormatting>
  <conditionalFormatting sqref="E24">
    <cfRule type="expression" dxfId="1806" priority="1">
      <formula>H24=1</formula>
    </cfRule>
  </conditionalFormatting>
  <pageMargins left="0.7" right="0.7" top="0.75" bottom="0.75" header="0.3" footer="0.3"/>
  <pageSetup scale="68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sheetPr codeName="Sheet62"/>
  <dimension ref="A2:O56"/>
  <sheetViews>
    <sheetView zoomScaleNormal="100" workbookViewId="0">
      <selection activeCell="K25" sqref="K25"/>
    </sheetView>
  </sheetViews>
  <sheetFormatPr defaultRowHeight="15" x14ac:dyDescent="0.25"/>
  <cols>
    <col min="1" max="2" width="4.42578125" customWidth="1"/>
    <col min="3" max="3" width="3" customWidth="1"/>
    <col min="4" max="4" width="24.7109375" customWidth="1"/>
    <col min="5" max="5" width="3" customWidth="1"/>
    <col min="6" max="6" width="15.7109375" customWidth="1"/>
    <col min="7" max="7" width="8.5703125" customWidth="1"/>
    <col min="8" max="8" width="5.85546875" customWidth="1"/>
    <col min="9" max="15" width="15.7109375" customWidth="1"/>
  </cols>
  <sheetData>
    <row r="2" spans="1:11" x14ac:dyDescent="0.25">
      <c r="C2" s="15" t="s">
        <v>32</v>
      </c>
      <c r="E2" s="15"/>
      <c r="F2" s="15"/>
      <c r="G2" s="15" t="s">
        <v>33</v>
      </c>
      <c r="H2" s="15"/>
      <c r="I2" s="15"/>
      <c r="J2" s="15"/>
      <c r="K2" s="15"/>
    </row>
    <row r="3" spans="1:11" ht="18.75" x14ac:dyDescent="0.3">
      <c r="C3" s="3" t="s">
        <v>26</v>
      </c>
      <c r="J3" s="8" t="s">
        <v>47</v>
      </c>
    </row>
    <row r="4" spans="1:11" x14ac:dyDescent="0.25">
      <c r="D4" s="2" t="s">
        <v>0</v>
      </c>
      <c r="E4" s="1"/>
      <c r="F4" t="s">
        <v>981</v>
      </c>
      <c r="I4" s="2" t="s">
        <v>4</v>
      </c>
      <c r="J4" t="s">
        <v>616</v>
      </c>
    </row>
    <row r="5" spans="1:11" x14ac:dyDescent="0.25">
      <c r="D5" s="2" t="s">
        <v>1</v>
      </c>
      <c r="F5" t="s">
        <v>982</v>
      </c>
    </row>
    <row r="6" spans="1:11" x14ac:dyDescent="0.25">
      <c r="D6" s="2" t="s">
        <v>2</v>
      </c>
      <c r="F6" s="6">
        <v>42844</v>
      </c>
      <c r="H6" s="11"/>
    </row>
    <row r="7" spans="1:11" x14ac:dyDescent="0.25">
      <c r="D7" s="2" t="s">
        <v>3</v>
      </c>
      <c r="F7" s="5">
        <f>+I7+J7</f>
        <v>18870000</v>
      </c>
      <c r="G7" s="2" t="s">
        <v>190</v>
      </c>
      <c r="H7" s="11"/>
      <c r="I7" s="19">
        <v>5160000</v>
      </c>
      <c r="J7" s="19">
        <v>13710000</v>
      </c>
    </row>
    <row r="8" spans="1:11" x14ac:dyDescent="0.25">
      <c r="D8" s="2" t="s">
        <v>18</v>
      </c>
      <c r="F8" s="5">
        <f>MIN(K23:K43)</f>
        <v>19910000</v>
      </c>
      <c r="H8" s="11"/>
      <c r="I8" s="18" t="s">
        <v>43</v>
      </c>
      <c r="J8" s="18" t="s">
        <v>44</v>
      </c>
    </row>
    <row r="9" spans="1:11" x14ac:dyDescent="0.25">
      <c r="D9" s="2" t="s">
        <v>19</v>
      </c>
      <c r="F9" s="4">
        <f>+F8-F7</f>
        <v>1040000</v>
      </c>
      <c r="G9" s="16">
        <f>+F9/F7</f>
        <v>5.5113937466878642E-2</v>
      </c>
      <c r="H9" s="12" t="s">
        <v>20</v>
      </c>
      <c r="I9" s="11" t="str">
        <f>(IF(G9&lt;-0.1,"FAIL",IF(G9&gt;0.05,"FAIL","GOOD")))</f>
        <v>FAIL</v>
      </c>
      <c r="J9" s="14" t="s">
        <v>72</v>
      </c>
    </row>
    <row r="10" spans="1:11" x14ac:dyDescent="0.25">
      <c r="D10" s="2" t="s">
        <v>68</v>
      </c>
      <c r="F10" s="4">
        <f>+F7-F12</f>
        <v>-2890702.6666666679</v>
      </c>
      <c r="H10" s="11"/>
    </row>
    <row r="11" spans="1:11" x14ac:dyDescent="0.25">
      <c r="A11" s="30"/>
      <c r="D11" s="2" t="s">
        <v>71</v>
      </c>
      <c r="F11" s="11" t="str">
        <f>(IF(F7&lt;J12,"FAIL",IF(F7&gt;J13,"FAIL","GOOD")))</f>
        <v>GOOD</v>
      </c>
      <c r="H11" s="11"/>
    </row>
    <row r="12" spans="1:11" x14ac:dyDescent="0.25">
      <c r="D12" s="2" t="s">
        <v>28</v>
      </c>
      <c r="F12" s="4">
        <f>SUM(K23:K43)/H12</f>
        <v>21760702.666666668</v>
      </c>
      <c r="G12" s="14"/>
      <c r="H12" s="11">
        <f>COUNT(K23:K43)</f>
        <v>3</v>
      </c>
      <c r="I12" s="1" t="s">
        <v>31</v>
      </c>
      <c r="J12" s="4">
        <f>+F8*0.9</f>
        <v>17919000</v>
      </c>
      <c r="K12" s="1" t="s">
        <v>69</v>
      </c>
    </row>
    <row r="13" spans="1:11" x14ac:dyDescent="0.25">
      <c r="D13" s="2" t="s">
        <v>29</v>
      </c>
      <c r="F13" s="4">
        <f>MAX(K23:K43)-MIN(K23:K43)</f>
        <v>4679973</v>
      </c>
      <c r="G13" s="399">
        <f>MEDIAN(K23:K43)</f>
        <v>20782135</v>
      </c>
      <c r="H13" s="400"/>
      <c r="I13" s="1" t="s">
        <v>30</v>
      </c>
      <c r="J13" s="4">
        <f>+F12*1.1</f>
        <v>23936772.933333337</v>
      </c>
      <c r="K13" s="1" t="s">
        <v>70</v>
      </c>
    </row>
    <row r="14" spans="1:11" x14ac:dyDescent="0.25">
      <c r="H14" s="11"/>
    </row>
    <row r="15" spans="1:11" hidden="1" x14ac:dyDescent="0.25">
      <c r="D15" s="2" t="s">
        <v>8</v>
      </c>
      <c r="F15" s="4">
        <v>30000000</v>
      </c>
      <c r="G15" s="1" t="s">
        <v>9</v>
      </c>
      <c r="H15" s="11"/>
      <c r="I15" t="s">
        <v>15</v>
      </c>
      <c r="J15" s="7">
        <f>+F16/F15</f>
        <v>0.93333333333333335</v>
      </c>
    </row>
    <row r="16" spans="1:11" hidden="1" x14ac:dyDescent="0.25">
      <c r="F16" s="4">
        <v>28000000</v>
      </c>
      <c r="G16" s="1" t="s">
        <v>10</v>
      </c>
      <c r="H16" s="11"/>
      <c r="I16" t="s">
        <v>14</v>
      </c>
      <c r="J16" s="7">
        <f>+F17/F16</f>
        <v>1.0535714285714286</v>
      </c>
    </row>
    <row r="17" spans="3:15" hidden="1" x14ac:dyDescent="0.25">
      <c r="F17" s="4">
        <v>29500000</v>
      </c>
      <c r="G17" s="1" t="s">
        <v>11</v>
      </c>
      <c r="H17" s="11"/>
      <c r="I17" t="s">
        <v>13</v>
      </c>
      <c r="J17" s="7">
        <f>+F18/F17</f>
        <v>0.63966101694915256</v>
      </c>
    </row>
    <row r="18" spans="3:15" hidden="1" x14ac:dyDescent="0.25">
      <c r="F18" s="4">
        <f>+F7</f>
        <v>18870000</v>
      </c>
      <c r="G18" s="1" t="s">
        <v>12</v>
      </c>
      <c r="H18" s="11"/>
      <c r="I18" t="s">
        <v>16</v>
      </c>
      <c r="J18" s="7">
        <f>+F8/F18</f>
        <v>1.0551139374668785</v>
      </c>
    </row>
    <row r="19" spans="3:15" hidden="1" x14ac:dyDescent="0.25">
      <c r="F19" s="2" t="s">
        <v>51</v>
      </c>
      <c r="G19">
        <v>0</v>
      </c>
      <c r="H19" s="11" t="s">
        <v>52</v>
      </c>
      <c r="I19" t="s">
        <v>41</v>
      </c>
      <c r="J19" s="7">
        <f>+F8/F15</f>
        <v>0.66366666666666663</v>
      </c>
    </row>
    <row r="20" spans="3:15" x14ac:dyDescent="0.25">
      <c r="H20" s="11"/>
      <c r="M20" s="21"/>
      <c r="N20" s="21"/>
      <c r="O20" s="21"/>
    </row>
    <row r="21" spans="3:15" x14ac:dyDescent="0.25">
      <c r="C21" s="9"/>
      <c r="D21" s="13" t="s">
        <v>21</v>
      </c>
      <c r="E21" s="9"/>
      <c r="F21" s="9" t="s">
        <v>22</v>
      </c>
      <c r="G21" s="9" t="s">
        <v>23</v>
      </c>
      <c r="H21" s="13" t="s">
        <v>27</v>
      </c>
      <c r="I21" s="10" t="s">
        <v>38</v>
      </c>
      <c r="J21" s="10" t="s">
        <v>37</v>
      </c>
      <c r="K21" s="10" t="s">
        <v>39</v>
      </c>
      <c r="L21" s="9"/>
      <c r="M21" s="21"/>
      <c r="N21" s="21"/>
      <c r="O21" s="21"/>
    </row>
    <row r="22" spans="3:15" ht="6" customHeight="1" x14ac:dyDescent="0.25">
      <c r="M22" s="21"/>
      <c r="N22" s="21"/>
      <c r="O22" s="21"/>
    </row>
    <row r="23" spans="3:15" x14ac:dyDescent="0.25">
      <c r="C23" s="33" t="str">
        <f>IF(H23=1,"u","")</f>
        <v/>
      </c>
      <c r="D23" s="11" t="s">
        <v>605</v>
      </c>
      <c r="E23" s="33"/>
      <c r="F23" t="s">
        <v>120</v>
      </c>
      <c r="G23" t="s">
        <v>25</v>
      </c>
      <c r="H23">
        <f>RANK(K23,K$23:K$43,1)</f>
        <v>2</v>
      </c>
      <c r="I23" s="4">
        <v>7274055</v>
      </c>
      <c r="J23" s="4">
        <v>13508080</v>
      </c>
      <c r="K23" s="4">
        <f>+J23+I23</f>
        <v>20782135</v>
      </c>
      <c r="L23" s="4"/>
      <c r="M23" s="22"/>
      <c r="N23" s="22"/>
      <c r="O23" s="22"/>
    </row>
    <row r="24" spans="3:15" x14ac:dyDescent="0.25">
      <c r="C24" s="33" t="str">
        <f>IF(H24=1,"u","")</f>
        <v/>
      </c>
      <c r="D24" s="11" t="s">
        <v>491</v>
      </c>
      <c r="E24" s="33"/>
      <c r="F24" t="s">
        <v>203</v>
      </c>
      <c r="G24" t="s">
        <v>204</v>
      </c>
      <c r="H24">
        <f>RANK(K24,K$23:K$43,1)</f>
        <v>3</v>
      </c>
      <c r="I24" s="4">
        <v>10952713</v>
      </c>
      <c r="J24" s="4">
        <v>13637260</v>
      </c>
      <c r="K24" s="4">
        <f>+J24+I24</f>
        <v>24589973</v>
      </c>
      <c r="L24" s="4"/>
      <c r="M24" s="22"/>
      <c r="N24" s="22"/>
      <c r="O24" s="22"/>
    </row>
    <row r="25" spans="3:15" x14ac:dyDescent="0.25">
      <c r="C25" s="33" t="str">
        <f>IF(H25=1,"u","")</f>
        <v>u</v>
      </c>
      <c r="D25" s="11" t="s">
        <v>489</v>
      </c>
      <c r="E25" s="33"/>
      <c r="F25" t="s">
        <v>490</v>
      </c>
      <c r="G25" t="s">
        <v>25</v>
      </c>
      <c r="H25">
        <f>RANK(K25,K$23:K$43,1)</f>
        <v>1</v>
      </c>
      <c r="I25" s="4">
        <v>7380210</v>
      </c>
      <c r="J25" s="4">
        <v>12529790</v>
      </c>
      <c r="K25" s="4">
        <f>+J25+I25</f>
        <v>19910000</v>
      </c>
      <c r="L25" s="4"/>
      <c r="M25" s="22"/>
      <c r="N25" s="22"/>
      <c r="O25" s="22"/>
    </row>
    <row r="26" spans="3:15" x14ac:dyDescent="0.25">
      <c r="C26" s="33" t="str">
        <f t="shared" ref="C26:C43" si="0">IF(H26=1,"u","")</f>
        <v/>
      </c>
      <c r="D26" s="11"/>
      <c r="E26" s="33"/>
      <c r="I26" s="4"/>
      <c r="J26" s="4"/>
      <c r="K26" s="4"/>
      <c r="L26" s="4"/>
      <c r="M26" s="22"/>
      <c r="N26" s="22"/>
      <c r="O26" s="22"/>
    </row>
    <row r="27" spans="3:15" x14ac:dyDescent="0.25">
      <c r="C27" s="33" t="str">
        <f t="shared" si="0"/>
        <v/>
      </c>
      <c r="D27" s="11"/>
      <c r="E27" s="33"/>
      <c r="I27" s="4"/>
      <c r="J27" s="4"/>
      <c r="K27" s="4"/>
      <c r="L27" s="4"/>
      <c r="M27" s="22"/>
      <c r="N27" s="22"/>
      <c r="O27" s="22"/>
    </row>
    <row r="28" spans="3:15" x14ac:dyDescent="0.25">
      <c r="C28" s="33" t="str">
        <f t="shared" si="0"/>
        <v/>
      </c>
      <c r="D28" s="11"/>
      <c r="E28" s="33"/>
      <c r="I28" s="4"/>
      <c r="J28" s="4"/>
      <c r="K28" s="4"/>
      <c r="L28" s="4"/>
      <c r="M28" s="22"/>
      <c r="N28" s="22"/>
      <c r="O28" s="22"/>
    </row>
    <row r="29" spans="3:15" x14ac:dyDescent="0.25">
      <c r="C29" s="33" t="str">
        <f t="shared" si="0"/>
        <v/>
      </c>
      <c r="D29" s="11"/>
      <c r="E29" s="33"/>
      <c r="I29" s="4"/>
      <c r="J29" s="4"/>
      <c r="K29" s="4"/>
      <c r="L29" s="4"/>
      <c r="M29" s="22"/>
      <c r="N29" s="22"/>
      <c r="O29" s="22"/>
    </row>
    <row r="30" spans="3:15" x14ac:dyDescent="0.25">
      <c r="C30" s="33" t="str">
        <f t="shared" si="0"/>
        <v/>
      </c>
      <c r="D30" s="11"/>
      <c r="E30" s="33"/>
      <c r="I30" s="4"/>
      <c r="J30" s="4"/>
      <c r="K30" s="4"/>
      <c r="L30" s="4"/>
      <c r="M30" s="22"/>
      <c r="N30" s="22"/>
      <c r="O30" s="22"/>
    </row>
    <row r="31" spans="3:15" x14ac:dyDescent="0.25">
      <c r="C31" s="33" t="str">
        <f t="shared" si="0"/>
        <v/>
      </c>
      <c r="D31" s="11"/>
      <c r="E31" s="33"/>
      <c r="I31" s="4"/>
      <c r="J31" s="4"/>
      <c r="K31" s="4"/>
      <c r="L31" s="4"/>
      <c r="M31" s="22"/>
      <c r="N31" s="22"/>
      <c r="O31" s="22"/>
    </row>
    <row r="32" spans="3:15" x14ac:dyDescent="0.25">
      <c r="C32" s="33" t="str">
        <f t="shared" si="0"/>
        <v/>
      </c>
      <c r="D32" s="11"/>
      <c r="E32" s="33"/>
      <c r="I32" s="4"/>
      <c r="J32" s="4"/>
      <c r="K32" s="4"/>
      <c r="L32" s="4"/>
      <c r="M32" s="22"/>
      <c r="N32" s="22"/>
      <c r="O32" s="22"/>
    </row>
    <row r="33" spans="3:15" x14ac:dyDescent="0.25">
      <c r="C33" s="33" t="str">
        <f t="shared" si="0"/>
        <v/>
      </c>
      <c r="D33" s="11"/>
      <c r="E33" s="33"/>
      <c r="I33" s="4"/>
      <c r="J33" s="4"/>
      <c r="K33" s="4"/>
      <c r="M33" s="21"/>
      <c r="N33" s="21"/>
      <c r="O33" s="21"/>
    </row>
    <row r="34" spans="3:15" x14ac:dyDescent="0.25">
      <c r="C34" s="33" t="str">
        <f t="shared" si="0"/>
        <v/>
      </c>
      <c r="D34" s="11"/>
      <c r="E34" s="33"/>
      <c r="I34" s="4"/>
      <c r="J34" s="4"/>
      <c r="K34" s="4"/>
      <c r="M34" s="21"/>
      <c r="N34" s="21"/>
      <c r="O34" s="21"/>
    </row>
    <row r="35" spans="3:15" x14ac:dyDescent="0.25">
      <c r="C35" s="33" t="str">
        <f t="shared" si="0"/>
        <v/>
      </c>
      <c r="D35" s="11"/>
      <c r="E35" s="33"/>
      <c r="I35" s="4"/>
      <c r="J35" s="4"/>
      <c r="K35" s="4"/>
      <c r="M35" s="21"/>
      <c r="N35" s="21"/>
      <c r="O35" s="21"/>
    </row>
    <row r="36" spans="3:15" x14ac:dyDescent="0.25">
      <c r="C36" s="33" t="str">
        <f t="shared" si="0"/>
        <v/>
      </c>
      <c r="D36" s="11"/>
      <c r="E36" s="33"/>
      <c r="I36" s="4"/>
      <c r="J36" s="4"/>
      <c r="K36" s="4"/>
      <c r="M36" s="21"/>
      <c r="N36" s="21"/>
      <c r="O36" s="21"/>
    </row>
    <row r="37" spans="3:15" x14ac:dyDescent="0.25">
      <c r="C37" s="33" t="str">
        <f t="shared" si="0"/>
        <v/>
      </c>
      <c r="D37" s="11"/>
      <c r="E37" s="33"/>
      <c r="I37" s="4"/>
      <c r="J37" s="4"/>
      <c r="K37" s="4"/>
      <c r="M37" s="21"/>
      <c r="N37" s="21"/>
      <c r="O37" s="21"/>
    </row>
    <row r="38" spans="3:15" x14ac:dyDescent="0.25">
      <c r="C38" s="33" t="str">
        <f t="shared" si="0"/>
        <v/>
      </c>
      <c r="D38" s="11"/>
      <c r="E38" s="33"/>
      <c r="I38" s="4"/>
      <c r="J38" s="4"/>
      <c r="K38" s="4"/>
      <c r="M38" s="21"/>
      <c r="N38" s="21"/>
      <c r="O38" s="21"/>
    </row>
    <row r="39" spans="3:15" x14ac:dyDescent="0.25">
      <c r="C39" s="33" t="str">
        <f t="shared" si="0"/>
        <v/>
      </c>
      <c r="D39" s="11"/>
      <c r="E39" s="33" t="str">
        <f>IF(H39=1,"t","")</f>
        <v/>
      </c>
      <c r="K39" s="4"/>
      <c r="M39" s="21"/>
      <c r="N39" s="21"/>
      <c r="O39" s="21"/>
    </row>
    <row r="40" spans="3:15" x14ac:dyDescent="0.25">
      <c r="C40" s="33" t="str">
        <f t="shared" si="0"/>
        <v/>
      </c>
      <c r="D40" s="11"/>
      <c r="E40" s="33" t="str">
        <f>IF(H40=1,"t","")</f>
        <v/>
      </c>
      <c r="K40" s="4"/>
      <c r="M40" s="21"/>
      <c r="N40" s="21"/>
      <c r="O40" s="21"/>
    </row>
    <row r="41" spans="3:15" x14ac:dyDescent="0.25">
      <c r="C41" s="33" t="str">
        <f t="shared" si="0"/>
        <v/>
      </c>
      <c r="D41" s="11"/>
      <c r="E41" s="33" t="str">
        <f>IF(H41=1,"t","")</f>
        <v/>
      </c>
      <c r="K41" s="4"/>
      <c r="M41" s="21"/>
      <c r="N41" s="21"/>
      <c r="O41" s="21"/>
    </row>
    <row r="42" spans="3:15" x14ac:dyDescent="0.25">
      <c r="C42" s="33" t="str">
        <f t="shared" si="0"/>
        <v/>
      </c>
      <c r="D42" s="11"/>
      <c r="E42" s="33" t="str">
        <f>IF(H42=1,"t","")</f>
        <v/>
      </c>
      <c r="K42" s="4"/>
      <c r="M42" s="21"/>
      <c r="N42" s="21"/>
      <c r="O42" s="21"/>
    </row>
    <row r="43" spans="3:15" x14ac:dyDescent="0.25">
      <c r="C43" s="33" t="str">
        <f t="shared" si="0"/>
        <v/>
      </c>
      <c r="D43" s="11"/>
      <c r="E43" s="33" t="str">
        <f>IF(H43=1,"t","")</f>
        <v/>
      </c>
      <c r="K43" s="4"/>
      <c r="M43" s="21"/>
      <c r="N43" s="21"/>
      <c r="O43" s="21"/>
    </row>
    <row r="44" spans="3:15" ht="6" customHeight="1" x14ac:dyDescent="0.25">
      <c r="C44" s="9"/>
      <c r="D44" s="9"/>
      <c r="E44" s="9"/>
      <c r="F44" s="9"/>
      <c r="G44" s="9"/>
      <c r="H44" s="9"/>
      <c r="I44" s="9"/>
      <c r="J44" s="9"/>
      <c r="K44" s="9"/>
      <c r="L44" s="9"/>
      <c r="M44" s="21"/>
      <c r="N44" s="21"/>
      <c r="O44" s="21"/>
    </row>
    <row r="45" spans="3:15" ht="6" customHeight="1" x14ac:dyDescent="0.25">
      <c r="M45" s="21"/>
      <c r="N45" s="21"/>
      <c r="O45" s="21"/>
    </row>
    <row r="46" spans="3:15" x14ac:dyDescent="0.25">
      <c r="C46" s="15" t="s">
        <v>79</v>
      </c>
      <c r="M46" s="21"/>
      <c r="N46" s="21"/>
      <c r="O46" s="21"/>
    </row>
    <row r="47" spans="3:15" x14ac:dyDescent="0.25">
      <c r="C47" s="15" t="s">
        <v>78</v>
      </c>
    </row>
    <row r="49" spans="3:10" x14ac:dyDescent="0.25">
      <c r="C49" s="31" t="s">
        <v>948</v>
      </c>
      <c r="D49" s="31"/>
      <c r="H49" t="s">
        <v>949</v>
      </c>
      <c r="I49" t="s">
        <v>784</v>
      </c>
      <c r="J49" s="6">
        <v>42802</v>
      </c>
    </row>
    <row r="50" spans="3:10" ht="6" customHeight="1" x14ac:dyDescent="0.25"/>
    <row r="51" spans="3:10" x14ac:dyDescent="0.25">
      <c r="D51" s="93" t="s">
        <v>950</v>
      </c>
    </row>
    <row r="52" spans="3:10" x14ac:dyDescent="0.25">
      <c r="D52" s="93" t="s">
        <v>951</v>
      </c>
    </row>
    <row r="53" spans="3:10" x14ac:dyDescent="0.25">
      <c r="D53" s="93" t="s">
        <v>952</v>
      </c>
    </row>
    <row r="54" spans="3:10" x14ac:dyDescent="0.25">
      <c r="D54" s="93" t="s">
        <v>953</v>
      </c>
    </row>
    <row r="55" spans="3:10" x14ac:dyDescent="0.25">
      <c r="D55" s="93" t="s">
        <v>954</v>
      </c>
    </row>
    <row r="56" spans="3:10" x14ac:dyDescent="0.25">
      <c r="D56" s="93" t="s">
        <v>955</v>
      </c>
    </row>
  </sheetData>
  <mergeCells count="1">
    <mergeCell ref="G13:H13"/>
  </mergeCells>
  <conditionalFormatting sqref="I9">
    <cfRule type="containsText" dxfId="1512" priority="27" operator="containsText" text="FAIL">
      <formula>NOT(ISERROR(SEARCH("FAIL",I9)))</formula>
    </cfRule>
  </conditionalFormatting>
  <conditionalFormatting sqref="I9">
    <cfRule type="containsText" dxfId="1511" priority="26" operator="containsText" text="GOOD">
      <formula>NOT(ISERROR(SEARCH("GOOD",I9)))</formula>
    </cfRule>
  </conditionalFormatting>
  <conditionalFormatting sqref="I9">
    <cfRule type="containsText" dxfId="1510" priority="25" operator="containsText" text="FAIL">
      <formula>NOT(ISERROR(SEARCH("FAIL",I9)))</formula>
    </cfRule>
  </conditionalFormatting>
  <conditionalFormatting sqref="I9">
    <cfRule type="containsText" dxfId="1509" priority="24" operator="containsText" text="GOOD">
      <formula>NOT(ISERROR(SEARCH("GOOD",I9)))</formula>
    </cfRule>
  </conditionalFormatting>
  <conditionalFormatting sqref="I9">
    <cfRule type="containsText" dxfId="1508" priority="23" operator="containsText" text="FAIL">
      <formula>NOT(ISERROR(SEARCH("FAIL",I9)))</formula>
    </cfRule>
  </conditionalFormatting>
  <conditionalFormatting sqref="I9">
    <cfRule type="containsText" dxfId="1507" priority="22" operator="containsText" text="GOOD">
      <formula>NOT(ISERROR(SEARCH("GOOD",I9)))</formula>
    </cfRule>
  </conditionalFormatting>
  <conditionalFormatting sqref="F11">
    <cfRule type="containsText" dxfId="1506" priority="21" operator="containsText" text="FAIL">
      <formula>NOT(ISERROR(SEARCH("FAIL",F11)))</formula>
    </cfRule>
  </conditionalFormatting>
  <conditionalFormatting sqref="F11">
    <cfRule type="containsText" dxfId="1505" priority="20" operator="containsText" text="GOOD">
      <formula>NOT(ISERROR(SEARCH("GOOD",F11)))</formula>
    </cfRule>
  </conditionalFormatting>
  <conditionalFormatting sqref="I9">
    <cfRule type="containsText" dxfId="1504" priority="19" operator="containsText" text="FAIL">
      <formula>NOT(ISERROR(SEARCH("FAIL",I9)))</formula>
    </cfRule>
  </conditionalFormatting>
  <conditionalFormatting sqref="I9">
    <cfRule type="containsText" dxfId="1503" priority="18" operator="containsText" text="GOOD">
      <formula>NOT(ISERROR(SEARCH("GOOD",I9)))</formula>
    </cfRule>
  </conditionalFormatting>
  <conditionalFormatting sqref="F11">
    <cfRule type="containsText" dxfId="1502" priority="17" operator="containsText" text="FAIL">
      <formula>NOT(ISERROR(SEARCH("FAIL",F11)))</formula>
    </cfRule>
  </conditionalFormatting>
  <conditionalFormatting sqref="F11">
    <cfRule type="containsText" dxfId="1501" priority="16" operator="containsText" text="GOOD">
      <formula>NOT(ISERROR(SEARCH("GOOD",F11)))</formula>
    </cfRule>
  </conditionalFormatting>
  <conditionalFormatting sqref="D25">
    <cfRule type="expression" dxfId="1500" priority="15" stopIfTrue="1">
      <formula>IF($H$25=1,0)</formula>
    </cfRule>
  </conditionalFormatting>
  <conditionalFormatting sqref="D23:D33 D39:D43">
    <cfRule type="expression" dxfId="1499" priority="14">
      <formula>H23=1</formula>
    </cfRule>
  </conditionalFormatting>
  <conditionalFormatting sqref="C23:C33 C39:C43">
    <cfRule type="expression" dxfId="1498" priority="13">
      <formula>H23=1</formula>
    </cfRule>
  </conditionalFormatting>
  <conditionalFormatting sqref="E23:E33 E39:E43">
    <cfRule type="expression" dxfId="1497" priority="12">
      <formula>H23=1</formula>
    </cfRule>
  </conditionalFormatting>
  <conditionalFormatting sqref="E23:E33 E39:E43">
    <cfRule type="expression" dxfId="1496" priority="11">
      <formula>H23=1</formula>
    </cfRule>
  </conditionalFormatting>
  <conditionalFormatting sqref="F11">
    <cfRule type="containsText" dxfId="1495" priority="10" operator="containsText" text="FAIL">
      <formula>NOT(ISERROR(SEARCH("FAIL",F11)))</formula>
    </cfRule>
  </conditionalFormatting>
  <conditionalFormatting sqref="F11">
    <cfRule type="containsText" dxfId="1494" priority="9" operator="containsText" text="GOOD">
      <formula>NOT(ISERROR(SEARCH("GOOD",F11)))</formula>
    </cfRule>
  </conditionalFormatting>
  <conditionalFormatting sqref="D34:D37">
    <cfRule type="expression" dxfId="1493" priority="8">
      <formula>H34=1</formula>
    </cfRule>
  </conditionalFormatting>
  <conditionalFormatting sqref="C34:C37">
    <cfRule type="expression" dxfId="1492" priority="7">
      <formula>H34=1</formula>
    </cfRule>
  </conditionalFormatting>
  <conditionalFormatting sqref="E34:E37">
    <cfRule type="expression" dxfId="1491" priority="6">
      <formula>H34=1</formula>
    </cfRule>
  </conditionalFormatting>
  <conditionalFormatting sqref="E34:E37">
    <cfRule type="expression" dxfId="1490" priority="5">
      <formula>H34=1</formula>
    </cfRule>
  </conditionalFormatting>
  <conditionalFormatting sqref="D38">
    <cfRule type="expression" dxfId="1489" priority="4">
      <formula>H38=1</formula>
    </cfRule>
  </conditionalFormatting>
  <conditionalFormatting sqref="C38">
    <cfRule type="expression" dxfId="1488" priority="3">
      <formula>H38=1</formula>
    </cfRule>
  </conditionalFormatting>
  <conditionalFormatting sqref="E38">
    <cfRule type="expression" dxfId="1487" priority="2">
      <formula>H38=1</formula>
    </cfRule>
  </conditionalFormatting>
  <conditionalFormatting sqref="E38">
    <cfRule type="expression" dxfId="1486" priority="1">
      <formula>H38=1</formula>
    </cfRule>
  </conditionalFormatting>
  <pageMargins left="0.7" right="0.7" top="0.75" bottom="0.75" header="0.3" footer="0.3"/>
  <pageSetup scale="68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1"/>
  <dimension ref="A2:O56"/>
  <sheetViews>
    <sheetView zoomScaleNormal="100" workbookViewId="0">
      <selection activeCell="F30" sqref="F30"/>
    </sheetView>
  </sheetViews>
  <sheetFormatPr defaultRowHeight="15" x14ac:dyDescent="0.25"/>
  <cols>
    <col min="1" max="2" width="4.42578125" customWidth="1"/>
    <col min="3" max="3" width="3" customWidth="1"/>
    <col min="4" max="4" width="24.7109375" customWidth="1"/>
    <col min="5" max="5" width="3" customWidth="1"/>
    <col min="6" max="6" width="15.7109375" customWidth="1"/>
    <col min="7" max="7" width="8.5703125" customWidth="1"/>
    <col min="8" max="8" width="5.85546875" customWidth="1"/>
    <col min="9" max="15" width="15.7109375" customWidth="1"/>
  </cols>
  <sheetData>
    <row r="2" spans="1:11" x14ac:dyDescent="0.25">
      <c r="C2" s="15" t="s">
        <v>32</v>
      </c>
      <c r="E2" s="15"/>
      <c r="F2" s="15"/>
      <c r="G2" s="15" t="s">
        <v>33</v>
      </c>
      <c r="H2" s="15"/>
      <c r="I2" s="15"/>
      <c r="J2" s="15"/>
      <c r="K2" s="15"/>
    </row>
    <row r="3" spans="1:11" ht="18.75" x14ac:dyDescent="0.3">
      <c r="C3" s="3" t="s">
        <v>26</v>
      </c>
      <c r="J3" s="8" t="s">
        <v>47</v>
      </c>
    </row>
    <row r="4" spans="1:11" x14ac:dyDescent="0.25">
      <c r="D4" s="2" t="s">
        <v>0</v>
      </c>
      <c r="E4" s="1"/>
      <c r="F4" t="s">
        <v>1129</v>
      </c>
      <c r="I4" s="2" t="s">
        <v>4</v>
      </c>
      <c r="J4" t="s">
        <v>616</v>
      </c>
    </row>
    <row r="5" spans="1:11" x14ac:dyDescent="0.25">
      <c r="D5" s="2" t="s">
        <v>1</v>
      </c>
      <c r="F5" t="s">
        <v>1130</v>
      </c>
    </row>
    <row r="6" spans="1:11" x14ac:dyDescent="0.25">
      <c r="D6" s="2" t="s">
        <v>2</v>
      </c>
      <c r="F6" s="6">
        <v>43068</v>
      </c>
      <c r="H6" s="11"/>
    </row>
    <row r="7" spans="1:11" x14ac:dyDescent="0.25">
      <c r="D7" s="2" t="s">
        <v>3</v>
      </c>
      <c r="F7" s="5">
        <f>+I7+J7</f>
        <v>6600000</v>
      </c>
      <c r="G7" s="2" t="s">
        <v>34</v>
      </c>
      <c r="H7" s="11"/>
      <c r="I7" s="19">
        <v>1058460</v>
      </c>
      <c r="J7" s="19">
        <v>5541540</v>
      </c>
    </row>
    <row r="8" spans="1:11" x14ac:dyDescent="0.25">
      <c r="D8" s="2" t="s">
        <v>18</v>
      </c>
      <c r="F8" s="5">
        <f>MIN(K23:K43)</f>
        <v>5189333</v>
      </c>
      <c r="H8" s="11"/>
      <c r="I8" s="18" t="s">
        <v>43</v>
      </c>
      <c r="J8" s="18" t="s">
        <v>44</v>
      </c>
    </row>
    <row r="9" spans="1:11" x14ac:dyDescent="0.25">
      <c r="D9" s="2" t="s">
        <v>19</v>
      </c>
      <c r="F9" s="4">
        <f>+F8-F7</f>
        <v>-1410667</v>
      </c>
      <c r="G9" s="16">
        <f>+F9/F7</f>
        <v>-0.21373742424242423</v>
      </c>
      <c r="H9" s="12" t="s">
        <v>20</v>
      </c>
      <c r="I9" s="11" t="str">
        <f>(IF(G9&lt;-0.1,"FAIL",IF(G9&gt;0.05,"FAIL","GOOD")))</f>
        <v>FAIL</v>
      </c>
      <c r="J9" s="14" t="s">
        <v>72</v>
      </c>
    </row>
    <row r="10" spans="1:11" x14ac:dyDescent="0.25">
      <c r="D10" s="2" t="s">
        <v>68</v>
      </c>
      <c r="F10" s="4">
        <f>+F7-F12</f>
        <v>272882.42857142817</v>
      </c>
      <c r="H10" s="11"/>
    </row>
    <row r="11" spans="1:11" x14ac:dyDescent="0.25">
      <c r="A11" s="30"/>
      <c r="D11" s="2" t="s">
        <v>71</v>
      </c>
      <c r="F11" s="11" t="str">
        <f>(IF(F7&lt;J12,"FAIL",IF(F7&gt;J13,"FAIL","GOOD")))</f>
        <v>GOOD</v>
      </c>
      <c r="H11" s="11"/>
    </row>
    <row r="12" spans="1:11" x14ac:dyDescent="0.25">
      <c r="D12" s="2" t="s">
        <v>28</v>
      </c>
      <c r="F12" s="4">
        <f>SUM(K23:K43)/H12</f>
        <v>6327117.5714285718</v>
      </c>
      <c r="G12" s="14"/>
      <c r="H12" s="11">
        <f>COUNT(K23:K43)</f>
        <v>7</v>
      </c>
      <c r="I12" s="1" t="s">
        <v>31</v>
      </c>
      <c r="J12" s="4">
        <f>+F8*0.9</f>
        <v>4670399.7</v>
      </c>
      <c r="K12" s="1" t="s">
        <v>69</v>
      </c>
    </row>
    <row r="13" spans="1:11" x14ac:dyDescent="0.25">
      <c r="D13" s="2" t="s">
        <v>29</v>
      </c>
      <c r="F13" s="4">
        <f>MAX(K23:K43)-MIN(K23:K43)</f>
        <v>3067826</v>
      </c>
      <c r="G13" s="399">
        <f>MEDIAN(K23:K43)</f>
        <v>6426041</v>
      </c>
      <c r="H13" s="400"/>
      <c r="I13" s="1" t="s">
        <v>30</v>
      </c>
      <c r="J13" s="4">
        <f>+F12*1.1</f>
        <v>6959829.3285714295</v>
      </c>
      <c r="K13" s="1" t="s">
        <v>70</v>
      </c>
    </row>
    <row r="14" spans="1:11" x14ac:dyDescent="0.25">
      <c r="H14" s="11"/>
    </row>
    <row r="15" spans="1:11" hidden="1" x14ac:dyDescent="0.25">
      <c r="D15" s="2" t="s">
        <v>8</v>
      </c>
      <c r="F15" s="4">
        <v>30000000</v>
      </c>
      <c r="G15" s="1" t="s">
        <v>9</v>
      </c>
      <c r="H15" s="11"/>
      <c r="I15" t="s">
        <v>15</v>
      </c>
      <c r="J15" s="7">
        <f>+F16/F15</f>
        <v>0.93333333333333335</v>
      </c>
    </row>
    <row r="16" spans="1:11" hidden="1" x14ac:dyDescent="0.25">
      <c r="F16" s="4">
        <v>28000000</v>
      </c>
      <c r="G16" s="1" t="s">
        <v>10</v>
      </c>
      <c r="H16" s="11"/>
      <c r="I16" t="s">
        <v>14</v>
      </c>
      <c r="J16" s="7">
        <f>+F17/F16</f>
        <v>1.0535714285714286</v>
      </c>
    </row>
    <row r="17" spans="3:15" hidden="1" x14ac:dyDescent="0.25">
      <c r="F17" s="4">
        <v>29500000</v>
      </c>
      <c r="G17" s="1" t="s">
        <v>11</v>
      </c>
      <c r="H17" s="11"/>
      <c r="I17" t="s">
        <v>13</v>
      </c>
      <c r="J17" s="7">
        <f>+F18/F17</f>
        <v>0.22372881355932203</v>
      </c>
    </row>
    <row r="18" spans="3:15" hidden="1" x14ac:dyDescent="0.25">
      <c r="F18" s="4">
        <f>+F7</f>
        <v>6600000</v>
      </c>
      <c r="G18" s="1" t="s">
        <v>12</v>
      </c>
      <c r="H18" s="11"/>
      <c r="I18" t="s">
        <v>16</v>
      </c>
      <c r="J18" s="7">
        <f>+F8/F18</f>
        <v>0.78626257575757574</v>
      </c>
    </row>
    <row r="19" spans="3:15" hidden="1" x14ac:dyDescent="0.25">
      <c r="F19" s="2" t="s">
        <v>51</v>
      </c>
      <c r="G19">
        <v>0</v>
      </c>
      <c r="H19" s="11" t="s">
        <v>52</v>
      </c>
      <c r="I19" t="s">
        <v>41</v>
      </c>
      <c r="J19" s="7">
        <f>+F8/F15</f>
        <v>0.17297776666666667</v>
      </c>
    </row>
    <row r="20" spans="3:15" x14ac:dyDescent="0.25">
      <c r="H20" s="11"/>
      <c r="M20" s="21"/>
      <c r="N20" s="21"/>
      <c r="O20" s="21"/>
    </row>
    <row r="21" spans="3:15" x14ac:dyDescent="0.25">
      <c r="C21" s="9"/>
      <c r="D21" s="13" t="s">
        <v>21</v>
      </c>
      <c r="E21" s="9"/>
      <c r="F21" s="9" t="s">
        <v>22</v>
      </c>
      <c r="G21" s="9" t="s">
        <v>23</v>
      </c>
      <c r="H21" s="13" t="s">
        <v>27</v>
      </c>
      <c r="I21" s="10" t="s">
        <v>38</v>
      </c>
      <c r="J21" s="10" t="s">
        <v>37</v>
      </c>
      <c r="K21" s="10" t="s">
        <v>39</v>
      </c>
      <c r="L21" s="9"/>
      <c r="M21" s="21"/>
      <c r="N21" s="21"/>
      <c r="O21" s="21"/>
    </row>
    <row r="22" spans="3:15" ht="6" customHeight="1" x14ac:dyDescent="0.25">
      <c r="M22" s="21"/>
      <c r="N22" s="21"/>
      <c r="O22" s="21"/>
    </row>
    <row r="23" spans="3:15" x14ac:dyDescent="0.25">
      <c r="C23" s="33" t="str">
        <f>IF(H23=1,"u","")</f>
        <v/>
      </c>
      <c r="D23" s="11" t="s">
        <v>561</v>
      </c>
      <c r="E23" s="33"/>
      <c r="F23" t="s">
        <v>215</v>
      </c>
      <c r="G23" t="s">
        <v>25</v>
      </c>
      <c r="H23">
        <f>RANK(K23,K$23:K$43,1)</f>
        <v>5</v>
      </c>
      <c r="I23" s="4">
        <v>1084809</v>
      </c>
      <c r="J23" s="4">
        <v>5512986</v>
      </c>
      <c r="K23" s="4">
        <f t="shared" ref="K23:K29" si="0">+J23+I23</f>
        <v>6597795</v>
      </c>
      <c r="L23" s="4"/>
      <c r="M23" s="22"/>
      <c r="N23" s="22"/>
      <c r="O23" s="22"/>
    </row>
    <row r="24" spans="3:15" x14ac:dyDescent="0.25">
      <c r="C24" s="33" t="str">
        <f>IF(H24=1,"u","")</f>
        <v/>
      </c>
      <c r="D24" s="11" t="s">
        <v>979</v>
      </c>
      <c r="E24" s="33"/>
      <c r="F24" t="s">
        <v>201</v>
      </c>
      <c r="G24" t="s">
        <v>25</v>
      </c>
      <c r="H24">
        <f t="shared" ref="H24:H29" si="1">RANK(K24,K$23:K$43,1)</f>
        <v>4</v>
      </c>
      <c r="I24" s="4">
        <v>566990</v>
      </c>
      <c r="J24" s="4">
        <v>5859051</v>
      </c>
      <c r="K24" s="4">
        <f t="shared" si="0"/>
        <v>6426041</v>
      </c>
      <c r="L24" s="4"/>
      <c r="M24" s="22"/>
      <c r="N24" s="22"/>
      <c r="O24" s="22"/>
    </row>
    <row r="25" spans="3:15" x14ac:dyDescent="0.25">
      <c r="C25" s="33" t="str">
        <f>IF(H25=1,"u","")</f>
        <v/>
      </c>
      <c r="D25" s="11" t="s">
        <v>1132</v>
      </c>
      <c r="E25" s="33"/>
      <c r="F25" t="s">
        <v>302</v>
      </c>
      <c r="G25" t="s">
        <v>25</v>
      </c>
      <c r="H25">
        <f t="shared" si="1"/>
        <v>7</v>
      </c>
      <c r="I25" s="4">
        <v>971535</v>
      </c>
      <c r="J25" s="4">
        <v>7285624</v>
      </c>
      <c r="K25" s="4">
        <f t="shared" si="0"/>
        <v>8257159</v>
      </c>
      <c r="L25" s="4"/>
      <c r="M25" s="22"/>
      <c r="N25" s="22"/>
      <c r="O25" s="22"/>
    </row>
    <row r="26" spans="3:15" x14ac:dyDescent="0.25">
      <c r="C26" s="33" t="str">
        <f t="shared" ref="C26:C43" si="2">IF(H26=1,"u","")</f>
        <v>u</v>
      </c>
      <c r="D26" s="11" t="s">
        <v>1131</v>
      </c>
      <c r="E26" s="33"/>
      <c r="F26" t="s">
        <v>749</v>
      </c>
      <c r="G26" t="s">
        <v>25</v>
      </c>
      <c r="H26">
        <f t="shared" si="1"/>
        <v>1</v>
      </c>
      <c r="I26" s="4">
        <v>473945</v>
      </c>
      <c r="J26" s="4">
        <v>4715388</v>
      </c>
      <c r="K26" s="4">
        <f t="shared" si="0"/>
        <v>5189333</v>
      </c>
      <c r="L26" s="4"/>
      <c r="M26" s="22"/>
      <c r="N26" s="22"/>
      <c r="O26" s="22"/>
    </row>
    <row r="27" spans="3:15" x14ac:dyDescent="0.25">
      <c r="C27" s="33" t="str">
        <f t="shared" si="2"/>
        <v/>
      </c>
      <c r="D27" s="11" t="s">
        <v>676</v>
      </c>
      <c r="E27" s="33"/>
      <c r="F27" t="s">
        <v>85</v>
      </c>
      <c r="G27" t="s">
        <v>25</v>
      </c>
      <c r="H27">
        <f t="shared" si="1"/>
        <v>6</v>
      </c>
      <c r="I27" s="4">
        <v>1220975</v>
      </c>
      <c r="J27" s="4">
        <v>5425441</v>
      </c>
      <c r="K27" s="4">
        <f t="shared" si="0"/>
        <v>6646416</v>
      </c>
      <c r="L27" s="4"/>
      <c r="M27" s="22"/>
      <c r="N27" s="22"/>
      <c r="O27" s="22"/>
    </row>
    <row r="28" spans="3:15" x14ac:dyDescent="0.25">
      <c r="C28" s="33" t="str">
        <f t="shared" si="2"/>
        <v/>
      </c>
      <c r="D28" s="11" t="s">
        <v>908</v>
      </c>
      <c r="E28" s="33"/>
      <c r="F28" t="s">
        <v>131</v>
      </c>
      <c r="G28" t="s">
        <v>25</v>
      </c>
      <c r="H28">
        <f t="shared" si="1"/>
        <v>2</v>
      </c>
      <c r="I28" s="4">
        <v>789190</v>
      </c>
      <c r="J28" s="4">
        <v>4723496</v>
      </c>
      <c r="K28" s="4">
        <f t="shared" si="0"/>
        <v>5512686</v>
      </c>
      <c r="L28" s="4"/>
      <c r="M28" s="22"/>
      <c r="N28" s="22"/>
      <c r="O28" s="22"/>
    </row>
    <row r="29" spans="3:15" x14ac:dyDescent="0.25">
      <c r="C29" s="33" t="str">
        <f t="shared" si="2"/>
        <v/>
      </c>
      <c r="D29" s="11" t="s">
        <v>1133</v>
      </c>
      <c r="E29" s="33"/>
      <c r="F29" t="s">
        <v>1134</v>
      </c>
      <c r="G29" t="s">
        <v>25</v>
      </c>
      <c r="H29">
        <f t="shared" si="1"/>
        <v>3</v>
      </c>
      <c r="I29" s="4">
        <v>1164332</v>
      </c>
      <c r="J29" s="4">
        <v>4496061</v>
      </c>
      <c r="K29" s="4">
        <f t="shared" si="0"/>
        <v>5660393</v>
      </c>
      <c r="L29" s="4"/>
      <c r="M29" s="22"/>
      <c r="N29" s="22"/>
      <c r="O29" s="22"/>
    </row>
    <row r="30" spans="3:15" x14ac:dyDescent="0.25">
      <c r="C30" s="33"/>
      <c r="D30" s="11"/>
      <c r="E30" s="33"/>
      <c r="I30" s="4"/>
      <c r="J30" s="4"/>
      <c r="K30" s="4"/>
      <c r="L30" s="4"/>
      <c r="M30" s="22"/>
      <c r="N30" s="22"/>
      <c r="O30" s="22"/>
    </row>
    <row r="31" spans="3:15" x14ac:dyDescent="0.25">
      <c r="C31" s="33" t="str">
        <f t="shared" si="2"/>
        <v/>
      </c>
      <c r="D31" s="11"/>
      <c r="E31" s="33"/>
      <c r="I31" s="4"/>
      <c r="J31" s="4"/>
      <c r="K31" s="4"/>
      <c r="L31" s="4"/>
      <c r="M31" s="22"/>
      <c r="N31" s="22"/>
      <c r="O31" s="22"/>
    </row>
    <row r="32" spans="3:15" x14ac:dyDescent="0.25">
      <c r="C32" s="33" t="str">
        <f t="shared" si="2"/>
        <v/>
      </c>
      <c r="D32" s="11"/>
      <c r="E32" s="33"/>
      <c r="I32" s="4"/>
      <c r="J32" s="4"/>
      <c r="K32" s="4"/>
      <c r="L32" s="4"/>
      <c r="M32" s="22"/>
      <c r="N32" s="22"/>
      <c r="O32" s="22"/>
    </row>
    <row r="33" spans="3:15" x14ac:dyDescent="0.25">
      <c r="C33" s="33" t="str">
        <f t="shared" si="2"/>
        <v/>
      </c>
      <c r="D33" s="11"/>
      <c r="E33" s="33"/>
      <c r="I33" s="4"/>
      <c r="J33" s="4"/>
      <c r="K33" s="4"/>
      <c r="M33" s="21"/>
      <c r="N33" s="21"/>
      <c r="O33" s="21"/>
    </row>
    <row r="34" spans="3:15" x14ac:dyDescent="0.25">
      <c r="C34" s="33" t="str">
        <f t="shared" si="2"/>
        <v/>
      </c>
      <c r="D34" s="11"/>
      <c r="E34" s="33"/>
      <c r="I34" s="4"/>
      <c r="J34" s="4"/>
      <c r="K34" s="4"/>
      <c r="M34" s="21"/>
      <c r="N34" s="21"/>
      <c r="O34" s="21"/>
    </row>
    <row r="35" spans="3:15" x14ac:dyDescent="0.25">
      <c r="C35" s="33" t="str">
        <f t="shared" si="2"/>
        <v/>
      </c>
      <c r="D35" s="11"/>
      <c r="E35" s="33"/>
      <c r="I35" s="4"/>
      <c r="J35" s="4"/>
      <c r="K35" s="4"/>
      <c r="M35" s="21"/>
      <c r="N35" s="21"/>
      <c r="O35" s="21"/>
    </row>
    <row r="36" spans="3:15" x14ac:dyDescent="0.25">
      <c r="C36" s="33" t="str">
        <f t="shared" si="2"/>
        <v/>
      </c>
      <c r="D36" s="11"/>
      <c r="E36" s="33"/>
      <c r="I36" s="4"/>
      <c r="J36" s="4"/>
      <c r="K36" s="4"/>
      <c r="M36" s="21"/>
      <c r="N36" s="21"/>
      <c r="O36" s="21"/>
    </row>
    <row r="37" spans="3:15" x14ac:dyDescent="0.25">
      <c r="C37" s="33" t="str">
        <f t="shared" si="2"/>
        <v/>
      </c>
      <c r="D37" s="11"/>
      <c r="E37" s="33"/>
      <c r="I37" s="4"/>
      <c r="J37" s="4"/>
      <c r="K37" s="4"/>
      <c r="M37" s="21"/>
      <c r="N37" s="21"/>
      <c r="O37" s="21"/>
    </row>
    <row r="38" spans="3:15" x14ac:dyDescent="0.25">
      <c r="C38" s="33" t="str">
        <f t="shared" si="2"/>
        <v/>
      </c>
      <c r="D38" s="11"/>
      <c r="E38" s="33"/>
      <c r="I38" s="4"/>
      <c r="J38" s="4"/>
      <c r="K38" s="4"/>
      <c r="M38" s="21"/>
      <c r="N38" s="21"/>
      <c r="O38" s="21"/>
    </row>
    <row r="39" spans="3:15" x14ac:dyDescent="0.25">
      <c r="C39" s="33" t="str">
        <f t="shared" si="2"/>
        <v/>
      </c>
      <c r="D39" s="11"/>
      <c r="E39" s="33" t="str">
        <f>IF(H39=1,"t","")</f>
        <v/>
      </c>
      <c r="K39" s="4"/>
      <c r="M39" s="21"/>
      <c r="N39" s="21"/>
      <c r="O39" s="21"/>
    </row>
    <row r="40" spans="3:15" x14ac:dyDescent="0.25">
      <c r="C40" s="33" t="str">
        <f t="shared" si="2"/>
        <v/>
      </c>
      <c r="D40" s="11"/>
      <c r="E40" s="33" t="str">
        <f>IF(H40=1,"t","")</f>
        <v/>
      </c>
      <c r="K40" s="4"/>
      <c r="M40" s="21"/>
      <c r="N40" s="21"/>
      <c r="O40" s="21"/>
    </row>
    <row r="41" spans="3:15" x14ac:dyDescent="0.25">
      <c r="C41" s="33" t="str">
        <f t="shared" si="2"/>
        <v/>
      </c>
      <c r="D41" s="11"/>
      <c r="E41" s="33" t="str">
        <f>IF(H41=1,"t","")</f>
        <v/>
      </c>
      <c r="K41" s="4"/>
      <c r="M41" s="21"/>
      <c r="N41" s="21"/>
      <c r="O41" s="21"/>
    </row>
    <row r="42" spans="3:15" x14ac:dyDescent="0.25">
      <c r="C42" s="33" t="str">
        <f t="shared" si="2"/>
        <v/>
      </c>
      <c r="D42" s="11"/>
      <c r="E42" s="33" t="str">
        <f>IF(H42=1,"t","")</f>
        <v/>
      </c>
      <c r="K42" s="4"/>
      <c r="M42" s="21"/>
      <c r="N42" s="21"/>
      <c r="O42" s="21"/>
    </row>
    <row r="43" spans="3:15" x14ac:dyDescent="0.25">
      <c r="C43" s="33" t="str">
        <f t="shared" si="2"/>
        <v/>
      </c>
      <c r="D43" s="11"/>
      <c r="E43" s="33" t="str">
        <f>IF(H43=1,"t","")</f>
        <v/>
      </c>
      <c r="K43" s="4"/>
      <c r="M43" s="21"/>
      <c r="N43" s="21"/>
      <c r="O43" s="21"/>
    </row>
    <row r="44" spans="3:15" ht="6" customHeight="1" x14ac:dyDescent="0.25">
      <c r="C44" s="9"/>
      <c r="D44" s="9"/>
      <c r="E44" s="9"/>
      <c r="F44" s="9"/>
      <c r="G44" s="9"/>
      <c r="H44" s="9"/>
      <c r="I44" s="9"/>
      <c r="J44" s="9"/>
      <c r="K44" s="9"/>
      <c r="L44" s="9"/>
      <c r="M44" s="21"/>
      <c r="N44" s="21"/>
      <c r="O44" s="21"/>
    </row>
    <row r="45" spans="3:15" ht="6" customHeight="1" x14ac:dyDescent="0.25">
      <c r="M45" s="21"/>
      <c r="N45" s="21"/>
      <c r="O45" s="21"/>
    </row>
    <row r="46" spans="3:15" x14ac:dyDescent="0.25">
      <c r="C46" s="15" t="s">
        <v>79</v>
      </c>
      <c r="M46" s="21"/>
      <c r="N46" s="21"/>
      <c r="O46" s="21"/>
    </row>
    <row r="47" spans="3:15" x14ac:dyDescent="0.25">
      <c r="C47" s="15" t="s">
        <v>78</v>
      </c>
    </row>
    <row r="49" spans="3:10" x14ac:dyDescent="0.25">
      <c r="C49" s="31" t="s">
        <v>948</v>
      </c>
      <c r="D49" s="31"/>
      <c r="H49" t="s">
        <v>949</v>
      </c>
      <c r="I49" t="s">
        <v>784</v>
      </c>
      <c r="J49" s="6">
        <v>42802</v>
      </c>
    </row>
    <row r="50" spans="3:10" ht="6" customHeight="1" x14ac:dyDescent="0.25"/>
    <row r="51" spans="3:10" x14ac:dyDescent="0.25">
      <c r="D51" s="93" t="s">
        <v>950</v>
      </c>
    </row>
    <row r="52" spans="3:10" x14ac:dyDescent="0.25">
      <c r="D52" s="93" t="s">
        <v>951</v>
      </c>
    </row>
    <row r="53" spans="3:10" x14ac:dyDescent="0.25">
      <c r="D53" s="93" t="s">
        <v>952</v>
      </c>
    </row>
    <row r="54" spans="3:10" x14ac:dyDescent="0.25">
      <c r="D54" s="93" t="s">
        <v>953</v>
      </c>
    </row>
    <row r="55" spans="3:10" x14ac:dyDescent="0.25">
      <c r="D55" s="93" t="s">
        <v>954</v>
      </c>
    </row>
    <row r="56" spans="3:10" x14ac:dyDescent="0.25">
      <c r="D56" s="93" t="s">
        <v>955</v>
      </c>
    </row>
  </sheetData>
  <mergeCells count="1">
    <mergeCell ref="G13:H13"/>
  </mergeCells>
  <conditionalFormatting sqref="I9">
    <cfRule type="containsText" dxfId="2337" priority="32" operator="containsText" text="FAIL">
      <formula>NOT(ISERROR(SEARCH("FAIL",I9)))</formula>
    </cfRule>
  </conditionalFormatting>
  <conditionalFormatting sqref="I9">
    <cfRule type="containsText" dxfId="2336" priority="31" operator="containsText" text="GOOD">
      <formula>NOT(ISERROR(SEARCH("GOOD",I9)))</formula>
    </cfRule>
  </conditionalFormatting>
  <conditionalFormatting sqref="I9">
    <cfRule type="containsText" dxfId="2335" priority="30" operator="containsText" text="FAIL">
      <formula>NOT(ISERROR(SEARCH("FAIL",I9)))</formula>
    </cfRule>
  </conditionalFormatting>
  <conditionalFormatting sqref="I9">
    <cfRule type="containsText" dxfId="2334" priority="29" operator="containsText" text="GOOD">
      <formula>NOT(ISERROR(SEARCH("GOOD",I9)))</formula>
    </cfRule>
  </conditionalFormatting>
  <conditionalFormatting sqref="I9">
    <cfRule type="containsText" dxfId="2333" priority="28" operator="containsText" text="FAIL">
      <formula>NOT(ISERROR(SEARCH("FAIL",I9)))</formula>
    </cfRule>
  </conditionalFormatting>
  <conditionalFormatting sqref="I9">
    <cfRule type="containsText" dxfId="2332" priority="27" operator="containsText" text="GOOD">
      <formula>NOT(ISERROR(SEARCH("GOOD",I9)))</formula>
    </cfRule>
  </conditionalFormatting>
  <conditionalFormatting sqref="F11">
    <cfRule type="containsText" dxfId="2331" priority="26" operator="containsText" text="FAIL">
      <formula>NOT(ISERROR(SEARCH("FAIL",F11)))</formula>
    </cfRule>
  </conditionalFormatting>
  <conditionalFormatting sqref="F11">
    <cfRule type="containsText" dxfId="2330" priority="25" operator="containsText" text="GOOD">
      <formula>NOT(ISERROR(SEARCH("GOOD",F11)))</formula>
    </cfRule>
  </conditionalFormatting>
  <conditionalFormatting sqref="I9">
    <cfRule type="containsText" dxfId="2329" priority="24" operator="containsText" text="FAIL">
      <formula>NOT(ISERROR(SEARCH("FAIL",I9)))</formula>
    </cfRule>
  </conditionalFormatting>
  <conditionalFormatting sqref="I9">
    <cfRule type="containsText" dxfId="2328" priority="23" operator="containsText" text="GOOD">
      <formula>NOT(ISERROR(SEARCH("GOOD",I9)))</formula>
    </cfRule>
  </conditionalFormatting>
  <conditionalFormatting sqref="F11">
    <cfRule type="containsText" dxfId="2327" priority="22" operator="containsText" text="FAIL">
      <formula>NOT(ISERROR(SEARCH("FAIL",F11)))</formula>
    </cfRule>
  </conditionalFormatting>
  <conditionalFormatting sqref="F11">
    <cfRule type="containsText" dxfId="2326" priority="21" operator="containsText" text="GOOD">
      <formula>NOT(ISERROR(SEARCH("GOOD",F11)))</formula>
    </cfRule>
  </conditionalFormatting>
  <conditionalFormatting sqref="D25">
    <cfRule type="expression" dxfId="2325" priority="20" stopIfTrue="1">
      <formula>IF($H$25=1,0)</formula>
    </cfRule>
  </conditionalFormatting>
  <conditionalFormatting sqref="D23 D39:D43 D25:D33">
    <cfRule type="expression" dxfId="2324" priority="19">
      <formula>H23=1</formula>
    </cfRule>
  </conditionalFormatting>
  <conditionalFormatting sqref="C23 C39:C43 C25:C33">
    <cfRule type="expression" dxfId="2323" priority="18">
      <formula>H23=1</formula>
    </cfRule>
  </conditionalFormatting>
  <conditionalFormatting sqref="E23 E39:E43 E25:E33">
    <cfRule type="expression" dxfId="2322" priority="17">
      <formula>H23=1</formula>
    </cfRule>
  </conditionalFormatting>
  <conditionalFormatting sqref="E23 E39:E43 E25:E33">
    <cfRule type="expression" dxfId="2321" priority="16">
      <formula>H23=1</formula>
    </cfRule>
  </conditionalFormatting>
  <conditionalFormatting sqref="F11">
    <cfRule type="containsText" dxfId="2320" priority="15" operator="containsText" text="FAIL">
      <formula>NOT(ISERROR(SEARCH("FAIL",F11)))</formula>
    </cfRule>
  </conditionalFormatting>
  <conditionalFormatting sqref="F11">
    <cfRule type="containsText" dxfId="2319" priority="14" operator="containsText" text="GOOD">
      <formula>NOT(ISERROR(SEARCH("GOOD",F11)))</formula>
    </cfRule>
  </conditionalFormatting>
  <conditionalFormatting sqref="D34:D37">
    <cfRule type="expression" dxfId="2318" priority="13">
      <formula>H34=1</formula>
    </cfRule>
  </conditionalFormatting>
  <conditionalFormatting sqref="C34:C37">
    <cfRule type="expression" dxfId="2317" priority="12">
      <formula>H34=1</formula>
    </cfRule>
  </conditionalFormatting>
  <conditionalFormatting sqref="E34:E37">
    <cfRule type="expression" dxfId="2316" priority="11">
      <formula>H34=1</formula>
    </cfRule>
  </conditionalFormatting>
  <conditionalFormatting sqref="E34:E37">
    <cfRule type="expression" dxfId="2315" priority="10">
      <formula>H34=1</formula>
    </cfRule>
  </conditionalFormatting>
  <conditionalFormatting sqref="D38">
    <cfRule type="expression" dxfId="2314" priority="9">
      <formula>H38=1</formula>
    </cfRule>
  </conditionalFormatting>
  <conditionalFormatting sqref="C38">
    <cfRule type="expression" dxfId="2313" priority="8">
      <formula>H38=1</formula>
    </cfRule>
  </conditionalFormatting>
  <conditionalFormatting sqref="E38">
    <cfRule type="expression" dxfId="2312" priority="7">
      <formula>H38=1</formula>
    </cfRule>
  </conditionalFormatting>
  <conditionalFormatting sqref="E38">
    <cfRule type="expression" dxfId="2311" priority="6">
      <formula>H38=1</formula>
    </cfRule>
  </conditionalFormatting>
  <conditionalFormatting sqref="E24">
    <cfRule type="expression" dxfId="2310" priority="1">
      <formula>H24=1</formula>
    </cfRule>
  </conditionalFormatting>
  <conditionalFormatting sqref="D24">
    <cfRule type="expression" dxfId="2309" priority="5" stopIfTrue="1">
      <formula>IF($H$25=1,0)</formula>
    </cfRule>
  </conditionalFormatting>
  <conditionalFormatting sqref="D24">
    <cfRule type="expression" dxfId="2308" priority="4">
      <formula>H24=1</formula>
    </cfRule>
  </conditionalFormatting>
  <conditionalFormatting sqref="C24">
    <cfRule type="expression" dxfId="2307" priority="3">
      <formula>H24=1</formula>
    </cfRule>
  </conditionalFormatting>
  <conditionalFormatting sqref="E24">
    <cfRule type="expression" dxfId="2306" priority="2">
      <formula>H24=1</formula>
    </cfRule>
  </conditionalFormatting>
  <pageMargins left="0.7" right="0.7" top="0.75" bottom="0.75" header="0.3" footer="0.3"/>
  <pageSetup scale="68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100-000000000000}">
  <sheetPr codeName="Sheet147"/>
  <dimension ref="A2:O47"/>
  <sheetViews>
    <sheetView workbookViewId="0">
      <selection activeCell="I34" sqref="I34"/>
    </sheetView>
  </sheetViews>
  <sheetFormatPr defaultRowHeight="15" x14ac:dyDescent="0.25"/>
  <cols>
    <col min="1" max="2" width="4.42578125" customWidth="1"/>
    <col min="3" max="3" width="3" customWidth="1"/>
    <col min="4" max="4" width="24.85546875" customWidth="1"/>
    <col min="5" max="5" width="3" customWidth="1"/>
    <col min="6" max="6" width="15.7109375" customWidth="1"/>
    <col min="7" max="7" width="8.5703125" customWidth="1"/>
    <col min="8" max="8" width="5.85546875" customWidth="1"/>
    <col min="9" max="15" width="15.7109375" customWidth="1"/>
  </cols>
  <sheetData>
    <row r="2" spans="1:11" x14ac:dyDescent="0.25">
      <c r="C2" s="15" t="s">
        <v>32</v>
      </c>
      <c r="E2" s="15"/>
      <c r="F2" s="15"/>
      <c r="G2" s="15" t="s">
        <v>33</v>
      </c>
      <c r="H2" s="15"/>
      <c r="I2" s="15"/>
      <c r="J2" s="15"/>
      <c r="K2" s="15"/>
    </row>
    <row r="3" spans="1:11" ht="18.75" x14ac:dyDescent="0.3">
      <c r="C3" s="3" t="s">
        <v>26</v>
      </c>
      <c r="J3" s="8" t="s">
        <v>17</v>
      </c>
    </row>
    <row r="4" spans="1:11" x14ac:dyDescent="0.25">
      <c r="D4" s="2" t="s">
        <v>0</v>
      </c>
      <c r="E4" s="1"/>
      <c r="F4" t="s">
        <v>241</v>
      </c>
      <c r="I4" s="2" t="s">
        <v>4</v>
      </c>
    </row>
    <row r="5" spans="1:11" x14ac:dyDescent="0.25">
      <c r="D5" s="2" t="s">
        <v>1</v>
      </c>
      <c r="F5" t="s">
        <v>242</v>
      </c>
    </row>
    <row r="6" spans="1:11" x14ac:dyDescent="0.25">
      <c r="D6" s="2" t="s">
        <v>2</v>
      </c>
      <c r="F6" s="6">
        <v>42213</v>
      </c>
      <c r="H6" s="11"/>
    </row>
    <row r="7" spans="1:11" x14ac:dyDescent="0.25">
      <c r="D7" s="2" t="s">
        <v>3</v>
      </c>
      <c r="F7" s="5">
        <v>1918000</v>
      </c>
      <c r="G7" s="2" t="s">
        <v>34</v>
      </c>
      <c r="H7" s="11"/>
    </row>
    <row r="8" spans="1:11" x14ac:dyDescent="0.25">
      <c r="D8" s="2" t="s">
        <v>18</v>
      </c>
      <c r="F8" s="5">
        <f>MIN(I23:I43)</f>
        <v>1389000</v>
      </c>
      <c r="H8" s="11"/>
    </row>
    <row r="9" spans="1:11" x14ac:dyDescent="0.25">
      <c r="D9" s="2" t="s">
        <v>67</v>
      </c>
      <c r="F9" s="4">
        <f>+F8-F7</f>
        <v>-529000</v>
      </c>
      <c r="G9" s="16">
        <f>+F9/F7</f>
        <v>-0.27580813347236705</v>
      </c>
      <c r="H9" s="12" t="s">
        <v>20</v>
      </c>
      <c r="I9" s="11" t="str">
        <f>(IF(G9&lt;-0.1,"FAIL",IF(G9&gt;0.05,"FAIL","GOOD")))</f>
        <v>FAIL</v>
      </c>
      <c r="J9" s="14" t="s">
        <v>72</v>
      </c>
    </row>
    <row r="10" spans="1:11" x14ac:dyDescent="0.25">
      <c r="D10" s="2" t="s">
        <v>68</v>
      </c>
      <c r="F10" s="4">
        <f>+F7-F12</f>
        <v>-480929.47416666662</v>
      </c>
      <c r="H10" s="11"/>
    </row>
    <row r="11" spans="1:11" x14ac:dyDescent="0.25">
      <c r="A11" s="30"/>
      <c r="D11" s="2" t="s">
        <v>71</v>
      </c>
      <c r="F11" s="11" t="str">
        <f>(IF(F7&lt;J12,"FAIL",IF(F7&gt;J13,"FAIL","GOOD")))</f>
        <v>GOOD</v>
      </c>
      <c r="H11" s="11"/>
    </row>
    <row r="12" spans="1:11" x14ac:dyDescent="0.25">
      <c r="D12" s="2" t="s">
        <v>28</v>
      </c>
      <c r="F12" s="4">
        <f>SUM(I23:I43)/H12</f>
        <v>2398929.4741666666</v>
      </c>
      <c r="G12" s="14"/>
      <c r="H12" s="11">
        <f>COUNT(I23:I43)</f>
        <v>12</v>
      </c>
      <c r="I12" s="1" t="s">
        <v>31</v>
      </c>
      <c r="J12" s="4">
        <f>+F8*0.9</f>
        <v>1250100</v>
      </c>
      <c r="K12" s="1" t="s">
        <v>69</v>
      </c>
    </row>
    <row r="13" spans="1:11" x14ac:dyDescent="0.25">
      <c r="D13" s="2" t="s">
        <v>29</v>
      </c>
      <c r="F13" s="4">
        <f>MAX(I23:I43)-MIN(I23:I43)</f>
        <v>2211054</v>
      </c>
      <c r="G13" s="399">
        <f>MEDIAN(I23:I43)</f>
        <v>2432187.5</v>
      </c>
      <c r="H13" s="400"/>
      <c r="I13" s="1" t="s">
        <v>30</v>
      </c>
      <c r="J13" s="4">
        <f>+F12*1.1</f>
        <v>2638822.4215833335</v>
      </c>
      <c r="K13" s="1" t="s">
        <v>70</v>
      </c>
    </row>
    <row r="14" spans="1:11" x14ac:dyDescent="0.25">
      <c r="H14" s="11"/>
    </row>
    <row r="15" spans="1:11" x14ac:dyDescent="0.25">
      <c r="D15" s="2" t="s">
        <v>8</v>
      </c>
      <c r="F15" s="4"/>
      <c r="G15" s="1" t="s">
        <v>9</v>
      </c>
      <c r="H15" s="11"/>
      <c r="I15" t="s">
        <v>15</v>
      </c>
      <c r="J15" s="7" t="e">
        <f>+F16/F15</f>
        <v>#DIV/0!</v>
      </c>
    </row>
    <row r="16" spans="1:11" x14ac:dyDescent="0.25">
      <c r="F16" s="4"/>
      <c r="G16" s="1" t="s">
        <v>10</v>
      </c>
      <c r="H16" s="11"/>
      <c r="I16" t="s">
        <v>14</v>
      </c>
      <c r="J16" s="7" t="e">
        <f>+F17/F16</f>
        <v>#DIV/0!</v>
      </c>
    </row>
    <row r="17" spans="3:15" x14ac:dyDescent="0.25">
      <c r="F17" s="4"/>
      <c r="G17" s="1" t="s">
        <v>11</v>
      </c>
      <c r="H17" s="11"/>
      <c r="I17" t="s">
        <v>13</v>
      </c>
      <c r="J17" s="7" t="e">
        <f>+F18/F17</f>
        <v>#DIV/0!</v>
      </c>
      <c r="M17" s="21"/>
      <c r="N17" s="21"/>
      <c r="O17" s="21"/>
    </row>
    <row r="18" spans="3:15" x14ac:dyDescent="0.25">
      <c r="F18" s="4"/>
      <c r="G18" s="1" t="s">
        <v>12</v>
      </c>
      <c r="H18" s="11"/>
      <c r="I18" t="s">
        <v>16</v>
      </c>
      <c r="J18" s="7" t="e">
        <f>+F8/F18</f>
        <v>#DIV/0!</v>
      </c>
      <c r="M18" s="21"/>
      <c r="N18" s="21"/>
      <c r="O18" s="21"/>
    </row>
    <row r="19" spans="3:15" x14ac:dyDescent="0.25">
      <c r="F19" s="2" t="s">
        <v>51</v>
      </c>
      <c r="G19">
        <v>0</v>
      </c>
      <c r="H19" s="11" t="s">
        <v>52</v>
      </c>
      <c r="I19" t="s">
        <v>41</v>
      </c>
      <c r="J19" s="7" t="e">
        <f>+F8/F15</f>
        <v>#DIV/0!</v>
      </c>
      <c r="M19" s="21"/>
      <c r="N19" s="21"/>
      <c r="O19" s="21"/>
    </row>
    <row r="20" spans="3:15" x14ac:dyDescent="0.25">
      <c r="H20" s="11"/>
      <c r="M20" s="21"/>
      <c r="N20" s="21"/>
      <c r="O20" s="21"/>
    </row>
    <row r="21" spans="3:15" x14ac:dyDescent="0.25">
      <c r="C21" s="9"/>
      <c r="D21" s="13" t="s">
        <v>21</v>
      </c>
      <c r="E21" s="9"/>
      <c r="F21" s="9" t="s">
        <v>22</v>
      </c>
      <c r="G21" s="9" t="s">
        <v>23</v>
      </c>
      <c r="H21" s="13" t="s">
        <v>27</v>
      </c>
      <c r="I21" s="10" t="s">
        <v>24</v>
      </c>
      <c r="J21" s="9"/>
      <c r="K21" s="9"/>
      <c r="L21" s="9"/>
      <c r="M21" s="21"/>
      <c r="N21" s="21"/>
      <c r="O21" s="21"/>
    </row>
    <row r="22" spans="3:15" ht="6" customHeight="1" x14ac:dyDescent="0.25">
      <c r="M22" s="21"/>
      <c r="N22" s="21"/>
      <c r="O22" s="21"/>
    </row>
    <row r="23" spans="3:15" x14ac:dyDescent="0.25">
      <c r="C23" s="33" t="str">
        <f>IF(H23=1,"u","")</f>
        <v>u</v>
      </c>
      <c r="D23" s="23" t="s">
        <v>243</v>
      </c>
      <c r="E23" s="33"/>
      <c r="F23" t="s">
        <v>244</v>
      </c>
      <c r="G23" t="s">
        <v>25</v>
      </c>
      <c r="H23">
        <f>RANK(I23,I$23:I$43,1)</f>
        <v>1</v>
      </c>
      <c r="I23" s="4">
        <v>1389000</v>
      </c>
      <c r="J23" s="4"/>
      <c r="K23" s="4"/>
      <c r="L23" s="4"/>
      <c r="M23" s="22"/>
      <c r="N23" s="22"/>
      <c r="O23" s="22"/>
    </row>
    <row r="24" spans="3:15" x14ac:dyDescent="0.25">
      <c r="C24" s="33" t="str">
        <f>IF(H24=1,"u","")</f>
        <v/>
      </c>
      <c r="D24" s="23" t="s">
        <v>245</v>
      </c>
      <c r="E24" s="33"/>
      <c r="F24" t="s">
        <v>246</v>
      </c>
      <c r="G24" t="s">
        <v>25</v>
      </c>
      <c r="H24">
        <f t="shared" ref="H24:H34" si="0">RANK(I24,I$23:I$43,1)</f>
        <v>2</v>
      </c>
      <c r="I24" s="4">
        <v>1737000</v>
      </c>
      <c r="J24" s="4"/>
      <c r="K24" s="4"/>
      <c r="L24" s="4"/>
      <c r="M24" s="22"/>
      <c r="N24" s="22"/>
      <c r="O24" s="22"/>
    </row>
    <row r="25" spans="3:15" x14ac:dyDescent="0.25">
      <c r="C25" s="33" t="str">
        <f>IF(H25=1,"u","")</f>
        <v/>
      </c>
      <c r="D25" s="23" t="s">
        <v>247</v>
      </c>
      <c r="E25" s="33"/>
      <c r="F25" t="s">
        <v>208</v>
      </c>
      <c r="G25" t="s">
        <v>93</v>
      </c>
      <c r="H25">
        <f t="shared" si="0"/>
        <v>3</v>
      </c>
      <c r="I25" s="4">
        <v>1798900</v>
      </c>
      <c r="J25" s="4"/>
      <c r="K25" s="4"/>
      <c r="L25" s="4"/>
      <c r="M25" s="22"/>
      <c r="N25" s="22"/>
      <c r="O25" s="22"/>
    </row>
    <row r="26" spans="3:15" x14ac:dyDescent="0.25">
      <c r="C26" s="33" t="str">
        <f t="shared" ref="C26:C43" si="1">IF(H26=1,"u","")</f>
        <v/>
      </c>
      <c r="D26" s="23" t="s">
        <v>248</v>
      </c>
      <c r="E26" s="33"/>
      <c r="F26" t="s">
        <v>249</v>
      </c>
      <c r="G26" t="s">
        <v>25</v>
      </c>
      <c r="H26">
        <f t="shared" si="0"/>
        <v>4</v>
      </c>
      <c r="I26" s="4">
        <v>1991110</v>
      </c>
      <c r="J26" s="4"/>
      <c r="K26" s="4"/>
      <c r="L26" s="4"/>
      <c r="M26" s="22"/>
      <c r="N26" s="22"/>
      <c r="O26" s="22"/>
    </row>
    <row r="27" spans="3:15" x14ac:dyDescent="0.25">
      <c r="C27" s="33" t="str">
        <f t="shared" si="1"/>
        <v/>
      </c>
      <c r="D27" s="23" t="s">
        <v>250</v>
      </c>
      <c r="E27" s="33" t="str">
        <f t="shared" ref="E27:E43" si="2">IF(H27=1,"t","")</f>
        <v/>
      </c>
      <c r="F27" t="s">
        <v>251</v>
      </c>
      <c r="G27" t="s">
        <v>25</v>
      </c>
      <c r="H27">
        <f t="shared" si="0"/>
        <v>5</v>
      </c>
      <c r="I27" s="4">
        <v>2310000</v>
      </c>
      <c r="J27" s="4"/>
      <c r="K27" s="4"/>
      <c r="L27" s="4"/>
      <c r="M27" s="22"/>
      <c r="N27" s="22"/>
      <c r="O27" s="22"/>
    </row>
    <row r="28" spans="3:15" x14ac:dyDescent="0.25">
      <c r="C28" s="33" t="str">
        <f t="shared" si="1"/>
        <v/>
      </c>
      <c r="D28" s="23" t="s">
        <v>252</v>
      </c>
      <c r="E28" s="33" t="str">
        <f t="shared" si="2"/>
        <v/>
      </c>
      <c r="F28" t="s">
        <v>253</v>
      </c>
      <c r="G28" t="s">
        <v>25</v>
      </c>
      <c r="H28">
        <f t="shared" si="0"/>
        <v>6</v>
      </c>
      <c r="I28" s="4">
        <v>2375000</v>
      </c>
      <c r="J28" s="4"/>
      <c r="K28" s="4"/>
      <c r="L28" s="4"/>
      <c r="M28" s="22"/>
      <c r="N28" s="22"/>
      <c r="O28" s="22"/>
    </row>
    <row r="29" spans="3:15" x14ac:dyDescent="0.25">
      <c r="C29" s="33" t="str">
        <f t="shared" si="1"/>
        <v/>
      </c>
      <c r="D29" s="23" t="s">
        <v>185</v>
      </c>
      <c r="E29" s="33" t="str">
        <f t="shared" si="2"/>
        <v/>
      </c>
      <c r="F29" t="s">
        <v>186</v>
      </c>
      <c r="G29" t="s">
        <v>25</v>
      </c>
      <c r="H29">
        <f t="shared" si="0"/>
        <v>7</v>
      </c>
      <c r="I29" s="4">
        <v>2489375</v>
      </c>
      <c r="J29" s="4"/>
      <c r="K29" s="4"/>
      <c r="L29" s="4"/>
      <c r="M29" s="22"/>
      <c r="N29" s="22"/>
      <c r="O29" s="22"/>
    </row>
    <row r="30" spans="3:15" x14ac:dyDescent="0.25">
      <c r="C30" s="33" t="str">
        <f t="shared" si="1"/>
        <v/>
      </c>
      <c r="D30" s="23" t="s">
        <v>254</v>
      </c>
      <c r="E30" s="33" t="str">
        <f t="shared" si="2"/>
        <v/>
      </c>
      <c r="F30" t="s">
        <v>113</v>
      </c>
      <c r="G30" t="s">
        <v>25</v>
      </c>
      <c r="H30">
        <f t="shared" si="0"/>
        <v>8</v>
      </c>
      <c r="I30" s="4">
        <v>2669024.69</v>
      </c>
      <c r="J30" s="4"/>
      <c r="K30" s="4"/>
      <c r="L30" s="4"/>
      <c r="M30" s="22"/>
      <c r="N30" s="22"/>
      <c r="O30" s="22"/>
    </row>
    <row r="31" spans="3:15" x14ac:dyDescent="0.25">
      <c r="C31" s="33" t="str">
        <f t="shared" si="1"/>
        <v/>
      </c>
      <c r="D31" s="23" t="s">
        <v>255</v>
      </c>
      <c r="E31" s="33" t="str">
        <f t="shared" si="2"/>
        <v/>
      </c>
      <c r="H31">
        <f t="shared" si="0"/>
        <v>9</v>
      </c>
      <c r="I31" s="4">
        <v>2694400</v>
      </c>
      <c r="J31" s="4"/>
      <c r="K31" s="4"/>
      <c r="L31" s="4"/>
      <c r="M31" s="22"/>
      <c r="N31" s="22"/>
      <c r="O31" s="22"/>
    </row>
    <row r="32" spans="3:15" x14ac:dyDescent="0.25">
      <c r="C32" s="33" t="str">
        <f t="shared" si="1"/>
        <v/>
      </c>
      <c r="D32" s="23" t="s">
        <v>256</v>
      </c>
      <c r="E32" s="33" t="str">
        <f t="shared" si="2"/>
        <v/>
      </c>
      <c r="F32" t="s">
        <v>201</v>
      </c>
      <c r="G32" t="s">
        <v>25</v>
      </c>
      <c r="H32">
        <f t="shared" si="0"/>
        <v>10</v>
      </c>
      <c r="I32" s="4">
        <v>2754290</v>
      </c>
      <c r="J32" s="4"/>
      <c r="K32" s="4"/>
      <c r="L32" s="4"/>
      <c r="M32" s="22"/>
      <c r="N32" s="22"/>
      <c r="O32" s="22"/>
    </row>
    <row r="33" spans="3:15" x14ac:dyDescent="0.25">
      <c r="C33" s="33" t="str">
        <f t="shared" si="1"/>
        <v/>
      </c>
      <c r="D33" s="23" t="s">
        <v>138</v>
      </c>
      <c r="E33" s="33" t="str">
        <f t="shared" si="2"/>
        <v/>
      </c>
      <c r="F33" t="s">
        <v>139</v>
      </c>
      <c r="G33" t="s">
        <v>25</v>
      </c>
      <c r="H33">
        <f t="shared" si="0"/>
        <v>11</v>
      </c>
      <c r="I33" s="4">
        <v>2979000</v>
      </c>
      <c r="M33" s="21"/>
      <c r="N33" s="21"/>
      <c r="O33" s="21"/>
    </row>
    <row r="34" spans="3:15" x14ac:dyDescent="0.25">
      <c r="C34" s="33" t="str">
        <f t="shared" si="1"/>
        <v/>
      </c>
      <c r="D34" s="23" t="s">
        <v>257</v>
      </c>
      <c r="E34" s="33" t="str">
        <f t="shared" si="2"/>
        <v/>
      </c>
      <c r="F34" t="s">
        <v>147</v>
      </c>
      <c r="G34" t="s">
        <v>93</v>
      </c>
      <c r="H34">
        <f t="shared" si="0"/>
        <v>12</v>
      </c>
      <c r="I34" s="4">
        <v>3600054</v>
      </c>
      <c r="M34" s="21"/>
      <c r="N34" s="21"/>
      <c r="O34" s="21"/>
    </row>
    <row r="35" spans="3:15" x14ac:dyDescent="0.25">
      <c r="C35" s="33" t="str">
        <f t="shared" si="1"/>
        <v/>
      </c>
      <c r="D35" s="23"/>
      <c r="E35" s="33" t="str">
        <f t="shared" si="2"/>
        <v/>
      </c>
      <c r="M35" s="21"/>
      <c r="N35" s="21"/>
      <c r="O35" s="21"/>
    </row>
    <row r="36" spans="3:15" x14ac:dyDescent="0.25">
      <c r="C36" s="33" t="str">
        <f t="shared" si="1"/>
        <v/>
      </c>
      <c r="D36" s="23"/>
      <c r="E36" s="33" t="str">
        <f t="shared" si="2"/>
        <v/>
      </c>
      <c r="M36" s="21"/>
      <c r="N36" s="21"/>
      <c r="O36" s="21"/>
    </row>
    <row r="37" spans="3:15" x14ac:dyDescent="0.25">
      <c r="C37" s="33" t="str">
        <f t="shared" si="1"/>
        <v/>
      </c>
      <c r="D37" s="11"/>
      <c r="E37" s="33" t="str">
        <f t="shared" si="2"/>
        <v/>
      </c>
      <c r="M37" s="21"/>
      <c r="N37" s="21"/>
      <c r="O37" s="21"/>
    </row>
    <row r="38" spans="3:15" x14ac:dyDescent="0.25">
      <c r="C38" s="33" t="str">
        <f t="shared" si="1"/>
        <v/>
      </c>
      <c r="D38" s="11"/>
      <c r="E38" s="33" t="str">
        <f t="shared" si="2"/>
        <v/>
      </c>
      <c r="M38" s="21"/>
      <c r="N38" s="21"/>
      <c r="O38" s="21"/>
    </row>
    <row r="39" spans="3:15" x14ac:dyDescent="0.25">
      <c r="C39" s="33" t="str">
        <f t="shared" si="1"/>
        <v/>
      </c>
      <c r="D39" s="11"/>
      <c r="E39" s="33" t="str">
        <f t="shared" si="2"/>
        <v/>
      </c>
      <c r="M39" s="21"/>
      <c r="N39" s="21"/>
      <c r="O39" s="21"/>
    </row>
    <row r="40" spans="3:15" x14ac:dyDescent="0.25">
      <c r="C40" s="33" t="str">
        <f t="shared" si="1"/>
        <v/>
      </c>
      <c r="D40" s="11"/>
      <c r="E40" s="33" t="str">
        <f t="shared" si="2"/>
        <v/>
      </c>
      <c r="M40" s="21"/>
      <c r="N40" s="21"/>
      <c r="O40" s="21"/>
    </row>
    <row r="41" spans="3:15" x14ac:dyDescent="0.25">
      <c r="C41" s="33" t="str">
        <f t="shared" si="1"/>
        <v/>
      </c>
      <c r="D41" s="11"/>
      <c r="E41" s="33" t="str">
        <f t="shared" si="2"/>
        <v/>
      </c>
      <c r="M41" s="21"/>
      <c r="N41" s="21"/>
      <c r="O41" s="21"/>
    </row>
    <row r="42" spans="3:15" x14ac:dyDescent="0.25">
      <c r="C42" s="33" t="str">
        <f t="shared" si="1"/>
        <v/>
      </c>
      <c r="D42" s="11"/>
      <c r="E42" s="33" t="str">
        <f t="shared" si="2"/>
        <v/>
      </c>
      <c r="M42" s="21"/>
      <c r="N42" s="21"/>
      <c r="O42" s="21"/>
    </row>
    <row r="43" spans="3:15" x14ac:dyDescent="0.25">
      <c r="C43" s="33" t="str">
        <f t="shared" si="1"/>
        <v/>
      </c>
      <c r="D43" s="11"/>
      <c r="E43" s="33" t="str">
        <f t="shared" si="2"/>
        <v/>
      </c>
      <c r="M43" s="21"/>
      <c r="N43" s="21"/>
      <c r="O43" s="21"/>
    </row>
    <row r="44" spans="3:15" ht="6" customHeight="1" x14ac:dyDescent="0.25">
      <c r="C44" s="9"/>
      <c r="D44" s="9"/>
      <c r="E44" s="9"/>
      <c r="F44" s="9"/>
      <c r="G44" s="9"/>
      <c r="H44" s="9"/>
      <c r="I44" s="9"/>
      <c r="J44" s="9"/>
      <c r="K44" s="9"/>
      <c r="L44" s="9"/>
      <c r="M44" s="21"/>
      <c r="N44" s="21"/>
      <c r="O44" s="21"/>
    </row>
    <row r="45" spans="3:15" ht="6" customHeight="1" x14ac:dyDescent="0.25">
      <c r="M45" s="21"/>
      <c r="N45" s="21"/>
      <c r="O45" s="21"/>
    </row>
    <row r="46" spans="3:15" x14ac:dyDescent="0.25">
      <c r="C46" s="15" t="s">
        <v>79</v>
      </c>
      <c r="M46" s="21"/>
      <c r="N46" s="21"/>
      <c r="O46" s="21"/>
    </row>
    <row r="47" spans="3:15" x14ac:dyDescent="0.25">
      <c r="C47" s="15" t="s">
        <v>78</v>
      </c>
    </row>
  </sheetData>
  <mergeCells count="1">
    <mergeCell ref="G13:H13"/>
  </mergeCells>
  <conditionalFormatting sqref="I9">
    <cfRule type="containsText" dxfId="340" priority="10" operator="containsText" text="FAIL">
      <formula>NOT(ISERROR(SEARCH("FAIL",I9)))</formula>
    </cfRule>
  </conditionalFormatting>
  <conditionalFormatting sqref="I9">
    <cfRule type="containsText" dxfId="339" priority="9" operator="containsText" text="GOOD">
      <formula>NOT(ISERROR(SEARCH("GOOD",I9)))</formula>
    </cfRule>
  </conditionalFormatting>
  <conditionalFormatting sqref="F11">
    <cfRule type="containsText" dxfId="338" priority="8" operator="containsText" text="FAIL">
      <formula>NOT(ISERROR(SEARCH("FAIL",F11)))</formula>
    </cfRule>
  </conditionalFormatting>
  <conditionalFormatting sqref="F11">
    <cfRule type="containsText" dxfId="337" priority="7" operator="containsText" text="GOOD">
      <formula>NOT(ISERROR(SEARCH("GOOD",F11)))</formula>
    </cfRule>
  </conditionalFormatting>
  <conditionalFormatting sqref="D25">
    <cfRule type="expression" dxfId="336" priority="6" stopIfTrue="1">
      <formula>IF($H$25=1,0)</formula>
    </cfRule>
  </conditionalFormatting>
  <conditionalFormatting sqref="D23:D43">
    <cfRule type="expression" dxfId="335" priority="5">
      <formula>H23=1</formula>
    </cfRule>
  </conditionalFormatting>
  <conditionalFormatting sqref="C23:C43">
    <cfRule type="expression" dxfId="334" priority="4">
      <formula>H23=1</formula>
    </cfRule>
  </conditionalFormatting>
  <conditionalFormatting sqref="E23:E43">
    <cfRule type="expression" dxfId="333" priority="3">
      <formula>H23=1</formula>
    </cfRule>
  </conditionalFormatting>
  <conditionalFormatting sqref="F11">
    <cfRule type="containsText" dxfId="332" priority="2" operator="containsText" text="FAIL">
      <formula>NOT(ISERROR(SEARCH("FAIL",F11)))</formula>
    </cfRule>
  </conditionalFormatting>
  <conditionalFormatting sqref="F11">
    <cfRule type="containsText" dxfId="331" priority="1" operator="containsText" text="GOOD">
      <formula>NOT(ISERROR(SEARCH("GOOD",F11)))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700-000000000000}">
  <sheetPr codeName="Sheet137">
    <tabColor rgb="FFFF0000"/>
  </sheetPr>
  <dimension ref="A2:O45"/>
  <sheetViews>
    <sheetView workbookViewId="0">
      <selection activeCell="K27" sqref="K27"/>
    </sheetView>
  </sheetViews>
  <sheetFormatPr defaultRowHeight="15" x14ac:dyDescent="0.25"/>
  <cols>
    <col min="1" max="2" width="4.42578125" customWidth="1"/>
    <col min="3" max="3" width="3" customWidth="1"/>
    <col min="4" max="4" width="24.85546875" customWidth="1"/>
    <col min="5" max="5" width="3" customWidth="1"/>
    <col min="6" max="6" width="15.7109375" customWidth="1"/>
    <col min="7" max="7" width="8.5703125" customWidth="1"/>
    <col min="8" max="8" width="5.85546875" customWidth="1"/>
    <col min="9" max="15" width="15.7109375" customWidth="1"/>
  </cols>
  <sheetData>
    <row r="2" spans="1:11" x14ac:dyDescent="0.25">
      <c r="C2" s="15" t="s">
        <v>32</v>
      </c>
      <c r="E2" s="15"/>
      <c r="F2" s="15"/>
      <c r="G2" s="15" t="s">
        <v>33</v>
      </c>
      <c r="H2" s="15"/>
      <c r="I2" s="15"/>
      <c r="J2" s="15"/>
      <c r="K2" s="15"/>
    </row>
    <row r="3" spans="1:11" ht="18.75" x14ac:dyDescent="0.3">
      <c r="C3" s="3" t="s">
        <v>26</v>
      </c>
      <c r="J3" s="8" t="s">
        <v>17</v>
      </c>
    </row>
    <row r="4" spans="1:11" x14ac:dyDescent="0.25">
      <c r="D4" s="2" t="s">
        <v>0</v>
      </c>
      <c r="E4" s="1"/>
      <c r="F4" t="s">
        <v>96</v>
      </c>
      <c r="I4" s="2" t="s">
        <v>4</v>
      </c>
    </row>
    <row r="5" spans="1:11" x14ac:dyDescent="0.25">
      <c r="D5" s="2" t="s">
        <v>1</v>
      </c>
      <c r="F5" t="s">
        <v>97</v>
      </c>
    </row>
    <row r="6" spans="1:11" x14ac:dyDescent="0.25">
      <c r="D6" s="2" t="s">
        <v>2</v>
      </c>
      <c r="F6" s="6">
        <v>42304</v>
      </c>
      <c r="H6" s="11"/>
    </row>
    <row r="7" spans="1:11" x14ac:dyDescent="0.25">
      <c r="D7" s="2" t="s">
        <v>3</v>
      </c>
      <c r="F7" s="5">
        <v>2420000</v>
      </c>
      <c r="G7" s="2" t="s">
        <v>34</v>
      </c>
      <c r="H7" s="11"/>
    </row>
    <row r="8" spans="1:11" x14ac:dyDescent="0.25">
      <c r="D8" s="2" t="s">
        <v>18</v>
      </c>
      <c r="F8" s="5">
        <f>MIN(I23:I41)</f>
        <v>4137000</v>
      </c>
      <c r="H8" s="11"/>
    </row>
    <row r="9" spans="1:11" x14ac:dyDescent="0.25">
      <c r="D9" s="2" t="s">
        <v>67</v>
      </c>
      <c r="F9" s="4">
        <f>+F8-F7</f>
        <v>1717000</v>
      </c>
      <c r="G9" s="16">
        <f>+F9/F7</f>
        <v>0.70950413223140496</v>
      </c>
      <c r="H9" s="12" t="s">
        <v>20</v>
      </c>
      <c r="I9" s="11" t="str">
        <f>(IF(G9&lt;-0.1,"FAIL",IF(G9&gt;0.05,"FAIL","GOOD")))</f>
        <v>FAIL</v>
      </c>
      <c r="J9" s="14" t="s">
        <v>72</v>
      </c>
    </row>
    <row r="10" spans="1:11" x14ac:dyDescent="0.25">
      <c r="D10" s="2" t="s">
        <v>68</v>
      </c>
      <c r="F10" s="4">
        <f>+F7-F12</f>
        <v>-3208088</v>
      </c>
      <c r="H10" s="11"/>
    </row>
    <row r="11" spans="1:11" x14ac:dyDescent="0.25">
      <c r="A11" s="30"/>
      <c r="D11" s="2" t="s">
        <v>71</v>
      </c>
      <c r="F11" s="11" t="str">
        <f>(IF(F7&lt;J12,"FAIL",IF(F7&gt;J13,"FAIL","GOOD")))</f>
        <v>FAIL</v>
      </c>
      <c r="H11" s="11"/>
    </row>
    <row r="12" spans="1:11" x14ac:dyDescent="0.25">
      <c r="D12" s="2" t="s">
        <v>28</v>
      </c>
      <c r="F12" s="4">
        <f>SUM(I23:I41)/H12</f>
        <v>5628088</v>
      </c>
      <c r="G12" s="14"/>
      <c r="H12" s="11">
        <f>COUNT(I23:I41)</f>
        <v>2</v>
      </c>
      <c r="I12" s="1" t="s">
        <v>31</v>
      </c>
      <c r="J12" s="4">
        <f>+F8*0.9</f>
        <v>3723300</v>
      </c>
      <c r="K12" s="1" t="s">
        <v>69</v>
      </c>
    </row>
    <row r="13" spans="1:11" x14ac:dyDescent="0.25">
      <c r="D13" s="2" t="s">
        <v>29</v>
      </c>
      <c r="F13" s="4">
        <f>MAX(I23:I41)-MIN(I23:I41)</f>
        <v>2982176</v>
      </c>
      <c r="G13" s="399">
        <f>MEDIAN(I23:I41)</f>
        <v>5628088</v>
      </c>
      <c r="H13" s="400"/>
      <c r="I13" s="1" t="s">
        <v>30</v>
      </c>
      <c r="J13" s="4">
        <f>+F12*1.1</f>
        <v>6190896.8000000007</v>
      </c>
      <c r="K13" s="1" t="s">
        <v>70</v>
      </c>
    </row>
    <row r="14" spans="1:11" x14ac:dyDescent="0.25">
      <c r="H14" s="11"/>
    </row>
    <row r="15" spans="1:11" x14ac:dyDescent="0.25">
      <c r="D15" s="2" t="s">
        <v>8</v>
      </c>
      <c r="F15" s="4"/>
      <c r="G15" s="1" t="s">
        <v>9</v>
      </c>
      <c r="H15" s="11"/>
      <c r="I15" t="s">
        <v>15</v>
      </c>
      <c r="J15" s="7" t="e">
        <f>+F16/F15</f>
        <v>#DIV/0!</v>
      </c>
    </row>
    <row r="16" spans="1:11" x14ac:dyDescent="0.25">
      <c r="F16" s="4"/>
      <c r="G16" s="1" t="s">
        <v>10</v>
      </c>
      <c r="H16" s="11"/>
      <c r="I16" t="s">
        <v>14</v>
      </c>
      <c r="J16" s="7" t="e">
        <f>+F17/F16</f>
        <v>#DIV/0!</v>
      </c>
    </row>
    <row r="17" spans="3:15" x14ac:dyDescent="0.25">
      <c r="F17" s="4"/>
      <c r="G17" s="1" t="s">
        <v>11</v>
      </c>
      <c r="H17" s="11"/>
      <c r="I17" t="s">
        <v>13</v>
      </c>
      <c r="J17" s="7" t="e">
        <f>+F18/F17</f>
        <v>#DIV/0!</v>
      </c>
      <c r="M17" s="21"/>
      <c r="N17" s="21"/>
      <c r="O17" s="21"/>
    </row>
    <row r="18" spans="3:15" x14ac:dyDescent="0.25">
      <c r="F18" s="4"/>
      <c r="G18" s="1" t="s">
        <v>12</v>
      </c>
      <c r="H18" s="11"/>
      <c r="I18" t="s">
        <v>16</v>
      </c>
      <c r="J18" s="7" t="e">
        <f>+F8/F18</f>
        <v>#DIV/0!</v>
      </c>
      <c r="M18" s="21"/>
      <c r="N18" s="21"/>
      <c r="O18" s="21"/>
    </row>
    <row r="19" spans="3:15" x14ac:dyDescent="0.25">
      <c r="F19" s="2" t="s">
        <v>51</v>
      </c>
      <c r="G19">
        <v>0</v>
      </c>
      <c r="H19" s="11" t="s">
        <v>52</v>
      </c>
      <c r="I19" t="s">
        <v>41</v>
      </c>
      <c r="J19" s="7" t="e">
        <f>+F8/F15</f>
        <v>#DIV/0!</v>
      </c>
      <c r="M19" s="21"/>
      <c r="N19" s="21"/>
      <c r="O19" s="21"/>
    </row>
    <row r="20" spans="3:15" x14ac:dyDescent="0.25">
      <c r="H20" s="11"/>
      <c r="M20" s="21"/>
      <c r="N20" s="21"/>
      <c r="O20" s="21"/>
    </row>
    <row r="21" spans="3:15" x14ac:dyDescent="0.25">
      <c r="C21" s="9"/>
      <c r="D21" s="13" t="s">
        <v>21</v>
      </c>
      <c r="E21" s="9"/>
      <c r="F21" s="9" t="s">
        <v>22</v>
      </c>
      <c r="G21" s="9" t="s">
        <v>23</v>
      </c>
      <c r="H21" s="13" t="s">
        <v>27</v>
      </c>
      <c r="I21" s="10" t="s">
        <v>24</v>
      </c>
      <c r="J21" s="9"/>
      <c r="K21" s="9"/>
      <c r="L21" s="9"/>
      <c r="M21" s="21"/>
      <c r="N21" s="21"/>
      <c r="O21" s="21"/>
    </row>
    <row r="22" spans="3:15" ht="6" customHeight="1" x14ac:dyDescent="0.25">
      <c r="M22" s="21"/>
      <c r="N22" s="21"/>
      <c r="O22" s="21"/>
    </row>
    <row r="23" spans="3:15" x14ac:dyDescent="0.25">
      <c r="C23" s="33" t="str">
        <f>IF(H23=1,"u","")</f>
        <v>u</v>
      </c>
      <c r="D23" s="11" t="s">
        <v>98</v>
      </c>
      <c r="E23" s="33"/>
      <c r="F23" t="s">
        <v>95</v>
      </c>
      <c r="G23" t="s">
        <v>93</v>
      </c>
      <c r="H23">
        <f>RANK(I23,I$23:I$41,1)</f>
        <v>1</v>
      </c>
      <c r="I23" s="4">
        <v>4137000</v>
      </c>
      <c r="J23" s="4"/>
      <c r="K23" s="4"/>
      <c r="L23" s="4"/>
      <c r="M23" s="22"/>
      <c r="N23" s="22"/>
      <c r="O23" s="22"/>
    </row>
    <row r="24" spans="3:15" x14ac:dyDescent="0.25">
      <c r="C24" s="33" t="str">
        <f>IF(H24=1,"u","")</f>
        <v/>
      </c>
      <c r="D24" s="11" t="s">
        <v>99</v>
      </c>
      <c r="E24" s="33"/>
      <c r="F24" t="s">
        <v>100</v>
      </c>
      <c r="G24" t="s">
        <v>93</v>
      </c>
      <c r="H24">
        <f>RANK(I24,I$23:I$41,1)</f>
        <v>2</v>
      </c>
      <c r="I24" s="4">
        <v>7119176</v>
      </c>
      <c r="J24" s="4"/>
      <c r="K24" s="4"/>
      <c r="L24" s="4"/>
      <c r="M24" s="22"/>
      <c r="N24" s="22"/>
      <c r="O24" s="22"/>
    </row>
    <row r="25" spans="3:15" x14ac:dyDescent="0.25">
      <c r="C25" s="33" t="str">
        <f t="shared" ref="C25:C41" si="0">IF(H25=1,"u","")</f>
        <v/>
      </c>
      <c r="D25" s="11"/>
      <c r="E25" s="33" t="str">
        <f t="shared" ref="E25:E41" si="1">IF(H25=1,"t","")</f>
        <v/>
      </c>
      <c r="I25" s="4"/>
      <c r="J25" s="4"/>
      <c r="K25" s="4"/>
      <c r="L25" s="4"/>
      <c r="M25" s="22"/>
      <c r="N25" s="22"/>
      <c r="O25" s="22"/>
    </row>
    <row r="26" spans="3:15" x14ac:dyDescent="0.25">
      <c r="C26" s="33" t="str">
        <f t="shared" si="0"/>
        <v/>
      </c>
      <c r="D26" s="11"/>
      <c r="E26" s="33" t="str">
        <f t="shared" si="1"/>
        <v/>
      </c>
      <c r="I26" s="4"/>
      <c r="J26" s="4"/>
      <c r="K26" s="4"/>
      <c r="L26" s="4"/>
      <c r="M26" s="22"/>
      <c r="N26" s="22"/>
      <c r="O26" s="22"/>
    </row>
    <row r="27" spans="3:15" x14ac:dyDescent="0.25">
      <c r="C27" s="33" t="str">
        <f t="shared" si="0"/>
        <v/>
      </c>
      <c r="D27" s="11"/>
      <c r="E27" s="33" t="str">
        <f t="shared" si="1"/>
        <v/>
      </c>
      <c r="I27" s="4"/>
      <c r="J27" s="4"/>
      <c r="K27" s="4"/>
      <c r="L27" s="4"/>
      <c r="M27" s="22"/>
      <c r="N27" s="22"/>
      <c r="O27" s="22"/>
    </row>
    <row r="28" spans="3:15" x14ac:dyDescent="0.25">
      <c r="C28" s="33" t="str">
        <f t="shared" si="0"/>
        <v/>
      </c>
      <c r="D28" s="11"/>
      <c r="E28" s="33" t="str">
        <f t="shared" si="1"/>
        <v/>
      </c>
      <c r="I28" s="4"/>
      <c r="J28" s="4"/>
      <c r="K28" s="4"/>
      <c r="L28" s="4"/>
      <c r="M28" s="22"/>
      <c r="N28" s="22"/>
      <c r="O28" s="22"/>
    </row>
    <row r="29" spans="3:15" x14ac:dyDescent="0.25">
      <c r="C29" s="33" t="str">
        <f t="shared" si="0"/>
        <v/>
      </c>
      <c r="D29" s="11"/>
      <c r="E29" s="33" t="str">
        <f t="shared" si="1"/>
        <v/>
      </c>
      <c r="I29" s="4"/>
      <c r="J29" s="4"/>
      <c r="K29" s="4"/>
      <c r="L29" s="4"/>
      <c r="M29" s="22"/>
      <c r="N29" s="22"/>
      <c r="O29" s="22"/>
    </row>
    <row r="30" spans="3:15" x14ac:dyDescent="0.25">
      <c r="C30" s="33" t="str">
        <f t="shared" si="0"/>
        <v/>
      </c>
      <c r="D30" s="11"/>
      <c r="E30" s="33" t="str">
        <f t="shared" si="1"/>
        <v/>
      </c>
      <c r="I30" s="4"/>
      <c r="J30" s="4"/>
      <c r="K30" s="4"/>
      <c r="L30" s="4"/>
      <c r="M30" s="22"/>
      <c r="N30" s="22"/>
      <c r="O30" s="22"/>
    </row>
    <row r="31" spans="3:15" x14ac:dyDescent="0.25">
      <c r="C31" s="33" t="str">
        <f t="shared" si="0"/>
        <v/>
      </c>
      <c r="D31" s="11"/>
      <c r="E31" s="33" t="str">
        <f t="shared" si="1"/>
        <v/>
      </c>
      <c r="M31" s="21"/>
      <c r="N31" s="21"/>
      <c r="O31" s="21"/>
    </row>
    <row r="32" spans="3:15" x14ac:dyDescent="0.25">
      <c r="C32" s="33" t="str">
        <f t="shared" si="0"/>
        <v/>
      </c>
      <c r="D32" s="11"/>
      <c r="E32" s="33" t="str">
        <f t="shared" si="1"/>
        <v/>
      </c>
      <c r="M32" s="21"/>
      <c r="N32" s="21"/>
      <c r="O32" s="21"/>
    </row>
    <row r="33" spans="3:15" x14ac:dyDescent="0.25">
      <c r="C33" s="33" t="str">
        <f t="shared" si="0"/>
        <v/>
      </c>
      <c r="D33" s="11"/>
      <c r="E33" s="33" t="str">
        <f t="shared" si="1"/>
        <v/>
      </c>
      <c r="M33" s="21"/>
      <c r="N33" s="21"/>
      <c r="O33" s="21"/>
    </row>
    <row r="34" spans="3:15" x14ac:dyDescent="0.25">
      <c r="C34" s="33" t="str">
        <f t="shared" si="0"/>
        <v/>
      </c>
      <c r="D34" s="11"/>
      <c r="E34" s="33" t="str">
        <f t="shared" si="1"/>
        <v/>
      </c>
      <c r="M34" s="21"/>
      <c r="N34" s="21"/>
      <c r="O34" s="21"/>
    </row>
    <row r="35" spans="3:15" x14ac:dyDescent="0.25">
      <c r="C35" s="33" t="str">
        <f t="shared" si="0"/>
        <v/>
      </c>
      <c r="D35" s="11"/>
      <c r="E35" s="33" t="str">
        <f t="shared" si="1"/>
        <v/>
      </c>
      <c r="M35" s="21"/>
      <c r="N35" s="21"/>
      <c r="O35" s="21"/>
    </row>
    <row r="36" spans="3:15" x14ac:dyDescent="0.25">
      <c r="C36" s="33" t="str">
        <f t="shared" si="0"/>
        <v/>
      </c>
      <c r="D36" s="11"/>
      <c r="E36" s="33" t="str">
        <f t="shared" si="1"/>
        <v/>
      </c>
      <c r="M36" s="21"/>
      <c r="N36" s="21"/>
      <c r="O36" s="21"/>
    </row>
    <row r="37" spans="3:15" x14ac:dyDescent="0.25">
      <c r="C37" s="33" t="str">
        <f t="shared" si="0"/>
        <v/>
      </c>
      <c r="D37" s="11"/>
      <c r="E37" s="33" t="str">
        <f t="shared" si="1"/>
        <v/>
      </c>
      <c r="M37" s="21"/>
      <c r="N37" s="21"/>
      <c r="O37" s="21"/>
    </row>
    <row r="38" spans="3:15" x14ac:dyDescent="0.25">
      <c r="C38" s="33" t="str">
        <f t="shared" si="0"/>
        <v/>
      </c>
      <c r="D38" s="11"/>
      <c r="E38" s="33" t="str">
        <f t="shared" si="1"/>
        <v/>
      </c>
      <c r="M38" s="21"/>
      <c r="N38" s="21"/>
      <c r="O38" s="21"/>
    </row>
    <row r="39" spans="3:15" x14ac:dyDescent="0.25">
      <c r="C39" s="33" t="str">
        <f t="shared" si="0"/>
        <v/>
      </c>
      <c r="D39" s="11"/>
      <c r="E39" s="33" t="str">
        <f t="shared" si="1"/>
        <v/>
      </c>
      <c r="M39" s="21"/>
      <c r="N39" s="21"/>
      <c r="O39" s="21"/>
    </row>
    <row r="40" spans="3:15" x14ac:dyDescent="0.25">
      <c r="C40" s="33" t="str">
        <f t="shared" si="0"/>
        <v/>
      </c>
      <c r="D40" s="11"/>
      <c r="E40" s="33" t="str">
        <f t="shared" si="1"/>
        <v/>
      </c>
      <c r="M40" s="21"/>
      <c r="N40" s="21"/>
      <c r="O40" s="21"/>
    </row>
    <row r="41" spans="3:15" x14ac:dyDescent="0.25">
      <c r="C41" s="33" t="str">
        <f t="shared" si="0"/>
        <v/>
      </c>
      <c r="D41" s="11"/>
      <c r="E41" s="33" t="str">
        <f t="shared" si="1"/>
        <v/>
      </c>
      <c r="M41" s="21"/>
      <c r="N41" s="21"/>
      <c r="O41" s="21"/>
    </row>
    <row r="42" spans="3:15" ht="6" customHeight="1" x14ac:dyDescent="0.25">
      <c r="C42" s="9"/>
      <c r="D42" s="9"/>
      <c r="E42" s="9"/>
      <c r="F42" s="9"/>
      <c r="G42" s="9"/>
      <c r="H42" s="9"/>
      <c r="I42" s="9"/>
      <c r="J42" s="9"/>
      <c r="K42" s="9"/>
      <c r="L42" s="9"/>
      <c r="M42" s="21"/>
      <c r="N42" s="21"/>
      <c r="O42" s="21"/>
    </row>
    <row r="43" spans="3:15" ht="6" customHeight="1" x14ac:dyDescent="0.25">
      <c r="M43" s="21"/>
      <c r="N43" s="21"/>
      <c r="O43" s="21"/>
    </row>
    <row r="44" spans="3:15" x14ac:dyDescent="0.25">
      <c r="C44" s="15" t="s">
        <v>79</v>
      </c>
      <c r="M44" s="21"/>
      <c r="N44" s="21"/>
      <c r="O44" s="21"/>
    </row>
    <row r="45" spans="3:15" x14ac:dyDescent="0.25">
      <c r="C45" s="15" t="s">
        <v>78</v>
      </c>
    </row>
  </sheetData>
  <mergeCells count="1">
    <mergeCell ref="G13:H13"/>
  </mergeCells>
  <conditionalFormatting sqref="I9">
    <cfRule type="containsText" dxfId="452" priority="10" operator="containsText" text="FAIL">
      <formula>NOT(ISERROR(SEARCH("FAIL",I9)))</formula>
    </cfRule>
  </conditionalFormatting>
  <conditionalFormatting sqref="I9">
    <cfRule type="containsText" dxfId="451" priority="9" operator="containsText" text="GOOD">
      <formula>NOT(ISERROR(SEARCH("GOOD",I9)))</formula>
    </cfRule>
  </conditionalFormatting>
  <conditionalFormatting sqref="F11">
    <cfRule type="containsText" dxfId="450" priority="8" operator="containsText" text="FAIL">
      <formula>NOT(ISERROR(SEARCH("FAIL",F11)))</formula>
    </cfRule>
  </conditionalFormatting>
  <conditionalFormatting sqref="F11">
    <cfRule type="containsText" dxfId="449" priority="7" operator="containsText" text="GOOD">
      <formula>NOT(ISERROR(SEARCH("GOOD",F11)))</formula>
    </cfRule>
  </conditionalFormatting>
  <conditionalFormatting sqref="D23:D41">
    <cfRule type="expression" dxfId="448" priority="5">
      <formula>H23=1</formula>
    </cfRule>
  </conditionalFormatting>
  <conditionalFormatting sqref="C23:C41">
    <cfRule type="expression" dxfId="447" priority="4">
      <formula>H23=1</formula>
    </cfRule>
  </conditionalFormatting>
  <conditionalFormatting sqref="E23:E41">
    <cfRule type="expression" dxfId="446" priority="3">
      <formula>H23=1</formula>
    </cfRule>
  </conditionalFormatting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 codeName="Sheet45"/>
  <dimension ref="A2:P47"/>
  <sheetViews>
    <sheetView zoomScaleNormal="100" workbookViewId="0">
      <selection activeCell="G27" sqref="G27"/>
    </sheetView>
  </sheetViews>
  <sheetFormatPr defaultRowHeight="15" x14ac:dyDescent="0.25"/>
  <cols>
    <col min="1" max="2" width="4.42578125" customWidth="1"/>
    <col min="3" max="3" width="3" customWidth="1"/>
    <col min="4" max="4" width="24.85546875" customWidth="1"/>
    <col min="5" max="5" width="3" customWidth="1"/>
    <col min="6" max="6" width="15.7109375" customWidth="1"/>
    <col min="7" max="7" width="8.5703125" customWidth="1"/>
    <col min="8" max="8" width="5.85546875" customWidth="1"/>
    <col min="9" max="15" width="15.7109375" customWidth="1"/>
  </cols>
  <sheetData>
    <row r="2" spans="1:16" x14ac:dyDescent="0.25">
      <c r="C2" s="15" t="s">
        <v>32</v>
      </c>
      <c r="E2" s="15"/>
      <c r="F2" s="15"/>
      <c r="G2" s="15" t="s">
        <v>33</v>
      </c>
      <c r="H2" s="15"/>
      <c r="I2" s="15"/>
      <c r="J2" s="15"/>
      <c r="K2" s="15"/>
    </row>
    <row r="3" spans="1:16" ht="18.75" x14ac:dyDescent="0.3">
      <c r="C3" s="3" t="s">
        <v>26</v>
      </c>
      <c r="J3" s="8" t="s">
        <v>17</v>
      </c>
      <c r="P3" s="100"/>
    </row>
    <row r="4" spans="1:16" x14ac:dyDescent="0.25">
      <c r="D4" s="2" t="s">
        <v>0</v>
      </c>
      <c r="E4" s="1"/>
      <c r="F4" t="s">
        <v>1038</v>
      </c>
      <c r="I4" s="2" t="s">
        <v>4</v>
      </c>
      <c r="J4" t="s">
        <v>616</v>
      </c>
    </row>
    <row r="5" spans="1:16" x14ac:dyDescent="0.25">
      <c r="D5" s="2" t="s">
        <v>1</v>
      </c>
      <c r="F5" t="s">
        <v>1039</v>
      </c>
    </row>
    <row r="6" spans="1:16" x14ac:dyDescent="0.25">
      <c r="D6" s="2" t="s">
        <v>2</v>
      </c>
      <c r="F6" s="6">
        <v>42901</v>
      </c>
      <c r="H6" s="11"/>
    </row>
    <row r="7" spans="1:16" x14ac:dyDescent="0.25">
      <c r="D7" s="2" t="s">
        <v>3</v>
      </c>
      <c r="F7" s="5">
        <v>850000</v>
      </c>
      <c r="G7" s="2" t="s">
        <v>693</v>
      </c>
      <c r="H7" s="11"/>
    </row>
    <row r="8" spans="1:16" x14ac:dyDescent="0.25">
      <c r="D8" s="2" t="s">
        <v>18</v>
      </c>
      <c r="F8" s="5">
        <f>MIN(I23:I43)</f>
        <v>887000</v>
      </c>
      <c r="H8" s="11"/>
    </row>
    <row r="9" spans="1:16" x14ac:dyDescent="0.25">
      <c r="D9" s="2" t="s">
        <v>67</v>
      </c>
      <c r="F9" s="4">
        <f>+F8-F7</f>
        <v>37000</v>
      </c>
      <c r="G9" s="16">
        <f>+F9/F7</f>
        <v>4.3529411764705879E-2</v>
      </c>
      <c r="H9" s="12" t="s">
        <v>20</v>
      </c>
      <c r="I9" s="11" t="str">
        <f>(IF(G9&lt;-0.1,"FAIL",IF(G9&gt;0.05,"FAIL","GOOD")))</f>
        <v>GOOD</v>
      </c>
      <c r="J9" s="14" t="s">
        <v>72</v>
      </c>
    </row>
    <row r="10" spans="1:16" x14ac:dyDescent="0.25">
      <c r="D10" s="2" t="s">
        <v>68</v>
      </c>
      <c r="F10" s="4">
        <f>+F7-F12</f>
        <v>-443041.66666666674</v>
      </c>
      <c r="H10" s="11"/>
    </row>
    <row r="11" spans="1:16" x14ac:dyDescent="0.25">
      <c r="A11" s="52"/>
      <c r="D11" s="2" t="s">
        <v>71</v>
      </c>
      <c r="F11" s="11" t="str">
        <f>(IF(F7&lt;J12,"FAIL",IF(F7&gt;J13,"FAIL","GOOD")))</f>
        <v>GOOD</v>
      </c>
      <c r="H11" s="11"/>
    </row>
    <row r="12" spans="1:16" x14ac:dyDescent="0.25">
      <c r="D12" s="2" t="s">
        <v>28</v>
      </c>
      <c r="F12" s="4">
        <f>SUM(I23:I43)/H12</f>
        <v>1293041.6666666667</v>
      </c>
      <c r="G12" s="14"/>
      <c r="H12" s="11">
        <f>COUNT(I23:I43)</f>
        <v>3</v>
      </c>
      <c r="I12" s="1" t="s">
        <v>31</v>
      </c>
      <c r="J12" s="4">
        <f>+F8*0.9</f>
        <v>798300</v>
      </c>
      <c r="K12" s="1" t="s">
        <v>69</v>
      </c>
    </row>
    <row r="13" spans="1:16" x14ac:dyDescent="0.25">
      <c r="D13" s="2" t="s">
        <v>29</v>
      </c>
      <c r="F13" s="4">
        <f>MAX(I23:I43)-MIN(I23:I43)</f>
        <v>1113125</v>
      </c>
      <c r="G13" s="399">
        <f>MEDIAN(I23:I43)</f>
        <v>992000</v>
      </c>
      <c r="H13" s="400"/>
      <c r="I13" s="1" t="s">
        <v>30</v>
      </c>
      <c r="J13" s="4">
        <f>+F12*1.1</f>
        <v>1422345.8333333335</v>
      </c>
      <c r="K13" s="1" t="s">
        <v>70</v>
      </c>
    </row>
    <row r="14" spans="1:16" x14ac:dyDescent="0.25">
      <c r="H14" s="11"/>
    </row>
    <row r="15" spans="1:16" x14ac:dyDescent="0.25">
      <c r="D15" s="2" t="s">
        <v>8</v>
      </c>
      <c r="F15" s="4"/>
      <c r="G15" s="1" t="s">
        <v>9</v>
      </c>
      <c r="H15" s="11"/>
      <c r="I15" t="s">
        <v>15</v>
      </c>
      <c r="J15" s="7" t="e">
        <f>+F16/F15</f>
        <v>#DIV/0!</v>
      </c>
    </row>
    <row r="16" spans="1:16" x14ac:dyDescent="0.25">
      <c r="F16" s="4"/>
      <c r="G16" s="1" t="s">
        <v>10</v>
      </c>
      <c r="H16" s="11"/>
      <c r="I16" t="s">
        <v>14</v>
      </c>
      <c r="J16" s="7" t="e">
        <f>+F17/F16</f>
        <v>#DIV/0!</v>
      </c>
    </row>
    <row r="17" spans="3:15" x14ac:dyDescent="0.25">
      <c r="F17" s="4"/>
      <c r="G17" s="1" t="s">
        <v>11</v>
      </c>
      <c r="H17" s="11"/>
      <c r="I17" t="s">
        <v>13</v>
      </c>
      <c r="J17" s="7" t="e">
        <f>+F18/F17</f>
        <v>#DIV/0!</v>
      </c>
      <c r="M17" s="21"/>
      <c r="N17" s="21"/>
      <c r="O17" s="21"/>
    </row>
    <row r="18" spans="3:15" x14ac:dyDescent="0.25">
      <c r="F18" s="4"/>
      <c r="G18" s="1" t="s">
        <v>12</v>
      </c>
      <c r="H18" s="11"/>
      <c r="I18" t="s">
        <v>16</v>
      </c>
      <c r="J18" s="7" t="e">
        <f>+F8/F18</f>
        <v>#DIV/0!</v>
      </c>
      <c r="M18" s="21"/>
      <c r="N18" s="21"/>
      <c r="O18" s="21"/>
    </row>
    <row r="19" spans="3:15" x14ac:dyDescent="0.25">
      <c r="F19" s="2" t="s">
        <v>51</v>
      </c>
      <c r="G19">
        <v>0</v>
      </c>
      <c r="H19" s="11" t="s">
        <v>52</v>
      </c>
      <c r="I19" t="s">
        <v>41</v>
      </c>
      <c r="J19" s="7" t="e">
        <f>+F8/F15</f>
        <v>#DIV/0!</v>
      </c>
      <c r="M19" s="21"/>
      <c r="N19" s="21"/>
      <c r="O19" s="21"/>
    </row>
    <row r="20" spans="3:15" x14ac:dyDescent="0.25">
      <c r="H20" s="11"/>
      <c r="M20" s="21"/>
      <c r="N20" s="21"/>
      <c r="O20" s="21"/>
    </row>
    <row r="21" spans="3:15" x14ac:dyDescent="0.25">
      <c r="C21" s="9"/>
      <c r="D21" s="13" t="s">
        <v>21</v>
      </c>
      <c r="E21" s="9"/>
      <c r="F21" s="9" t="s">
        <v>22</v>
      </c>
      <c r="G21" s="9" t="s">
        <v>23</v>
      </c>
      <c r="H21" s="13" t="s">
        <v>27</v>
      </c>
      <c r="I21" s="10" t="s">
        <v>24</v>
      </c>
      <c r="J21" s="9"/>
      <c r="K21" s="9"/>
      <c r="L21" s="9"/>
      <c r="M21" s="21"/>
      <c r="N21" s="21"/>
      <c r="O21" s="21"/>
    </row>
    <row r="22" spans="3:15" ht="6" customHeight="1" x14ac:dyDescent="0.25">
      <c r="M22" s="21"/>
      <c r="N22" s="21"/>
      <c r="O22" s="21"/>
    </row>
    <row r="23" spans="3:15" x14ac:dyDescent="0.25">
      <c r="C23" s="33" t="str">
        <f>IF(H23=1,"u","")</f>
        <v/>
      </c>
      <c r="D23" s="11" t="s">
        <v>725</v>
      </c>
      <c r="E23" s="33"/>
      <c r="F23" t="s">
        <v>594</v>
      </c>
      <c r="G23" t="s">
        <v>25</v>
      </c>
      <c r="H23">
        <f>RANK(I23,I$23:I$43,1)</f>
        <v>3</v>
      </c>
      <c r="I23" s="4">
        <v>2000125</v>
      </c>
      <c r="J23" s="4"/>
      <c r="K23" s="4"/>
      <c r="L23" s="4"/>
      <c r="M23" s="22"/>
      <c r="N23" s="22"/>
      <c r="O23" s="22"/>
    </row>
    <row r="24" spans="3:15" x14ac:dyDescent="0.25">
      <c r="C24" s="33" t="str">
        <f>IF(H24=1,"u","")</f>
        <v>u</v>
      </c>
      <c r="D24" s="11" t="s">
        <v>1040</v>
      </c>
      <c r="E24" s="33"/>
      <c r="F24" t="s">
        <v>1041</v>
      </c>
      <c r="G24" t="s">
        <v>93</v>
      </c>
      <c r="H24">
        <f>RANK(I24,I$23:I$43,1)</f>
        <v>1</v>
      </c>
      <c r="I24" s="4">
        <v>887000</v>
      </c>
      <c r="J24" s="4"/>
      <c r="K24" s="4"/>
      <c r="L24" s="4"/>
      <c r="M24" s="22"/>
      <c r="N24" s="22"/>
      <c r="O24" s="22"/>
    </row>
    <row r="25" spans="3:15" x14ac:dyDescent="0.25">
      <c r="C25" s="33" t="str">
        <f>IF(H25=1,"u","")</f>
        <v/>
      </c>
      <c r="D25" s="11" t="s">
        <v>708</v>
      </c>
      <c r="E25" s="33"/>
      <c r="F25" t="s">
        <v>709</v>
      </c>
      <c r="G25" t="s">
        <v>93</v>
      </c>
      <c r="H25">
        <f>RANK(I25,I$23:I$43,1)</f>
        <v>2</v>
      </c>
      <c r="I25" s="4">
        <v>992000</v>
      </c>
      <c r="J25" s="4"/>
      <c r="K25" s="4"/>
      <c r="L25" s="4"/>
      <c r="M25" s="22"/>
      <c r="N25" s="22"/>
      <c r="O25" s="22"/>
    </row>
    <row r="26" spans="3:15" x14ac:dyDescent="0.25">
      <c r="C26" s="33"/>
      <c r="D26" s="11"/>
      <c r="E26" s="33"/>
      <c r="I26" s="4"/>
      <c r="J26" s="4"/>
      <c r="K26" s="4"/>
      <c r="L26" s="4"/>
      <c r="M26" s="22"/>
      <c r="N26" s="22"/>
      <c r="O26" s="22"/>
    </row>
    <row r="27" spans="3:15" x14ac:dyDescent="0.25">
      <c r="C27" s="33"/>
      <c r="D27" s="11"/>
      <c r="E27" s="33"/>
      <c r="I27" s="4"/>
      <c r="J27" s="4"/>
      <c r="K27" s="4"/>
      <c r="L27" s="4"/>
      <c r="M27" s="22"/>
      <c r="N27" s="22"/>
      <c r="O27" s="22"/>
    </row>
    <row r="28" spans="3:15" x14ac:dyDescent="0.25">
      <c r="C28" s="33"/>
      <c r="D28" s="11"/>
      <c r="E28" s="33"/>
      <c r="I28" s="4"/>
      <c r="J28" s="4"/>
      <c r="K28" s="4"/>
      <c r="L28" s="4"/>
      <c r="M28" s="22"/>
      <c r="N28" s="22"/>
      <c r="O28" s="22"/>
    </row>
    <row r="29" spans="3:15" x14ac:dyDescent="0.25">
      <c r="C29" s="33" t="str">
        <f t="shared" ref="C29:C43" si="0">IF(H29=1,"u","")</f>
        <v/>
      </c>
      <c r="D29" s="11"/>
      <c r="E29" s="33"/>
      <c r="I29" s="4"/>
      <c r="J29" s="4"/>
      <c r="K29" s="4"/>
      <c r="L29" s="4"/>
      <c r="M29" s="22"/>
      <c r="N29" s="22"/>
      <c r="O29" s="22"/>
    </row>
    <row r="30" spans="3:15" x14ac:dyDescent="0.25">
      <c r="C30" s="33" t="str">
        <f t="shared" si="0"/>
        <v/>
      </c>
      <c r="D30" s="11"/>
      <c r="E30" s="33"/>
      <c r="I30" s="4"/>
      <c r="J30" s="4"/>
      <c r="K30" s="4"/>
      <c r="L30" s="4"/>
      <c r="M30" s="22"/>
      <c r="N30" s="22"/>
      <c r="O30" s="22"/>
    </row>
    <row r="31" spans="3:15" x14ac:dyDescent="0.25">
      <c r="C31" s="33" t="str">
        <f t="shared" si="0"/>
        <v/>
      </c>
      <c r="D31" s="11"/>
      <c r="E31" s="33"/>
      <c r="I31" s="4"/>
      <c r="J31" s="4"/>
      <c r="K31" s="4"/>
      <c r="L31" s="4"/>
      <c r="M31" s="22"/>
      <c r="N31" s="22"/>
      <c r="O31" s="22"/>
    </row>
    <row r="32" spans="3:15" x14ac:dyDescent="0.25">
      <c r="C32" s="33" t="str">
        <f t="shared" si="0"/>
        <v/>
      </c>
      <c r="D32" s="11"/>
      <c r="E32" s="33"/>
      <c r="I32" s="4"/>
      <c r="J32" s="4"/>
      <c r="K32" s="4"/>
      <c r="L32" s="4"/>
      <c r="M32" s="22"/>
      <c r="N32" s="22"/>
      <c r="O32" s="22"/>
    </row>
    <row r="33" spans="3:15" x14ac:dyDescent="0.25">
      <c r="C33" s="33" t="str">
        <f t="shared" si="0"/>
        <v/>
      </c>
      <c r="D33" s="11"/>
      <c r="E33" s="33"/>
      <c r="I33" s="4"/>
      <c r="M33" s="21"/>
      <c r="N33" s="21"/>
      <c r="O33" s="21"/>
    </row>
    <row r="34" spans="3:15" x14ac:dyDescent="0.25">
      <c r="C34" s="33" t="str">
        <f t="shared" si="0"/>
        <v/>
      </c>
      <c r="D34" s="11"/>
      <c r="E34" s="33" t="str">
        <f t="shared" ref="E34:E43" si="1">IF(H34=1,"t","")</f>
        <v/>
      </c>
      <c r="M34" s="21"/>
      <c r="N34" s="21"/>
      <c r="O34" s="21"/>
    </row>
    <row r="35" spans="3:15" x14ac:dyDescent="0.25">
      <c r="C35" s="33" t="str">
        <f t="shared" si="0"/>
        <v/>
      </c>
      <c r="D35" s="11"/>
      <c r="E35" s="33" t="str">
        <f t="shared" si="1"/>
        <v/>
      </c>
      <c r="M35" s="21"/>
      <c r="N35" s="21"/>
      <c r="O35" s="21"/>
    </row>
    <row r="36" spans="3:15" x14ac:dyDescent="0.25">
      <c r="C36" s="33" t="str">
        <f t="shared" si="0"/>
        <v/>
      </c>
      <c r="D36" s="11"/>
      <c r="E36" s="33" t="str">
        <f t="shared" si="1"/>
        <v/>
      </c>
      <c r="M36" s="21"/>
      <c r="N36" s="21"/>
      <c r="O36" s="21"/>
    </row>
    <row r="37" spans="3:15" x14ac:dyDescent="0.25">
      <c r="C37" s="33" t="str">
        <f t="shared" si="0"/>
        <v/>
      </c>
      <c r="D37" s="11"/>
      <c r="E37" s="33" t="str">
        <f t="shared" si="1"/>
        <v/>
      </c>
      <c r="M37" s="21"/>
      <c r="N37" s="21"/>
      <c r="O37" s="21"/>
    </row>
    <row r="38" spans="3:15" x14ac:dyDescent="0.25">
      <c r="C38" s="33" t="str">
        <f t="shared" si="0"/>
        <v/>
      </c>
      <c r="D38" s="11"/>
      <c r="E38" s="33" t="str">
        <f t="shared" si="1"/>
        <v/>
      </c>
      <c r="M38" s="21"/>
      <c r="N38" s="21"/>
      <c r="O38" s="21"/>
    </row>
    <row r="39" spans="3:15" x14ac:dyDescent="0.25">
      <c r="C39" s="33" t="str">
        <f t="shared" si="0"/>
        <v/>
      </c>
      <c r="D39" s="11"/>
      <c r="E39" s="33" t="str">
        <f t="shared" si="1"/>
        <v/>
      </c>
      <c r="M39" s="21"/>
      <c r="N39" s="21"/>
      <c r="O39" s="21"/>
    </row>
    <row r="40" spans="3:15" x14ac:dyDescent="0.25">
      <c r="C40" s="33" t="str">
        <f t="shared" si="0"/>
        <v/>
      </c>
      <c r="D40" s="11"/>
      <c r="E40" s="33" t="str">
        <f t="shared" si="1"/>
        <v/>
      </c>
      <c r="M40" s="21"/>
      <c r="N40" s="21"/>
      <c r="O40" s="21"/>
    </row>
    <row r="41" spans="3:15" x14ac:dyDescent="0.25">
      <c r="C41" s="33" t="str">
        <f t="shared" si="0"/>
        <v/>
      </c>
      <c r="D41" s="11"/>
      <c r="E41" s="33" t="str">
        <f t="shared" si="1"/>
        <v/>
      </c>
      <c r="M41" s="21"/>
      <c r="N41" s="21"/>
      <c r="O41" s="21"/>
    </row>
    <row r="42" spans="3:15" x14ac:dyDescent="0.25">
      <c r="C42" s="33" t="str">
        <f t="shared" si="0"/>
        <v/>
      </c>
      <c r="D42" s="11"/>
      <c r="E42" s="33" t="str">
        <f t="shared" si="1"/>
        <v/>
      </c>
      <c r="M42" s="21"/>
      <c r="N42" s="21"/>
      <c r="O42" s="21"/>
    </row>
    <row r="43" spans="3:15" x14ac:dyDescent="0.25">
      <c r="C43" s="33" t="str">
        <f t="shared" si="0"/>
        <v/>
      </c>
      <c r="D43" s="11"/>
      <c r="E43" s="33" t="str">
        <f t="shared" si="1"/>
        <v/>
      </c>
      <c r="M43" s="21"/>
      <c r="N43" s="21"/>
      <c r="O43" s="21"/>
    </row>
    <row r="44" spans="3:15" ht="6" customHeight="1" x14ac:dyDescent="0.25">
      <c r="C44" s="9"/>
      <c r="D44" s="9"/>
      <c r="E44" s="9"/>
      <c r="F44" s="9"/>
      <c r="G44" s="9"/>
      <c r="H44" s="9"/>
      <c r="I44" s="9"/>
      <c r="J44" s="9"/>
      <c r="K44" s="9"/>
      <c r="L44" s="9"/>
      <c r="M44" s="21"/>
      <c r="N44" s="21"/>
      <c r="O44" s="21"/>
    </row>
    <row r="45" spans="3:15" ht="6" customHeight="1" x14ac:dyDescent="0.25">
      <c r="M45" s="21"/>
      <c r="N45" s="21"/>
      <c r="O45" s="21"/>
    </row>
    <row r="46" spans="3:15" x14ac:dyDescent="0.25">
      <c r="C46" s="15" t="s">
        <v>79</v>
      </c>
      <c r="M46" s="21"/>
      <c r="N46" s="21"/>
      <c r="O46" s="21"/>
    </row>
    <row r="47" spans="3:15" x14ac:dyDescent="0.25">
      <c r="C47" s="15" t="s">
        <v>78</v>
      </c>
    </row>
  </sheetData>
  <mergeCells count="1">
    <mergeCell ref="G13:H13"/>
  </mergeCells>
  <conditionalFormatting sqref="I9">
    <cfRule type="containsText" dxfId="1837" priority="16" operator="containsText" text="FAIL">
      <formula>NOT(ISERROR(SEARCH("FAIL",I9)))</formula>
    </cfRule>
  </conditionalFormatting>
  <conditionalFormatting sqref="I9">
    <cfRule type="containsText" dxfId="1836" priority="15" operator="containsText" text="GOOD">
      <formula>NOT(ISERROR(SEARCH("GOOD",I9)))</formula>
    </cfRule>
  </conditionalFormatting>
  <conditionalFormatting sqref="F11">
    <cfRule type="containsText" dxfId="1835" priority="14" operator="containsText" text="FAIL">
      <formula>NOT(ISERROR(SEARCH("FAIL",F11)))</formula>
    </cfRule>
  </conditionalFormatting>
  <conditionalFormatting sqref="F11">
    <cfRule type="containsText" dxfId="1834" priority="13" operator="containsText" text="GOOD">
      <formula>NOT(ISERROR(SEARCH("GOOD",F11)))</formula>
    </cfRule>
  </conditionalFormatting>
  <conditionalFormatting sqref="D25">
    <cfRule type="expression" dxfId="1833" priority="12" stopIfTrue="1">
      <formula>IF($H$25=1,0)</formula>
    </cfRule>
  </conditionalFormatting>
  <conditionalFormatting sqref="D23 D29:D43 D25:D26">
    <cfRule type="expression" dxfId="1832" priority="11">
      <formula>H23=1</formula>
    </cfRule>
  </conditionalFormatting>
  <conditionalFormatting sqref="C23:C26 C29:C43">
    <cfRule type="expression" dxfId="1831" priority="10">
      <formula>H23=1</formula>
    </cfRule>
  </conditionalFormatting>
  <conditionalFormatting sqref="E23 E29:E43 E25:E26">
    <cfRule type="expression" dxfId="1830" priority="9">
      <formula>H23=1</formula>
    </cfRule>
  </conditionalFormatting>
  <conditionalFormatting sqref="F11">
    <cfRule type="containsText" dxfId="1829" priority="8" operator="containsText" text="FAIL">
      <formula>NOT(ISERROR(SEARCH("FAIL",F11)))</formula>
    </cfRule>
  </conditionalFormatting>
  <conditionalFormatting sqref="F11">
    <cfRule type="containsText" dxfId="1828" priority="7" operator="containsText" text="GOOD">
      <formula>NOT(ISERROR(SEARCH("GOOD",F11)))</formula>
    </cfRule>
  </conditionalFormatting>
  <conditionalFormatting sqref="D27:D28">
    <cfRule type="expression" dxfId="1827" priority="6">
      <formula>H27=1</formula>
    </cfRule>
  </conditionalFormatting>
  <conditionalFormatting sqref="C27:C28">
    <cfRule type="expression" dxfId="1826" priority="5">
      <formula>H27=1</formula>
    </cfRule>
  </conditionalFormatting>
  <conditionalFormatting sqref="E27:E28">
    <cfRule type="expression" dxfId="1825" priority="4">
      <formula>H27=1</formula>
    </cfRule>
  </conditionalFormatting>
  <conditionalFormatting sqref="D24">
    <cfRule type="expression" dxfId="1824" priority="3" stopIfTrue="1">
      <formula>IF($H$25=1,0)</formula>
    </cfRule>
  </conditionalFormatting>
  <conditionalFormatting sqref="D24">
    <cfRule type="expression" dxfId="1823" priority="2">
      <formula>H24=1</formula>
    </cfRule>
  </conditionalFormatting>
  <conditionalFormatting sqref="E24">
    <cfRule type="expression" dxfId="1822" priority="1">
      <formula>H24=1</formula>
    </cfRule>
  </conditionalFormatting>
  <pageMargins left="0.7" right="0.7" top="0.75" bottom="0.75" header="0.3" footer="0.3"/>
  <pageSetup scale="68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4"/>
  <dimension ref="A2:P47"/>
  <sheetViews>
    <sheetView zoomScaleNormal="100" workbookViewId="0">
      <selection activeCell="I23" sqref="I23"/>
    </sheetView>
  </sheetViews>
  <sheetFormatPr defaultRowHeight="15" x14ac:dyDescent="0.25"/>
  <cols>
    <col min="1" max="2" width="4.42578125" customWidth="1"/>
    <col min="3" max="3" width="3" customWidth="1"/>
    <col min="4" max="4" width="24.85546875" customWidth="1"/>
    <col min="5" max="5" width="3" customWidth="1"/>
    <col min="6" max="6" width="15.7109375" customWidth="1"/>
    <col min="7" max="7" width="8.5703125" customWidth="1"/>
    <col min="8" max="8" width="5.85546875" customWidth="1"/>
    <col min="9" max="15" width="15.7109375" customWidth="1"/>
  </cols>
  <sheetData>
    <row r="2" spans="1:16" x14ac:dyDescent="0.25">
      <c r="C2" s="15" t="s">
        <v>32</v>
      </c>
      <c r="E2" s="15"/>
      <c r="F2" s="15"/>
      <c r="G2" s="15" t="s">
        <v>33</v>
      </c>
      <c r="H2" s="15"/>
      <c r="I2" s="15"/>
      <c r="J2" s="15"/>
      <c r="K2" s="15"/>
    </row>
    <row r="3" spans="1:16" ht="18.75" x14ac:dyDescent="0.3">
      <c r="C3" s="3" t="s">
        <v>26</v>
      </c>
      <c r="J3" s="8" t="s">
        <v>17</v>
      </c>
      <c r="P3" s="100"/>
    </row>
    <row r="4" spans="1:16" x14ac:dyDescent="0.25">
      <c r="D4" s="2" t="s">
        <v>0</v>
      </c>
      <c r="E4" s="1"/>
      <c r="F4" t="s">
        <v>1124</v>
      </c>
      <c r="I4" s="2" t="s">
        <v>4</v>
      </c>
      <c r="J4" t="s">
        <v>616</v>
      </c>
    </row>
    <row r="5" spans="1:16" x14ac:dyDescent="0.25">
      <c r="D5" s="2" t="s">
        <v>1</v>
      </c>
      <c r="F5" t="s">
        <v>1125</v>
      </c>
    </row>
    <row r="6" spans="1:16" x14ac:dyDescent="0.25">
      <c r="D6" s="2" t="s">
        <v>2</v>
      </c>
      <c r="F6" s="6">
        <v>43053</v>
      </c>
      <c r="H6" s="11"/>
    </row>
    <row r="7" spans="1:16" x14ac:dyDescent="0.25">
      <c r="D7" s="2" t="s">
        <v>3</v>
      </c>
      <c r="F7" s="5">
        <v>820000</v>
      </c>
      <c r="G7" s="2" t="s">
        <v>693</v>
      </c>
      <c r="H7" s="11"/>
    </row>
    <row r="8" spans="1:16" x14ac:dyDescent="0.25">
      <c r="D8" s="2" t="s">
        <v>18</v>
      </c>
      <c r="F8" s="5">
        <f>MIN(I23:I43)</f>
        <v>861500</v>
      </c>
      <c r="H8" s="11"/>
    </row>
    <row r="9" spans="1:16" x14ac:dyDescent="0.25">
      <c r="D9" s="2" t="s">
        <v>67</v>
      </c>
      <c r="F9" s="4">
        <f>+F8-F7</f>
        <v>41500</v>
      </c>
      <c r="G9" s="16">
        <f>+F9/F7</f>
        <v>5.0609756097560979E-2</v>
      </c>
      <c r="H9" s="12" t="s">
        <v>20</v>
      </c>
      <c r="I9" s="11" t="str">
        <f>(IF(G9&lt;-0.1,"FAIL",IF(G9&gt;0.05,"FAIL","GOOD")))</f>
        <v>FAIL</v>
      </c>
      <c r="J9" s="14" t="s">
        <v>72</v>
      </c>
    </row>
    <row r="10" spans="1:16" x14ac:dyDescent="0.25">
      <c r="D10" s="2" t="s">
        <v>68</v>
      </c>
      <c r="F10" s="4">
        <f>+F7-F12</f>
        <v>-935273.5</v>
      </c>
      <c r="H10" s="11"/>
    </row>
    <row r="11" spans="1:16" x14ac:dyDescent="0.25">
      <c r="A11" s="52"/>
      <c r="D11" s="2" t="s">
        <v>71</v>
      </c>
      <c r="F11" s="11" t="str">
        <f>(IF(F7&lt;J12,"FAIL",IF(F7&gt;J13,"FAIL","GOOD")))</f>
        <v>GOOD</v>
      </c>
      <c r="H11" s="11"/>
    </row>
    <row r="12" spans="1:16" x14ac:dyDescent="0.25">
      <c r="D12" s="2" t="s">
        <v>28</v>
      </c>
      <c r="F12" s="4">
        <f>SUM(I23:I43)/H12</f>
        <v>1755273.5</v>
      </c>
      <c r="G12" s="14"/>
      <c r="H12" s="11">
        <f>COUNT(I23:I43)</f>
        <v>4</v>
      </c>
      <c r="I12" s="1" t="s">
        <v>31</v>
      </c>
      <c r="J12" s="4">
        <f>+F8*0.9</f>
        <v>775350</v>
      </c>
      <c r="K12" s="1" t="s">
        <v>69</v>
      </c>
    </row>
    <row r="13" spans="1:16" x14ac:dyDescent="0.25">
      <c r="D13" s="2" t="s">
        <v>29</v>
      </c>
      <c r="F13" s="4">
        <f>MAX(I23:I43)-MIN(I23:I43)</f>
        <v>2929500</v>
      </c>
      <c r="G13" s="399">
        <f>MEDIAN(I23:I43)</f>
        <v>1184297</v>
      </c>
      <c r="H13" s="400"/>
      <c r="I13" s="1" t="s">
        <v>30</v>
      </c>
      <c r="J13" s="4">
        <f>+F12*1.1</f>
        <v>1930800.85</v>
      </c>
      <c r="K13" s="1" t="s">
        <v>70</v>
      </c>
    </row>
    <row r="14" spans="1:16" x14ac:dyDescent="0.25">
      <c r="H14" s="11"/>
    </row>
    <row r="15" spans="1:16" x14ac:dyDescent="0.25">
      <c r="D15" s="2" t="s">
        <v>8</v>
      </c>
      <c r="F15" s="4"/>
      <c r="G15" s="1" t="s">
        <v>9</v>
      </c>
      <c r="H15" s="11"/>
      <c r="I15" t="s">
        <v>15</v>
      </c>
      <c r="J15" s="7" t="e">
        <f>+F16/F15</f>
        <v>#DIV/0!</v>
      </c>
    </row>
    <row r="16" spans="1:16" x14ac:dyDescent="0.25">
      <c r="F16" s="4"/>
      <c r="G16" s="1" t="s">
        <v>10</v>
      </c>
      <c r="H16" s="11"/>
      <c r="I16" t="s">
        <v>14</v>
      </c>
      <c r="J16" s="7" t="e">
        <f>+F17/F16</f>
        <v>#DIV/0!</v>
      </c>
    </row>
    <row r="17" spans="3:15" x14ac:dyDescent="0.25">
      <c r="F17" s="4"/>
      <c r="G17" s="1" t="s">
        <v>11</v>
      </c>
      <c r="H17" s="11"/>
      <c r="I17" t="s">
        <v>13</v>
      </c>
      <c r="J17" s="7" t="e">
        <f>+F18/F17</f>
        <v>#DIV/0!</v>
      </c>
      <c r="M17" s="21"/>
      <c r="N17" s="21"/>
      <c r="O17" s="21"/>
    </row>
    <row r="18" spans="3:15" x14ac:dyDescent="0.25">
      <c r="F18" s="4"/>
      <c r="G18" s="1" t="s">
        <v>12</v>
      </c>
      <c r="H18" s="11"/>
      <c r="I18" t="s">
        <v>16</v>
      </c>
      <c r="J18" s="7" t="e">
        <f>+F8/F18</f>
        <v>#DIV/0!</v>
      </c>
      <c r="M18" s="21"/>
      <c r="N18" s="21"/>
      <c r="O18" s="21"/>
    </row>
    <row r="19" spans="3:15" x14ac:dyDescent="0.25">
      <c r="F19" s="2" t="s">
        <v>51</v>
      </c>
      <c r="G19">
        <v>0</v>
      </c>
      <c r="H19" s="11" t="s">
        <v>52</v>
      </c>
      <c r="I19" t="s">
        <v>41</v>
      </c>
      <c r="J19" s="7" t="e">
        <f>+F8/F15</f>
        <v>#DIV/0!</v>
      </c>
      <c r="M19" s="21"/>
      <c r="N19" s="21"/>
      <c r="O19" s="21"/>
    </row>
    <row r="20" spans="3:15" x14ac:dyDescent="0.25">
      <c r="H20" s="11"/>
      <c r="M20" s="21"/>
      <c r="N20" s="21"/>
      <c r="O20" s="21"/>
    </row>
    <row r="21" spans="3:15" x14ac:dyDescent="0.25">
      <c r="C21" s="9"/>
      <c r="D21" s="13" t="s">
        <v>21</v>
      </c>
      <c r="E21" s="9"/>
      <c r="F21" s="9" t="s">
        <v>22</v>
      </c>
      <c r="G21" s="9" t="s">
        <v>23</v>
      </c>
      <c r="H21" s="13" t="s">
        <v>27</v>
      </c>
      <c r="I21" s="10" t="s">
        <v>24</v>
      </c>
      <c r="J21" s="9"/>
      <c r="K21" s="9"/>
      <c r="L21" s="9"/>
      <c r="M21" s="21"/>
      <c r="N21" s="21"/>
      <c r="O21" s="21"/>
    </row>
    <row r="22" spans="3:15" ht="6" customHeight="1" x14ac:dyDescent="0.25">
      <c r="M22" s="21"/>
      <c r="N22" s="21"/>
      <c r="O22" s="21"/>
    </row>
    <row r="23" spans="3:15" x14ac:dyDescent="0.25">
      <c r="C23" s="33" t="str">
        <f>IF(H23=1,"u","")</f>
        <v/>
      </c>
      <c r="D23" s="11" t="s">
        <v>1126</v>
      </c>
      <c r="E23" s="33"/>
      <c r="F23" t="s">
        <v>943</v>
      </c>
      <c r="G23" t="s">
        <v>25</v>
      </c>
      <c r="H23">
        <f>RANK(I23,I$23:I$43,1)</f>
        <v>2</v>
      </c>
      <c r="I23" s="4">
        <v>877300</v>
      </c>
      <c r="J23" s="4"/>
      <c r="K23" s="4"/>
      <c r="L23" s="4"/>
      <c r="M23" s="22"/>
      <c r="N23" s="22"/>
      <c r="O23" s="22"/>
    </row>
    <row r="24" spans="3:15" x14ac:dyDescent="0.25">
      <c r="C24" s="33" t="str">
        <f>IF(H24=1,"u","")</f>
        <v/>
      </c>
      <c r="D24" s="11" t="s">
        <v>725</v>
      </c>
      <c r="E24" s="33"/>
      <c r="F24" t="s">
        <v>594</v>
      </c>
      <c r="G24" t="s">
        <v>25</v>
      </c>
      <c r="H24">
        <f>RANK(I24,I$23:I$43,1)</f>
        <v>4</v>
      </c>
      <c r="I24" s="4">
        <v>3791000</v>
      </c>
      <c r="J24" s="4"/>
      <c r="K24" s="4"/>
      <c r="L24" s="4"/>
      <c r="M24" s="22"/>
      <c r="N24" s="22"/>
      <c r="O24" s="22"/>
    </row>
    <row r="25" spans="3:15" x14ac:dyDescent="0.25">
      <c r="C25" s="33" t="str">
        <f>IF(H25=1,"u","")</f>
        <v/>
      </c>
      <c r="D25" s="11" t="s">
        <v>708</v>
      </c>
      <c r="E25" s="33"/>
      <c r="F25" t="s">
        <v>709</v>
      </c>
      <c r="G25" t="s">
        <v>93</v>
      </c>
      <c r="H25">
        <f>RANK(I25,I$23:I$43,1)</f>
        <v>3</v>
      </c>
      <c r="I25" s="4">
        <v>1491294</v>
      </c>
      <c r="J25" s="4"/>
      <c r="K25" s="4"/>
      <c r="L25" s="4"/>
      <c r="M25" s="22"/>
      <c r="N25" s="22"/>
      <c r="O25" s="22"/>
    </row>
    <row r="26" spans="3:15" x14ac:dyDescent="0.25">
      <c r="C26" s="33"/>
      <c r="D26" s="11" t="s">
        <v>710</v>
      </c>
      <c r="E26" s="33"/>
      <c r="F26" t="s">
        <v>386</v>
      </c>
      <c r="G26" t="s">
        <v>25</v>
      </c>
      <c r="H26">
        <f>RANK(I26,I$23:I$43,1)</f>
        <v>1</v>
      </c>
      <c r="I26" s="4">
        <v>861500</v>
      </c>
      <c r="J26" s="4"/>
      <c r="K26" s="4"/>
      <c r="L26" s="4"/>
      <c r="M26" s="22"/>
      <c r="N26" s="22"/>
      <c r="O26" s="22"/>
    </row>
    <row r="27" spans="3:15" x14ac:dyDescent="0.25">
      <c r="C27" s="33"/>
      <c r="D27" s="11"/>
      <c r="E27" s="33"/>
      <c r="I27" s="4"/>
      <c r="J27" s="4"/>
      <c r="K27" s="4"/>
      <c r="L27" s="4"/>
      <c r="M27" s="22"/>
      <c r="N27" s="22"/>
      <c r="O27" s="22"/>
    </row>
    <row r="28" spans="3:15" x14ac:dyDescent="0.25">
      <c r="C28" s="33"/>
      <c r="D28" s="11"/>
      <c r="E28" s="33"/>
      <c r="I28" s="4"/>
      <c r="J28" s="4"/>
      <c r="K28" s="4"/>
      <c r="L28" s="4"/>
      <c r="M28" s="22"/>
      <c r="N28" s="22"/>
      <c r="O28" s="22"/>
    </row>
    <row r="29" spans="3:15" x14ac:dyDescent="0.25">
      <c r="C29" s="33" t="str">
        <f t="shared" ref="C29:C43" si="0">IF(H29=1,"u","")</f>
        <v/>
      </c>
      <c r="D29" s="11"/>
      <c r="E29" s="33"/>
      <c r="I29" s="4"/>
      <c r="J29" s="4"/>
      <c r="K29" s="4"/>
      <c r="L29" s="4"/>
      <c r="M29" s="22"/>
      <c r="N29" s="22"/>
      <c r="O29" s="22"/>
    </row>
    <row r="30" spans="3:15" x14ac:dyDescent="0.25">
      <c r="C30" s="33" t="str">
        <f t="shared" si="0"/>
        <v/>
      </c>
      <c r="D30" s="11"/>
      <c r="E30" s="33"/>
      <c r="I30" s="4"/>
      <c r="J30" s="4"/>
      <c r="K30" s="4"/>
      <c r="L30" s="4"/>
      <c r="M30" s="22"/>
      <c r="N30" s="22"/>
      <c r="O30" s="22"/>
    </row>
    <row r="31" spans="3:15" x14ac:dyDescent="0.25">
      <c r="C31" s="33" t="str">
        <f t="shared" si="0"/>
        <v/>
      </c>
      <c r="D31" s="11"/>
      <c r="E31" s="33"/>
      <c r="I31" s="4"/>
      <c r="J31" s="4"/>
      <c r="K31" s="4"/>
      <c r="L31" s="4"/>
      <c r="M31" s="22"/>
      <c r="N31" s="22"/>
      <c r="O31" s="22"/>
    </row>
    <row r="32" spans="3:15" x14ac:dyDescent="0.25">
      <c r="C32" s="33" t="str">
        <f t="shared" si="0"/>
        <v/>
      </c>
      <c r="D32" s="11"/>
      <c r="E32" s="33"/>
      <c r="I32" s="4"/>
      <c r="J32" s="4"/>
      <c r="K32" s="4"/>
      <c r="L32" s="4"/>
      <c r="M32" s="22"/>
      <c r="N32" s="22"/>
      <c r="O32" s="22"/>
    </row>
    <row r="33" spans="3:15" x14ac:dyDescent="0.25">
      <c r="C33" s="33" t="str">
        <f t="shared" si="0"/>
        <v/>
      </c>
      <c r="D33" s="11"/>
      <c r="E33" s="33"/>
      <c r="I33" s="4"/>
      <c r="M33" s="21"/>
      <c r="N33" s="21"/>
      <c r="O33" s="21"/>
    </row>
    <row r="34" spans="3:15" x14ac:dyDescent="0.25">
      <c r="C34" s="33" t="str">
        <f t="shared" si="0"/>
        <v/>
      </c>
      <c r="D34" s="11"/>
      <c r="E34" s="33"/>
      <c r="I34" s="4"/>
      <c r="M34" s="21"/>
      <c r="N34" s="21"/>
      <c r="O34" s="21"/>
    </row>
    <row r="35" spans="3:15" x14ac:dyDescent="0.25">
      <c r="C35" s="33" t="str">
        <f t="shared" si="0"/>
        <v/>
      </c>
      <c r="D35" s="11"/>
      <c r="E35" s="33"/>
      <c r="I35" s="4"/>
      <c r="M35" s="21"/>
      <c r="N35" s="21"/>
      <c r="O35" s="21"/>
    </row>
    <row r="36" spans="3:15" x14ac:dyDescent="0.25">
      <c r="C36" s="33" t="str">
        <f t="shared" si="0"/>
        <v/>
      </c>
      <c r="D36" s="11"/>
      <c r="E36" s="33" t="str">
        <f t="shared" ref="E36:E43" si="1">IF(H36=1,"t","")</f>
        <v/>
      </c>
      <c r="M36" s="21"/>
      <c r="N36" s="21"/>
      <c r="O36" s="21"/>
    </row>
    <row r="37" spans="3:15" x14ac:dyDescent="0.25">
      <c r="C37" s="33" t="str">
        <f t="shared" si="0"/>
        <v/>
      </c>
      <c r="D37" s="11"/>
      <c r="E37" s="33" t="str">
        <f t="shared" si="1"/>
        <v/>
      </c>
      <c r="M37" s="21"/>
      <c r="N37" s="21"/>
      <c r="O37" s="21"/>
    </row>
    <row r="38" spans="3:15" x14ac:dyDescent="0.25">
      <c r="C38" s="33" t="str">
        <f t="shared" si="0"/>
        <v/>
      </c>
      <c r="D38" s="11"/>
      <c r="E38" s="33" t="str">
        <f t="shared" si="1"/>
        <v/>
      </c>
      <c r="M38" s="21"/>
      <c r="N38" s="21"/>
      <c r="O38" s="21"/>
    </row>
    <row r="39" spans="3:15" x14ac:dyDescent="0.25">
      <c r="C39" s="33" t="str">
        <f t="shared" si="0"/>
        <v/>
      </c>
      <c r="D39" s="11"/>
      <c r="E39" s="33" t="str">
        <f t="shared" si="1"/>
        <v/>
      </c>
      <c r="M39" s="21"/>
      <c r="N39" s="21"/>
      <c r="O39" s="21"/>
    </row>
    <row r="40" spans="3:15" x14ac:dyDescent="0.25">
      <c r="C40" s="33" t="str">
        <f t="shared" si="0"/>
        <v/>
      </c>
      <c r="D40" s="11"/>
      <c r="E40" s="33" t="str">
        <f t="shared" si="1"/>
        <v/>
      </c>
      <c r="M40" s="21"/>
      <c r="N40" s="21"/>
      <c r="O40" s="21"/>
    </row>
    <row r="41" spans="3:15" x14ac:dyDescent="0.25">
      <c r="C41" s="33" t="str">
        <f t="shared" si="0"/>
        <v/>
      </c>
      <c r="D41" s="11"/>
      <c r="E41" s="33" t="str">
        <f t="shared" si="1"/>
        <v/>
      </c>
      <c r="M41" s="21"/>
      <c r="N41" s="21"/>
      <c r="O41" s="21"/>
    </row>
    <row r="42" spans="3:15" x14ac:dyDescent="0.25">
      <c r="C42" s="33" t="str">
        <f t="shared" si="0"/>
        <v/>
      </c>
      <c r="D42" s="11"/>
      <c r="E42" s="33" t="str">
        <f t="shared" si="1"/>
        <v/>
      </c>
      <c r="M42" s="21"/>
      <c r="N42" s="21"/>
      <c r="O42" s="21"/>
    </row>
    <row r="43" spans="3:15" x14ac:dyDescent="0.25">
      <c r="C43" s="33" t="str">
        <f t="shared" si="0"/>
        <v/>
      </c>
      <c r="D43" s="11"/>
      <c r="E43" s="33" t="str">
        <f t="shared" si="1"/>
        <v/>
      </c>
      <c r="M43" s="21"/>
      <c r="N43" s="21"/>
      <c r="O43" s="21"/>
    </row>
    <row r="44" spans="3:15" ht="6" customHeight="1" x14ac:dyDescent="0.25">
      <c r="C44" s="9"/>
      <c r="D44" s="9"/>
      <c r="E44" s="9"/>
      <c r="F44" s="9"/>
      <c r="G44" s="9"/>
      <c r="H44" s="9"/>
      <c r="I44" s="9"/>
      <c r="J44" s="9"/>
      <c r="K44" s="9"/>
      <c r="L44" s="9"/>
      <c r="M44" s="21"/>
      <c r="N44" s="21"/>
      <c r="O44" s="21"/>
    </row>
    <row r="45" spans="3:15" ht="6" customHeight="1" x14ac:dyDescent="0.25">
      <c r="M45" s="21"/>
      <c r="N45" s="21"/>
      <c r="O45" s="21"/>
    </row>
    <row r="46" spans="3:15" x14ac:dyDescent="0.25">
      <c r="C46" s="15" t="s">
        <v>79</v>
      </c>
      <c r="M46" s="21"/>
      <c r="N46" s="21"/>
      <c r="O46" s="21"/>
    </row>
    <row r="47" spans="3:15" x14ac:dyDescent="0.25">
      <c r="C47" s="15" t="s">
        <v>78</v>
      </c>
    </row>
  </sheetData>
  <mergeCells count="1">
    <mergeCell ref="G13:H13"/>
  </mergeCells>
  <conditionalFormatting sqref="I9">
    <cfRule type="containsText" dxfId="2261" priority="18" operator="containsText" text="FAIL">
      <formula>NOT(ISERROR(SEARCH("FAIL",I9)))</formula>
    </cfRule>
  </conditionalFormatting>
  <conditionalFormatting sqref="I9">
    <cfRule type="containsText" dxfId="2260" priority="17" operator="containsText" text="GOOD">
      <formula>NOT(ISERROR(SEARCH("GOOD",I9)))</formula>
    </cfRule>
  </conditionalFormatting>
  <conditionalFormatting sqref="F11">
    <cfRule type="containsText" dxfId="2259" priority="16" operator="containsText" text="FAIL">
      <formula>NOT(ISERROR(SEARCH("FAIL",F11)))</formula>
    </cfRule>
  </conditionalFormatting>
  <conditionalFormatting sqref="F11">
    <cfRule type="containsText" dxfId="2258" priority="15" operator="containsText" text="GOOD">
      <formula>NOT(ISERROR(SEARCH("GOOD",F11)))</formula>
    </cfRule>
  </conditionalFormatting>
  <conditionalFormatting sqref="D25">
    <cfRule type="expression" dxfId="2257" priority="14" stopIfTrue="1">
      <formula>IF($H$25=1,0)</formula>
    </cfRule>
  </conditionalFormatting>
  <conditionalFormatting sqref="D23 D29:D43 D25">
    <cfRule type="expression" dxfId="2256" priority="13">
      <formula>H23=1</formula>
    </cfRule>
  </conditionalFormatting>
  <conditionalFormatting sqref="C23:C26 C29:C43">
    <cfRule type="expression" dxfId="2255" priority="12">
      <formula>H23=1</formula>
    </cfRule>
  </conditionalFormatting>
  <conditionalFormatting sqref="E23 E29:E43 E25">
    <cfRule type="expression" dxfId="2254" priority="11">
      <formula>H23=1</formula>
    </cfRule>
  </conditionalFormatting>
  <conditionalFormatting sqref="F11">
    <cfRule type="containsText" dxfId="2253" priority="10" operator="containsText" text="FAIL">
      <formula>NOT(ISERROR(SEARCH("FAIL",F11)))</formula>
    </cfRule>
  </conditionalFormatting>
  <conditionalFormatting sqref="F11">
    <cfRule type="containsText" dxfId="2252" priority="9" operator="containsText" text="GOOD">
      <formula>NOT(ISERROR(SEARCH("GOOD",F11)))</formula>
    </cfRule>
  </conditionalFormatting>
  <conditionalFormatting sqref="D27:D28">
    <cfRule type="expression" dxfId="2251" priority="8">
      <formula>H27=1</formula>
    </cfRule>
  </conditionalFormatting>
  <conditionalFormatting sqref="C27:C28">
    <cfRule type="expression" dxfId="2250" priority="7">
      <formula>H27=1</formula>
    </cfRule>
  </conditionalFormatting>
  <conditionalFormatting sqref="E27:E28">
    <cfRule type="expression" dxfId="2249" priority="6">
      <formula>H27=1</formula>
    </cfRule>
  </conditionalFormatting>
  <conditionalFormatting sqref="D24">
    <cfRule type="expression" dxfId="2248" priority="5" stopIfTrue="1">
      <formula>IF($H$25=1,0)</formula>
    </cfRule>
  </conditionalFormatting>
  <conditionalFormatting sqref="D24">
    <cfRule type="expression" dxfId="2247" priority="4">
      <formula>H24=1</formula>
    </cfRule>
  </conditionalFormatting>
  <conditionalFormatting sqref="E24">
    <cfRule type="expression" dxfId="2246" priority="3">
      <formula>H24=1</formula>
    </cfRule>
  </conditionalFormatting>
  <conditionalFormatting sqref="D26">
    <cfRule type="expression" dxfId="2245" priority="2">
      <formula>H26=1</formula>
    </cfRule>
  </conditionalFormatting>
  <conditionalFormatting sqref="E26">
    <cfRule type="expression" dxfId="2244" priority="1">
      <formula>H26=1</formula>
    </cfRule>
  </conditionalFormatting>
  <pageMargins left="0.7" right="0.7" top="0.75" bottom="0.75" header="0.3" footer="0.3"/>
  <pageSetup scale="68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Sheet30"/>
  <dimension ref="A2:P47"/>
  <sheetViews>
    <sheetView zoomScaleNormal="100" workbookViewId="0">
      <selection activeCell="J25" sqref="J25"/>
    </sheetView>
  </sheetViews>
  <sheetFormatPr defaultRowHeight="15" x14ac:dyDescent="0.25"/>
  <cols>
    <col min="1" max="2" width="4.42578125" customWidth="1"/>
    <col min="3" max="3" width="3" customWidth="1"/>
    <col min="4" max="4" width="24.85546875" customWidth="1"/>
    <col min="5" max="5" width="3" customWidth="1"/>
    <col min="6" max="6" width="15.7109375" customWidth="1"/>
    <col min="7" max="7" width="8.5703125" customWidth="1"/>
    <col min="8" max="8" width="5.85546875" customWidth="1"/>
    <col min="9" max="15" width="15.7109375" customWidth="1"/>
  </cols>
  <sheetData>
    <row r="2" spans="1:16" x14ac:dyDescent="0.25">
      <c r="C2" s="15" t="s">
        <v>32</v>
      </c>
      <c r="E2" s="15"/>
      <c r="F2" s="15"/>
      <c r="G2" s="15" t="s">
        <v>33</v>
      </c>
      <c r="H2" s="15"/>
      <c r="I2" s="15"/>
      <c r="J2" s="15"/>
      <c r="K2" s="15"/>
    </row>
    <row r="3" spans="1:16" ht="18.75" x14ac:dyDescent="0.3">
      <c r="C3" s="3" t="s">
        <v>26</v>
      </c>
      <c r="J3" s="8" t="s">
        <v>17</v>
      </c>
      <c r="P3" s="100"/>
    </row>
    <row r="4" spans="1:16" x14ac:dyDescent="0.25">
      <c r="D4" s="2" t="s">
        <v>0</v>
      </c>
      <c r="E4" s="1"/>
      <c r="F4" t="s">
        <v>1099</v>
      </c>
      <c r="I4" s="2" t="s">
        <v>4</v>
      </c>
      <c r="J4" t="s">
        <v>616</v>
      </c>
    </row>
    <row r="5" spans="1:16" x14ac:dyDescent="0.25">
      <c r="D5" s="2" t="s">
        <v>1</v>
      </c>
      <c r="F5" t="s">
        <v>1100</v>
      </c>
    </row>
    <row r="6" spans="1:16" x14ac:dyDescent="0.25">
      <c r="D6" s="2" t="s">
        <v>2</v>
      </c>
      <c r="F6" s="6">
        <v>43025</v>
      </c>
      <c r="H6" s="11"/>
    </row>
    <row r="7" spans="1:16" x14ac:dyDescent="0.25">
      <c r="D7" s="2" t="s">
        <v>3</v>
      </c>
      <c r="F7" s="5">
        <v>3000000</v>
      </c>
      <c r="G7" s="2" t="s">
        <v>34</v>
      </c>
      <c r="H7" s="11"/>
    </row>
    <row r="8" spans="1:16" x14ac:dyDescent="0.25">
      <c r="D8" s="2" t="s">
        <v>18</v>
      </c>
      <c r="F8" s="5">
        <f>MIN(I23:I43)</f>
        <v>2812500</v>
      </c>
      <c r="H8" s="11"/>
    </row>
    <row r="9" spans="1:16" x14ac:dyDescent="0.25">
      <c r="D9" s="2" t="s">
        <v>67</v>
      </c>
      <c r="F9" s="4">
        <f>+F8-F7</f>
        <v>-187500</v>
      </c>
      <c r="G9" s="16">
        <f>+F9/F7</f>
        <v>-6.25E-2</v>
      </c>
      <c r="H9" s="12" t="s">
        <v>20</v>
      </c>
      <c r="I9" s="11" t="str">
        <f>(IF(G9&lt;-0.1,"FAIL",IF(G9&gt;0.05,"FAIL","GOOD")))</f>
        <v>GOOD</v>
      </c>
      <c r="J9" s="14" t="s">
        <v>72</v>
      </c>
    </row>
    <row r="10" spans="1:16" x14ac:dyDescent="0.25">
      <c r="D10" s="2" t="s">
        <v>68</v>
      </c>
      <c r="F10" s="4">
        <f>+F7-F12</f>
        <v>-481750</v>
      </c>
      <c r="H10" s="11"/>
    </row>
    <row r="11" spans="1:16" x14ac:dyDescent="0.25">
      <c r="A11" s="52"/>
      <c r="D11" s="2" t="s">
        <v>71</v>
      </c>
      <c r="F11" s="11" t="str">
        <f>(IF(F7&lt;J12,"FAIL",IF(F7&gt;J13,"FAIL","GOOD")))</f>
        <v>GOOD</v>
      </c>
      <c r="H11" s="11"/>
    </row>
    <row r="12" spans="1:16" x14ac:dyDescent="0.25">
      <c r="D12" s="2" t="s">
        <v>28</v>
      </c>
      <c r="F12" s="4">
        <f>SUM(I23:I43)/H12</f>
        <v>3481750</v>
      </c>
      <c r="G12" s="14"/>
      <c r="H12" s="11">
        <f>COUNT(I23:I43)</f>
        <v>2</v>
      </c>
      <c r="I12" s="1" t="s">
        <v>31</v>
      </c>
      <c r="J12" s="4">
        <f>+F8*0.9</f>
        <v>2531250</v>
      </c>
      <c r="K12" s="1" t="s">
        <v>69</v>
      </c>
    </row>
    <row r="13" spans="1:16" x14ac:dyDescent="0.25">
      <c r="D13" s="2" t="s">
        <v>29</v>
      </c>
      <c r="F13" s="4">
        <f>MAX(I23:I43)-MIN(I23:I43)</f>
        <v>1338500</v>
      </c>
      <c r="G13" s="399">
        <f>MEDIAN(I23:I43)</f>
        <v>3481750</v>
      </c>
      <c r="H13" s="400"/>
      <c r="I13" s="1" t="s">
        <v>30</v>
      </c>
      <c r="J13" s="4">
        <f>+F12*1.1</f>
        <v>3829925.0000000005</v>
      </c>
      <c r="K13" s="1" t="s">
        <v>70</v>
      </c>
    </row>
    <row r="14" spans="1:16" x14ac:dyDescent="0.25">
      <c r="H14" s="11"/>
    </row>
    <row r="15" spans="1:16" x14ac:dyDescent="0.25">
      <c r="D15" s="2" t="s">
        <v>8</v>
      </c>
      <c r="F15" s="4"/>
      <c r="G15" s="1" t="s">
        <v>9</v>
      </c>
      <c r="H15" s="11"/>
      <c r="I15" t="s">
        <v>15</v>
      </c>
      <c r="J15" s="7" t="e">
        <f>+F16/F15</f>
        <v>#DIV/0!</v>
      </c>
    </row>
    <row r="16" spans="1:16" x14ac:dyDescent="0.25">
      <c r="F16" s="4"/>
      <c r="G16" s="1" t="s">
        <v>10</v>
      </c>
      <c r="H16" s="11"/>
      <c r="I16" t="s">
        <v>14</v>
      </c>
      <c r="J16" s="7" t="e">
        <f>+F17/F16</f>
        <v>#DIV/0!</v>
      </c>
    </row>
    <row r="17" spans="3:15" x14ac:dyDescent="0.25">
      <c r="F17" s="4"/>
      <c r="G17" s="1" t="s">
        <v>11</v>
      </c>
      <c r="H17" s="11"/>
      <c r="I17" t="s">
        <v>13</v>
      </c>
      <c r="J17" s="7" t="e">
        <f>+F18/F17</f>
        <v>#DIV/0!</v>
      </c>
      <c r="M17" s="21"/>
      <c r="N17" s="21"/>
      <c r="O17" s="21"/>
    </row>
    <row r="18" spans="3:15" x14ac:dyDescent="0.25">
      <c r="F18" s="4"/>
      <c r="G18" s="1" t="s">
        <v>12</v>
      </c>
      <c r="H18" s="11"/>
      <c r="I18" t="s">
        <v>16</v>
      </c>
      <c r="J18" s="7" t="e">
        <f>+F8/F18</f>
        <v>#DIV/0!</v>
      </c>
      <c r="M18" s="21"/>
      <c r="N18" s="21"/>
      <c r="O18" s="21"/>
    </row>
    <row r="19" spans="3:15" x14ac:dyDescent="0.25">
      <c r="F19" s="2" t="s">
        <v>51</v>
      </c>
      <c r="G19">
        <v>0</v>
      </c>
      <c r="H19" s="11" t="s">
        <v>52</v>
      </c>
      <c r="I19" t="s">
        <v>41</v>
      </c>
      <c r="J19" s="7" t="e">
        <f>+F8/F15</f>
        <v>#DIV/0!</v>
      </c>
      <c r="M19" s="21"/>
      <c r="N19" s="21"/>
      <c r="O19" s="21"/>
    </row>
    <row r="20" spans="3:15" x14ac:dyDescent="0.25">
      <c r="H20" s="11"/>
      <c r="M20" s="21"/>
      <c r="N20" s="21"/>
      <c r="O20" s="21"/>
    </row>
    <row r="21" spans="3:15" x14ac:dyDescent="0.25">
      <c r="C21" s="9"/>
      <c r="D21" s="13" t="s">
        <v>21</v>
      </c>
      <c r="E21" s="9"/>
      <c r="F21" s="9" t="s">
        <v>22</v>
      </c>
      <c r="G21" s="9" t="s">
        <v>23</v>
      </c>
      <c r="H21" s="13" t="s">
        <v>27</v>
      </c>
      <c r="I21" s="10" t="s">
        <v>24</v>
      </c>
      <c r="J21" s="9"/>
      <c r="K21" s="9"/>
      <c r="L21" s="9"/>
      <c r="M21" s="21"/>
      <c r="N21" s="21"/>
      <c r="O21" s="21"/>
    </row>
    <row r="22" spans="3:15" ht="6" customHeight="1" x14ac:dyDescent="0.25">
      <c r="M22" s="21"/>
      <c r="N22" s="21"/>
      <c r="O22" s="21"/>
    </row>
    <row r="23" spans="3:15" x14ac:dyDescent="0.25">
      <c r="C23" s="33" t="str">
        <f>IF(H23=1,"u","")</f>
        <v>u</v>
      </c>
      <c r="D23" s="11" t="s">
        <v>824</v>
      </c>
      <c r="E23" s="33"/>
      <c r="F23" t="s">
        <v>186</v>
      </c>
      <c r="G23" t="s">
        <v>25</v>
      </c>
      <c r="H23">
        <f>RANK(I23,I$23:I$43,1)</f>
        <v>1</v>
      </c>
      <c r="I23" s="4">
        <v>2812500</v>
      </c>
      <c r="J23" s="4"/>
      <c r="K23" s="4"/>
      <c r="L23" s="4"/>
      <c r="M23" s="22"/>
      <c r="N23" s="22"/>
      <c r="O23" s="22"/>
    </row>
    <row r="24" spans="3:15" x14ac:dyDescent="0.25">
      <c r="C24" s="33" t="str">
        <f>IF(H24=1,"u","")</f>
        <v/>
      </c>
      <c r="D24" s="11" t="s">
        <v>907</v>
      </c>
      <c r="E24" s="33"/>
      <c r="F24" t="s">
        <v>312</v>
      </c>
      <c r="G24" t="s">
        <v>25</v>
      </c>
      <c r="H24">
        <f>RANK(I24,I$23:I$43,1)</f>
        <v>2</v>
      </c>
      <c r="I24" s="4">
        <v>4151000</v>
      </c>
      <c r="J24" s="4"/>
      <c r="K24" s="4"/>
      <c r="L24" s="4"/>
      <c r="M24" s="22"/>
      <c r="N24" s="22"/>
      <c r="O24" s="22"/>
    </row>
    <row r="25" spans="3:15" x14ac:dyDescent="0.25">
      <c r="C25" s="33" t="str">
        <f>IF(H25=1,"u","")</f>
        <v/>
      </c>
      <c r="D25" s="11"/>
      <c r="E25" s="33"/>
      <c r="I25" s="4"/>
      <c r="J25" s="4"/>
      <c r="K25" s="4"/>
      <c r="L25" s="4"/>
      <c r="M25" s="22"/>
      <c r="N25" s="22"/>
      <c r="O25" s="22"/>
    </row>
    <row r="26" spans="3:15" x14ac:dyDescent="0.25">
      <c r="C26" s="33"/>
      <c r="D26" s="11"/>
      <c r="E26" s="33"/>
      <c r="I26" s="4"/>
      <c r="J26" s="4"/>
      <c r="K26" s="4"/>
      <c r="L26" s="4"/>
      <c r="M26" s="22"/>
      <c r="N26" s="22"/>
      <c r="O26" s="22"/>
    </row>
    <row r="27" spans="3:15" x14ac:dyDescent="0.25">
      <c r="C27" s="33"/>
      <c r="D27" s="11"/>
      <c r="E27" s="33"/>
      <c r="I27" s="4"/>
      <c r="J27" s="4"/>
      <c r="K27" s="4"/>
      <c r="L27" s="4"/>
      <c r="M27" s="22"/>
      <c r="N27" s="22"/>
      <c r="O27" s="22"/>
    </row>
    <row r="28" spans="3:15" x14ac:dyDescent="0.25">
      <c r="C28" s="33"/>
      <c r="D28" s="11"/>
      <c r="E28" s="33"/>
      <c r="I28" s="4"/>
      <c r="J28" s="4"/>
      <c r="K28" s="4"/>
      <c r="L28" s="4"/>
      <c r="M28" s="22"/>
      <c r="N28" s="22"/>
      <c r="O28" s="22"/>
    </row>
    <row r="29" spans="3:15" x14ac:dyDescent="0.25">
      <c r="C29" s="33" t="str">
        <f t="shared" ref="C29:C43" si="0">IF(H29=1,"u","")</f>
        <v/>
      </c>
      <c r="D29" s="11"/>
      <c r="E29" s="33"/>
      <c r="I29" s="4"/>
      <c r="J29" s="4"/>
      <c r="K29" s="4"/>
      <c r="L29" s="4"/>
      <c r="M29" s="22"/>
      <c r="N29" s="22"/>
      <c r="O29" s="22"/>
    </row>
    <row r="30" spans="3:15" x14ac:dyDescent="0.25">
      <c r="C30" s="33" t="str">
        <f t="shared" si="0"/>
        <v/>
      </c>
      <c r="D30" s="11"/>
      <c r="E30" s="33"/>
      <c r="I30" s="4"/>
      <c r="J30" s="4"/>
      <c r="K30" s="4"/>
      <c r="L30" s="4"/>
      <c r="M30" s="22"/>
      <c r="N30" s="22"/>
      <c r="O30" s="22"/>
    </row>
    <row r="31" spans="3:15" x14ac:dyDescent="0.25">
      <c r="C31" s="33" t="str">
        <f t="shared" si="0"/>
        <v/>
      </c>
      <c r="D31" s="11"/>
      <c r="E31" s="33"/>
      <c r="I31" s="4"/>
      <c r="J31" s="4"/>
      <c r="K31" s="4"/>
      <c r="L31" s="4"/>
      <c r="M31" s="22"/>
      <c r="N31" s="22"/>
      <c r="O31" s="22"/>
    </row>
    <row r="32" spans="3:15" x14ac:dyDescent="0.25">
      <c r="C32" s="33" t="str">
        <f t="shared" si="0"/>
        <v/>
      </c>
      <c r="D32" s="11"/>
      <c r="E32" s="33"/>
      <c r="I32" s="4"/>
      <c r="J32" s="4"/>
      <c r="K32" s="4"/>
      <c r="L32" s="4"/>
      <c r="M32" s="22"/>
      <c r="N32" s="22"/>
      <c r="O32" s="22"/>
    </row>
    <row r="33" spans="3:15" x14ac:dyDescent="0.25">
      <c r="C33" s="33" t="str">
        <f t="shared" si="0"/>
        <v/>
      </c>
      <c r="D33" s="11"/>
      <c r="E33" s="33"/>
      <c r="I33" s="4"/>
      <c r="M33" s="21"/>
      <c r="N33" s="21"/>
      <c r="O33" s="21"/>
    </row>
    <row r="34" spans="3:15" x14ac:dyDescent="0.25">
      <c r="C34" s="33" t="str">
        <f t="shared" si="0"/>
        <v/>
      </c>
      <c r="D34" s="11"/>
      <c r="E34" s="33"/>
      <c r="I34" s="4"/>
      <c r="M34" s="21"/>
      <c r="N34" s="21"/>
      <c r="O34" s="21"/>
    </row>
    <row r="35" spans="3:15" x14ac:dyDescent="0.25">
      <c r="C35" s="33" t="str">
        <f t="shared" si="0"/>
        <v/>
      </c>
      <c r="D35" s="11"/>
      <c r="E35" s="33"/>
      <c r="I35" s="4"/>
      <c r="M35" s="21"/>
      <c r="N35" s="21"/>
      <c r="O35" s="21"/>
    </row>
    <row r="36" spans="3:15" x14ac:dyDescent="0.25">
      <c r="C36" s="33" t="str">
        <f t="shared" si="0"/>
        <v/>
      </c>
      <c r="D36" s="11"/>
      <c r="E36" s="33" t="str">
        <f t="shared" ref="E36:E43" si="1">IF(H36=1,"t","")</f>
        <v/>
      </c>
      <c r="M36" s="21"/>
      <c r="N36" s="21"/>
      <c r="O36" s="21"/>
    </row>
    <row r="37" spans="3:15" x14ac:dyDescent="0.25">
      <c r="C37" s="33" t="str">
        <f t="shared" si="0"/>
        <v/>
      </c>
      <c r="D37" s="11"/>
      <c r="E37" s="33" t="str">
        <f t="shared" si="1"/>
        <v/>
      </c>
      <c r="M37" s="21"/>
      <c r="N37" s="21"/>
      <c r="O37" s="21"/>
    </row>
    <row r="38" spans="3:15" x14ac:dyDescent="0.25">
      <c r="C38" s="33" t="str">
        <f t="shared" si="0"/>
        <v/>
      </c>
      <c r="D38" s="11"/>
      <c r="E38" s="33" t="str">
        <f t="shared" si="1"/>
        <v/>
      </c>
      <c r="M38" s="21"/>
      <c r="N38" s="21"/>
      <c r="O38" s="21"/>
    </row>
    <row r="39" spans="3:15" x14ac:dyDescent="0.25">
      <c r="C39" s="33" t="str">
        <f t="shared" si="0"/>
        <v/>
      </c>
      <c r="D39" s="11"/>
      <c r="E39" s="33" t="str">
        <f t="shared" si="1"/>
        <v/>
      </c>
      <c r="M39" s="21"/>
      <c r="N39" s="21"/>
      <c r="O39" s="21"/>
    </row>
    <row r="40" spans="3:15" x14ac:dyDescent="0.25">
      <c r="C40" s="33" t="str">
        <f t="shared" si="0"/>
        <v/>
      </c>
      <c r="D40" s="11"/>
      <c r="E40" s="33" t="str">
        <f t="shared" si="1"/>
        <v/>
      </c>
      <c r="M40" s="21"/>
      <c r="N40" s="21"/>
      <c r="O40" s="21"/>
    </row>
    <row r="41" spans="3:15" x14ac:dyDescent="0.25">
      <c r="C41" s="33" t="str">
        <f t="shared" si="0"/>
        <v/>
      </c>
      <c r="D41" s="11"/>
      <c r="E41" s="33" t="str">
        <f t="shared" si="1"/>
        <v/>
      </c>
      <c r="M41" s="21"/>
      <c r="N41" s="21"/>
      <c r="O41" s="21"/>
    </row>
    <row r="42" spans="3:15" x14ac:dyDescent="0.25">
      <c r="C42" s="33" t="str">
        <f t="shared" si="0"/>
        <v/>
      </c>
      <c r="D42" s="11"/>
      <c r="E42" s="33" t="str">
        <f t="shared" si="1"/>
        <v/>
      </c>
      <c r="M42" s="21"/>
      <c r="N42" s="21"/>
      <c r="O42" s="21"/>
    </row>
    <row r="43" spans="3:15" x14ac:dyDescent="0.25">
      <c r="C43" s="33" t="str">
        <f t="shared" si="0"/>
        <v/>
      </c>
      <c r="D43" s="11"/>
      <c r="E43" s="33" t="str">
        <f t="shared" si="1"/>
        <v/>
      </c>
      <c r="M43" s="21"/>
      <c r="N43" s="21"/>
      <c r="O43" s="21"/>
    </row>
    <row r="44" spans="3:15" ht="6" customHeight="1" x14ac:dyDescent="0.25">
      <c r="C44" s="9"/>
      <c r="D44" s="9"/>
      <c r="E44" s="9"/>
      <c r="F44" s="9"/>
      <c r="G44" s="9"/>
      <c r="H44" s="9"/>
      <c r="I44" s="9"/>
      <c r="J44" s="9"/>
      <c r="K44" s="9"/>
      <c r="L44" s="9"/>
      <c r="M44" s="21"/>
      <c r="N44" s="21"/>
      <c r="O44" s="21"/>
    </row>
    <row r="45" spans="3:15" ht="6" customHeight="1" x14ac:dyDescent="0.25">
      <c r="M45" s="21"/>
      <c r="N45" s="21"/>
      <c r="O45" s="21"/>
    </row>
    <row r="46" spans="3:15" x14ac:dyDescent="0.25">
      <c r="C46" s="15" t="s">
        <v>79</v>
      </c>
      <c r="M46" s="21"/>
      <c r="N46" s="21"/>
      <c r="O46" s="21"/>
    </row>
    <row r="47" spans="3:15" x14ac:dyDescent="0.25">
      <c r="C47" s="15" t="s">
        <v>78</v>
      </c>
    </row>
  </sheetData>
  <mergeCells count="1">
    <mergeCell ref="G13:H13"/>
  </mergeCells>
  <conditionalFormatting sqref="I9">
    <cfRule type="containsText" dxfId="2111" priority="18" operator="containsText" text="FAIL">
      <formula>NOT(ISERROR(SEARCH("FAIL",I9)))</formula>
    </cfRule>
  </conditionalFormatting>
  <conditionalFormatting sqref="I9">
    <cfRule type="containsText" dxfId="2110" priority="17" operator="containsText" text="GOOD">
      <formula>NOT(ISERROR(SEARCH("GOOD",I9)))</formula>
    </cfRule>
  </conditionalFormatting>
  <conditionalFormatting sqref="F11">
    <cfRule type="containsText" dxfId="2109" priority="16" operator="containsText" text="FAIL">
      <formula>NOT(ISERROR(SEARCH("FAIL",F11)))</formula>
    </cfRule>
  </conditionalFormatting>
  <conditionalFormatting sqref="F11">
    <cfRule type="containsText" dxfId="2108" priority="15" operator="containsText" text="GOOD">
      <formula>NOT(ISERROR(SEARCH("GOOD",F11)))</formula>
    </cfRule>
  </conditionalFormatting>
  <conditionalFormatting sqref="D25">
    <cfRule type="expression" dxfId="2107" priority="14" stopIfTrue="1">
      <formula>IF($H$25=1,0)</formula>
    </cfRule>
  </conditionalFormatting>
  <conditionalFormatting sqref="D23 D29:D43 D25">
    <cfRule type="expression" dxfId="2106" priority="13">
      <formula>H23=1</formula>
    </cfRule>
  </conditionalFormatting>
  <conditionalFormatting sqref="C23:C26 C29:C43">
    <cfRule type="expression" dxfId="2105" priority="12">
      <formula>H23=1</formula>
    </cfRule>
  </conditionalFormatting>
  <conditionalFormatting sqref="E23 E29:E43 E25">
    <cfRule type="expression" dxfId="2104" priority="11">
      <formula>H23=1</formula>
    </cfRule>
  </conditionalFormatting>
  <conditionalFormatting sqref="F11">
    <cfRule type="containsText" dxfId="2103" priority="10" operator="containsText" text="FAIL">
      <formula>NOT(ISERROR(SEARCH("FAIL",F11)))</formula>
    </cfRule>
  </conditionalFormatting>
  <conditionalFormatting sqref="F11">
    <cfRule type="containsText" dxfId="2102" priority="9" operator="containsText" text="GOOD">
      <formula>NOT(ISERROR(SEARCH("GOOD",F11)))</formula>
    </cfRule>
  </conditionalFormatting>
  <conditionalFormatting sqref="D27:D28">
    <cfRule type="expression" dxfId="2101" priority="8">
      <formula>H27=1</formula>
    </cfRule>
  </conditionalFormatting>
  <conditionalFormatting sqref="C27:C28">
    <cfRule type="expression" dxfId="2100" priority="7">
      <formula>H27=1</formula>
    </cfRule>
  </conditionalFormatting>
  <conditionalFormatting sqref="E27:E28">
    <cfRule type="expression" dxfId="2099" priority="6">
      <formula>H27=1</formula>
    </cfRule>
  </conditionalFormatting>
  <conditionalFormatting sqref="D24">
    <cfRule type="expression" dxfId="2098" priority="5" stopIfTrue="1">
      <formula>IF($H$25=1,0)</formula>
    </cfRule>
  </conditionalFormatting>
  <conditionalFormatting sqref="D24">
    <cfRule type="expression" dxfId="2097" priority="4">
      <formula>H24=1</formula>
    </cfRule>
  </conditionalFormatting>
  <conditionalFormatting sqref="E24">
    <cfRule type="expression" dxfId="2096" priority="3">
      <formula>H24=1</formula>
    </cfRule>
  </conditionalFormatting>
  <conditionalFormatting sqref="D26">
    <cfRule type="expression" dxfId="2095" priority="2">
      <formula>H26=1</formula>
    </cfRule>
  </conditionalFormatting>
  <conditionalFormatting sqref="E26">
    <cfRule type="expression" dxfId="2094" priority="1">
      <formula>H26=1</formula>
    </cfRule>
  </conditionalFormatting>
  <pageMargins left="0.7" right="0.7" top="0.75" bottom="0.75" header="0.3" footer="0.3"/>
  <pageSetup scale="68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9"/>
  <dimension ref="A2:P47"/>
  <sheetViews>
    <sheetView zoomScaleNormal="100" workbookViewId="0">
      <selection activeCell="K25" sqref="K25"/>
    </sheetView>
  </sheetViews>
  <sheetFormatPr defaultRowHeight="15" x14ac:dyDescent="0.25"/>
  <cols>
    <col min="1" max="2" width="4.42578125" customWidth="1"/>
    <col min="3" max="3" width="3" customWidth="1"/>
    <col min="4" max="4" width="24.85546875" customWidth="1"/>
    <col min="5" max="5" width="3" customWidth="1"/>
    <col min="6" max="6" width="15.7109375" customWidth="1"/>
    <col min="7" max="7" width="8.5703125" customWidth="1"/>
    <col min="8" max="8" width="5.85546875" customWidth="1"/>
    <col min="9" max="15" width="15.7109375" customWidth="1"/>
  </cols>
  <sheetData>
    <row r="2" spans="1:16" x14ac:dyDescent="0.25">
      <c r="C2" s="15" t="s">
        <v>32</v>
      </c>
      <c r="E2" s="15"/>
      <c r="F2" s="15"/>
      <c r="G2" s="15" t="s">
        <v>33</v>
      </c>
      <c r="H2" s="15"/>
      <c r="I2" s="15"/>
      <c r="J2" s="15"/>
      <c r="K2" s="15"/>
    </row>
    <row r="3" spans="1:16" ht="18.75" x14ac:dyDescent="0.3">
      <c r="C3" s="3" t="s">
        <v>26</v>
      </c>
      <c r="J3" s="8" t="s">
        <v>17</v>
      </c>
      <c r="P3" s="100"/>
    </row>
    <row r="4" spans="1:16" x14ac:dyDescent="0.25">
      <c r="D4" s="2" t="s">
        <v>0</v>
      </c>
      <c r="E4" s="1"/>
      <c r="F4" t="s">
        <v>1136</v>
      </c>
      <c r="I4" s="2" t="s">
        <v>4</v>
      </c>
      <c r="J4" t="s">
        <v>616</v>
      </c>
    </row>
    <row r="5" spans="1:16" x14ac:dyDescent="0.25">
      <c r="D5" s="2" t="s">
        <v>1</v>
      </c>
      <c r="F5" t="s">
        <v>1137</v>
      </c>
    </row>
    <row r="6" spans="1:16" x14ac:dyDescent="0.25">
      <c r="D6" s="2" t="s">
        <v>2</v>
      </c>
      <c r="F6" s="6">
        <v>43074</v>
      </c>
      <c r="H6" s="11"/>
    </row>
    <row r="7" spans="1:16" x14ac:dyDescent="0.25">
      <c r="D7" s="2" t="s">
        <v>3</v>
      </c>
      <c r="F7" s="5">
        <v>1530000</v>
      </c>
      <c r="G7" s="2" t="s">
        <v>34</v>
      </c>
      <c r="H7" s="11"/>
    </row>
    <row r="8" spans="1:16" x14ac:dyDescent="0.25">
      <c r="D8" s="2" t="s">
        <v>18</v>
      </c>
      <c r="F8" s="5">
        <f>MIN(I23:I43)</f>
        <v>1189000</v>
      </c>
      <c r="H8" s="11"/>
    </row>
    <row r="9" spans="1:16" x14ac:dyDescent="0.25">
      <c r="D9" s="2" t="s">
        <v>67</v>
      </c>
      <c r="F9" s="4">
        <f>+F8-F7</f>
        <v>-341000</v>
      </c>
      <c r="G9" s="16">
        <f>+F9/F7</f>
        <v>-0.22287581699346407</v>
      </c>
      <c r="H9" s="12" t="s">
        <v>20</v>
      </c>
      <c r="I9" s="11" t="str">
        <f>(IF(G9&lt;-0.1,"FAIL",IF(G9&gt;0.05,"FAIL","GOOD")))</f>
        <v>FAIL</v>
      </c>
      <c r="J9" s="14" t="s">
        <v>72</v>
      </c>
    </row>
    <row r="10" spans="1:16" x14ac:dyDescent="0.25">
      <c r="D10" s="2" t="s">
        <v>68</v>
      </c>
      <c r="F10" s="4">
        <f>+F7-F12</f>
        <v>-346333.33333333326</v>
      </c>
      <c r="H10" s="11"/>
    </row>
    <row r="11" spans="1:16" x14ac:dyDescent="0.25">
      <c r="A11" s="52"/>
      <c r="D11" s="2" t="s">
        <v>71</v>
      </c>
      <c r="F11" s="11" t="str">
        <f>(IF(F7&lt;J12,"FAIL",IF(F7&gt;J13,"FAIL","GOOD")))</f>
        <v>GOOD</v>
      </c>
      <c r="H11" s="11"/>
    </row>
    <row r="12" spans="1:16" x14ac:dyDescent="0.25">
      <c r="D12" s="2" t="s">
        <v>28</v>
      </c>
      <c r="F12" s="4">
        <f>SUM(I23:I43)/H12</f>
        <v>1876333.3333333333</v>
      </c>
      <c r="G12" s="14"/>
      <c r="H12" s="11">
        <f>COUNT(I23:I43)</f>
        <v>3</v>
      </c>
      <c r="I12" s="1" t="s">
        <v>31</v>
      </c>
      <c r="J12" s="4">
        <f>+F8*0.9</f>
        <v>1070100</v>
      </c>
      <c r="K12" s="1" t="s">
        <v>69</v>
      </c>
    </row>
    <row r="13" spans="1:16" x14ac:dyDescent="0.25">
      <c r="D13" s="2" t="s">
        <v>29</v>
      </c>
      <c r="F13" s="4">
        <f>MAX(I23:I43)-MIN(I23:I43)</f>
        <v>1151000</v>
      </c>
      <c r="G13" s="399">
        <f>MEDIAN(I23:I43)</f>
        <v>2100000</v>
      </c>
      <c r="H13" s="400"/>
      <c r="I13" s="1" t="s">
        <v>30</v>
      </c>
      <c r="J13" s="4">
        <f>+F12*1.1</f>
        <v>2063966.6666666667</v>
      </c>
      <c r="K13" s="1" t="s">
        <v>70</v>
      </c>
    </row>
    <row r="14" spans="1:16" x14ac:dyDescent="0.25">
      <c r="H14" s="11"/>
    </row>
    <row r="15" spans="1:16" x14ac:dyDescent="0.25">
      <c r="D15" s="2" t="s">
        <v>8</v>
      </c>
      <c r="F15" s="4"/>
      <c r="G15" s="1" t="s">
        <v>9</v>
      </c>
      <c r="H15" s="11"/>
      <c r="I15" t="s">
        <v>15</v>
      </c>
      <c r="J15" s="7" t="e">
        <f>+F16/F15</f>
        <v>#DIV/0!</v>
      </c>
    </row>
    <row r="16" spans="1:16" x14ac:dyDescent="0.25">
      <c r="F16" s="4"/>
      <c r="G16" s="1" t="s">
        <v>10</v>
      </c>
      <c r="H16" s="11"/>
      <c r="I16" t="s">
        <v>14</v>
      </c>
      <c r="J16" s="7" t="e">
        <f>+F17/F16</f>
        <v>#DIV/0!</v>
      </c>
    </row>
    <row r="17" spans="3:15" x14ac:dyDescent="0.25">
      <c r="F17" s="4"/>
      <c r="G17" s="1" t="s">
        <v>11</v>
      </c>
      <c r="H17" s="11"/>
      <c r="I17" t="s">
        <v>13</v>
      </c>
      <c r="J17" s="7" t="e">
        <f>+F18/F17</f>
        <v>#DIV/0!</v>
      </c>
      <c r="M17" s="21"/>
      <c r="N17" s="21"/>
      <c r="O17" s="21"/>
    </row>
    <row r="18" spans="3:15" x14ac:dyDescent="0.25">
      <c r="F18" s="4"/>
      <c r="G18" s="1" t="s">
        <v>12</v>
      </c>
      <c r="H18" s="11"/>
      <c r="I18" t="s">
        <v>16</v>
      </c>
      <c r="J18" s="7" t="e">
        <f>+F8/F18</f>
        <v>#DIV/0!</v>
      </c>
      <c r="M18" s="21"/>
      <c r="N18" s="21"/>
      <c r="O18" s="21"/>
    </row>
    <row r="19" spans="3:15" x14ac:dyDescent="0.25">
      <c r="F19" s="2" t="s">
        <v>51</v>
      </c>
      <c r="G19">
        <v>0</v>
      </c>
      <c r="H19" s="11" t="s">
        <v>52</v>
      </c>
      <c r="I19" t="s">
        <v>41</v>
      </c>
      <c r="J19" s="7" t="e">
        <f>+F8/F15</f>
        <v>#DIV/0!</v>
      </c>
      <c r="M19" s="21"/>
      <c r="N19" s="21"/>
      <c r="O19" s="21"/>
    </row>
    <row r="20" spans="3:15" x14ac:dyDescent="0.25">
      <c r="H20" s="11"/>
      <c r="M20" s="21"/>
      <c r="N20" s="21"/>
      <c r="O20" s="21"/>
    </row>
    <row r="21" spans="3:15" x14ac:dyDescent="0.25">
      <c r="C21" s="9"/>
      <c r="D21" s="13" t="s">
        <v>21</v>
      </c>
      <c r="E21" s="9"/>
      <c r="F21" s="9" t="s">
        <v>22</v>
      </c>
      <c r="G21" s="9" t="s">
        <v>23</v>
      </c>
      <c r="H21" s="13" t="s">
        <v>27</v>
      </c>
      <c r="I21" s="10" t="s">
        <v>24</v>
      </c>
      <c r="J21" s="9"/>
      <c r="K21" s="9"/>
      <c r="L21" s="9"/>
      <c r="M21" s="21"/>
      <c r="N21" s="21"/>
      <c r="O21" s="21"/>
    </row>
    <row r="22" spans="3:15" ht="6" customHeight="1" x14ac:dyDescent="0.25">
      <c r="M22" s="21"/>
      <c r="N22" s="21"/>
      <c r="O22" s="21"/>
    </row>
    <row r="23" spans="3:15" x14ac:dyDescent="0.25">
      <c r="C23" s="33" t="str">
        <f>IF(H23=1,"u","")</f>
        <v/>
      </c>
      <c r="D23" s="11" t="s">
        <v>429</v>
      </c>
      <c r="E23" s="33"/>
      <c r="F23" t="s">
        <v>131</v>
      </c>
      <c r="G23" t="s">
        <v>25</v>
      </c>
      <c r="H23">
        <f>RANK(I23,I$23:I$43,1)</f>
        <v>2</v>
      </c>
      <c r="I23" s="4">
        <v>2100000</v>
      </c>
      <c r="J23" s="4"/>
      <c r="K23" s="4"/>
      <c r="L23" s="4"/>
      <c r="M23" s="22"/>
      <c r="N23" s="22"/>
      <c r="O23" s="22"/>
    </row>
    <row r="24" spans="3:15" x14ac:dyDescent="0.25">
      <c r="C24" s="33" t="str">
        <f>IF(H24=1,"u","")</f>
        <v>u</v>
      </c>
      <c r="D24" s="11" t="s">
        <v>1138</v>
      </c>
      <c r="E24" s="33"/>
      <c r="F24" t="s">
        <v>201</v>
      </c>
      <c r="G24" t="s">
        <v>25</v>
      </c>
      <c r="H24">
        <f>RANK(I24,I$23:I$43,1)</f>
        <v>1</v>
      </c>
      <c r="I24" s="4">
        <v>1189000</v>
      </c>
      <c r="J24" s="4"/>
      <c r="K24" s="4"/>
      <c r="L24" s="4"/>
      <c r="M24" s="22"/>
      <c r="N24" s="22"/>
      <c r="O24" s="22"/>
    </row>
    <row r="25" spans="3:15" x14ac:dyDescent="0.25">
      <c r="C25" s="33" t="str">
        <f>IF(H25=1,"u","")</f>
        <v/>
      </c>
      <c r="D25" s="11" t="s">
        <v>547</v>
      </c>
      <c r="E25" s="33"/>
      <c r="F25" t="s">
        <v>88</v>
      </c>
      <c r="G25" t="s">
        <v>25</v>
      </c>
      <c r="H25">
        <f>RANK(I25,I$23:I$43,1)</f>
        <v>3</v>
      </c>
      <c r="I25" s="4">
        <v>2340000</v>
      </c>
      <c r="J25" s="4"/>
      <c r="K25" s="4"/>
      <c r="L25" s="4"/>
      <c r="M25" s="22"/>
      <c r="N25" s="22"/>
      <c r="O25" s="22"/>
    </row>
    <row r="26" spans="3:15" x14ac:dyDescent="0.25">
      <c r="C26" s="33"/>
      <c r="D26" s="11"/>
      <c r="E26" s="33"/>
      <c r="I26" s="4"/>
      <c r="J26" s="4"/>
      <c r="K26" s="4"/>
      <c r="L26" s="4"/>
      <c r="M26" s="22"/>
      <c r="N26" s="22"/>
      <c r="O26" s="22"/>
    </row>
    <row r="27" spans="3:15" x14ac:dyDescent="0.25">
      <c r="C27" s="33"/>
      <c r="D27" s="11"/>
      <c r="E27" s="33"/>
      <c r="I27" s="4"/>
      <c r="J27" s="4"/>
      <c r="K27" s="4"/>
      <c r="L27" s="4"/>
      <c r="M27" s="22"/>
      <c r="N27" s="22"/>
      <c r="O27" s="22"/>
    </row>
    <row r="28" spans="3:15" x14ac:dyDescent="0.25">
      <c r="C28" s="33"/>
      <c r="D28" s="11"/>
      <c r="E28" s="33"/>
      <c r="I28" s="4"/>
      <c r="J28" s="4"/>
      <c r="K28" s="4"/>
      <c r="L28" s="4"/>
      <c r="M28" s="22"/>
      <c r="N28" s="22"/>
      <c r="O28" s="22"/>
    </row>
    <row r="29" spans="3:15" x14ac:dyDescent="0.25">
      <c r="C29" s="33" t="str">
        <f t="shared" ref="C29:C43" si="0">IF(H29=1,"u","")</f>
        <v/>
      </c>
      <c r="D29" s="11"/>
      <c r="E29" s="33"/>
      <c r="I29" s="4"/>
      <c r="J29" s="4"/>
      <c r="K29" s="4"/>
      <c r="L29" s="4"/>
      <c r="M29" s="22"/>
      <c r="N29" s="22"/>
      <c r="O29" s="22"/>
    </row>
    <row r="30" spans="3:15" x14ac:dyDescent="0.25">
      <c r="C30" s="33" t="str">
        <f t="shared" si="0"/>
        <v/>
      </c>
      <c r="D30" s="11"/>
      <c r="E30" s="33"/>
      <c r="I30" s="4"/>
      <c r="J30" s="4"/>
      <c r="K30" s="4"/>
      <c r="L30" s="4"/>
      <c r="M30" s="22"/>
      <c r="N30" s="22"/>
      <c r="O30" s="22"/>
    </row>
    <row r="31" spans="3:15" x14ac:dyDescent="0.25">
      <c r="C31" s="33" t="str">
        <f t="shared" si="0"/>
        <v/>
      </c>
      <c r="D31" s="11"/>
      <c r="E31" s="33"/>
      <c r="I31" s="4"/>
      <c r="J31" s="4"/>
      <c r="K31" s="4"/>
      <c r="L31" s="4"/>
      <c r="M31" s="22"/>
      <c r="N31" s="22"/>
      <c r="O31" s="22"/>
    </row>
    <row r="32" spans="3:15" x14ac:dyDescent="0.25">
      <c r="C32" s="33" t="str">
        <f t="shared" si="0"/>
        <v/>
      </c>
      <c r="D32" s="11"/>
      <c r="E32" s="33"/>
      <c r="I32" s="4"/>
      <c r="J32" s="4"/>
      <c r="K32" s="4"/>
      <c r="L32" s="4"/>
      <c r="M32" s="22"/>
      <c r="N32" s="22"/>
      <c r="O32" s="22"/>
    </row>
    <row r="33" spans="3:15" x14ac:dyDescent="0.25">
      <c r="C33" s="33" t="str">
        <f t="shared" si="0"/>
        <v/>
      </c>
      <c r="D33" s="11"/>
      <c r="E33" s="33"/>
      <c r="I33" s="4"/>
      <c r="M33" s="21"/>
      <c r="N33" s="21"/>
      <c r="O33" s="21"/>
    </row>
    <row r="34" spans="3:15" x14ac:dyDescent="0.25">
      <c r="C34" s="33" t="str">
        <f t="shared" si="0"/>
        <v/>
      </c>
      <c r="D34" s="11"/>
      <c r="E34" s="33"/>
      <c r="I34" s="4"/>
      <c r="M34" s="21"/>
      <c r="N34" s="21"/>
      <c r="O34" s="21"/>
    </row>
    <row r="35" spans="3:15" x14ac:dyDescent="0.25">
      <c r="C35" s="33" t="str">
        <f t="shared" si="0"/>
        <v/>
      </c>
      <c r="D35" s="11"/>
      <c r="E35" s="33"/>
      <c r="I35" s="4"/>
      <c r="M35" s="21"/>
      <c r="N35" s="21"/>
      <c r="O35" s="21"/>
    </row>
    <row r="36" spans="3:15" x14ac:dyDescent="0.25">
      <c r="C36" s="33" t="str">
        <f t="shared" si="0"/>
        <v/>
      </c>
      <c r="D36" s="11"/>
      <c r="E36" s="33" t="str">
        <f t="shared" ref="E36:E43" si="1">IF(H36=1,"t","")</f>
        <v/>
      </c>
      <c r="M36" s="21"/>
      <c r="N36" s="21"/>
      <c r="O36" s="21"/>
    </row>
    <row r="37" spans="3:15" x14ac:dyDescent="0.25">
      <c r="C37" s="33" t="str">
        <f t="shared" si="0"/>
        <v/>
      </c>
      <c r="D37" s="11"/>
      <c r="E37" s="33" t="str">
        <f t="shared" si="1"/>
        <v/>
      </c>
      <c r="M37" s="21"/>
      <c r="N37" s="21"/>
      <c r="O37" s="21"/>
    </row>
    <row r="38" spans="3:15" x14ac:dyDescent="0.25">
      <c r="C38" s="33" t="str">
        <f t="shared" si="0"/>
        <v/>
      </c>
      <c r="D38" s="11"/>
      <c r="E38" s="33" t="str">
        <f t="shared" si="1"/>
        <v/>
      </c>
      <c r="M38" s="21"/>
      <c r="N38" s="21"/>
      <c r="O38" s="21"/>
    </row>
    <row r="39" spans="3:15" x14ac:dyDescent="0.25">
      <c r="C39" s="33" t="str">
        <f t="shared" si="0"/>
        <v/>
      </c>
      <c r="D39" s="11"/>
      <c r="E39" s="33" t="str">
        <f t="shared" si="1"/>
        <v/>
      </c>
      <c r="M39" s="21"/>
      <c r="N39" s="21"/>
      <c r="O39" s="21"/>
    </row>
    <row r="40" spans="3:15" x14ac:dyDescent="0.25">
      <c r="C40" s="33" t="str">
        <f t="shared" si="0"/>
        <v/>
      </c>
      <c r="D40" s="11"/>
      <c r="E40" s="33" t="str">
        <f t="shared" si="1"/>
        <v/>
      </c>
      <c r="M40" s="21"/>
      <c r="N40" s="21"/>
      <c r="O40" s="21"/>
    </row>
    <row r="41" spans="3:15" x14ac:dyDescent="0.25">
      <c r="C41" s="33" t="str">
        <f t="shared" si="0"/>
        <v/>
      </c>
      <c r="D41" s="11"/>
      <c r="E41" s="33" t="str">
        <f t="shared" si="1"/>
        <v/>
      </c>
      <c r="M41" s="21"/>
      <c r="N41" s="21"/>
      <c r="O41" s="21"/>
    </row>
    <row r="42" spans="3:15" x14ac:dyDescent="0.25">
      <c r="C42" s="33" t="str">
        <f t="shared" si="0"/>
        <v/>
      </c>
      <c r="D42" s="11"/>
      <c r="E42" s="33" t="str">
        <f t="shared" si="1"/>
        <v/>
      </c>
      <c r="M42" s="21"/>
      <c r="N42" s="21"/>
      <c r="O42" s="21"/>
    </row>
    <row r="43" spans="3:15" x14ac:dyDescent="0.25">
      <c r="C43" s="33" t="str">
        <f t="shared" si="0"/>
        <v/>
      </c>
      <c r="D43" s="11"/>
      <c r="E43" s="33" t="str">
        <f t="shared" si="1"/>
        <v/>
      </c>
      <c r="M43" s="21"/>
      <c r="N43" s="21"/>
      <c r="O43" s="21"/>
    </row>
    <row r="44" spans="3:15" ht="6" customHeight="1" x14ac:dyDescent="0.25">
      <c r="C44" s="9"/>
      <c r="D44" s="9"/>
      <c r="E44" s="9"/>
      <c r="F44" s="9"/>
      <c r="G44" s="9"/>
      <c r="H44" s="9"/>
      <c r="I44" s="9"/>
      <c r="J44" s="9"/>
      <c r="K44" s="9"/>
      <c r="L44" s="9"/>
      <c r="M44" s="21"/>
      <c r="N44" s="21"/>
      <c r="O44" s="21"/>
    </row>
    <row r="45" spans="3:15" ht="6" customHeight="1" x14ac:dyDescent="0.25">
      <c r="M45" s="21"/>
      <c r="N45" s="21"/>
      <c r="O45" s="21"/>
    </row>
    <row r="46" spans="3:15" x14ac:dyDescent="0.25">
      <c r="C46" s="15" t="s">
        <v>79</v>
      </c>
      <c r="M46" s="21"/>
      <c r="N46" s="21"/>
      <c r="O46" s="21"/>
    </row>
    <row r="47" spans="3:15" x14ac:dyDescent="0.25">
      <c r="C47" s="15" t="s">
        <v>78</v>
      </c>
    </row>
  </sheetData>
  <mergeCells count="1">
    <mergeCell ref="G13:H13"/>
  </mergeCells>
  <conditionalFormatting sqref="I9">
    <cfRule type="containsText" dxfId="2373" priority="18" operator="containsText" text="FAIL">
      <formula>NOT(ISERROR(SEARCH("FAIL",I9)))</formula>
    </cfRule>
  </conditionalFormatting>
  <conditionalFormatting sqref="I9">
    <cfRule type="containsText" dxfId="2372" priority="17" operator="containsText" text="GOOD">
      <formula>NOT(ISERROR(SEARCH("GOOD",I9)))</formula>
    </cfRule>
  </conditionalFormatting>
  <conditionalFormatting sqref="F11">
    <cfRule type="containsText" dxfId="2371" priority="16" operator="containsText" text="FAIL">
      <formula>NOT(ISERROR(SEARCH("FAIL",F11)))</formula>
    </cfRule>
  </conditionalFormatting>
  <conditionalFormatting sqref="F11">
    <cfRule type="containsText" dxfId="2370" priority="15" operator="containsText" text="GOOD">
      <formula>NOT(ISERROR(SEARCH("GOOD",F11)))</formula>
    </cfRule>
  </conditionalFormatting>
  <conditionalFormatting sqref="D25">
    <cfRule type="expression" dxfId="2369" priority="14" stopIfTrue="1">
      <formula>IF($H$25=1,0)</formula>
    </cfRule>
  </conditionalFormatting>
  <conditionalFormatting sqref="D23 D29:D43 D25">
    <cfRule type="expression" dxfId="2368" priority="13">
      <formula>H23=1</formula>
    </cfRule>
  </conditionalFormatting>
  <conditionalFormatting sqref="C23:C26 C29:C43">
    <cfRule type="expression" dxfId="2367" priority="12">
      <formula>H23=1</formula>
    </cfRule>
  </conditionalFormatting>
  <conditionalFormatting sqref="E23 E29:E43 E25">
    <cfRule type="expression" dxfId="2366" priority="11">
      <formula>H23=1</formula>
    </cfRule>
  </conditionalFormatting>
  <conditionalFormatting sqref="F11">
    <cfRule type="containsText" dxfId="2365" priority="10" operator="containsText" text="FAIL">
      <formula>NOT(ISERROR(SEARCH("FAIL",F11)))</formula>
    </cfRule>
  </conditionalFormatting>
  <conditionalFormatting sqref="F11">
    <cfRule type="containsText" dxfId="2364" priority="9" operator="containsText" text="GOOD">
      <formula>NOT(ISERROR(SEARCH("GOOD",F11)))</formula>
    </cfRule>
  </conditionalFormatting>
  <conditionalFormatting sqref="D27:D28">
    <cfRule type="expression" dxfId="2363" priority="8">
      <formula>H27=1</formula>
    </cfRule>
  </conditionalFormatting>
  <conditionalFormatting sqref="C27:C28">
    <cfRule type="expression" dxfId="2362" priority="7">
      <formula>H27=1</formula>
    </cfRule>
  </conditionalFormatting>
  <conditionalFormatting sqref="E27:E28">
    <cfRule type="expression" dxfId="2361" priority="6">
      <formula>H27=1</formula>
    </cfRule>
  </conditionalFormatting>
  <conditionalFormatting sqref="D24">
    <cfRule type="expression" dxfId="2360" priority="5" stopIfTrue="1">
      <formula>IF($H$25=1,0)</formula>
    </cfRule>
  </conditionalFormatting>
  <conditionalFormatting sqref="D24">
    <cfRule type="expression" dxfId="2359" priority="4">
      <formula>H24=1</formula>
    </cfRule>
  </conditionalFormatting>
  <conditionalFormatting sqref="E24">
    <cfRule type="expression" dxfId="2358" priority="3">
      <formula>H24=1</formula>
    </cfRule>
  </conditionalFormatting>
  <conditionalFormatting sqref="D26">
    <cfRule type="expression" dxfId="2357" priority="2">
      <formula>H26=1</formula>
    </cfRule>
  </conditionalFormatting>
  <conditionalFormatting sqref="E26">
    <cfRule type="expression" dxfId="2356" priority="1">
      <formula>H26=1</formula>
    </cfRule>
  </conditionalFormatting>
  <pageMargins left="0.7" right="0.7" top="0.75" bottom="0.75" header="0.3" footer="0.3"/>
  <pageSetup scale="68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 codeName="Sheet49"/>
  <dimension ref="A2:P47"/>
  <sheetViews>
    <sheetView zoomScaleNormal="100" workbookViewId="0">
      <selection activeCell="F29" sqref="F29"/>
    </sheetView>
  </sheetViews>
  <sheetFormatPr defaultRowHeight="15" x14ac:dyDescent="0.25"/>
  <cols>
    <col min="1" max="2" width="4.42578125" customWidth="1"/>
    <col min="3" max="3" width="3" customWidth="1"/>
    <col min="4" max="4" width="24.85546875" customWidth="1"/>
    <col min="5" max="5" width="3" customWidth="1"/>
    <col min="6" max="6" width="15.7109375" customWidth="1"/>
    <col min="7" max="7" width="8.5703125" customWidth="1"/>
    <col min="8" max="8" width="5.85546875" customWidth="1"/>
    <col min="9" max="15" width="15.7109375" customWidth="1"/>
  </cols>
  <sheetData>
    <row r="2" spans="1:16" x14ac:dyDescent="0.25">
      <c r="C2" s="15" t="s">
        <v>32</v>
      </c>
      <c r="E2" s="15"/>
      <c r="F2" s="15"/>
      <c r="G2" s="15" t="s">
        <v>33</v>
      </c>
      <c r="H2" s="15"/>
      <c r="I2" s="15"/>
      <c r="J2" s="15"/>
      <c r="K2" s="15"/>
    </row>
    <row r="3" spans="1:16" ht="18.75" x14ac:dyDescent="0.3">
      <c r="C3" s="3" t="s">
        <v>26</v>
      </c>
      <c r="J3" s="8" t="s">
        <v>17</v>
      </c>
      <c r="P3" s="100"/>
    </row>
    <row r="4" spans="1:16" x14ac:dyDescent="0.25">
      <c r="D4" s="2" t="s">
        <v>0</v>
      </c>
      <c r="E4" s="1"/>
      <c r="F4" t="s">
        <v>1023</v>
      </c>
      <c r="I4" s="2" t="s">
        <v>4</v>
      </c>
      <c r="J4" t="s">
        <v>616</v>
      </c>
    </row>
    <row r="5" spans="1:16" x14ac:dyDescent="0.25">
      <c r="D5" s="2" t="s">
        <v>1</v>
      </c>
      <c r="F5" t="s">
        <v>1024</v>
      </c>
    </row>
    <row r="6" spans="1:16" x14ac:dyDescent="0.25">
      <c r="D6" s="2" t="s">
        <v>2</v>
      </c>
      <c r="F6" s="6">
        <v>42893</v>
      </c>
      <c r="H6" s="11"/>
    </row>
    <row r="7" spans="1:16" x14ac:dyDescent="0.25">
      <c r="D7" s="2" t="s">
        <v>3</v>
      </c>
      <c r="F7" s="5">
        <v>1070000</v>
      </c>
      <c r="G7" s="2" t="s">
        <v>693</v>
      </c>
      <c r="H7" s="11"/>
    </row>
    <row r="8" spans="1:16" x14ac:dyDescent="0.25">
      <c r="D8" s="2" t="s">
        <v>18</v>
      </c>
      <c r="F8" s="5">
        <f>MIN(I23:I43)</f>
        <v>758000</v>
      </c>
      <c r="H8" s="11"/>
    </row>
    <row r="9" spans="1:16" x14ac:dyDescent="0.25">
      <c r="D9" s="2" t="s">
        <v>67</v>
      </c>
      <c r="F9" s="4">
        <f>+F8-F7</f>
        <v>-312000</v>
      </c>
      <c r="G9" s="16">
        <f>+F9/F7</f>
        <v>-0.29158878504672897</v>
      </c>
      <c r="H9" s="12" t="s">
        <v>20</v>
      </c>
      <c r="I9" s="11" t="str">
        <f>(IF(G9&lt;-0.1,"FAIL",IF(G9&gt;0.05,"FAIL","GOOD")))</f>
        <v>FAIL</v>
      </c>
      <c r="J9" s="14" t="s">
        <v>72</v>
      </c>
    </row>
    <row r="10" spans="1:16" x14ac:dyDescent="0.25">
      <c r="D10" s="2" t="s">
        <v>68</v>
      </c>
      <c r="F10" s="4">
        <f>+F7-F12</f>
        <v>123015.59999999998</v>
      </c>
      <c r="H10" s="11"/>
    </row>
    <row r="11" spans="1:16" x14ac:dyDescent="0.25">
      <c r="A11" s="52"/>
      <c r="D11" s="2" t="s">
        <v>71</v>
      </c>
      <c r="F11" s="11" t="str">
        <f>(IF(F7&lt;J12,"FAIL",IF(F7&gt;J13,"FAIL","GOOD")))</f>
        <v>FAIL</v>
      </c>
      <c r="H11" s="11"/>
    </row>
    <row r="12" spans="1:16" x14ac:dyDescent="0.25">
      <c r="D12" s="2" t="s">
        <v>28</v>
      </c>
      <c r="F12" s="4">
        <f>SUM(I23:I43)/H12</f>
        <v>946984.4</v>
      </c>
      <c r="G12" s="14"/>
      <c r="H12" s="11">
        <f>COUNT(I23:I43)</f>
        <v>5</v>
      </c>
      <c r="I12" s="1" t="s">
        <v>31</v>
      </c>
      <c r="J12" s="4">
        <f>+F8*0.9</f>
        <v>682200</v>
      </c>
      <c r="K12" s="1" t="s">
        <v>69</v>
      </c>
    </row>
    <row r="13" spans="1:16" x14ac:dyDescent="0.25">
      <c r="D13" s="2" t="s">
        <v>29</v>
      </c>
      <c r="F13" s="4">
        <f>MAX(I23:I43)-MIN(I23:I43)</f>
        <v>563000</v>
      </c>
      <c r="G13" s="399">
        <f>MEDIAN(I23:I43)</f>
        <v>869000</v>
      </c>
      <c r="H13" s="400"/>
      <c r="I13" s="1" t="s">
        <v>30</v>
      </c>
      <c r="J13" s="4">
        <f>+F12*1.1</f>
        <v>1041682.8400000001</v>
      </c>
      <c r="K13" s="1" t="s">
        <v>70</v>
      </c>
    </row>
    <row r="14" spans="1:16" x14ac:dyDescent="0.25">
      <c r="H14" s="11"/>
    </row>
    <row r="15" spans="1:16" x14ac:dyDescent="0.25">
      <c r="D15" s="2" t="s">
        <v>8</v>
      </c>
      <c r="F15" s="4"/>
      <c r="G15" s="1" t="s">
        <v>9</v>
      </c>
      <c r="H15" s="11"/>
      <c r="I15" t="s">
        <v>15</v>
      </c>
      <c r="J15" s="7" t="e">
        <f>+F16/F15</f>
        <v>#DIV/0!</v>
      </c>
    </row>
    <row r="16" spans="1:16" x14ac:dyDescent="0.25">
      <c r="F16" s="4"/>
      <c r="G16" s="1" t="s">
        <v>10</v>
      </c>
      <c r="H16" s="11"/>
      <c r="I16" t="s">
        <v>14</v>
      </c>
      <c r="J16" s="7" t="e">
        <f>+F17/F16</f>
        <v>#DIV/0!</v>
      </c>
    </row>
    <row r="17" spans="3:15" x14ac:dyDescent="0.25">
      <c r="F17" s="4"/>
      <c r="G17" s="1" t="s">
        <v>11</v>
      </c>
      <c r="H17" s="11"/>
      <c r="I17" t="s">
        <v>13</v>
      </c>
      <c r="J17" s="7" t="e">
        <f>+F18/F17</f>
        <v>#DIV/0!</v>
      </c>
      <c r="M17" s="21"/>
      <c r="N17" s="21"/>
      <c r="O17" s="21"/>
    </row>
    <row r="18" spans="3:15" x14ac:dyDescent="0.25">
      <c r="F18" s="4"/>
      <c r="G18" s="1" t="s">
        <v>12</v>
      </c>
      <c r="H18" s="11"/>
      <c r="I18" t="s">
        <v>16</v>
      </c>
      <c r="J18" s="7" t="e">
        <f>+F8/F18</f>
        <v>#DIV/0!</v>
      </c>
      <c r="M18" s="21"/>
      <c r="N18" s="21"/>
      <c r="O18" s="21"/>
    </row>
    <row r="19" spans="3:15" x14ac:dyDescent="0.25">
      <c r="F19" s="2" t="s">
        <v>51</v>
      </c>
      <c r="G19">
        <v>0</v>
      </c>
      <c r="H19" s="11" t="s">
        <v>52</v>
      </c>
      <c r="I19" t="s">
        <v>41</v>
      </c>
      <c r="J19" s="7" t="e">
        <f>+F8/F15</f>
        <v>#DIV/0!</v>
      </c>
      <c r="M19" s="21"/>
      <c r="N19" s="21"/>
      <c r="O19" s="21"/>
    </row>
    <row r="20" spans="3:15" x14ac:dyDescent="0.25">
      <c r="H20" s="11"/>
      <c r="M20" s="21"/>
      <c r="N20" s="21"/>
      <c r="O20" s="21"/>
    </row>
    <row r="21" spans="3:15" x14ac:dyDescent="0.25">
      <c r="C21" s="9"/>
      <c r="D21" s="13" t="s">
        <v>21</v>
      </c>
      <c r="E21" s="9"/>
      <c r="F21" s="9" t="s">
        <v>22</v>
      </c>
      <c r="G21" s="9" t="s">
        <v>23</v>
      </c>
      <c r="H21" s="13" t="s">
        <v>27</v>
      </c>
      <c r="I21" s="10" t="s">
        <v>24</v>
      </c>
      <c r="J21" s="9"/>
      <c r="K21" s="9"/>
      <c r="L21" s="9"/>
      <c r="M21" s="21"/>
      <c r="N21" s="21"/>
      <c r="O21" s="21"/>
    </row>
    <row r="22" spans="3:15" ht="6" customHeight="1" x14ac:dyDescent="0.25">
      <c r="M22" s="21"/>
      <c r="N22" s="21"/>
      <c r="O22" s="21"/>
    </row>
    <row r="23" spans="3:15" x14ac:dyDescent="0.25">
      <c r="C23" s="33" t="str">
        <f>IF(H23=1,"u","")</f>
        <v/>
      </c>
      <c r="D23" s="11" t="s">
        <v>430</v>
      </c>
      <c r="E23" s="33"/>
      <c r="F23" t="s">
        <v>186</v>
      </c>
      <c r="G23" t="s">
        <v>25</v>
      </c>
      <c r="H23">
        <f>RANK(I23,I$23:I$43,1)</f>
        <v>2</v>
      </c>
      <c r="I23" s="4">
        <v>789000</v>
      </c>
      <c r="J23" s="4"/>
      <c r="K23" s="4"/>
      <c r="L23" s="4"/>
      <c r="M23" s="22"/>
      <c r="N23" s="22"/>
      <c r="O23" s="22"/>
    </row>
    <row r="24" spans="3:15" x14ac:dyDescent="0.25">
      <c r="C24" s="33" t="str">
        <f>IF(H24=1,"u","")</f>
        <v/>
      </c>
      <c r="D24" s="11" t="s">
        <v>708</v>
      </c>
      <c r="E24" s="33"/>
      <c r="F24" t="s">
        <v>709</v>
      </c>
      <c r="G24" t="s">
        <v>93</v>
      </c>
      <c r="H24">
        <f>RANK(I24,I$23:I$43,1)</f>
        <v>5</v>
      </c>
      <c r="I24" s="4">
        <v>1321000</v>
      </c>
      <c r="J24" s="4"/>
      <c r="K24" s="4"/>
      <c r="L24" s="4"/>
      <c r="M24" s="22"/>
      <c r="N24" s="22"/>
      <c r="O24" s="22"/>
    </row>
    <row r="25" spans="3:15" x14ac:dyDescent="0.25">
      <c r="C25" s="33" t="str">
        <f>IF(H25=1,"u","")</f>
        <v/>
      </c>
      <c r="D25" s="11" t="s">
        <v>676</v>
      </c>
      <c r="E25" s="33"/>
      <c r="F25" t="s">
        <v>85</v>
      </c>
      <c r="G25" t="s">
        <v>25</v>
      </c>
      <c r="H25">
        <f>RANK(I25,I$23:I$43,1)</f>
        <v>4</v>
      </c>
      <c r="I25" s="4">
        <v>997922</v>
      </c>
      <c r="J25" s="4"/>
      <c r="K25" s="4"/>
      <c r="L25" s="4"/>
      <c r="M25" s="22"/>
      <c r="N25" s="22"/>
      <c r="O25" s="22"/>
    </row>
    <row r="26" spans="3:15" x14ac:dyDescent="0.25">
      <c r="C26" s="33"/>
      <c r="D26" s="11" t="s">
        <v>631</v>
      </c>
      <c r="E26" s="33"/>
      <c r="F26" t="s">
        <v>131</v>
      </c>
      <c r="G26" t="s">
        <v>25</v>
      </c>
      <c r="H26">
        <f>RANK(I26,I$23:I$43,1)</f>
        <v>1</v>
      </c>
      <c r="I26" s="4">
        <v>758000</v>
      </c>
      <c r="J26" s="4"/>
      <c r="K26" s="4"/>
      <c r="L26" s="4"/>
      <c r="M26" s="22"/>
      <c r="N26" s="22"/>
      <c r="O26" s="22"/>
    </row>
    <row r="27" spans="3:15" x14ac:dyDescent="0.25">
      <c r="C27" s="33"/>
      <c r="D27" s="11" t="s">
        <v>733</v>
      </c>
      <c r="E27" s="33"/>
      <c r="F27" t="s">
        <v>120</v>
      </c>
      <c r="G27" t="s">
        <v>25</v>
      </c>
      <c r="H27">
        <f>RANK(I27,I$23:I$43,1)</f>
        <v>3</v>
      </c>
      <c r="I27" s="4">
        <v>869000</v>
      </c>
      <c r="J27" s="4"/>
      <c r="K27" s="4"/>
      <c r="L27" s="4"/>
      <c r="M27" s="22"/>
      <c r="N27" s="22"/>
      <c r="O27" s="22"/>
    </row>
    <row r="28" spans="3:15" x14ac:dyDescent="0.25">
      <c r="C28" s="33"/>
      <c r="D28" s="11"/>
      <c r="E28" s="33"/>
      <c r="I28" s="4"/>
      <c r="J28" s="4"/>
      <c r="K28" s="4"/>
      <c r="L28" s="4"/>
      <c r="M28" s="22"/>
      <c r="N28" s="22"/>
      <c r="O28" s="22"/>
    </row>
    <row r="29" spans="3:15" x14ac:dyDescent="0.25">
      <c r="C29" s="33" t="str">
        <f t="shared" ref="C29:C43" si="0">IF(H29=1,"u","")</f>
        <v/>
      </c>
      <c r="D29" s="11"/>
      <c r="E29" s="33"/>
      <c r="I29" s="4"/>
      <c r="J29" s="4"/>
      <c r="K29" s="4"/>
      <c r="L29" s="4"/>
      <c r="M29" s="22"/>
      <c r="N29" s="22"/>
      <c r="O29" s="22"/>
    </row>
    <row r="30" spans="3:15" x14ac:dyDescent="0.25">
      <c r="C30" s="33" t="str">
        <f t="shared" si="0"/>
        <v/>
      </c>
      <c r="D30" s="11"/>
      <c r="E30" s="33"/>
      <c r="I30" s="4"/>
      <c r="J30" s="4"/>
      <c r="K30" s="4"/>
      <c r="L30" s="4"/>
      <c r="M30" s="22"/>
      <c r="N30" s="22"/>
      <c r="O30" s="22"/>
    </row>
    <row r="31" spans="3:15" x14ac:dyDescent="0.25">
      <c r="C31" s="33" t="str">
        <f t="shared" si="0"/>
        <v/>
      </c>
      <c r="D31" s="11"/>
      <c r="E31" s="33"/>
      <c r="I31" s="4"/>
      <c r="J31" s="4"/>
      <c r="K31" s="4"/>
      <c r="L31" s="4"/>
      <c r="M31" s="22"/>
      <c r="N31" s="22"/>
      <c r="O31" s="22"/>
    </row>
    <row r="32" spans="3:15" x14ac:dyDescent="0.25">
      <c r="C32" s="33" t="str">
        <f t="shared" si="0"/>
        <v/>
      </c>
      <c r="D32" s="11"/>
      <c r="E32" s="33"/>
      <c r="I32" s="4"/>
      <c r="J32" s="4"/>
      <c r="K32" s="4"/>
      <c r="L32" s="4"/>
      <c r="M32" s="22"/>
      <c r="N32" s="22"/>
      <c r="O32" s="22"/>
    </row>
    <row r="33" spans="3:15" x14ac:dyDescent="0.25">
      <c r="C33" s="33" t="str">
        <f t="shared" si="0"/>
        <v/>
      </c>
      <c r="D33" s="11"/>
      <c r="E33" s="33"/>
      <c r="I33" s="4"/>
      <c r="M33" s="21"/>
      <c r="N33" s="21"/>
      <c r="O33" s="21"/>
    </row>
    <row r="34" spans="3:15" x14ac:dyDescent="0.25">
      <c r="C34" s="33" t="str">
        <f t="shared" si="0"/>
        <v/>
      </c>
      <c r="D34" s="11"/>
      <c r="E34" s="33" t="str">
        <f t="shared" ref="E34:E43" si="1">IF(H34=1,"t","")</f>
        <v/>
      </c>
      <c r="M34" s="21"/>
      <c r="N34" s="21"/>
      <c r="O34" s="21"/>
    </row>
    <row r="35" spans="3:15" x14ac:dyDescent="0.25">
      <c r="C35" s="33" t="str">
        <f t="shared" si="0"/>
        <v/>
      </c>
      <c r="D35" s="11"/>
      <c r="E35" s="33" t="str">
        <f t="shared" si="1"/>
        <v/>
      </c>
      <c r="M35" s="21"/>
      <c r="N35" s="21"/>
      <c r="O35" s="21"/>
    </row>
    <row r="36" spans="3:15" x14ac:dyDescent="0.25">
      <c r="C36" s="33" t="str">
        <f t="shared" si="0"/>
        <v/>
      </c>
      <c r="D36" s="11"/>
      <c r="E36" s="33" t="str">
        <f t="shared" si="1"/>
        <v/>
      </c>
      <c r="M36" s="21"/>
      <c r="N36" s="21"/>
      <c r="O36" s="21"/>
    </row>
    <row r="37" spans="3:15" x14ac:dyDescent="0.25">
      <c r="C37" s="33" t="str">
        <f t="shared" si="0"/>
        <v/>
      </c>
      <c r="D37" s="11"/>
      <c r="E37" s="33" t="str">
        <f t="shared" si="1"/>
        <v/>
      </c>
      <c r="M37" s="21"/>
      <c r="N37" s="21"/>
      <c r="O37" s="21"/>
    </row>
    <row r="38" spans="3:15" x14ac:dyDescent="0.25">
      <c r="C38" s="33" t="str">
        <f t="shared" si="0"/>
        <v/>
      </c>
      <c r="D38" s="11"/>
      <c r="E38" s="33" t="str">
        <f t="shared" si="1"/>
        <v/>
      </c>
      <c r="M38" s="21"/>
      <c r="N38" s="21"/>
      <c r="O38" s="21"/>
    </row>
    <row r="39" spans="3:15" x14ac:dyDescent="0.25">
      <c r="C39" s="33" t="str">
        <f t="shared" si="0"/>
        <v/>
      </c>
      <c r="D39" s="11"/>
      <c r="E39" s="33" t="str">
        <f t="shared" si="1"/>
        <v/>
      </c>
      <c r="M39" s="21"/>
      <c r="N39" s="21"/>
      <c r="O39" s="21"/>
    </row>
    <row r="40" spans="3:15" x14ac:dyDescent="0.25">
      <c r="C40" s="33" t="str">
        <f t="shared" si="0"/>
        <v/>
      </c>
      <c r="D40" s="11"/>
      <c r="E40" s="33" t="str">
        <f t="shared" si="1"/>
        <v/>
      </c>
      <c r="M40" s="21"/>
      <c r="N40" s="21"/>
      <c r="O40" s="21"/>
    </row>
    <row r="41" spans="3:15" x14ac:dyDescent="0.25">
      <c r="C41" s="33" t="str">
        <f t="shared" si="0"/>
        <v/>
      </c>
      <c r="D41" s="11"/>
      <c r="E41" s="33" t="str">
        <f t="shared" si="1"/>
        <v/>
      </c>
      <c r="M41" s="21"/>
      <c r="N41" s="21"/>
      <c r="O41" s="21"/>
    </row>
    <row r="42" spans="3:15" x14ac:dyDescent="0.25">
      <c r="C42" s="33" t="str">
        <f t="shared" si="0"/>
        <v/>
      </c>
      <c r="D42" s="11"/>
      <c r="E42" s="33" t="str">
        <f t="shared" si="1"/>
        <v/>
      </c>
      <c r="M42" s="21"/>
      <c r="N42" s="21"/>
      <c r="O42" s="21"/>
    </row>
    <row r="43" spans="3:15" x14ac:dyDescent="0.25">
      <c r="C43" s="33" t="str">
        <f t="shared" si="0"/>
        <v/>
      </c>
      <c r="D43" s="11"/>
      <c r="E43" s="33" t="str">
        <f t="shared" si="1"/>
        <v/>
      </c>
      <c r="M43" s="21"/>
      <c r="N43" s="21"/>
      <c r="O43" s="21"/>
    </row>
    <row r="44" spans="3:15" ht="6" customHeight="1" x14ac:dyDescent="0.25">
      <c r="C44" s="9"/>
      <c r="D44" s="9"/>
      <c r="E44" s="9"/>
      <c r="F44" s="9"/>
      <c r="G44" s="9"/>
      <c r="H44" s="9"/>
      <c r="I44" s="9"/>
      <c r="J44" s="9"/>
      <c r="K44" s="9"/>
      <c r="L44" s="9"/>
      <c r="M44" s="21"/>
      <c r="N44" s="21"/>
      <c r="O44" s="21"/>
    </row>
    <row r="45" spans="3:15" ht="6" customHeight="1" x14ac:dyDescent="0.25">
      <c r="M45" s="21"/>
      <c r="N45" s="21"/>
      <c r="O45" s="21"/>
    </row>
    <row r="46" spans="3:15" x14ac:dyDescent="0.25">
      <c r="C46" s="15" t="s">
        <v>79</v>
      </c>
      <c r="M46" s="21"/>
      <c r="N46" s="21"/>
      <c r="O46" s="21"/>
    </row>
    <row r="47" spans="3:15" x14ac:dyDescent="0.25">
      <c r="C47" s="15" t="s">
        <v>78</v>
      </c>
    </row>
  </sheetData>
  <mergeCells count="1">
    <mergeCell ref="G13:H13"/>
  </mergeCells>
  <conditionalFormatting sqref="I9">
    <cfRule type="containsText" dxfId="1757" priority="16" operator="containsText" text="FAIL">
      <formula>NOT(ISERROR(SEARCH("FAIL",I9)))</formula>
    </cfRule>
  </conditionalFormatting>
  <conditionalFormatting sqref="I9">
    <cfRule type="containsText" dxfId="1756" priority="15" operator="containsText" text="GOOD">
      <formula>NOT(ISERROR(SEARCH("GOOD",I9)))</formula>
    </cfRule>
  </conditionalFormatting>
  <conditionalFormatting sqref="F11">
    <cfRule type="containsText" dxfId="1755" priority="14" operator="containsText" text="FAIL">
      <formula>NOT(ISERROR(SEARCH("FAIL",F11)))</formula>
    </cfRule>
  </conditionalFormatting>
  <conditionalFormatting sqref="F11">
    <cfRule type="containsText" dxfId="1754" priority="13" operator="containsText" text="GOOD">
      <formula>NOT(ISERROR(SEARCH("GOOD",F11)))</formula>
    </cfRule>
  </conditionalFormatting>
  <conditionalFormatting sqref="D25">
    <cfRule type="expression" dxfId="1753" priority="12" stopIfTrue="1">
      <formula>IF($H$25=1,0)</formula>
    </cfRule>
  </conditionalFormatting>
  <conditionalFormatting sqref="D23 D29:D43 D25:D26">
    <cfRule type="expression" dxfId="1752" priority="11">
      <formula>H23=1</formula>
    </cfRule>
  </conditionalFormatting>
  <conditionalFormatting sqref="C23:C26 C29:C43">
    <cfRule type="expression" dxfId="1751" priority="10">
      <formula>H23=1</formula>
    </cfRule>
  </conditionalFormatting>
  <conditionalFormatting sqref="E23 E29:E43 E25:E26">
    <cfRule type="expression" dxfId="1750" priority="9">
      <formula>H23=1</formula>
    </cfRule>
  </conditionalFormatting>
  <conditionalFormatting sqref="F11">
    <cfRule type="containsText" dxfId="1749" priority="8" operator="containsText" text="FAIL">
      <formula>NOT(ISERROR(SEARCH("FAIL",F11)))</formula>
    </cfRule>
  </conditionalFormatting>
  <conditionalFormatting sqref="F11">
    <cfRule type="containsText" dxfId="1748" priority="7" operator="containsText" text="GOOD">
      <formula>NOT(ISERROR(SEARCH("GOOD",F11)))</formula>
    </cfRule>
  </conditionalFormatting>
  <conditionalFormatting sqref="D27:D28">
    <cfRule type="expression" dxfId="1747" priority="6">
      <formula>H27=1</formula>
    </cfRule>
  </conditionalFormatting>
  <conditionalFormatting sqref="C27:C28">
    <cfRule type="expression" dxfId="1746" priority="5">
      <formula>H27=1</formula>
    </cfRule>
  </conditionalFormatting>
  <conditionalFormatting sqref="E27:E28">
    <cfRule type="expression" dxfId="1745" priority="4">
      <formula>H27=1</formula>
    </cfRule>
  </conditionalFormatting>
  <conditionalFormatting sqref="D24">
    <cfRule type="expression" dxfId="1744" priority="3" stopIfTrue="1">
      <formula>IF($H$25=1,0)</formula>
    </cfRule>
  </conditionalFormatting>
  <conditionalFormatting sqref="D24">
    <cfRule type="expression" dxfId="1743" priority="2">
      <formula>H24=1</formula>
    </cfRule>
  </conditionalFormatting>
  <conditionalFormatting sqref="E24">
    <cfRule type="expression" dxfId="1742" priority="1">
      <formula>H24=1</formula>
    </cfRule>
  </conditionalFormatting>
  <pageMargins left="0.7" right="0.7" top="0.75" bottom="0.75" header="0.3" footer="0.3"/>
  <pageSetup scale="68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 codeName="Sheet48"/>
  <dimension ref="A2:P47"/>
  <sheetViews>
    <sheetView topLeftCell="A2" zoomScaleNormal="100" workbookViewId="0">
      <selection activeCell="J26" sqref="J26"/>
    </sheetView>
  </sheetViews>
  <sheetFormatPr defaultRowHeight="15" x14ac:dyDescent="0.25"/>
  <cols>
    <col min="1" max="2" width="4.42578125" customWidth="1"/>
    <col min="3" max="3" width="3" customWidth="1"/>
    <col min="4" max="4" width="24.85546875" customWidth="1"/>
    <col min="5" max="5" width="3" customWidth="1"/>
    <col min="6" max="6" width="15.7109375" customWidth="1"/>
    <col min="7" max="7" width="8.5703125" customWidth="1"/>
    <col min="8" max="8" width="5.85546875" customWidth="1"/>
    <col min="9" max="15" width="15.7109375" customWidth="1"/>
  </cols>
  <sheetData>
    <row r="2" spans="1:16" x14ac:dyDescent="0.25">
      <c r="C2" s="15" t="s">
        <v>32</v>
      </c>
      <c r="E2" s="15"/>
      <c r="F2" s="15"/>
      <c r="G2" s="15" t="s">
        <v>33</v>
      </c>
      <c r="H2" s="15"/>
      <c r="I2" s="15"/>
      <c r="J2" s="15"/>
      <c r="K2" s="15"/>
    </row>
    <row r="3" spans="1:16" ht="18.75" x14ac:dyDescent="0.3">
      <c r="C3" s="3" t="s">
        <v>26</v>
      </c>
      <c r="J3" s="8" t="s">
        <v>17</v>
      </c>
      <c r="P3" s="100"/>
    </row>
    <row r="4" spans="1:16" x14ac:dyDescent="0.25">
      <c r="D4" s="2" t="s">
        <v>0</v>
      </c>
      <c r="E4" s="1"/>
      <c r="F4" t="s">
        <v>1025</v>
      </c>
      <c r="I4" s="2" t="s">
        <v>4</v>
      </c>
      <c r="J4" t="s">
        <v>616</v>
      </c>
    </row>
    <row r="5" spans="1:16" x14ac:dyDescent="0.25">
      <c r="D5" s="2" t="s">
        <v>1</v>
      </c>
      <c r="F5" t="s">
        <v>1026</v>
      </c>
    </row>
    <row r="6" spans="1:16" x14ac:dyDescent="0.25">
      <c r="D6" s="2" t="s">
        <v>2</v>
      </c>
      <c r="F6" s="6">
        <v>42893</v>
      </c>
      <c r="H6" s="11"/>
    </row>
    <row r="7" spans="1:16" x14ac:dyDescent="0.25">
      <c r="D7" s="2" t="s">
        <v>3</v>
      </c>
      <c r="F7" s="5">
        <v>650000</v>
      </c>
      <c r="G7" s="2" t="s">
        <v>693</v>
      </c>
      <c r="H7" s="11"/>
    </row>
    <row r="8" spans="1:16" x14ac:dyDescent="0.25">
      <c r="D8" s="2" t="s">
        <v>18</v>
      </c>
      <c r="F8" s="5">
        <f>MIN(I23:I43)</f>
        <v>865508</v>
      </c>
      <c r="H8" s="11"/>
    </row>
    <row r="9" spans="1:16" x14ac:dyDescent="0.25">
      <c r="D9" s="2" t="s">
        <v>67</v>
      </c>
      <c r="F9" s="4">
        <f>+F8-F7</f>
        <v>215508</v>
      </c>
      <c r="G9" s="16">
        <f>+F9/F7</f>
        <v>0.3315507692307692</v>
      </c>
      <c r="H9" s="12" t="s">
        <v>20</v>
      </c>
      <c r="I9" s="11" t="str">
        <f>(IF(G9&lt;-0.1,"FAIL",IF(G9&gt;0.05,"FAIL","GOOD")))</f>
        <v>FAIL</v>
      </c>
      <c r="J9" s="14" t="s">
        <v>72</v>
      </c>
    </row>
    <row r="10" spans="1:16" x14ac:dyDescent="0.25">
      <c r="D10" s="2" t="s">
        <v>68</v>
      </c>
      <c r="F10" s="4">
        <f>+F7-F12</f>
        <v>-243242.66666666663</v>
      </c>
      <c r="H10" s="11"/>
    </row>
    <row r="11" spans="1:16" x14ac:dyDescent="0.25">
      <c r="A11" s="52"/>
      <c r="D11" s="2" t="s">
        <v>71</v>
      </c>
      <c r="F11" s="11" t="str">
        <f>(IF(F7&lt;J12,"FAIL",IF(F7&gt;J13,"FAIL","GOOD")))</f>
        <v>FAIL</v>
      </c>
      <c r="H11" s="11"/>
    </row>
    <row r="12" spans="1:16" x14ac:dyDescent="0.25">
      <c r="D12" s="2" t="s">
        <v>28</v>
      </c>
      <c r="F12" s="4">
        <f>SUM(I23:I43)/H12</f>
        <v>893242.66666666663</v>
      </c>
      <c r="G12" s="14"/>
      <c r="H12" s="11">
        <f>COUNT(I23:I43)</f>
        <v>3</v>
      </c>
      <c r="I12" s="1" t="s">
        <v>31</v>
      </c>
      <c r="J12" s="4">
        <f>+F8*0.9</f>
        <v>778957.20000000007</v>
      </c>
      <c r="K12" s="1" t="s">
        <v>69</v>
      </c>
    </row>
    <row r="13" spans="1:16" x14ac:dyDescent="0.25">
      <c r="D13" s="2" t="s">
        <v>29</v>
      </c>
      <c r="F13" s="4">
        <f>MAX(I23:I43)-MIN(I23:I43)</f>
        <v>53492</v>
      </c>
      <c r="G13" s="399">
        <f>MEDIAN(I23:I43)</f>
        <v>895220</v>
      </c>
      <c r="H13" s="400"/>
      <c r="I13" s="1" t="s">
        <v>30</v>
      </c>
      <c r="J13" s="4">
        <f>+F12*1.1</f>
        <v>982566.93333333335</v>
      </c>
      <c r="K13" s="1" t="s">
        <v>70</v>
      </c>
    </row>
    <row r="14" spans="1:16" x14ac:dyDescent="0.25">
      <c r="H14" s="11"/>
    </row>
    <row r="15" spans="1:16" x14ac:dyDescent="0.25">
      <c r="D15" s="2" t="s">
        <v>8</v>
      </c>
      <c r="F15" s="4"/>
      <c r="G15" s="1" t="s">
        <v>9</v>
      </c>
      <c r="H15" s="11"/>
      <c r="I15" t="s">
        <v>15</v>
      </c>
      <c r="J15" s="7" t="e">
        <f>+F16/F15</f>
        <v>#DIV/0!</v>
      </c>
    </row>
    <row r="16" spans="1:16" x14ac:dyDescent="0.25">
      <c r="F16" s="4"/>
      <c r="G16" s="1" t="s">
        <v>10</v>
      </c>
      <c r="H16" s="11"/>
      <c r="I16" t="s">
        <v>14</v>
      </c>
      <c r="J16" s="7" t="e">
        <f>+F17/F16</f>
        <v>#DIV/0!</v>
      </c>
    </row>
    <row r="17" spans="3:15" x14ac:dyDescent="0.25">
      <c r="F17" s="4"/>
      <c r="G17" s="1" t="s">
        <v>11</v>
      </c>
      <c r="H17" s="11"/>
      <c r="I17" t="s">
        <v>13</v>
      </c>
      <c r="J17" s="7" t="e">
        <f>+F18/F17</f>
        <v>#DIV/0!</v>
      </c>
      <c r="M17" s="21"/>
      <c r="N17" s="21"/>
      <c r="O17" s="21"/>
    </row>
    <row r="18" spans="3:15" x14ac:dyDescent="0.25">
      <c r="F18" s="4"/>
      <c r="G18" s="1" t="s">
        <v>12</v>
      </c>
      <c r="H18" s="11"/>
      <c r="I18" t="s">
        <v>16</v>
      </c>
      <c r="J18" s="7" t="e">
        <f>+F8/F18</f>
        <v>#DIV/0!</v>
      </c>
      <c r="M18" s="21"/>
      <c r="N18" s="21"/>
      <c r="O18" s="21"/>
    </row>
    <row r="19" spans="3:15" x14ac:dyDescent="0.25">
      <c r="F19" s="2" t="s">
        <v>51</v>
      </c>
      <c r="G19">
        <v>0</v>
      </c>
      <c r="H19" s="11" t="s">
        <v>52</v>
      </c>
      <c r="I19" t="s">
        <v>41</v>
      </c>
      <c r="J19" s="7" t="e">
        <f>+F8/F15</f>
        <v>#DIV/0!</v>
      </c>
      <c r="M19" s="21"/>
      <c r="N19" s="21"/>
      <c r="O19" s="21"/>
    </row>
    <row r="20" spans="3:15" x14ac:dyDescent="0.25">
      <c r="H20" s="11"/>
      <c r="M20" s="21"/>
      <c r="N20" s="21"/>
      <c r="O20" s="21"/>
    </row>
    <row r="21" spans="3:15" x14ac:dyDescent="0.25">
      <c r="C21" s="9"/>
      <c r="D21" s="13" t="s">
        <v>21</v>
      </c>
      <c r="E21" s="9"/>
      <c r="F21" s="9" t="s">
        <v>22</v>
      </c>
      <c r="G21" s="9" t="s">
        <v>23</v>
      </c>
      <c r="H21" s="13" t="s">
        <v>27</v>
      </c>
      <c r="I21" s="10" t="s">
        <v>24</v>
      </c>
      <c r="J21" s="9"/>
      <c r="K21" s="9"/>
      <c r="L21" s="9"/>
      <c r="M21" s="21"/>
      <c r="N21" s="21"/>
      <c r="O21" s="21"/>
    </row>
    <row r="22" spans="3:15" ht="6" customHeight="1" x14ac:dyDescent="0.25">
      <c r="M22" s="21"/>
      <c r="N22" s="21"/>
      <c r="O22" s="21"/>
    </row>
    <row r="23" spans="3:15" x14ac:dyDescent="0.25">
      <c r="C23" s="33" t="str">
        <f>IF(H23=1,"u","")</f>
        <v>u</v>
      </c>
      <c r="D23" s="11" t="s">
        <v>1027</v>
      </c>
      <c r="E23" s="33"/>
      <c r="F23" t="s">
        <v>139</v>
      </c>
      <c r="G23" t="s">
        <v>25</v>
      </c>
      <c r="H23">
        <f>RANK(I23,I$23:I$43,1)</f>
        <v>1</v>
      </c>
      <c r="I23" s="4">
        <v>865508</v>
      </c>
      <c r="J23" s="4"/>
      <c r="K23" s="4"/>
      <c r="L23" s="4"/>
      <c r="M23" s="22"/>
      <c r="N23" s="22"/>
      <c r="O23" s="22"/>
    </row>
    <row r="24" spans="3:15" x14ac:dyDescent="0.25">
      <c r="C24" s="33" t="str">
        <f>IF(H24=1,"u","")</f>
        <v/>
      </c>
      <c r="D24" s="11" t="s">
        <v>708</v>
      </c>
      <c r="E24" s="33"/>
      <c r="F24" t="s">
        <v>709</v>
      </c>
      <c r="G24" t="s">
        <v>93</v>
      </c>
      <c r="H24">
        <f>RANK(I24,I$23:I$43,1)</f>
        <v>3</v>
      </c>
      <c r="I24" s="4">
        <v>919000</v>
      </c>
      <c r="J24" s="4"/>
      <c r="K24" s="4"/>
      <c r="L24" s="4"/>
      <c r="M24" s="22"/>
      <c r="N24" s="22"/>
      <c r="O24" s="22"/>
    </row>
    <row r="25" spans="3:15" x14ac:dyDescent="0.25">
      <c r="C25" s="33" t="str">
        <f>IF(H25=1,"u","")</f>
        <v/>
      </c>
      <c r="D25" s="11" t="s">
        <v>725</v>
      </c>
      <c r="E25" s="33"/>
      <c r="F25" t="s">
        <v>780</v>
      </c>
      <c r="G25" t="s">
        <v>25</v>
      </c>
      <c r="H25">
        <f>RANK(I25,I$23:I$43,1)</f>
        <v>2</v>
      </c>
      <c r="I25" s="4">
        <v>895220</v>
      </c>
      <c r="J25" s="4"/>
      <c r="K25" s="4"/>
      <c r="L25" s="4"/>
      <c r="M25" s="22"/>
      <c r="N25" s="22"/>
      <c r="O25" s="22"/>
    </row>
    <row r="26" spans="3:15" x14ac:dyDescent="0.25">
      <c r="C26" s="33"/>
      <c r="D26" s="11"/>
      <c r="E26" s="33"/>
      <c r="I26" s="4"/>
      <c r="J26" s="4"/>
      <c r="K26" s="4"/>
      <c r="L26" s="4"/>
      <c r="M26" s="22"/>
      <c r="N26" s="22"/>
      <c r="O26" s="22"/>
    </row>
    <row r="27" spans="3:15" x14ac:dyDescent="0.25">
      <c r="C27" s="33"/>
      <c r="D27" s="11"/>
      <c r="E27" s="33"/>
      <c r="I27" s="4"/>
      <c r="J27" s="4"/>
      <c r="K27" s="4"/>
      <c r="L27" s="4"/>
      <c r="M27" s="22"/>
      <c r="N27" s="22"/>
      <c r="O27" s="22"/>
    </row>
    <row r="28" spans="3:15" x14ac:dyDescent="0.25">
      <c r="C28" s="33"/>
      <c r="D28" s="11"/>
      <c r="E28" s="33"/>
      <c r="I28" s="4"/>
      <c r="J28" s="4"/>
      <c r="K28" s="4"/>
      <c r="L28" s="4"/>
      <c r="M28" s="22"/>
      <c r="N28" s="22"/>
      <c r="O28" s="22"/>
    </row>
    <row r="29" spans="3:15" x14ac:dyDescent="0.25">
      <c r="C29" s="33" t="str">
        <f t="shared" ref="C29:C43" si="0">IF(H29=1,"u","")</f>
        <v/>
      </c>
      <c r="D29" s="11"/>
      <c r="E29" s="33"/>
      <c r="I29" s="4"/>
      <c r="J29" s="4"/>
      <c r="K29" s="4"/>
      <c r="L29" s="4"/>
      <c r="M29" s="22"/>
      <c r="N29" s="22"/>
      <c r="O29" s="22"/>
    </row>
    <row r="30" spans="3:15" x14ac:dyDescent="0.25">
      <c r="C30" s="33" t="str">
        <f t="shared" si="0"/>
        <v/>
      </c>
      <c r="D30" s="11"/>
      <c r="E30" s="33"/>
      <c r="I30" s="4"/>
      <c r="J30" s="4"/>
      <c r="K30" s="4"/>
      <c r="L30" s="4"/>
      <c r="M30" s="22"/>
      <c r="N30" s="22"/>
      <c r="O30" s="22"/>
    </row>
    <row r="31" spans="3:15" x14ac:dyDescent="0.25">
      <c r="C31" s="33" t="str">
        <f t="shared" si="0"/>
        <v/>
      </c>
      <c r="D31" s="11"/>
      <c r="E31" s="33"/>
      <c r="I31" s="4"/>
      <c r="J31" s="4"/>
      <c r="K31" s="4"/>
      <c r="L31" s="4"/>
      <c r="M31" s="22"/>
      <c r="N31" s="22"/>
      <c r="O31" s="22"/>
    </row>
    <row r="32" spans="3:15" x14ac:dyDescent="0.25">
      <c r="C32" s="33" t="str">
        <f t="shared" si="0"/>
        <v/>
      </c>
      <c r="D32" s="11"/>
      <c r="E32" s="33"/>
      <c r="I32" s="4"/>
      <c r="J32" s="4"/>
      <c r="K32" s="4"/>
      <c r="L32" s="4"/>
      <c r="M32" s="22"/>
      <c r="N32" s="22"/>
      <c r="O32" s="22"/>
    </row>
    <row r="33" spans="3:15" x14ac:dyDescent="0.25">
      <c r="C33" s="33" t="str">
        <f t="shared" si="0"/>
        <v/>
      </c>
      <c r="D33" s="11"/>
      <c r="E33" s="33"/>
      <c r="I33" s="4"/>
      <c r="M33" s="21"/>
      <c r="N33" s="21"/>
      <c r="O33" s="21"/>
    </row>
    <row r="34" spans="3:15" x14ac:dyDescent="0.25">
      <c r="C34" s="33" t="str">
        <f t="shared" si="0"/>
        <v/>
      </c>
      <c r="D34" s="11"/>
      <c r="E34" s="33" t="str">
        <f t="shared" ref="E34:E43" si="1">IF(H34=1,"t","")</f>
        <v/>
      </c>
      <c r="M34" s="21"/>
      <c r="N34" s="21"/>
      <c r="O34" s="21"/>
    </row>
    <row r="35" spans="3:15" x14ac:dyDescent="0.25">
      <c r="C35" s="33" t="str">
        <f t="shared" si="0"/>
        <v/>
      </c>
      <c r="D35" s="11"/>
      <c r="E35" s="33" t="str">
        <f t="shared" si="1"/>
        <v/>
      </c>
      <c r="M35" s="21"/>
      <c r="N35" s="21"/>
      <c r="O35" s="21"/>
    </row>
    <row r="36" spans="3:15" x14ac:dyDescent="0.25">
      <c r="C36" s="33" t="str">
        <f t="shared" si="0"/>
        <v/>
      </c>
      <c r="D36" s="11"/>
      <c r="E36" s="33" t="str">
        <f t="shared" si="1"/>
        <v/>
      </c>
      <c r="M36" s="21"/>
      <c r="N36" s="21"/>
      <c r="O36" s="21"/>
    </row>
    <row r="37" spans="3:15" x14ac:dyDescent="0.25">
      <c r="C37" s="33" t="str">
        <f t="shared" si="0"/>
        <v/>
      </c>
      <c r="D37" s="11"/>
      <c r="E37" s="33" t="str">
        <f t="shared" si="1"/>
        <v/>
      </c>
      <c r="M37" s="21"/>
      <c r="N37" s="21"/>
      <c r="O37" s="21"/>
    </row>
    <row r="38" spans="3:15" x14ac:dyDescent="0.25">
      <c r="C38" s="33" t="str">
        <f t="shared" si="0"/>
        <v/>
      </c>
      <c r="D38" s="11"/>
      <c r="E38" s="33" t="str">
        <f t="shared" si="1"/>
        <v/>
      </c>
      <c r="M38" s="21"/>
      <c r="N38" s="21"/>
      <c r="O38" s="21"/>
    </row>
    <row r="39" spans="3:15" x14ac:dyDescent="0.25">
      <c r="C39" s="33" t="str">
        <f t="shared" si="0"/>
        <v/>
      </c>
      <c r="D39" s="11"/>
      <c r="E39" s="33" t="str">
        <f t="shared" si="1"/>
        <v/>
      </c>
      <c r="M39" s="21"/>
      <c r="N39" s="21"/>
      <c r="O39" s="21"/>
    </row>
    <row r="40" spans="3:15" x14ac:dyDescent="0.25">
      <c r="C40" s="33" t="str">
        <f t="shared" si="0"/>
        <v/>
      </c>
      <c r="D40" s="11"/>
      <c r="E40" s="33" t="str">
        <f t="shared" si="1"/>
        <v/>
      </c>
      <c r="M40" s="21"/>
      <c r="N40" s="21"/>
      <c r="O40" s="21"/>
    </row>
    <row r="41" spans="3:15" x14ac:dyDescent="0.25">
      <c r="C41" s="33" t="str">
        <f t="shared" si="0"/>
        <v/>
      </c>
      <c r="D41" s="11"/>
      <c r="E41" s="33" t="str">
        <f t="shared" si="1"/>
        <v/>
      </c>
      <c r="M41" s="21"/>
      <c r="N41" s="21"/>
      <c r="O41" s="21"/>
    </row>
    <row r="42" spans="3:15" x14ac:dyDescent="0.25">
      <c r="C42" s="33" t="str">
        <f t="shared" si="0"/>
        <v/>
      </c>
      <c r="D42" s="11"/>
      <c r="E42" s="33" t="str">
        <f t="shared" si="1"/>
        <v/>
      </c>
      <c r="M42" s="21"/>
      <c r="N42" s="21"/>
      <c r="O42" s="21"/>
    </row>
    <row r="43" spans="3:15" x14ac:dyDescent="0.25">
      <c r="C43" s="33" t="str">
        <f t="shared" si="0"/>
        <v/>
      </c>
      <c r="D43" s="11"/>
      <c r="E43" s="33" t="str">
        <f t="shared" si="1"/>
        <v/>
      </c>
      <c r="M43" s="21"/>
      <c r="N43" s="21"/>
      <c r="O43" s="21"/>
    </row>
    <row r="44" spans="3:15" ht="6" customHeight="1" x14ac:dyDescent="0.25">
      <c r="C44" s="9"/>
      <c r="D44" s="9"/>
      <c r="E44" s="9"/>
      <c r="F44" s="9"/>
      <c r="G44" s="9"/>
      <c r="H44" s="9"/>
      <c r="I44" s="9"/>
      <c r="J44" s="9"/>
      <c r="K44" s="9"/>
      <c r="L44" s="9"/>
      <c r="M44" s="21"/>
      <c r="N44" s="21"/>
      <c r="O44" s="21"/>
    </row>
    <row r="45" spans="3:15" ht="6" customHeight="1" x14ac:dyDescent="0.25">
      <c r="M45" s="21"/>
      <c r="N45" s="21"/>
      <c r="O45" s="21"/>
    </row>
    <row r="46" spans="3:15" x14ac:dyDescent="0.25">
      <c r="C46" s="15" t="s">
        <v>79</v>
      </c>
      <c r="M46" s="21"/>
      <c r="N46" s="21"/>
      <c r="O46" s="21"/>
    </row>
    <row r="47" spans="3:15" x14ac:dyDescent="0.25">
      <c r="C47" s="15" t="s">
        <v>78</v>
      </c>
    </row>
  </sheetData>
  <mergeCells count="1">
    <mergeCell ref="G13:H13"/>
  </mergeCells>
  <conditionalFormatting sqref="I9">
    <cfRule type="containsText" dxfId="1773" priority="16" operator="containsText" text="FAIL">
      <formula>NOT(ISERROR(SEARCH("FAIL",I9)))</formula>
    </cfRule>
  </conditionalFormatting>
  <conditionalFormatting sqref="I9">
    <cfRule type="containsText" dxfId="1772" priority="15" operator="containsText" text="GOOD">
      <formula>NOT(ISERROR(SEARCH("GOOD",I9)))</formula>
    </cfRule>
  </conditionalFormatting>
  <conditionalFormatting sqref="F11">
    <cfRule type="containsText" dxfId="1771" priority="14" operator="containsText" text="FAIL">
      <formula>NOT(ISERROR(SEARCH("FAIL",F11)))</formula>
    </cfRule>
  </conditionalFormatting>
  <conditionalFormatting sqref="F11">
    <cfRule type="containsText" dxfId="1770" priority="13" operator="containsText" text="GOOD">
      <formula>NOT(ISERROR(SEARCH("GOOD",F11)))</formula>
    </cfRule>
  </conditionalFormatting>
  <conditionalFormatting sqref="D25">
    <cfRule type="expression" dxfId="1769" priority="12" stopIfTrue="1">
      <formula>IF($H$25=1,0)</formula>
    </cfRule>
  </conditionalFormatting>
  <conditionalFormatting sqref="D23 D29:D43 D25:D26">
    <cfRule type="expression" dxfId="1768" priority="11">
      <formula>H23=1</formula>
    </cfRule>
  </conditionalFormatting>
  <conditionalFormatting sqref="C23:C26 C29:C43">
    <cfRule type="expression" dxfId="1767" priority="10">
      <formula>H23=1</formula>
    </cfRule>
  </conditionalFormatting>
  <conditionalFormatting sqref="E23 E29:E43 E25:E26">
    <cfRule type="expression" dxfId="1766" priority="9">
      <formula>H23=1</formula>
    </cfRule>
  </conditionalFormatting>
  <conditionalFormatting sqref="F11">
    <cfRule type="containsText" dxfId="1765" priority="8" operator="containsText" text="FAIL">
      <formula>NOT(ISERROR(SEARCH("FAIL",F11)))</formula>
    </cfRule>
  </conditionalFormatting>
  <conditionalFormatting sqref="F11">
    <cfRule type="containsText" dxfId="1764" priority="7" operator="containsText" text="GOOD">
      <formula>NOT(ISERROR(SEARCH("GOOD",F11)))</formula>
    </cfRule>
  </conditionalFormatting>
  <conditionalFormatting sqref="D27:D28">
    <cfRule type="expression" dxfId="1763" priority="6">
      <formula>H27=1</formula>
    </cfRule>
  </conditionalFormatting>
  <conditionalFormatting sqref="C27:C28">
    <cfRule type="expression" dxfId="1762" priority="5">
      <formula>H27=1</formula>
    </cfRule>
  </conditionalFormatting>
  <conditionalFormatting sqref="E27:E28">
    <cfRule type="expression" dxfId="1761" priority="4">
      <formula>H27=1</formula>
    </cfRule>
  </conditionalFormatting>
  <conditionalFormatting sqref="D24">
    <cfRule type="expression" dxfId="1760" priority="3" stopIfTrue="1">
      <formula>IF($H$25=1,0)</formula>
    </cfRule>
  </conditionalFormatting>
  <conditionalFormatting sqref="D24">
    <cfRule type="expression" dxfId="1759" priority="2">
      <formula>H24=1</formula>
    </cfRule>
  </conditionalFormatting>
  <conditionalFormatting sqref="E24">
    <cfRule type="expression" dxfId="1758" priority="1">
      <formula>H24=1</formula>
    </cfRule>
  </conditionalFormatting>
  <pageMargins left="0.7" right="0.7" top="0.75" bottom="0.75" header="0.3" footer="0.3"/>
  <pageSetup scale="68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6"/>
  <dimension ref="A2:O56"/>
  <sheetViews>
    <sheetView zoomScaleNormal="100" workbookViewId="0">
      <selection activeCell="I36" sqref="I36"/>
    </sheetView>
  </sheetViews>
  <sheetFormatPr defaultRowHeight="15" x14ac:dyDescent="0.25"/>
  <cols>
    <col min="1" max="2" width="4.42578125" customWidth="1"/>
    <col min="3" max="3" width="3" customWidth="1"/>
    <col min="4" max="4" width="24.7109375" customWidth="1"/>
    <col min="5" max="5" width="3" customWidth="1"/>
    <col min="6" max="6" width="15.7109375" customWidth="1"/>
    <col min="7" max="7" width="8.5703125" customWidth="1"/>
    <col min="8" max="8" width="5.85546875" customWidth="1"/>
    <col min="9" max="15" width="15.7109375" customWidth="1"/>
  </cols>
  <sheetData>
    <row r="2" spans="1:11" x14ac:dyDescent="0.25">
      <c r="C2" s="15" t="s">
        <v>32</v>
      </c>
      <c r="E2" s="15"/>
      <c r="F2" s="15"/>
      <c r="G2" s="15" t="s">
        <v>33</v>
      </c>
      <c r="H2" s="15"/>
      <c r="I2" s="15"/>
      <c r="J2" s="15"/>
      <c r="K2" s="15"/>
    </row>
    <row r="3" spans="1:11" ht="18.75" x14ac:dyDescent="0.3">
      <c r="C3" s="3" t="s">
        <v>26</v>
      </c>
      <c r="J3" s="8" t="s">
        <v>47</v>
      </c>
    </row>
    <row r="4" spans="1:11" x14ac:dyDescent="0.25">
      <c r="D4" s="2" t="s">
        <v>0</v>
      </c>
      <c r="E4" s="1"/>
      <c r="F4" t="s">
        <v>1116</v>
      </c>
      <c r="I4" s="2" t="s">
        <v>4</v>
      </c>
      <c r="J4" t="s">
        <v>616</v>
      </c>
    </row>
    <row r="5" spans="1:11" x14ac:dyDescent="0.25">
      <c r="D5" s="2" t="s">
        <v>1</v>
      </c>
      <c r="F5" t="s">
        <v>1117</v>
      </c>
    </row>
    <row r="6" spans="1:11" x14ac:dyDescent="0.25">
      <c r="D6" s="2" t="s">
        <v>2</v>
      </c>
      <c r="F6" s="6">
        <v>43047</v>
      </c>
      <c r="H6" s="11"/>
    </row>
    <row r="7" spans="1:11" x14ac:dyDescent="0.25">
      <c r="D7" s="2" t="s">
        <v>3</v>
      </c>
      <c r="F7" s="5">
        <f>+I7+J7</f>
        <v>26900000</v>
      </c>
      <c r="G7" s="2" t="s">
        <v>190</v>
      </c>
      <c r="H7" s="11"/>
      <c r="I7" s="19">
        <v>19700000</v>
      </c>
      <c r="J7" s="19">
        <v>7200000</v>
      </c>
    </row>
    <row r="8" spans="1:11" x14ac:dyDescent="0.25">
      <c r="D8" s="2" t="s">
        <v>18</v>
      </c>
      <c r="F8" s="5">
        <f>MIN(K23:K43)</f>
        <v>26600000</v>
      </c>
      <c r="H8" s="11"/>
      <c r="I8" s="18" t="s">
        <v>43</v>
      </c>
      <c r="J8" s="18" t="s">
        <v>44</v>
      </c>
    </row>
    <row r="9" spans="1:11" x14ac:dyDescent="0.25">
      <c r="D9" s="2" t="s">
        <v>19</v>
      </c>
      <c r="F9" s="4">
        <f>+F8-F7</f>
        <v>-300000</v>
      </c>
      <c r="G9" s="16">
        <f>+F9/F7</f>
        <v>-1.1152416356877323E-2</v>
      </c>
      <c r="H9" s="12" t="s">
        <v>20</v>
      </c>
      <c r="I9" s="11" t="str">
        <f>(IF(G9&lt;-0.1,"FAIL",IF(G9&gt;0.05,"FAIL","GOOD")))</f>
        <v>GOOD</v>
      </c>
      <c r="J9" s="14" t="s">
        <v>72</v>
      </c>
    </row>
    <row r="10" spans="1:11" x14ac:dyDescent="0.25">
      <c r="D10" s="2" t="s">
        <v>68</v>
      </c>
      <c r="F10" s="4">
        <f>+F7-F12</f>
        <v>-1759203.6666666679</v>
      </c>
      <c r="H10" s="11"/>
    </row>
    <row r="11" spans="1:11" x14ac:dyDescent="0.25">
      <c r="A11" s="30"/>
      <c r="D11" s="2" t="s">
        <v>71</v>
      </c>
      <c r="F11" s="11" t="str">
        <f>(IF(F7&lt;J12,"FAIL",IF(F7&gt;J13,"FAIL","GOOD")))</f>
        <v>GOOD</v>
      </c>
      <c r="H11" s="11"/>
    </row>
    <row r="12" spans="1:11" x14ac:dyDescent="0.25">
      <c r="D12" s="2" t="s">
        <v>28</v>
      </c>
      <c r="F12" s="4">
        <f>SUM(K23:K43)/H12</f>
        <v>28659203.666666668</v>
      </c>
      <c r="G12" s="14"/>
      <c r="H12" s="11">
        <f>COUNT(K23:K43)</f>
        <v>3</v>
      </c>
      <c r="I12" s="1" t="s">
        <v>31</v>
      </c>
      <c r="J12" s="4">
        <f>+F8*0.9</f>
        <v>23940000</v>
      </c>
      <c r="K12" s="1" t="s">
        <v>69</v>
      </c>
    </row>
    <row r="13" spans="1:11" x14ac:dyDescent="0.25">
      <c r="D13" s="2" t="s">
        <v>29</v>
      </c>
      <c r="F13" s="4">
        <f>MAX(K23:K43)-MIN(K23:K43)</f>
        <v>3303900</v>
      </c>
      <c r="G13" s="399">
        <f>MEDIAN(K23:K43)</f>
        <v>29473711</v>
      </c>
      <c r="H13" s="400"/>
      <c r="I13" s="1" t="s">
        <v>30</v>
      </c>
      <c r="J13" s="4">
        <f>+F12*1.1</f>
        <v>31525124.033333339</v>
      </c>
      <c r="K13" s="1" t="s">
        <v>70</v>
      </c>
    </row>
    <row r="14" spans="1:11" x14ac:dyDescent="0.25">
      <c r="H14" s="11"/>
    </row>
    <row r="15" spans="1:11" hidden="1" x14ac:dyDescent="0.25">
      <c r="D15" s="2" t="s">
        <v>8</v>
      </c>
      <c r="F15" s="4">
        <v>30000000</v>
      </c>
      <c r="G15" s="1" t="s">
        <v>9</v>
      </c>
      <c r="H15" s="11"/>
      <c r="I15" t="s">
        <v>15</v>
      </c>
      <c r="J15" s="7">
        <f>+F16/F15</f>
        <v>0.93333333333333335</v>
      </c>
    </row>
    <row r="16" spans="1:11" hidden="1" x14ac:dyDescent="0.25">
      <c r="F16" s="4">
        <v>28000000</v>
      </c>
      <c r="G16" s="1" t="s">
        <v>10</v>
      </c>
      <c r="H16" s="11"/>
      <c r="I16" t="s">
        <v>14</v>
      </c>
      <c r="J16" s="7">
        <f>+F17/F16</f>
        <v>1.0535714285714286</v>
      </c>
    </row>
    <row r="17" spans="3:15" hidden="1" x14ac:dyDescent="0.25">
      <c r="F17" s="4">
        <v>29500000</v>
      </c>
      <c r="G17" s="1" t="s">
        <v>11</v>
      </c>
      <c r="H17" s="11"/>
      <c r="I17" t="s">
        <v>13</v>
      </c>
      <c r="J17" s="7">
        <f>+F18/F17</f>
        <v>0.91186440677966096</v>
      </c>
    </row>
    <row r="18" spans="3:15" hidden="1" x14ac:dyDescent="0.25">
      <c r="F18" s="4">
        <f>+F7</f>
        <v>26900000</v>
      </c>
      <c r="G18" s="1" t="s">
        <v>12</v>
      </c>
      <c r="H18" s="11"/>
      <c r="I18" t="s">
        <v>16</v>
      </c>
      <c r="J18" s="7">
        <f>+F8/F18</f>
        <v>0.98884758364312264</v>
      </c>
    </row>
    <row r="19" spans="3:15" hidden="1" x14ac:dyDescent="0.25">
      <c r="F19" s="2" t="s">
        <v>51</v>
      </c>
      <c r="G19">
        <v>0</v>
      </c>
      <c r="H19" s="11" t="s">
        <v>52</v>
      </c>
      <c r="I19" t="s">
        <v>41</v>
      </c>
      <c r="J19" s="7">
        <f>+F8/F15</f>
        <v>0.88666666666666671</v>
      </c>
    </row>
    <row r="20" spans="3:15" x14ac:dyDescent="0.25">
      <c r="H20" s="11"/>
      <c r="M20" s="21"/>
      <c r="N20" s="21"/>
      <c r="O20" s="21"/>
    </row>
    <row r="21" spans="3:15" x14ac:dyDescent="0.25">
      <c r="C21" s="9"/>
      <c r="D21" s="13" t="s">
        <v>21</v>
      </c>
      <c r="E21" s="9"/>
      <c r="F21" s="9" t="s">
        <v>22</v>
      </c>
      <c r="G21" s="9" t="s">
        <v>23</v>
      </c>
      <c r="H21" s="13" t="s">
        <v>27</v>
      </c>
      <c r="I21" s="10" t="s">
        <v>38</v>
      </c>
      <c r="J21" s="10" t="s">
        <v>37</v>
      </c>
      <c r="K21" s="10" t="s">
        <v>39</v>
      </c>
      <c r="L21" s="9"/>
      <c r="M21" s="21"/>
      <c r="N21" s="21"/>
      <c r="O21" s="21"/>
    </row>
    <row r="22" spans="3:15" ht="6" customHeight="1" x14ac:dyDescent="0.25">
      <c r="M22" s="21"/>
      <c r="N22" s="21"/>
      <c r="O22" s="21"/>
    </row>
    <row r="23" spans="3:15" x14ac:dyDescent="0.25">
      <c r="C23" s="33" t="str">
        <f>IF(H23=1,"u","")</f>
        <v/>
      </c>
      <c r="D23" s="11" t="s">
        <v>440</v>
      </c>
      <c r="E23" s="33"/>
      <c r="F23" t="s">
        <v>193</v>
      </c>
      <c r="G23" t="s">
        <v>25</v>
      </c>
      <c r="H23">
        <f>RANK(K23,K$23:K$43,1)</f>
        <v>2</v>
      </c>
      <c r="I23" s="4">
        <v>20025300</v>
      </c>
      <c r="J23" s="4">
        <v>9448411</v>
      </c>
      <c r="K23" s="4">
        <f>+J23+I23</f>
        <v>29473711</v>
      </c>
      <c r="L23" s="4"/>
      <c r="M23" s="22"/>
      <c r="N23" s="22"/>
      <c r="O23" s="22"/>
    </row>
    <row r="24" spans="3:15" x14ac:dyDescent="0.25">
      <c r="C24" s="33" t="str">
        <f>IF(H24=1,"u","")</f>
        <v>u</v>
      </c>
      <c r="D24" s="11" t="s">
        <v>788</v>
      </c>
      <c r="E24" s="33"/>
      <c r="F24" t="s">
        <v>115</v>
      </c>
      <c r="G24" t="s">
        <v>25</v>
      </c>
      <c r="H24">
        <f>RANK(K24,K$23:K$43,1)</f>
        <v>1</v>
      </c>
      <c r="I24" s="4">
        <v>18593700</v>
      </c>
      <c r="J24" s="4">
        <v>8006300</v>
      </c>
      <c r="K24" s="4">
        <f>+J24+I24</f>
        <v>26600000</v>
      </c>
      <c r="L24" s="4"/>
      <c r="M24" s="22"/>
      <c r="N24" s="22"/>
      <c r="O24" s="22"/>
    </row>
    <row r="25" spans="3:15" x14ac:dyDescent="0.25">
      <c r="C25" s="33" t="str">
        <f>IF(H25=1,"u","")</f>
        <v/>
      </c>
      <c r="D25" s="11" t="s">
        <v>745</v>
      </c>
      <c r="E25" s="33"/>
      <c r="F25" t="s">
        <v>159</v>
      </c>
      <c r="G25" t="s">
        <v>93</v>
      </c>
      <c r="H25">
        <f>RANK(K25,K$23:K$43,1)</f>
        <v>3</v>
      </c>
      <c r="I25" s="4">
        <v>18133900</v>
      </c>
      <c r="J25" s="4">
        <v>11770000</v>
      </c>
      <c r="K25" s="4">
        <f>+J25+I25</f>
        <v>29903900</v>
      </c>
      <c r="L25" s="4"/>
      <c r="M25" s="22"/>
      <c r="N25" s="22"/>
      <c r="O25" s="22"/>
    </row>
    <row r="26" spans="3:15" x14ac:dyDescent="0.25">
      <c r="C26" s="33" t="str">
        <f t="shared" ref="C26:C43" si="0">IF(H26=1,"u","")</f>
        <v/>
      </c>
      <c r="D26" s="11"/>
      <c r="E26" s="33"/>
      <c r="I26" s="4"/>
      <c r="J26" s="4"/>
      <c r="K26" s="4"/>
      <c r="L26" s="4"/>
      <c r="M26" s="22"/>
      <c r="N26" s="22"/>
      <c r="O26" s="22"/>
    </row>
    <row r="27" spans="3:15" x14ac:dyDescent="0.25">
      <c r="C27" s="33" t="str">
        <f t="shared" si="0"/>
        <v/>
      </c>
      <c r="D27" s="11"/>
      <c r="E27" s="33"/>
      <c r="I27" s="4"/>
      <c r="J27" s="4"/>
      <c r="K27" s="4"/>
      <c r="L27" s="4"/>
      <c r="M27" s="22"/>
      <c r="N27" s="22"/>
      <c r="O27" s="22"/>
    </row>
    <row r="28" spans="3:15" x14ac:dyDescent="0.25">
      <c r="C28" s="33" t="str">
        <f t="shared" si="0"/>
        <v/>
      </c>
      <c r="D28" s="11"/>
      <c r="E28" s="33"/>
      <c r="I28" s="4"/>
      <c r="J28" s="4"/>
      <c r="K28" s="4"/>
      <c r="L28" s="4"/>
      <c r="M28" s="22"/>
      <c r="N28" s="22"/>
      <c r="O28" s="22"/>
    </row>
    <row r="29" spans="3:15" x14ac:dyDescent="0.25">
      <c r="C29" s="33" t="str">
        <f t="shared" si="0"/>
        <v/>
      </c>
      <c r="D29" s="11"/>
      <c r="E29" s="33"/>
      <c r="I29" s="4"/>
      <c r="J29" s="4"/>
      <c r="K29" s="4"/>
      <c r="L29" s="4"/>
      <c r="M29" s="22"/>
      <c r="N29" s="22"/>
      <c r="O29" s="22"/>
    </row>
    <row r="30" spans="3:15" x14ac:dyDescent="0.25">
      <c r="C30" s="33" t="str">
        <f t="shared" si="0"/>
        <v/>
      </c>
      <c r="D30" s="11"/>
      <c r="E30" s="33"/>
      <c r="I30" s="4"/>
      <c r="J30" s="4"/>
      <c r="K30" s="4"/>
      <c r="L30" s="4"/>
      <c r="M30" s="22"/>
      <c r="N30" s="22"/>
      <c r="O30" s="22"/>
    </row>
    <row r="31" spans="3:15" x14ac:dyDescent="0.25">
      <c r="C31" s="33" t="str">
        <f t="shared" si="0"/>
        <v/>
      </c>
      <c r="D31" s="11"/>
      <c r="E31" s="33"/>
      <c r="I31" s="4"/>
      <c r="J31" s="4"/>
      <c r="K31" s="4"/>
      <c r="L31" s="4"/>
      <c r="M31" s="22"/>
      <c r="N31" s="22"/>
      <c r="O31" s="22"/>
    </row>
    <row r="32" spans="3:15" x14ac:dyDescent="0.25">
      <c r="C32" s="33" t="str">
        <f t="shared" si="0"/>
        <v/>
      </c>
      <c r="D32" s="11"/>
      <c r="E32" s="33"/>
      <c r="I32" s="4"/>
      <c r="J32" s="4"/>
      <c r="K32" s="4"/>
      <c r="L32" s="4"/>
      <c r="M32" s="22"/>
      <c r="N32" s="22"/>
      <c r="O32" s="22"/>
    </row>
    <row r="33" spans="3:15" x14ac:dyDescent="0.25">
      <c r="C33" s="33" t="str">
        <f t="shared" si="0"/>
        <v/>
      </c>
      <c r="D33" s="11"/>
      <c r="E33" s="33"/>
      <c r="I33" s="4"/>
      <c r="J33" s="4"/>
      <c r="K33" s="4"/>
      <c r="M33" s="21"/>
      <c r="N33" s="21"/>
      <c r="O33" s="21"/>
    </row>
    <row r="34" spans="3:15" x14ac:dyDescent="0.25">
      <c r="C34" s="33" t="str">
        <f t="shared" si="0"/>
        <v/>
      </c>
      <c r="D34" s="11"/>
      <c r="E34" s="33"/>
      <c r="I34" s="4"/>
      <c r="J34" s="4"/>
      <c r="K34" s="4"/>
      <c r="M34" s="21"/>
      <c r="N34" s="21"/>
      <c r="O34" s="21"/>
    </row>
    <row r="35" spans="3:15" x14ac:dyDescent="0.25">
      <c r="C35" s="33" t="str">
        <f t="shared" si="0"/>
        <v/>
      </c>
      <c r="D35" s="11"/>
      <c r="E35" s="33"/>
      <c r="I35" s="4"/>
      <c r="J35" s="4"/>
      <c r="K35" s="4"/>
      <c r="M35" s="21"/>
      <c r="N35" s="21"/>
      <c r="O35" s="21"/>
    </row>
    <row r="36" spans="3:15" x14ac:dyDescent="0.25">
      <c r="C36" s="33" t="str">
        <f t="shared" si="0"/>
        <v/>
      </c>
      <c r="D36" s="11"/>
      <c r="E36" s="33"/>
      <c r="I36" s="4"/>
      <c r="J36" s="4"/>
      <c r="K36" s="4"/>
      <c r="M36" s="21"/>
      <c r="N36" s="21"/>
      <c r="O36" s="21"/>
    </row>
    <row r="37" spans="3:15" x14ac:dyDescent="0.25">
      <c r="C37" s="33" t="str">
        <f t="shared" si="0"/>
        <v/>
      </c>
      <c r="D37" s="11"/>
      <c r="E37" s="33"/>
      <c r="I37" s="4"/>
      <c r="J37" s="4"/>
      <c r="K37" s="4"/>
      <c r="M37" s="21"/>
      <c r="N37" s="21"/>
      <c r="O37" s="21"/>
    </row>
    <row r="38" spans="3:15" x14ac:dyDescent="0.25">
      <c r="C38" s="33" t="str">
        <f t="shared" si="0"/>
        <v/>
      </c>
      <c r="D38" s="11"/>
      <c r="E38" s="33"/>
      <c r="I38" s="4"/>
      <c r="J38" s="4"/>
      <c r="K38" s="4"/>
      <c r="M38" s="21"/>
      <c r="N38" s="21"/>
      <c r="O38" s="21"/>
    </row>
    <row r="39" spans="3:15" x14ac:dyDescent="0.25">
      <c r="C39" s="33" t="str">
        <f t="shared" si="0"/>
        <v/>
      </c>
      <c r="D39" s="11"/>
      <c r="E39" s="33" t="str">
        <f>IF(H39=1,"t","")</f>
        <v/>
      </c>
      <c r="K39" s="4"/>
      <c r="M39" s="21"/>
      <c r="N39" s="21"/>
      <c r="O39" s="21"/>
    </row>
    <row r="40" spans="3:15" x14ac:dyDescent="0.25">
      <c r="C40" s="33" t="str">
        <f t="shared" si="0"/>
        <v/>
      </c>
      <c r="D40" s="11"/>
      <c r="E40" s="33" t="str">
        <f>IF(H40=1,"t","")</f>
        <v/>
      </c>
      <c r="K40" s="4"/>
      <c r="M40" s="21"/>
      <c r="N40" s="21"/>
      <c r="O40" s="21"/>
    </row>
    <row r="41" spans="3:15" x14ac:dyDescent="0.25">
      <c r="C41" s="33" t="str">
        <f t="shared" si="0"/>
        <v/>
      </c>
      <c r="D41" s="11"/>
      <c r="E41" s="33" t="str">
        <f>IF(H41=1,"t","")</f>
        <v/>
      </c>
      <c r="K41" s="4"/>
      <c r="M41" s="21"/>
      <c r="N41" s="21"/>
      <c r="O41" s="21"/>
    </row>
    <row r="42" spans="3:15" x14ac:dyDescent="0.25">
      <c r="C42" s="33" t="str">
        <f t="shared" si="0"/>
        <v/>
      </c>
      <c r="D42" s="11"/>
      <c r="E42" s="33" t="str">
        <f>IF(H42=1,"t","")</f>
        <v/>
      </c>
      <c r="K42" s="4"/>
      <c r="M42" s="21"/>
      <c r="N42" s="21"/>
      <c r="O42" s="21"/>
    </row>
    <row r="43" spans="3:15" x14ac:dyDescent="0.25">
      <c r="C43" s="33" t="str">
        <f t="shared" si="0"/>
        <v/>
      </c>
      <c r="D43" s="11"/>
      <c r="E43" s="33" t="str">
        <f>IF(H43=1,"t","")</f>
        <v/>
      </c>
      <c r="K43" s="4"/>
      <c r="M43" s="21"/>
      <c r="N43" s="21"/>
      <c r="O43" s="21"/>
    </row>
    <row r="44" spans="3:15" ht="6" customHeight="1" x14ac:dyDescent="0.25">
      <c r="C44" s="9"/>
      <c r="D44" s="9"/>
      <c r="E44" s="9"/>
      <c r="F44" s="9"/>
      <c r="G44" s="9"/>
      <c r="H44" s="9"/>
      <c r="I44" s="9"/>
      <c r="J44" s="9"/>
      <c r="K44" s="9"/>
      <c r="L44" s="9"/>
      <c r="M44" s="21"/>
      <c r="N44" s="21"/>
      <c r="O44" s="21"/>
    </row>
    <row r="45" spans="3:15" ht="6" customHeight="1" x14ac:dyDescent="0.25">
      <c r="M45" s="21"/>
      <c r="N45" s="21"/>
      <c r="O45" s="21"/>
    </row>
    <row r="46" spans="3:15" x14ac:dyDescent="0.25">
      <c r="C46" s="15" t="s">
        <v>79</v>
      </c>
      <c r="M46" s="21"/>
      <c r="N46" s="21"/>
      <c r="O46" s="21"/>
    </row>
    <row r="47" spans="3:15" x14ac:dyDescent="0.25">
      <c r="C47" s="15" t="s">
        <v>78</v>
      </c>
    </row>
    <row r="49" spans="3:10" x14ac:dyDescent="0.25">
      <c r="C49" s="31" t="s">
        <v>948</v>
      </c>
      <c r="D49" s="31"/>
      <c r="H49" t="s">
        <v>949</v>
      </c>
      <c r="I49" t="s">
        <v>784</v>
      </c>
      <c r="J49" s="6">
        <v>42802</v>
      </c>
    </row>
    <row r="50" spans="3:10" ht="6" customHeight="1" x14ac:dyDescent="0.25"/>
    <row r="51" spans="3:10" x14ac:dyDescent="0.25">
      <c r="D51" s="93" t="s">
        <v>950</v>
      </c>
    </row>
    <row r="52" spans="3:10" x14ac:dyDescent="0.25">
      <c r="D52" s="93" t="s">
        <v>951</v>
      </c>
    </row>
    <row r="53" spans="3:10" x14ac:dyDescent="0.25">
      <c r="D53" s="93" t="s">
        <v>952</v>
      </c>
    </row>
    <row r="54" spans="3:10" x14ac:dyDescent="0.25">
      <c r="D54" s="93" t="s">
        <v>953</v>
      </c>
    </row>
    <row r="55" spans="3:10" x14ac:dyDescent="0.25">
      <c r="D55" s="93" t="s">
        <v>954</v>
      </c>
    </row>
    <row r="56" spans="3:10" x14ac:dyDescent="0.25">
      <c r="D56" s="93" t="s">
        <v>955</v>
      </c>
    </row>
  </sheetData>
  <mergeCells count="1">
    <mergeCell ref="G13:H13"/>
  </mergeCells>
  <conditionalFormatting sqref="I9">
    <cfRule type="containsText" dxfId="2211" priority="32" operator="containsText" text="FAIL">
      <formula>NOT(ISERROR(SEARCH("FAIL",I9)))</formula>
    </cfRule>
  </conditionalFormatting>
  <conditionalFormatting sqref="I9">
    <cfRule type="containsText" dxfId="2210" priority="31" operator="containsText" text="GOOD">
      <formula>NOT(ISERROR(SEARCH("GOOD",I9)))</formula>
    </cfRule>
  </conditionalFormatting>
  <conditionalFormatting sqref="I9">
    <cfRule type="containsText" dxfId="2209" priority="30" operator="containsText" text="FAIL">
      <formula>NOT(ISERROR(SEARCH("FAIL",I9)))</formula>
    </cfRule>
  </conditionalFormatting>
  <conditionalFormatting sqref="I9">
    <cfRule type="containsText" dxfId="2208" priority="29" operator="containsText" text="GOOD">
      <formula>NOT(ISERROR(SEARCH("GOOD",I9)))</formula>
    </cfRule>
  </conditionalFormatting>
  <conditionalFormatting sqref="I9">
    <cfRule type="containsText" dxfId="2207" priority="28" operator="containsText" text="FAIL">
      <formula>NOT(ISERROR(SEARCH("FAIL",I9)))</formula>
    </cfRule>
  </conditionalFormatting>
  <conditionalFormatting sqref="I9">
    <cfRule type="containsText" dxfId="2206" priority="27" operator="containsText" text="GOOD">
      <formula>NOT(ISERROR(SEARCH("GOOD",I9)))</formula>
    </cfRule>
  </conditionalFormatting>
  <conditionalFormatting sqref="F11">
    <cfRule type="containsText" dxfId="2205" priority="26" operator="containsText" text="FAIL">
      <formula>NOT(ISERROR(SEARCH("FAIL",F11)))</formula>
    </cfRule>
  </conditionalFormatting>
  <conditionalFormatting sqref="F11">
    <cfRule type="containsText" dxfId="2204" priority="25" operator="containsText" text="GOOD">
      <formula>NOT(ISERROR(SEARCH("GOOD",F11)))</formula>
    </cfRule>
  </conditionalFormatting>
  <conditionalFormatting sqref="I9">
    <cfRule type="containsText" dxfId="2203" priority="24" operator="containsText" text="FAIL">
      <formula>NOT(ISERROR(SEARCH("FAIL",I9)))</formula>
    </cfRule>
  </conditionalFormatting>
  <conditionalFormatting sqref="I9">
    <cfRule type="containsText" dxfId="2202" priority="23" operator="containsText" text="GOOD">
      <formula>NOT(ISERROR(SEARCH("GOOD",I9)))</formula>
    </cfRule>
  </conditionalFormatting>
  <conditionalFormatting sqref="F11">
    <cfRule type="containsText" dxfId="2201" priority="22" operator="containsText" text="FAIL">
      <formula>NOT(ISERROR(SEARCH("FAIL",F11)))</formula>
    </cfRule>
  </conditionalFormatting>
  <conditionalFormatting sqref="F11">
    <cfRule type="containsText" dxfId="2200" priority="21" operator="containsText" text="GOOD">
      <formula>NOT(ISERROR(SEARCH("GOOD",F11)))</formula>
    </cfRule>
  </conditionalFormatting>
  <conditionalFormatting sqref="D25">
    <cfRule type="expression" dxfId="2199" priority="20" stopIfTrue="1">
      <formula>IF($H$25=1,0)</formula>
    </cfRule>
  </conditionalFormatting>
  <conditionalFormatting sqref="D23 D39:D43 D25:D33">
    <cfRule type="expression" dxfId="2198" priority="19">
      <formula>H23=1</formula>
    </cfRule>
  </conditionalFormatting>
  <conditionalFormatting sqref="C23 C39:C43 C25:C33">
    <cfRule type="expression" dxfId="2197" priority="18">
      <formula>H23=1</formula>
    </cfRule>
  </conditionalFormatting>
  <conditionalFormatting sqref="E23 E39:E43 E25:E33">
    <cfRule type="expression" dxfId="2196" priority="17">
      <formula>H23=1</formula>
    </cfRule>
  </conditionalFormatting>
  <conditionalFormatting sqref="E23 E39:E43 E25:E33">
    <cfRule type="expression" dxfId="2195" priority="16">
      <formula>H23=1</formula>
    </cfRule>
  </conditionalFormatting>
  <conditionalFormatting sqref="F11">
    <cfRule type="containsText" dxfId="2194" priority="15" operator="containsText" text="FAIL">
      <formula>NOT(ISERROR(SEARCH("FAIL",F11)))</formula>
    </cfRule>
  </conditionalFormatting>
  <conditionalFormatting sqref="F11">
    <cfRule type="containsText" dxfId="2193" priority="14" operator="containsText" text="GOOD">
      <formula>NOT(ISERROR(SEARCH("GOOD",F11)))</formula>
    </cfRule>
  </conditionalFormatting>
  <conditionalFormatting sqref="D34:D37">
    <cfRule type="expression" dxfId="2192" priority="13">
      <formula>H34=1</formula>
    </cfRule>
  </conditionalFormatting>
  <conditionalFormatting sqref="C34:C37">
    <cfRule type="expression" dxfId="2191" priority="12">
      <formula>H34=1</formula>
    </cfRule>
  </conditionalFormatting>
  <conditionalFormatting sqref="E34:E37">
    <cfRule type="expression" dxfId="2190" priority="11">
      <formula>H34=1</formula>
    </cfRule>
  </conditionalFormatting>
  <conditionalFormatting sqref="E34:E37">
    <cfRule type="expression" dxfId="2189" priority="10">
      <formula>H34=1</formula>
    </cfRule>
  </conditionalFormatting>
  <conditionalFormatting sqref="D38">
    <cfRule type="expression" dxfId="2188" priority="9">
      <formula>H38=1</formula>
    </cfRule>
  </conditionalFormatting>
  <conditionalFormatting sqref="C38">
    <cfRule type="expression" dxfId="2187" priority="8">
      <formula>H38=1</formula>
    </cfRule>
  </conditionalFormatting>
  <conditionalFormatting sqref="E38">
    <cfRule type="expression" dxfId="2186" priority="7">
      <formula>H38=1</formula>
    </cfRule>
  </conditionalFormatting>
  <conditionalFormatting sqref="E38">
    <cfRule type="expression" dxfId="2185" priority="6">
      <formula>H38=1</formula>
    </cfRule>
  </conditionalFormatting>
  <conditionalFormatting sqref="E24">
    <cfRule type="expression" dxfId="2184" priority="1">
      <formula>H24=1</formula>
    </cfRule>
  </conditionalFormatting>
  <conditionalFormatting sqref="D24">
    <cfRule type="expression" dxfId="2183" priority="5" stopIfTrue="1">
      <formula>IF($H$25=1,0)</formula>
    </cfRule>
  </conditionalFormatting>
  <conditionalFormatting sqref="D24">
    <cfRule type="expression" dxfId="2182" priority="4">
      <formula>H24=1</formula>
    </cfRule>
  </conditionalFormatting>
  <conditionalFormatting sqref="C24">
    <cfRule type="expression" dxfId="2181" priority="3">
      <formula>H24=1</formula>
    </cfRule>
  </conditionalFormatting>
  <conditionalFormatting sqref="E24">
    <cfRule type="expression" dxfId="2180" priority="2">
      <formula>H24=1</formula>
    </cfRule>
  </conditionalFormatting>
  <pageMargins left="0.7" right="0.7" top="0.75" bottom="0.75" header="0.3" footer="0.3"/>
  <pageSetup scale="68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sheetPr codeName="Sheet77"/>
  <dimension ref="A2:O47"/>
  <sheetViews>
    <sheetView zoomScaleNormal="100" workbookViewId="0">
      <selection activeCell="F28" sqref="F28"/>
    </sheetView>
  </sheetViews>
  <sheetFormatPr defaultRowHeight="15" x14ac:dyDescent="0.25"/>
  <cols>
    <col min="1" max="2" width="4.42578125" customWidth="1"/>
    <col min="3" max="3" width="2.7109375" customWidth="1"/>
    <col min="4" max="4" width="24.7109375" customWidth="1"/>
    <col min="5" max="5" width="2.7109375" customWidth="1"/>
    <col min="6" max="6" width="15.7109375" customWidth="1"/>
    <col min="7" max="7" width="8.5703125" customWidth="1"/>
    <col min="8" max="8" width="5.85546875" customWidth="1"/>
    <col min="9" max="15" width="15.7109375" customWidth="1"/>
  </cols>
  <sheetData>
    <row r="2" spans="1:14" x14ac:dyDescent="0.25">
      <c r="C2" s="15" t="s">
        <v>32</v>
      </c>
      <c r="E2" s="15"/>
      <c r="F2" s="15"/>
      <c r="G2" s="15" t="s">
        <v>33</v>
      </c>
      <c r="H2" s="15"/>
      <c r="I2" s="15"/>
      <c r="J2" s="15"/>
      <c r="K2" s="15"/>
    </row>
    <row r="3" spans="1:14" ht="18.75" x14ac:dyDescent="0.3">
      <c r="C3" s="3" t="s">
        <v>26</v>
      </c>
      <c r="J3" s="8" t="s">
        <v>48</v>
      </c>
    </row>
    <row r="4" spans="1:14" x14ac:dyDescent="0.25">
      <c r="C4" s="1"/>
      <c r="D4" s="2" t="s">
        <v>0</v>
      </c>
      <c r="E4" s="1"/>
      <c r="F4" t="s">
        <v>862</v>
      </c>
      <c r="I4" s="2" t="s">
        <v>4</v>
      </c>
      <c r="J4" t="s">
        <v>616</v>
      </c>
    </row>
    <row r="5" spans="1:14" x14ac:dyDescent="0.25">
      <c r="D5" s="2" t="s">
        <v>1</v>
      </c>
      <c r="F5" t="s">
        <v>863</v>
      </c>
    </row>
    <row r="6" spans="1:14" x14ac:dyDescent="0.25">
      <c r="D6" s="2" t="s">
        <v>2</v>
      </c>
      <c r="F6" s="6">
        <v>42759</v>
      </c>
      <c r="H6" s="11"/>
    </row>
    <row r="7" spans="1:14" x14ac:dyDescent="0.25">
      <c r="D7" s="2" t="s">
        <v>3</v>
      </c>
      <c r="F7" s="5">
        <f>+I7+J7+L7</f>
        <v>69800000</v>
      </c>
      <c r="G7" s="2" t="s">
        <v>190</v>
      </c>
      <c r="H7" s="11"/>
      <c r="I7" s="19">
        <v>14441827</v>
      </c>
      <c r="J7" s="19">
        <v>54758173</v>
      </c>
      <c r="K7" s="19">
        <v>0</v>
      </c>
      <c r="L7" s="19">
        <v>600000</v>
      </c>
    </row>
    <row r="8" spans="1:14" x14ac:dyDescent="0.25">
      <c r="D8" s="2" t="s">
        <v>18</v>
      </c>
      <c r="F8" s="5">
        <f>MIN(L23:L43)</f>
        <v>67107000</v>
      </c>
      <c r="H8" s="11"/>
      <c r="I8" s="18" t="s">
        <v>43</v>
      </c>
      <c r="J8" s="18" t="s">
        <v>44</v>
      </c>
      <c r="K8" s="18" t="s">
        <v>49</v>
      </c>
      <c r="L8" s="18" t="s">
        <v>794</v>
      </c>
    </row>
    <row r="9" spans="1:14" x14ac:dyDescent="0.25">
      <c r="D9" s="2" t="s">
        <v>19</v>
      </c>
      <c r="F9" s="4">
        <f>+F8-F7</f>
        <v>-2693000</v>
      </c>
      <c r="G9" s="16">
        <f>+F9/F7</f>
        <v>-3.8581661891117482E-2</v>
      </c>
      <c r="H9" s="12" t="s">
        <v>20</v>
      </c>
      <c r="I9" s="11" t="str">
        <f>(IF(G9&lt;-0.1,"FAIL",IF(G9&gt;0.05,"FAIL","GOOD")))</f>
        <v>GOOD</v>
      </c>
      <c r="J9" s="14" t="s">
        <v>72</v>
      </c>
    </row>
    <row r="10" spans="1:14" x14ac:dyDescent="0.25">
      <c r="D10" s="2" t="s">
        <v>68</v>
      </c>
      <c r="F10" s="4">
        <f>+F7-F12</f>
        <v>-4780198.4444444478</v>
      </c>
      <c r="H10" s="11"/>
      <c r="K10" s="31"/>
      <c r="N10" t="e">
        <f>LOOKUP(1,D23:D43)</f>
        <v>#N/A</v>
      </c>
    </row>
    <row r="11" spans="1:14" x14ac:dyDescent="0.25">
      <c r="A11" s="30"/>
      <c r="D11" s="2" t="s">
        <v>71</v>
      </c>
      <c r="F11" s="11" t="str">
        <f>(IF(F7&lt;J12,"FAIL",IF(F7&gt;J13,"FAIL","GOOD")))</f>
        <v>GOOD</v>
      </c>
      <c r="H11" s="11"/>
      <c r="L11" s="31"/>
      <c r="N11" t="e">
        <f>MATCH(1,D23:H43,0)</f>
        <v>#N/A</v>
      </c>
    </row>
    <row r="12" spans="1:14" x14ac:dyDescent="0.25">
      <c r="D12" s="2" t="s">
        <v>28</v>
      </c>
      <c r="F12" s="4">
        <f>SUM(L23:L43)/H12</f>
        <v>74580198.444444448</v>
      </c>
      <c r="G12" s="14"/>
      <c r="H12" s="11">
        <f>COUNT(L23:L43)</f>
        <v>9</v>
      </c>
      <c r="I12" s="1" t="s">
        <v>31</v>
      </c>
      <c r="J12" s="4">
        <f>+F8*0.9</f>
        <v>60396300</v>
      </c>
      <c r="K12" s="1" t="s">
        <v>69</v>
      </c>
      <c r="N12" t="str">
        <f>INDEX(D23:D43,MATCH(1,H23:H43,0))</f>
        <v>D'Annunzio &amp; Sons</v>
      </c>
    </row>
    <row r="13" spans="1:14" x14ac:dyDescent="0.25">
      <c r="D13" s="2" t="s">
        <v>29</v>
      </c>
      <c r="F13" s="4">
        <f>MAX(L23:L43)-MIN(L23:L43)</f>
        <v>17110896</v>
      </c>
      <c r="G13" s="399">
        <f>MEDIAN(L23:L43)</f>
        <v>74264560</v>
      </c>
      <c r="H13" s="400"/>
      <c r="I13" s="1" t="s">
        <v>30</v>
      </c>
      <c r="J13" s="4">
        <f>+F12*1.1</f>
        <v>82038218.288888901</v>
      </c>
      <c r="K13" s="1" t="s">
        <v>70</v>
      </c>
    </row>
    <row r="14" spans="1:14" x14ac:dyDescent="0.25">
      <c r="H14" s="11"/>
    </row>
    <row r="15" spans="1:14" x14ac:dyDescent="0.25">
      <c r="D15" s="2" t="s">
        <v>8</v>
      </c>
      <c r="F15" s="4">
        <v>5000000</v>
      </c>
      <c r="G15" s="1" t="s">
        <v>9</v>
      </c>
      <c r="H15" s="11"/>
      <c r="I15" t="s">
        <v>15</v>
      </c>
      <c r="J15" s="7">
        <f>+F16/F15</f>
        <v>1.2</v>
      </c>
    </row>
    <row r="16" spans="1:14" x14ac:dyDescent="0.25">
      <c r="F16" s="4">
        <v>6000000</v>
      </c>
      <c r="G16" s="1" t="s">
        <v>10</v>
      </c>
      <c r="H16" s="11"/>
      <c r="I16" t="s">
        <v>14</v>
      </c>
      <c r="J16" s="7">
        <f>+F17/F16</f>
        <v>1.0833333333333333</v>
      </c>
    </row>
    <row r="17" spans="3:15" x14ac:dyDescent="0.25">
      <c r="F17" s="4">
        <v>6500000</v>
      </c>
      <c r="G17" s="1" t="s">
        <v>11</v>
      </c>
      <c r="H17" s="11"/>
      <c r="I17" t="s">
        <v>13</v>
      </c>
      <c r="J17" s="7">
        <f>+F18/F17</f>
        <v>10.738461538461538</v>
      </c>
    </row>
    <row r="18" spans="3:15" x14ac:dyDescent="0.25">
      <c r="F18" s="4">
        <f>+F7</f>
        <v>69800000</v>
      </c>
      <c r="G18" s="1" t="s">
        <v>12</v>
      </c>
      <c r="H18" s="11"/>
      <c r="I18" t="s">
        <v>16</v>
      </c>
      <c r="J18" s="7">
        <f>+F8/F18</f>
        <v>0.96141833810888255</v>
      </c>
    </row>
    <row r="19" spans="3:15" x14ac:dyDescent="0.25">
      <c r="F19" s="2" t="s">
        <v>51</v>
      </c>
      <c r="G19">
        <v>0</v>
      </c>
      <c r="H19" s="11" t="s">
        <v>52</v>
      </c>
      <c r="I19" t="s">
        <v>41</v>
      </c>
      <c r="J19" s="7">
        <f>+F8/F15</f>
        <v>13.4214</v>
      </c>
    </row>
    <row r="20" spans="3:15" x14ac:dyDescent="0.25">
      <c r="H20" s="11"/>
    </row>
    <row r="21" spans="3:15" x14ac:dyDescent="0.25">
      <c r="C21" s="9"/>
      <c r="D21" s="13" t="s">
        <v>21</v>
      </c>
      <c r="E21" s="9"/>
      <c r="F21" s="9" t="s">
        <v>22</v>
      </c>
      <c r="G21" s="9" t="s">
        <v>23</v>
      </c>
      <c r="H21" s="13" t="s">
        <v>27</v>
      </c>
      <c r="I21" s="10" t="s">
        <v>38</v>
      </c>
      <c r="J21" s="10" t="s">
        <v>37</v>
      </c>
      <c r="K21" s="17" t="s">
        <v>795</v>
      </c>
      <c r="L21" s="10" t="s">
        <v>39</v>
      </c>
      <c r="M21" s="21"/>
      <c r="N21" s="21"/>
      <c r="O21" s="21"/>
    </row>
    <row r="22" spans="3:15" ht="6" customHeight="1" x14ac:dyDescent="0.25">
      <c r="M22" s="21"/>
      <c r="N22" s="21"/>
      <c r="O22" s="21"/>
    </row>
    <row r="23" spans="3:15" x14ac:dyDescent="0.25">
      <c r="C23" s="33" t="str">
        <f>IF(H23=1,"u","")</f>
        <v/>
      </c>
      <c r="D23" s="11" t="s">
        <v>562</v>
      </c>
      <c r="E23" s="33"/>
      <c r="F23" t="s">
        <v>563</v>
      </c>
      <c r="G23" t="s">
        <v>25</v>
      </c>
      <c r="H23">
        <f>RANK(L23,L$23:L$43,1)</f>
        <v>8</v>
      </c>
      <c r="I23" s="4">
        <v>17580917</v>
      </c>
      <c r="J23" s="4">
        <v>60304577</v>
      </c>
      <c r="K23" s="4">
        <v>624938</v>
      </c>
      <c r="L23" s="4">
        <f>+I23+J23+K23</f>
        <v>78510432</v>
      </c>
      <c r="M23" s="22"/>
      <c r="N23" s="22"/>
      <c r="O23" s="22"/>
    </row>
    <row r="24" spans="3:15" x14ac:dyDescent="0.25">
      <c r="C24" s="33" t="str">
        <f>IF(H24=1,"u","")</f>
        <v/>
      </c>
      <c r="D24" s="11" t="s">
        <v>485</v>
      </c>
      <c r="E24" s="33"/>
      <c r="F24" t="s">
        <v>486</v>
      </c>
      <c r="G24" t="s">
        <v>25</v>
      </c>
      <c r="H24">
        <f t="shared" ref="H24:H31" si="0">RANK(L24,L$23:L$43,1)</f>
        <v>6</v>
      </c>
      <c r="I24" s="4">
        <v>17586340</v>
      </c>
      <c r="J24" s="4">
        <v>56748386</v>
      </c>
      <c r="K24" s="4">
        <v>225000</v>
      </c>
      <c r="L24" s="4">
        <f t="shared" ref="L24:L31" si="1">+I24+J24+K24</f>
        <v>74559726</v>
      </c>
      <c r="M24" s="22"/>
      <c r="N24" s="22"/>
      <c r="O24" s="22"/>
    </row>
    <row r="25" spans="3:15" x14ac:dyDescent="0.25">
      <c r="C25" s="33" t="str">
        <f>IF(H25=1,"u","")</f>
        <v/>
      </c>
      <c r="D25" s="11" t="s">
        <v>554</v>
      </c>
      <c r="E25" s="33"/>
      <c r="F25" t="s">
        <v>397</v>
      </c>
      <c r="G25" t="s">
        <v>25</v>
      </c>
      <c r="H25">
        <f t="shared" si="0"/>
        <v>2</v>
      </c>
      <c r="I25" s="4">
        <v>14550000</v>
      </c>
      <c r="J25" s="4">
        <v>52860474</v>
      </c>
      <c r="K25" s="4">
        <v>126000</v>
      </c>
      <c r="L25" s="4">
        <f t="shared" si="1"/>
        <v>67536474</v>
      </c>
      <c r="M25" s="22"/>
      <c r="N25" s="22"/>
      <c r="O25" s="22"/>
    </row>
    <row r="26" spans="3:15" x14ac:dyDescent="0.25">
      <c r="C26" s="33" t="str">
        <f t="shared" ref="C26:C43" si="2">IF(H26=1,"u","")</f>
        <v/>
      </c>
      <c r="D26" s="11" t="s">
        <v>505</v>
      </c>
      <c r="E26" s="33"/>
      <c r="F26" t="s">
        <v>289</v>
      </c>
      <c r="G26" t="s">
        <v>93</v>
      </c>
      <c r="H26">
        <f t="shared" si="0"/>
        <v>4</v>
      </c>
      <c r="I26" s="4">
        <v>16610225</v>
      </c>
      <c r="J26" s="4">
        <v>56661126</v>
      </c>
      <c r="K26" s="4">
        <v>540000</v>
      </c>
      <c r="L26" s="4">
        <f t="shared" si="1"/>
        <v>73811351</v>
      </c>
      <c r="M26" s="22"/>
      <c r="N26" s="22"/>
      <c r="O26" s="22"/>
    </row>
    <row r="27" spans="3:15" x14ac:dyDescent="0.25">
      <c r="C27" s="33" t="str">
        <f t="shared" si="2"/>
        <v>u</v>
      </c>
      <c r="D27" s="11" t="s">
        <v>679</v>
      </c>
      <c r="E27" s="33"/>
      <c r="F27" t="s">
        <v>193</v>
      </c>
      <c r="G27" t="s">
        <v>25</v>
      </c>
      <c r="H27">
        <f t="shared" si="0"/>
        <v>1</v>
      </c>
      <c r="I27" s="4">
        <v>15923000</v>
      </c>
      <c r="J27" s="4">
        <v>50824000</v>
      </c>
      <c r="K27" s="4">
        <v>360000</v>
      </c>
      <c r="L27" s="4">
        <f t="shared" si="1"/>
        <v>67107000</v>
      </c>
      <c r="M27" s="22"/>
      <c r="N27" s="22"/>
      <c r="O27" s="22"/>
    </row>
    <row r="28" spans="3:15" x14ac:dyDescent="0.25">
      <c r="C28" s="33" t="str">
        <f t="shared" si="2"/>
        <v/>
      </c>
      <c r="D28" s="11" t="s">
        <v>864</v>
      </c>
      <c r="E28" s="33"/>
      <c r="F28" t="s">
        <v>865</v>
      </c>
      <c r="G28" t="s">
        <v>25</v>
      </c>
      <c r="H28">
        <f t="shared" si="0"/>
        <v>9</v>
      </c>
      <c r="I28" s="4">
        <v>18891300</v>
      </c>
      <c r="J28" s="4">
        <v>64957596</v>
      </c>
      <c r="K28" s="4">
        <v>369000</v>
      </c>
      <c r="L28" s="4">
        <f t="shared" si="1"/>
        <v>84217896</v>
      </c>
      <c r="M28" s="22"/>
      <c r="N28" s="22"/>
      <c r="O28" s="22"/>
    </row>
    <row r="29" spans="3:15" x14ac:dyDescent="0.25">
      <c r="C29" s="33" t="str">
        <f t="shared" si="2"/>
        <v/>
      </c>
      <c r="D29" s="11" t="s">
        <v>866</v>
      </c>
      <c r="E29" s="33"/>
      <c r="F29" t="s">
        <v>393</v>
      </c>
      <c r="G29" t="s">
        <v>25</v>
      </c>
      <c r="H29">
        <f t="shared" si="0"/>
        <v>3</v>
      </c>
      <c r="I29" s="4">
        <v>13283830</v>
      </c>
      <c r="J29" s="4">
        <v>59253466</v>
      </c>
      <c r="K29" s="4">
        <v>388800</v>
      </c>
      <c r="L29" s="4">
        <f t="shared" si="1"/>
        <v>72926096</v>
      </c>
      <c r="M29" s="22"/>
      <c r="N29" s="22"/>
      <c r="O29" s="22"/>
    </row>
    <row r="30" spans="3:15" x14ac:dyDescent="0.25">
      <c r="C30" s="33" t="str">
        <f t="shared" si="2"/>
        <v/>
      </c>
      <c r="D30" s="11" t="s">
        <v>867</v>
      </c>
      <c r="E30" s="33" t="str">
        <f t="shared" ref="E30:E43" si="3">IF(H30=1,"t","")</f>
        <v/>
      </c>
      <c r="F30" t="s">
        <v>145</v>
      </c>
      <c r="G30" t="s">
        <v>25</v>
      </c>
      <c r="H30">
        <f t="shared" si="0"/>
        <v>7</v>
      </c>
      <c r="I30" s="4">
        <v>16792252</v>
      </c>
      <c r="J30" s="4">
        <v>61266999</v>
      </c>
      <c r="K30" s="4">
        <v>229000</v>
      </c>
      <c r="L30" s="4">
        <f t="shared" si="1"/>
        <v>78288251</v>
      </c>
      <c r="M30" s="22"/>
      <c r="N30" s="22"/>
      <c r="O30" s="22"/>
    </row>
    <row r="31" spans="3:15" x14ac:dyDescent="0.25">
      <c r="C31" s="33" t="str">
        <f t="shared" si="2"/>
        <v/>
      </c>
      <c r="D31" s="11" t="s">
        <v>514</v>
      </c>
      <c r="E31" s="33" t="str">
        <f t="shared" si="3"/>
        <v/>
      </c>
      <c r="F31" t="s">
        <v>131</v>
      </c>
      <c r="G31" t="s">
        <v>25</v>
      </c>
      <c r="H31">
        <f t="shared" si="0"/>
        <v>5</v>
      </c>
      <c r="I31" s="4">
        <v>16990560</v>
      </c>
      <c r="J31" s="4">
        <v>56950000</v>
      </c>
      <c r="K31" s="4">
        <v>324000</v>
      </c>
      <c r="L31" s="4">
        <f t="shared" si="1"/>
        <v>74264560</v>
      </c>
      <c r="M31" s="22"/>
      <c r="N31" s="22"/>
      <c r="O31" s="22"/>
    </row>
    <row r="32" spans="3:15" x14ac:dyDescent="0.25">
      <c r="C32" s="33" t="str">
        <f t="shared" si="2"/>
        <v/>
      </c>
      <c r="D32" s="11"/>
      <c r="E32" s="33" t="str">
        <f t="shared" si="3"/>
        <v/>
      </c>
      <c r="I32" s="4"/>
      <c r="J32" s="4"/>
      <c r="K32" s="4"/>
      <c r="L32" s="4"/>
      <c r="M32" s="22"/>
      <c r="N32" s="22"/>
      <c r="O32" s="22"/>
    </row>
    <row r="33" spans="3:15" x14ac:dyDescent="0.25">
      <c r="C33" s="33" t="str">
        <f t="shared" si="2"/>
        <v/>
      </c>
      <c r="D33" s="11"/>
      <c r="E33" s="33" t="str">
        <f t="shared" si="3"/>
        <v/>
      </c>
      <c r="I33" s="4"/>
      <c r="J33" s="4"/>
      <c r="K33" s="7"/>
      <c r="L33" s="4"/>
      <c r="M33" s="21"/>
      <c r="N33" s="21"/>
      <c r="O33" s="21"/>
    </row>
    <row r="34" spans="3:15" x14ac:dyDescent="0.25">
      <c r="C34" s="33" t="str">
        <f t="shared" si="2"/>
        <v/>
      </c>
      <c r="D34" s="11"/>
      <c r="E34" s="33" t="str">
        <f t="shared" si="3"/>
        <v/>
      </c>
      <c r="K34" s="7"/>
      <c r="M34" s="21"/>
      <c r="N34" s="21"/>
      <c r="O34" s="21"/>
    </row>
    <row r="35" spans="3:15" x14ac:dyDescent="0.25">
      <c r="C35" s="33" t="str">
        <f t="shared" si="2"/>
        <v/>
      </c>
      <c r="D35" s="11"/>
      <c r="E35" s="33" t="str">
        <f t="shared" si="3"/>
        <v/>
      </c>
      <c r="K35" s="7"/>
      <c r="M35" s="21"/>
      <c r="N35" s="21"/>
      <c r="O35" s="21"/>
    </row>
    <row r="36" spans="3:15" x14ac:dyDescent="0.25">
      <c r="C36" s="33" t="str">
        <f t="shared" si="2"/>
        <v/>
      </c>
      <c r="D36" s="11"/>
      <c r="E36" s="33" t="str">
        <f t="shared" si="3"/>
        <v/>
      </c>
      <c r="K36" s="7"/>
      <c r="M36" s="21"/>
      <c r="N36" s="21"/>
      <c r="O36" s="21"/>
    </row>
    <row r="37" spans="3:15" x14ac:dyDescent="0.25">
      <c r="C37" s="33" t="str">
        <f t="shared" si="2"/>
        <v/>
      </c>
      <c r="D37" s="11"/>
      <c r="E37" s="33" t="str">
        <f t="shared" si="3"/>
        <v/>
      </c>
      <c r="K37" s="7"/>
      <c r="M37" s="21"/>
      <c r="N37" s="21"/>
      <c r="O37" s="21"/>
    </row>
    <row r="38" spans="3:15" x14ac:dyDescent="0.25">
      <c r="C38" s="33" t="str">
        <f t="shared" si="2"/>
        <v/>
      </c>
      <c r="D38" s="11"/>
      <c r="E38" s="33" t="str">
        <f t="shared" si="3"/>
        <v/>
      </c>
      <c r="K38" s="7"/>
      <c r="M38" s="21"/>
      <c r="N38" s="21"/>
      <c r="O38" s="21"/>
    </row>
    <row r="39" spans="3:15" x14ac:dyDescent="0.25">
      <c r="C39" s="33" t="str">
        <f t="shared" si="2"/>
        <v/>
      </c>
      <c r="D39" s="11"/>
      <c r="E39" s="33" t="str">
        <f t="shared" si="3"/>
        <v/>
      </c>
      <c r="K39" s="7"/>
      <c r="M39" s="21"/>
      <c r="N39" s="21"/>
      <c r="O39" s="21"/>
    </row>
    <row r="40" spans="3:15" x14ac:dyDescent="0.25">
      <c r="C40" s="33" t="str">
        <f t="shared" si="2"/>
        <v/>
      </c>
      <c r="D40" s="11"/>
      <c r="E40" s="33" t="str">
        <f t="shared" si="3"/>
        <v/>
      </c>
      <c r="K40" s="7"/>
      <c r="M40" s="21"/>
      <c r="N40" s="21"/>
      <c r="O40" s="21"/>
    </row>
    <row r="41" spans="3:15" x14ac:dyDescent="0.25">
      <c r="C41" s="33" t="str">
        <f t="shared" si="2"/>
        <v/>
      </c>
      <c r="D41" s="11"/>
      <c r="E41" s="33" t="str">
        <f t="shared" si="3"/>
        <v/>
      </c>
      <c r="K41" s="7"/>
      <c r="M41" s="21"/>
      <c r="N41" s="21"/>
      <c r="O41" s="21"/>
    </row>
    <row r="42" spans="3:15" x14ac:dyDescent="0.25">
      <c r="C42" s="33" t="str">
        <f t="shared" si="2"/>
        <v/>
      </c>
      <c r="D42" s="11"/>
      <c r="E42" s="33" t="str">
        <f t="shared" si="3"/>
        <v/>
      </c>
      <c r="K42" s="7"/>
      <c r="M42" s="21"/>
      <c r="N42" s="21"/>
      <c r="O42" s="21"/>
    </row>
    <row r="43" spans="3:15" x14ac:dyDescent="0.25">
      <c r="C43" s="33" t="str">
        <f t="shared" si="2"/>
        <v/>
      </c>
      <c r="D43" s="11"/>
      <c r="E43" s="33" t="str">
        <f t="shared" si="3"/>
        <v/>
      </c>
      <c r="K43" s="7"/>
      <c r="M43" s="21"/>
      <c r="N43" s="21"/>
      <c r="O43" s="21"/>
    </row>
    <row r="44" spans="3:15" ht="6" customHeight="1" x14ac:dyDescent="0.25">
      <c r="C44" s="9"/>
      <c r="D44" s="9"/>
      <c r="E44" s="9"/>
      <c r="F44" s="9"/>
      <c r="G44" s="9"/>
      <c r="H44" s="9"/>
      <c r="I44" s="9"/>
      <c r="J44" s="9"/>
      <c r="K44" s="9"/>
      <c r="L44" s="9"/>
      <c r="M44" s="21"/>
      <c r="N44" s="21"/>
      <c r="O44" s="21"/>
    </row>
    <row r="45" spans="3:15" ht="6" customHeight="1" x14ac:dyDescent="0.25">
      <c r="M45" s="21"/>
      <c r="N45" s="21"/>
      <c r="O45" s="21"/>
    </row>
    <row r="46" spans="3:15" x14ac:dyDescent="0.25">
      <c r="C46" s="15" t="s">
        <v>79</v>
      </c>
      <c r="M46" s="21"/>
      <c r="N46" s="21"/>
      <c r="O46" s="21"/>
    </row>
    <row r="47" spans="3:15" x14ac:dyDescent="0.25">
      <c r="C47" s="15" t="s">
        <v>78</v>
      </c>
      <c r="M47" s="21"/>
      <c r="N47" s="21"/>
      <c r="O47" s="21"/>
    </row>
  </sheetData>
  <mergeCells count="1">
    <mergeCell ref="G13:H13"/>
  </mergeCells>
  <conditionalFormatting sqref="I9 F11">
    <cfRule type="containsText" dxfId="1249" priority="8" operator="containsText" text="FAIL">
      <formula>NOT(ISERROR(SEARCH("FAIL",F9)))</formula>
    </cfRule>
  </conditionalFormatting>
  <conditionalFormatting sqref="I9 F11">
    <cfRule type="containsText" dxfId="1248" priority="7" operator="containsText" text="GOOD">
      <formula>NOT(ISERROR(SEARCH("GOOD",F9)))</formula>
    </cfRule>
  </conditionalFormatting>
  <conditionalFormatting sqref="I9">
    <cfRule type="containsText" dxfId="1247" priority="6" operator="containsText" text="FAIL">
      <formula>NOT(ISERROR(SEARCH("FAIL",I9)))</formula>
    </cfRule>
  </conditionalFormatting>
  <conditionalFormatting sqref="I9">
    <cfRule type="containsText" dxfId="1246" priority="5" operator="containsText" text="GOOD">
      <formula>NOT(ISERROR(SEARCH("GOOD",I9)))</formula>
    </cfRule>
  </conditionalFormatting>
  <conditionalFormatting sqref="D25">
    <cfRule type="expression" dxfId="1245" priority="4" stopIfTrue="1">
      <formula>IF($H$25=1,0)</formula>
    </cfRule>
  </conditionalFormatting>
  <conditionalFormatting sqref="D23:D43">
    <cfRule type="expression" dxfId="1244" priority="3">
      <formula>H23=1</formula>
    </cfRule>
  </conditionalFormatting>
  <conditionalFormatting sqref="C23:C43">
    <cfRule type="expression" dxfId="1243" priority="2">
      <formula>H23=1</formula>
    </cfRule>
  </conditionalFormatting>
  <conditionalFormatting sqref="E23:E43">
    <cfRule type="expression" dxfId="1242" priority="1">
      <formula>H23=1</formula>
    </cfRule>
  </conditionalFormatting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Sheet37"/>
  <dimension ref="A2:O56"/>
  <sheetViews>
    <sheetView zoomScaleNormal="100" workbookViewId="0">
      <selection activeCell="M25" sqref="M25"/>
    </sheetView>
  </sheetViews>
  <sheetFormatPr defaultRowHeight="15" x14ac:dyDescent="0.25"/>
  <cols>
    <col min="1" max="2" width="4.42578125" customWidth="1"/>
    <col min="3" max="3" width="3" customWidth="1"/>
    <col min="4" max="4" width="24.7109375" customWidth="1"/>
    <col min="5" max="5" width="3" customWidth="1"/>
    <col min="6" max="6" width="15.7109375" customWidth="1"/>
    <col min="7" max="7" width="8.5703125" customWidth="1"/>
    <col min="8" max="8" width="5.85546875" customWidth="1"/>
    <col min="9" max="15" width="15.7109375" customWidth="1"/>
  </cols>
  <sheetData>
    <row r="2" spans="1:11" x14ac:dyDescent="0.25">
      <c r="C2" s="15" t="s">
        <v>32</v>
      </c>
      <c r="E2" s="15"/>
      <c r="F2" s="15"/>
      <c r="G2" s="15" t="s">
        <v>33</v>
      </c>
      <c r="H2" s="15"/>
      <c r="I2" s="15"/>
      <c r="J2" s="15"/>
      <c r="K2" s="15"/>
    </row>
    <row r="3" spans="1:11" ht="18.75" x14ac:dyDescent="0.3">
      <c r="C3" s="3" t="s">
        <v>26</v>
      </c>
      <c r="J3" s="8" t="s">
        <v>47</v>
      </c>
    </row>
    <row r="4" spans="1:11" x14ac:dyDescent="0.25">
      <c r="D4" s="2" t="s">
        <v>0</v>
      </c>
      <c r="E4" s="1"/>
      <c r="F4" t="s">
        <v>1068</v>
      </c>
      <c r="I4" s="2" t="s">
        <v>4</v>
      </c>
      <c r="J4" t="s">
        <v>616</v>
      </c>
    </row>
    <row r="5" spans="1:11" x14ac:dyDescent="0.25">
      <c r="D5" s="2" t="s">
        <v>1</v>
      </c>
      <c r="F5" t="s">
        <v>1069</v>
      </c>
    </row>
    <row r="6" spans="1:11" x14ac:dyDescent="0.25">
      <c r="D6" s="2" t="s">
        <v>2</v>
      </c>
      <c r="F6" s="6">
        <v>42964</v>
      </c>
      <c r="H6" s="11"/>
    </row>
    <row r="7" spans="1:11" x14ac:dyDescent="0.25">
      <c r="D7" s="2" t="s">
        <v>3</v>
      </c>
      <c r="F7" s="5">
        <f>+I7+J7</f>
        <v>8500000</v>
      </c>
      <c r="G7" s="2" t="s">
        <v>190</v>
      </c>
      <c r="H7" s="11"/>
      <c r="I7" s="19">
        <v>3100000</v>
      </c>
      <c r="J7" s="19">
        <v>5400000</v>
      </c>
    </row>
    <row r="8" spans="1:11" x14ac:dyDescent="0.25">
      <c r="D8" s="2" t="s">
        <v>18</v>
      </c>
      <c r="F8" s="5">
        <f>MIN(K23:K43)</f>
        <v>5682000</v>
      </c>
      <c r="H8" s="11"/>
      <c r="I8" s="18" t="s">
        <v>43</v>
      </c>
      <c r="J8" s="18" t="s">
        <v>44</v>
      </c>
    </row>
    <row r="9" spans="1:11" x14ac:dyDescent="0.25">
      <c r="D9" s="2" t="s">
        <v>19</v>
      </c>
      <c r="F9" s="4">
        <f>+F8-F7</f>
        <v>-2818000</v>
      </c>
      <c r="G9" s="16">
        <f>+F9/F7</f>
        <v>-0.33152941176470591</v>
      </c>
      <c r="H9" s="12" t="s">
        <v>20</v>
      </c>
      <c r="I9" s="11" t="str">
        <f>(IF(G9&lt;-0.1,"FAIL",IF(G9&gt;0.05,"FAIL","GOOD")))</f>
        <v>FAIL</v>
      </c>
      <c r="J9" s="14" t="s">
        <v>72</v>
      </c>
    </row>
    <row r="10" spans="1:11" x14ac:dyDescent="0.25">
      <c r="D10" s="2" t="s">
        <v>68</v>
      </c>
      <c r="F10" s="4">
        <f>+F7-F12</f>
        <v>2300212.666666667</v>
      </c>
      <c r="H10" s="11"/>
    </row>
    <row r="11" spans="1:11" x14ac:dyDescent="0.25">
      <c r="A11" s="30"/>
      <c r="D11" s="2" t="s">
        <v>71</v>
      </c>
      <c r="F11" s="11" t="str">
        <f>(IF(F7&lt;J12,"FAIL",IF(F7&gt;J13,"FAIL","GOOD")))</f>
        <v>FAIL</v>
      </c>
      <c r="H11" s="11"/>
    </row>
    <row r="12" spans="1:11" x14ac:dyDescent="0.25">
      <c r="D12" s="2" t="s">
        <v>28</v>
      </c>
      <c r="F12" s="4">
        <f>SUM(K23:K43)/H12</f>
        <v>6199787.333333333</v>
      </c>
      <c r="G12" s="14"/>
      <c r="H12" s="11">
        <f>COUNT(K23:K43)</f>
        <v>3</v>
      </c>
      <c r="I12" s="1" t="s">
        <v>31</v>
      </c>
      <c r="J12" s="4">
        <f>+F8*0.9</f>
        <v>5113800</v>
      </c>
      <c r="K12" s="1" t="s">
        <v>69</v>
      </c>
    </row>
    <row r="13" spans="1:11" x14ac:dyDescent="0.25">
      <c r="D13" s="2" t="s">
        <v>29</v>
      </c>
      <c r="F13" s="4">
        <f>MAX(K23:K43)-MIN(K23:K43)</f>
        <v>1456475</v>
      </c>
      <c r="G13" s="399">
        <f>MEDIAN(K23:K43)</f>
        <v>5778887</v>
      </c>
      <c r="H13" s="400"/>
      <c r="I13" s="1" t="s">
        <v>30</v>
      </c>
      <c r="J13" s="4">
        <f>+F12*1.1</f>
        <v>6819766.0666666664</v>
      </c>
      <c r="K13" s="1" t="s">
        <v>70</v>
      </c>
    </row>
    <row r="14" spans="1:11" x14ac:dyDescent="0.25">
      <c r="H14" s="11"/>
    </row>
    <row r="15" spans="1:11" hidden="1" x14ac:dyDescent="0.25">
      <c r="D15" s="2" t="s">
        <v>8</v>
      </c>
      <c r="F15" s="4">
        <v>30000000</v>
      </c>
      <c r="G15" s="1" t="s">
        <v>9</v>
      </c>
      <c r="H15" s="11"/>
      <c r="I15" t="s">
        <v>15</v>
      </c>
      <c r="J15" s="7">
        <f>+F16/F15</f>
        <v>0.93333333333333335</v>
      </c>
    </row>
    <row r="16" spans="1:11" hidden="1" x14ac:dyDescent="0.25">
      <c r="F16" s="4">
        <v>28000000</v>
      </c>
      <c r="G16" s="1" t="s">
        <v>10</v>
      </c>
      <c r="H16" s="11"/>
      <c r="I16" t="s">
        <v>14</v>
      </c>
      <c r="J16" s="7">
        <f>+F17/F16</f>
        <v>1.0535714285714286</v>
      </c>
    </row>
    <row r="17" spans="3:15" hidden="1" x14ac:dyDescent="0.25">
      <c r="F17" s="4">
        <v>29500000</v>
      </c>
      <c r="G17" s="1" t="s">
        <v>11</v>
      </c>
      <c r="H17" s="11"/>
      <c r="I17" t="s">
        <v>13</v>
      </c>
      <c r="J17" s="7">
        <f>+F18/F17</f>
        <v>0.28813559322033899</v>
      </c>
    </row>
    <row r="18" spans="3:15" hidden="1" x14ac:dyDescent="0.25">
      <c r="F18" s="4">
        <f>+F7</f>
        <v>8500000</v>
      </c>
      <c r="G18" s="1" t="s">
        <v>12</v>
      </c>
      <c r="H18" s="11"/>
      <c r="I18" t="s">
        <v>16</v>
      </c>
      <c r="J18" s="7">
        <f>+F8/F18</f>
        <v>0.66847058823529415</v>
      </c>
    </row>
    <row r="19" spans="3:15" hidden="1" x14ac:dyDescent="0.25">
      <c r="F19" s="2" t="s">
        <v>51</v>
      </c>
      <c r="G19">
        <v>0</v>
      </c>
      <c r="H19" s="11" t="s">
        <v>52</v>
      </c>
      <c r="I19" t="s">
        <v>41</v>
      </c>
      <c r="J19" s="7">
        <f>+F8/F15</f>
        <v>0.18940000000000001</v>
      </c>
    </row>
    <row r="20" spans="3:15" x14ac:dyDescent="0.25">
      <c r="H20" s="11"/>
      <c r="M20" s="21"/>
      <c r="N20" s="21"/>
      <c r="O20" s="21"/>
    </row>
    <row r="21" spans="3:15" x14ac:dyDescent="0.25">
      <c r="C21" s="9"/>
      <c r="D21" s="13" t="s">
        <v>21</v>
      </c>
      <c r="E21" s="9"/>
      <c r="F21" s="9" t="s">
        <v>22</v>
      </c>
      <c r="G21" s="9" t="s">
        <v>23</v>
      </c>
      <c r="H21" s="13" t="s">
        <v>27</v>
      </c>
      <c r="I21" s="10" t="s">
        <v>38</v>
      </c>
      <c r="J21" s="10" t="s">
        <v>37</v>
      </c>
      <c r="K21" s="10" t="s">
        <v>39</v>
      </c>
      <c r="L21" s="9"/>
      <c r="M21" s="21"/>
      <c r="N21" s="21"/>
      <c r="O21" s="21"/>
    </row>
    <row r="22" spans="3:15" ht="6" customHeight="1" x14ac:dyDescent="0.25">
      <c r="M22" s="21"/>
      <c r="N22" s="21"/>
      <c r="O22" s="21"/>
    </row>
    <row r="23" spans="3:15" x14ac:dyDescent="0.25">
      <c r="C23" s="33" t="str">
        <f>IF(H23=1,"u","")</f>
        <v/>
      </c>
      <c r="D23" s="11" t="s">
        <v>788</v>
      </c>
      <c r="E23" s="33"/>
      <c r="F23" t="s">
        <v>115</v>
      </c>
      <c r="G23" t="s">
        <v>25</v>
      </c>
      <c r="H23">
        <f>RANK(K23,K$23:K$43,1)</f>
        <v>2</v>
      </c>
      <c r="I23" s="4">
        <v>1600400</v>
      </c>
      <c r="J23" s="4">
        <v>4178487</v>
      </c>
      <c r="K23" s="4">
        <f>+J23+I23</f>
        <v>5778887</v>
      </c>
      <c r="L23" s="4"/>
      <c r="M23" s="22"/>
      <c r="N23" s="22"/>
      <c r="O23" s="22"/>
    </row>
    <row r="24" spans="3:15" x14ac:dyDescent="0.25">
      <c r="C24" s="33" t="str">
        <f>IF(H24=1,"u","")</f>
        <v>u</v>
      </c>
      <c r="D24" s="11" t="s">
        <v>440</v>
      </c>
      <c r="E24" s="33"/>
      <c r="F24" t="s">
        <v>193</v>
      </c>
      <c r="G24" t="s">
        <v>25</v>
      </c>
      <c r="H24">
        <f>RANK(K24,K$23:K$43,1)</f>
        <v>1</v>
      </c>
      <c r="I24" s="4">
        <v>2146610</v>
      </c>
      <c r="J24" s="4">
        <v>3535390</v>
      </c>
      <c r="K24" s="4">
        <f>+J24+I24</f>
        <v>5682000</v>
      </c>
      <c r="L24" s="4"/>
      <c r="M24" s="22"/>
      <c r="N24" s="22"/>
      <c r="O24" s="22"/>
    </row>
    <row r="25" spans="3:15" x14ac:dyDescent="0.25">
      <c r="C25" s="33" t="str">
        <f>IF(H25=1,"u","")</f>
        <v/>
      </c>
      <c r="D25" s="11" t="s">
        <v>772</v>
      </c>
      <c r="E25" s="33"/>
      <c r="F25" t="s">
        <v>222</v>
      </c>
      <c r="G25" t="s">
        <v>25</v>
      </c>
      <c r="H25">
        <f>RANK(K25,K$23:K$43,1)</f>
        <v>3</v>
      </c>
      <c r="I25" s="4">
        <v>2807500</v>
      </c>
      <c r="J25" s="4">
        <v>4330975</v>
      </c>
      <c r="K25" s="4">
        <f>+J25+I25</f>
        <v>7138475</v>
      </c>
      <c r="L25" s="4"/>
      <c r="M25" s="22"/>
      <c r="N25" s="22"/>
      <c r="O25" s="22"/>
    </row>
    <row r="26" spans="3:15" x14ac:dyDescent="0.25">
      <c r="C26" s="33" t="str">
        <f t="shared" ref="C26:C43" si="0">IF(H26=1,"u","")</f>
        <v/>
      </c>
      <c r="D26" s="11"/>
      <c r="E26" s="33"/>
      <c r="I26" s="4"/>
      <c r="J26" s="4"/>
      <c r="K26" s="4"/>
      <c r="L26" s="4"/>
      <c r="M26" s="22"/>
      <c r="N26" s="22"/>
      <c r="O26" s="22"/>
    </row>
    <row r="27" spans="3:15" x14ac:dyDescent="0.25">
      <c r="C27" s="33" t="str">
        <f t="shared" si="0"/>
        <v/>
      </c>
      <c r="D27" s="11"/>
      <c r="E27" s="33"/>
      <c r="I27" s="4"/>
      <c r="J27" s="4"/>
      <c r="K27" s="4"/>
      <c r="L27" s="4"/>
      <c r="M27" s="22"/>
      <c r="N27" s="22"/>
      <c r="O27" s="22"/>
    </row>
    <row r="28" spans="3:15" x14ac:dyDescent="0.25">
      <c r="C28" s="33" t="str">
        <f t="shared" si="0"/>
        <v/>
      </c>
      <c r="D28" s="11"/>
      <c r="E28" s="33"/>
      <c r="I28" s="4"/>
      <c r="J28" s="4"/>
      <c r="K28" s="4"/>
      <c r="L28" s="4"/>
      <c r="M28" s="22"/>
      <c r="N28" s="22"/>
      <c r="O28" s="22"/>
    </row>
    <row r="29" spans="3:15" x14ac:dyDescent="0.25">
      <c r="C29" s="33" t="str">
        <f t="shared" si="0"/>
        <v/>
      </c>
      <c r="D29" s="11"/>
      <c r="E29" s="33"/>
      <c r="I29" s="4"/>
      <c r="J29" s="4"/>
      <c r="K29" s="4"/>
      <c r="L29" s="4"/>
      <c r="M29" s="22"/>
      <c r="N29" s="22"/>
      <c r="O29" s="22"/>
    </row>
    <row r="30" spans="3:15" x14ac:dyDescent="0.25">
      <c r="C30" s="33" t="str">
        <f t="shared" si="0"/>
        <v/>
      </c>
      <c r="D30" s="11"/>
      <c r="E30" s="33"/>
      <c r="I30" s="4"/>
      <c r="J30" s="4"/>
      <c r="K30" s="4"/>
      <c r="L30" s="4"/>
      <c r="M30" s="22"/>
      <c r="N30" s="22"/>
      <c r="O30" s="22"/>
    </row>
    <row r="31" spans="3:15" x14ac:dyDescent="0.25">
      <c r="C31" s="33" t="str">
        <f t="shared" si="0"/>
        <v/>
      </c>
      <c r="D31" s="11"/>
      <c r="E31" s="33"/>
      <c r="I31" s="4"/>
      <c r="J31" s="4"/>
      <c r="K31" s="4"/>
      <c r="L31" s="4"/>
      <c r="M31" s="22"/>
      <c r="N31" s="22"/>
      <c r="O31" s="22"/>
    </row>
    <row r="32" spans="3:15" x14ac:dyDescent="0.25">
      <c r="C32" s="33" t="str">
        <f t="shared" si="0"/>
        <v/>
      </c>
      <c r="D32" s="11"/>
      <c r="E32" s="33"/>
      <c r="I32" s="4"/>
      <c r="J32" s="4"/>
      <c r="K32" s="4"/>
      <c r="L32" s="4"/>
      <c r="M32" s="22"/>
      <c r="N32" s="22"/>
      <c r="O32" s="22"/>
    </row>
    <row r="33" spans="3:15" x14ac:dyDescent="0.25">
      <c r="C33" s="33" t="str">
        <f t="shared" si="0"/>
        <v/>
      </c>
      <c r="D33" s="11"/>
      <c r="E33" s="33"/>
      <c r="I33" s="4"/>
      <c r="J33" s="4"/>
      <c r="K33" s="4"/>
      <c r="M33" s="21"/>
      <c r="N33" s="21"/>
      <c r="O33" s="21"/>
    </row>
    <row r="34" spans="3:15" x14ac:dyDescent="0.25">
      <c r="C34" s="33" t="str">
        <f t="shared" si="0"/>
        <v/>
      </c>
      <c r="D34" s="11"/>
      <c r="E34" s="33"/>
      <c r="I34" s="4"/>
      <c r="J34" s="4"/>
      <c r="K34" s="4"/>
      <c r="M34" s="21"/>
      <c r="N34" s="21"/>
      <c r="O34" s="21"/>
    </row>
    <row r="35" spans="3:15" x14ac:dyDescent="0.25">
      <c r="C35" s="33" t="str">
        <f t="shared" si="0"/>
        <v/>
      </c>
      <c r="D35" s="11"/>
      <c r="E35" s="33"/>
      <c r="I35" s="4"/>
      <c r="J35" s="4"/>
      <c r="K35" s="4"/>
      <c r="M35" s="21"/>
      <c r="N35" s="21"/>
      <c r="O35" s="21"/>
    </row>
    <row r="36" spans="3:15" x14ac:dyDescent="0.25">
      <c r="C36" s="33" t="str">
        <f t="shared" si="0"/>
        <v/>
      </c>
      <c r="D36" s="11"/>
      <c r="E36" s="33"/>
      <c r="I36" s="4"/>
      <c r="J36" s="4"/>
      <c r="K36" s="4"/>
      <c r="M36" s="21"/>
      <c r="N36" s="21"/>
      <c r="O36" s="21"/>
    </row>
    <row r="37" spans="3:15" x14ac:dyDescent="0.25">
      <c r="C37" s="33" t="str">
        <f t="shared" si="0"/>
        <v/>
      </c>
      <c r="D37" s="11"/>
      <c r="E37" s="33"/>
      <c r="I37" s="4"/>
      <c r="J37" s="4"/>
      <c r="K37" s="4"/>
      <c r="M37" s="21"/>
      <c r="N37" s="21"/>
      <c r="O37" s="21"/>
    </row>
    <row r="38" spans="3:15" x14ac:dyDescent="0.25">
      <c r="C38" s="33" t="str">
        <f t="shared" si="0"/>
        <v/>
      </c>
      <c r="D38" s="11"/>
      <c r="E38" s="33"/>
      <c r="I38" s="4"/>
      <c r="J38" s="4"/>
      <c r="K38" s="4"/>
      <c r="M38" s="21"/>
      <c r="N38" s="21"/>
      <c r="O38" s="21"/>
    </row>
    <row r="39" spans="3:15" x14ac:dyDescent="0.25">
      <c r="C39" s="33" t="str">
        <f t="shared" si="0"/>
        <v/>
      </c>
      <c r="D39" s="11"/>
      <c r="E39" s="33" t="str">
        <f>IF(H39=1,"t","")</f>
        <v/>
      </c>
      <c r="K39" s="4"/>
      <c r="M39" s="21"/>
      <c r="N39" s="21"/>
      <c r="O39" s="21"/>
    </row>
    <row r="40" spans="3:15" x14ac:dyDescent="0.25">
      <c r="C40" s="33" t="str">
        <f t="shared" si="0"/>
        <v/>
      </c>
      <c r="D40" s="11"/>
      <c r="E40" s="33" t="str">
        <f>IF(H40=1,"t","")</f>
        <v/>
      </c>
      <c r="K40" s="4"/>
      <c r="M40" s="21"/>
      <c r="N40" s="21"/>
      <c r="O40" s="21"/>
    </row>
    <row r="41" spans="3:15" x14ac:dyDescent="0.25">
      <c r="C41" s="33" t="str">
        <f t="shared" si="0"/>
        <v/>
      </c>
      <c r="D41" s="11"/>
      <c r="E41" s="33" t="str">
        <f>IF(H41=1,"t","")</f>
        <v/>
      </c>
      <c r="K41" s="4"/>
      <c r="M41" s="21"/>
      <c r="N41" s="21"/>
      <c r="O41" s="21"/>
    </row>
    <row r="42" spans="3:15" x14ac:dyDescent="0.25">
      <c r="C42" s="33" t="str">
        <f t="shared" si="0"/>
        <v/>
      </c>
      <c r="D42" s="11"/>
      <c r="E42" s="33" t="str">
        <f>IF(H42=1,"t","")</f>
        <v/>
      </c>
      <c r="K42" s="4"/>
      <c r="M42" s="21"/>
      <c r="N42" s="21"/>
      <c r="O42" s="21"/>
    </row>
    <row r="43" spans="3:15" x14ac:dyDescent="0.25">
      <c r="C43" s="33" t="str">
        <f t="shared" si="0"/>
        <v/>
      </c>
      <c r="D43" s="11"/>
      <c r="E43" s="33" t="str">
        <f>IF(H43=1,"t","")</f>
        <v/>
      </c>
      <c r="K43" s="4"/>
      <c r="M43" s="21"/>
      <c r="N43" s="21"/>
      <c r="O43" s="21"/>
    </row>
    <row r="44" spans="3:15" ht="6" customHeight="1" x14ac:dyDescent="0.25">
      <c r="C44" s="9"/>
      <c r="D44" s="9"/>
      <c r="E44" s="9"/>
      <c r="F44" s="9"/>
      <c r="G44" s="9"/>
      <c r="H44" s="9"/>
      <c r="I44" s="9"/>
      <c r="J44" s="9"/>
      <c r="K44" s="9"/>
      <c r="L44" s="9"/>
      <c r="M44" s="21"/>
      <c r="N44" s="21"/>
      <c r="O44" s="21"/>
    </row>
    <row r="45" spans="3:15" ht="6" customHeight="1" x14ac:dyDescent="0.25">
      <c r="M45" s="21"/>
      <c r="N45" s="21"/>
      <c r="O45" s="21"/>
    </row>
    <row r="46" spans="3:15" x14ac:dyDescent="0.25">
      <c r="C46" s="15" t="s">
        <v>79</v>
      </c>
      <c r="M46" s="21"/>
      <c r="N46" s="21"/>
      <c r="O46" s="21"/>
    </row>
    <row r="47" spans="3:15" x14ac:dyDescent="0.25">
      <c r="C47" s="15" t="s">
        <v>78</v>
      </c>
    </row>
    <row r="49" spans="3:10" x14ac:dyDescent="0.25">
      <c r="C49" s="31" t="s">
        <v>948</v>
      </c>
      <c r="D49" s="31"/>
      <c r="H49" t="s">
        <v>949</v>
      </c>
      <c r="I49" t="s">
        <v>784</v>
      </c>
      <c r="J49" s="6">
        <v>42802</v>
      </c>
    </row>
    <row r="50" spans="3:10" ht="6" customHeight="1" x14ac:dyDescent="0.25"/>
    <row r="51" spans="3:10" x14ac:dyDescent="0.25">
      <c r="D51" s="93" t="s">
        <v>950</v>
      </c>
    </row>
    <row r="52" spans="3:10" x14ac:dyDescent="0.25">
      <c r="D52" s="93" t="s">
        <v>951</v>
      </c>
    </row>
    <row r="53" spans="3:10" x14ac:dyDescent="0.25">
      <c r="D53" s="93" t="s">
        <v>952</v>
      </c>
    </row>
    <row r="54" spans="3:10" x14ac:dyDescent="0.25">
      <c r="D54" s="93" t="s">
        <v>953</v>
      </c>
    </row>
    <row r="55" spans="3:10" x14ac:dyDescent="0.25">
      <c r="D55" s="93" t="s">
        <v>954</v>
      </c>
    </row>
    <row r="56" spans="3:10" x14ac:dyDescent="0.25">
      <c r="D56" s="93" t="s">
        <v>955</v>
      </c>
    </row>
  </sheetData>
  <mergeCells count="1">
    <mergeCell ref="G13:H13"/>
  </mergeCells>
  <conditionalFormatting sqref="I9">
    <cfRule type="containsText" dxfId="1981" priority="32" operator="containsText" text="FAIL">
      <formula>NOT(ISERROR(SEARCH("FAIL",I9)))</formula>
    </cfRule>
  </conditionalFormatting>
  <conditionalFormatting sqref="I9">
    <cfRule type="containsText" dxfId="1980" priority="31" operator="containsText" text="GOOD">
      <formula>NOT(ISERROR(SEARCH("GOOD",I9)))</formula>
    </cfRule>
  </conditionalFormatting>
  <conditionalFormatting sqref="I9">
    <cfRule type="containsText" dxfId="1979" priority="30" operator="containsText" text="FAIL">
      <formula>NOT(ISERROR(SEARCH("FAIL",I9)))</formula>
    </cfRule>
  </conditionalFormatting>
  <conditionalFormatting sqref="I9">
    <cfRule type="containsText" dxfId="1978" priority="29" operator="containsText" text="GOOD">
      <formula>NOT(ISERROR(SEARCH("GOOD",I9)))</formula>
    </cfRule>
  </conditionalFormatting>
  <conditionalFormatting sqref="I9">
    <cfRule type="containsText" dxfId="1977" priority="28" operator="containsText" text="FAIL">
      <formula>NOT(ISERROR(SEARCH("FAIL",I9)))</formula>
    </cfRule>
  </conditionalFormatting>
  <conditionalFormatting sqref="I9">
    <cfRule type="containsText" dxfId="1976" priority="27" operator="containsText" text="GOOD">
      <formula>NOT(ISERROR(SEARCH("GOOD",I9)))</formula>
    </cfRule>
  </conditionalFormatting>
  <conditionalFormatting sqref="F11">
    <cfRule type="containsText" dxfId="1975" priority="26" operator="containsText" text="FAIL">
      <formula>NOT(ISERROR(SEARCH("FAIL",F11)))</formula>
    </cfRule>
  </conditionalFormatting>
  <conditionalFormatting sqref="F11">
    <cfRule type="containsText" dxfId="1974" priority="25" operator="containsText" text="GOOD">
      <formula>NOT(ISERROR(SEARCH("GOOD",F11)))</formula>
    </cfRule>
  </conditionalFormatting>
  <conditionalFormatting sqref="I9">
    <cfRule type="containsText" dxfId="1973" priority="24" operator="containsText" text="FAIL">
      <formula>NOT(ISERROR(SEARCH("FAIL",I9)))</formula>
    </cfRule>
  </conditionalFormatting>
  <conditionalFormatting sqref="I9">
    <cfRule type="containsText" dxfId="1972" priority="23" operator="containsText" text="GOOD">
      <formula>NOT(ISERROR(SEARCH("GOOD",I9)))</formula>
    </cfRule>
  </conditionalFormatting>
  <conditionalFormatting sqref="F11">
    <cfRule type="containsText" dxfId="1971" priority="22" operator="containsText" text="FAIL">
      <formula>NOT(ISERROR(SEARCH("FAIL",F11)))</formula>
    </cfRule>
  </conditionalFormatting>
  <conditionalFormatting sqref="F11">
    <cfRule type="containsText" dxfId="1970" priority="21" operator="containsText" text="GOOD">
      <formula>NOT(ISERROR(SEARCH("GOOD",F11)))</formula>
    </cfRule>
  </conditionalFormatting>
  <conditionalFormatting sqref="D25">
    <cfRule type="expression" dxfId="1969" priority="20" stopIfTrue="1">
      <formula>IF($H$25=1,0)</formula>
    </cfRule>
  </conditionalFormatting>
  <conditionalFormatting sqref="D23 D39:D43 D25:D33">
    <cfRule type="expression" dxfId="1968" priority="19">
      <formula>H23=1</formula>
    </cfRule>
  </conditionalFormatting>
  <conditionalFormatting sqref="C23 C39:C43 C25:C33">
    <cfRule type="expression" dxfId="1967" priority="18">
      <formula>H23=1</formula>
    </cfRule>
  </conditionalFormatting>
  <conditionalFormatting sqref="E23 E39:E43 E25:E33">
    <cfRule type="expression" dxfId="1966" priority="17">
      <formula>H23=1</formula>
    </cfRule>
  </conditionalFormatting>
  <conditionalFormatting sqref="E23 E39:E43 E25:E33">
    <cfRule type="expression" dxfId="1965" priority="16">
      <formula>H23=1</formula>
    </cfRule>
  </conditionalFormatting>
  <conditionalFormatting sqref="F11">
    <cfRule type="containsText" dxfId="1964" priority="15" operator="containsText" text="FAIL">
      <formula>NOT(ISERROR(SEARCH("FAIL",F11)))</formula>
    </cfRule>
  </conditionalFormatting>
  <conditionalFormatting sqref="F11">
    <cfRule type="containsText" dxfId="1963" priority="14" operator="containsText" text="GOOD">
      <formula>NOT(ISERROR(SEARCH("GOOD",F11)))</formula>
    </cfRule>
  </conditionalFormatting>
  <conditionalFormatting sqref="D34:D37">
    <cfRule type="expression" dxfId="1962" priority="13">
      <formula>H34=1</formula>
    </cfRule>
  </conditionalFormatting>
  <conditionalFormatting sqref="C34:C37">
    <cfRule type="expression" dxfId="1961" priority="12">
      <formula>H34=1</formula>
    </cfRule>
  </conditionalFormatting>
  <conditionalFormatting sqref="E34:E37">
    <cfRule type="expression" dxfId="1960" priority="11">
      <formula>H34=1</formula>
    </cfRule>
  </conditionalFormatting>
  <conditionalFormatting sqref="E34:E37">
    <cfRule type="expression" dxfId="1959" priority="10">
      <formula>H34=1</formula>
    </cfRule>
  </conditionalFormatting>
  <conditionalFormatting sqref="D38">
    <cfRule type="expression" dxfId="1958" priority="9">
      <formula>H38=1</formula>
    </cfRule>
  </conditionalFormatting>
  <conditionalFormatting sqref="C38">
    <cfRule type="expression" dxfId="1957" priority="8">
      <formula>H38=1</formula>
    </cfRule>
  </conditionalFormatting>
  <conditionalFormatting sqref="E38">
    <cfRule type="expression" dxfId="1956" priority="7">
      <formula>H38=1</formula>
    </cfRule>
  </conditionalFormatting>
  <conditionalFormatting sqref="E38">
    <cfRule type="expression" dxfId="1955" priority="6">
      <formula>H38=1</formula>
    </cfRule>
  </conditionalFormatting>
  <conditionalFormatting sqref="E24">
    <cfRule type="expression" dxfId="1954" priority="1">
      <formula>H24=1</formula>
    </cfRule>
  </conditionalFormatting>
  <conditionalFormatting sqref="D24">
    <cfRule type="expression" dxfId="1953" priority="5" stopIfTrue="1">
      <formula>IF($H$25=1,0)</formula>
    </cfRule>
  </conditionalFormatting>
  <conditionalFormatting sqref="D24">
    <cfRule type="expression" dxfId="1952" priority="4">
      <formula>H24=1</formula>
    </cfRule>
  </conditionalFormatting>
  <conditionalFormatting sqref="C24">
    <cfRule type="expression" dxfId="1951" priority="3">
      <formula>H24=1</formula>
    </cfRule>
  </conditionalFormatting>
  <conditionalFormatting sqref="E24">
    <cfRule type="expression" dxfId="1950" priority="2">
      <formula>H24=1</formula>
    </cfRule>
  </conditionalFormatting>
  <pageMargins left="0.7" right="0.7" top="0.75" bottom="0.75" header="0.3" footer="0.3"/>
  <pageSetup scale="68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000-000000000000}">
  <sheetPr codeName="Sheet146"/>
  <dimension ref="A2:O47"/>
  <sheetViews>
    <sheetView workbookViewId="0">
      <selection activeCell="L38" sqref="L38"/>
    </sheetView>
  </sheetViews>
  <sheetFormatPr defaultRowHeight="15" x14ac:dyDescent="0.25"/>
  <cols>
    <col min="1" max="2" width="4.42578125" customWidth="1"/>
    <col min="3" max="3" width="3" customWidth="1"/>
    <col min="4" max="4" width="24.85546875" customWidth="1"/>
    <col min="5" max="5" width="3" customWidth="1"/>
    <col min="6" max="6" width="15.7109375" customWidth="1"/>
    <col min="7" max="7" width="8.5703125" customWidth="1"/>
    <col min="8" max="8" width="5.85546875" customWidth="1"/>
    <col min="9" max="15" width="15.7109375" customWidth="1"/>
  </cols>
  <sheetData>
    <row r="2" spans="1:11" x14ac:dyDescent="0.25">
      <c r="C2" s="15" t="s">
        <v>32</v>
      </c>
      <c r="E2" s="15"/>
      <c r="F2" s="15"/>
      <c r="G2" s="15" t="s">
        <v>33</v>
      </c>
      <c r="H2" s="15"/>
      <c r="I2" s="15"/>
      <c r="J2" s="15"/>
      <c r="K2" s="15"/>
    </row>
    <row r="3" spans="1:11" ht="18.75" x14ac:dyDescent="0.3">
      <c r="C3" s="3" t="s">
        <v>26</v>
      </c>
      <c r="J3" s="8" t="s">
        <v>17</v>
      </c>
    </row>
    <row r="4" spans="1:11" x14ac:dyDescent="0.25">
      <c r="D4" s="2" t="s">
        <v>0</v>
      </c>
      <c r="E4" s="1"/>
      <c r="F4" t="s">
        <v>235</v>
      </c>
      <c r="I4" s="2" t="s">
        <v>4</v>
      </c>
    </row>
    <row r="5" spans="1:11" x14ac:dyDescent="0.25">
      <c r="D5" s="2" t="s">
        <v>1</v>
      </c>
      <c r="F5" t="s">
        <v>236</v>
      </c>
    </row>
    <row r="6" spans="1:11" x14ac:dyDescent="0.25">
      <c r="D6" s="2" t="s">
        <v>2</v>
      </c>
      <c r="F6" s="6">
        <v>42234</v>
      </c>
      <c r="H6" s="11"/>
    </row>
    <row r="7" spans="1:11" x14ac:dyDescent="0.25">
      <c r="D7" s="2" t="s">
        <v>3</v>
      </c>
      <c r="F7" s="5">
        <v>354000</v>
      </c>
      <c r="G7" s="2" t="s">
        <v>177</v>
      </c>
      <c r="H7" s="11"/>
    </row>
    <row r="8" spans="1:11" x14ac:dyDescent="0.25">
      <c r="D8" s="2" t="s">
        <v>18</v>
      </c>
      <c r="F8" s="5">
        <f>MIN(I23:I43)</f>
        <v>396811</v>
      </c>
      <c r="H8" s="11"/>
    </row>
    <row r="9" spans="1:11" x14ac:dyDescent="0.25">
      <c r="D9" s="2" t="s">
        <v>67</v>
      </c>
      <c r="F9" s="4">
        <f>+F8-F7</f>
        <v>42811</v>
      </c>
      <c r="G9" s="16">
        <f>+F9/F7</f>
        <v>0.12093502824858757</v>
      </c>
      <c r="H9" s="12" t="s">
        <v>20</v>
      </c>
      <c r="I9" s="11" t="str">
        <f>(IF(G9&lt;-0.1,"FAIL",IF(G9&gt;0.05,"FAIL","GOOD")))</f>
        <v>FAIL</v>
      </c>
      <c r="J9" s="14" t="s">
        <v>72</v>
      </c>
    </row>
    <row r="10" spans="1:11" x14ac:dyDescent="0.25">
      <c r="D10" s="2" t="s">
        <v>68</v>
      </c>
      <c r="F10" s="4">
        <f>+F7-F12</f>
        <v>-227728.33333333337</v>
      </c>
      <c r="H10" s="11"/>
    </row>
    <row r="11" spans="1:11" x14ac:dyDescent="0.25">
      <c r="A11" s="30"/>
      <c r="D11" s="2" t="s">
        <v>71</v>
      </c>
      <c r="F11" s="11" t="str">
        <f>(IF(F7&lt;J12,"FAIL",IF(F7&gt;J13,"FAIL","GOOD")))</f>
        <v>FAIL</v>
      </c>
      <c r="H11" s="11"/>
    </row>
    <row r="12" spans="1:11" x14ac:dyDescent="0.25">
      <c r="D12" s="2" t="s">
        <v>28</v>
      </c>
      <c r="F12" s="4">
        <f>SUM(I23:I43)/H12</f>
        <v>581728.33333333337</v>
      </c>
      <c r="G12" s="14"/>
      <c r="H12" s="11">
        <f>COUNT(I23:I43)</f>
        <v>3</v>
      </c>
      <c r="I12" s="1" t="s">
        <v>31</v>
      </c>
      <c r="J12" s="4">
        <f>+F8*0.9</f>
        <v>357129.9</v>
      </c>
      <c r="K12" s="1" t="s">
        <v>69</v>
      </c>
    </row>
    <row r="13" spans="1:11" x14ac:dyDescent="0.25">
      <c r="D13" s="2" t="s">
        <v>29</v>
      </c>
      <c r="F13" s="4">
        <f>MAX(I23:I43)-MIN(I23:I43)</f>
        <v>344563</v>
      </c>
      <c r="G13" s="399">
        <f>MEDIAN(I23:I43)</f>
        <v>607000</v>
      </c>
      <c r="H13" s="400"/>
      <c r="I13" s="1" t="s">
        <v>30</v>
      </c>
      <c r="J13" s="4">
        <f>+F12*1.1</f>
        <v>639901.16666666674</v>
      </c>
      <c r="K13" s="1" t="s">
        <v>70</v>
      </c>
    </row>
    <row r="14" spans="1:11" x14ac:dyDescent="0.25">
      <c r="H14" s="11"/>
    </row>
    <row r="15" spans="1:11" x14ac:dyDescent="0.25">
      <c r="D15" s="2" t="s">
        <v>8</v>
      </c>
      <c r="F15" s="4"/>
      <c r="G15" s="1" t="s">
        <v>9</v>
      </c>
      <c r="H15" s="11"/>
      <c r="I15" t="s">
        <v>15</v>
      </c>
      <c r="J15" s="7" t="e">
        <f>+F16/F15</f>
        <v>#DIV/0!</v>
      </c>
    </row>
    <row r="16" spans="1:11" x14ac:dyDescent="0.25">
      <c r="F16" s="4"/>
      <c r="G16" s="1" t="s">
        <v>10</v>
      </c>
      <c r="H16" s="11"/>
      <c r="I16" t="s">
        <v>14</v>
      </c>
      <c r="J16" s="7" t="e">
        <f>+F17/F16</f>
        <v>#DIV/0!</v>
      </c>
    </row>
    <row r="17" spans="3:15" x14ac:dyDescent="0.25">
      <c r="F17" s="4"/>
      <c r="G17" s="1" t="s">
        <v>11</v>
      </c>
      <c r="H17" s="11"/>
      <c r="I17" t="s">
        <v>13</v>
      </c>
      <c r="J17" s="7" t="e">
        <f>+F18/F17</f>
        <v>#DIV/0!</v>
      </c>
      <c r="M17" s="21"/>
      <c r="N17" s="21"/>
      <c r="O17" s="21"/>
    </row>
    <row r="18" spans="3:15" x14ac:dyDescent="0.25">
      <c r="F18" s="4"/>
      <c r="G18" s="1" t="s">
        <v>12</v>
      </c>
      <c r="H18" s="11"/>
      <c r="I18" t="s">
        <v>16</v>
      </c>
      <c r="J18" s="7" t="e">
        <f>+F8/F18</f>
        <v>#DIV/0!</v>
      </c>
      <c r="M18" s="21"/>
      <c r="N18" s="21"/>
      <c r="O18" s="21"/>
    </row>
    <row r="19" spans="3:15" x14ac:dyDescent="0.25">
      <c r="F19" s="2" t="s">
        <v>51</v>
      </c>
      <c r="G19">
        <v>0</v>
      </c>
      <c r="H19" s="11" t="s">
        <v>52</v>
      </c>
      <c r="I19" t="s">
        <v>41</v>
      </c>
      <c r="J19" s="7" t="e">
        <f>+F8/F15</f>
        <v>#DIV/0!</v>
      </c>
      <c r="M19" s="21"/>
      <c r="N19" s="21"/>
      <c r="O19" s="21"/>
    </row>
    <row r="20" spans="3:15" x14ac:dyDescent="0.25">
      <c r="H20" s="11"/>
      <c r="M20" s="21"/>
      <c r="N20" s="21"/>
      <c r="O20" s="21"/>
    </row>
    <row r="21" spans="3:15" x14ac:dyDescent="0.25">
      <c r="C21" s="9"/>
      <c r="D21" s="13" t="s">
        <v>21</v>
      </c>
      <c r="E21" s="9"/>
      <c r="F21" s="9" t="s">
        <v>22</v>
      </c>
      <c r="G21" s="9" t="s">
        <v>23</v>
      </c>
      <c r="H21" s="13" t="s">
        <v>27</v>
      </c>
      <c r="I21" s="10" t="s">
        <v>24</v>
      </c>
      <c r="J21" s="9"/>
      <c r="K21" s="9"/>
      <c r="L21" s="9"/>
      <c r="M21" s="21"/>
      <c r="N21" s="21"/>
      <c r="O21" s="21"/>
    </row>
    <row r="22" spans="3:15" ht="6" customHeight="1" x14ac:dyDescent="0.25">
      <c r="M22" s="21"/>
      <c r="N22" s="21"/>
      <c r="O22" s="21"/>
    </row>
    <row r="23" spans="3:15" x14ac:dyDescent="0.25">
      <c r="C23" s="33" t="str">
        <f>IF(H23=1,"u","")</f>
        <v>u</v>
      </c>
      <c r="D23" s="23" t="s">
        <v>237</v>
      </c>
      <c r="E23" s="33"/>
      <c r="F23" t="s">
        <v>179</v>
      </c>
      <c r="G23" t="s">
        <v>25</v>
      </c>
      <c r="H23">
        <f>RANK(I23,I$23:I$43,1)</f>
        <v>1</v>
      </c>
      <c r="I23" s="4">
        <v>396811</v>
      </c>
      <c r="J23" s="4"/>
      <c r="K23" s="4"/>
      <c r="L23" s="4"/>
      <c r="M23" s="22"/>
      <c r="N23" s="22"/>
      <c r="O23" s="22"/>
    </row>
    <row r="24" spans="3:15" x14ac:dyDescent="0.25">
      <c r="C24" s="33" t="str">
        <f>IF(H24=1,"u","")</f>
        <v/>
      </c>
      <c r="D24" s="23" t="s">
        <v>238</v>
      </c>
      <c r="E24" s="33"/>
      <c r="F24" t="s">
        <v>139</v>
      </c>
      <c r="G24" t="s">
        <v>25</v>
      </c>
      <c r="H24">
        <f>RANK(I24,I$23:I$43,1)</f>
        <v>2</v>
      </c>
      <c r="I24" s="4">
        <v>607000</v>
      </c>
      <c r="J24" s="4"/>
      <c r="K24" s="4"/>
      <c r="L24" s="4"/>
      <c r="M24" s="22"/>
      <c r="N24" s="22"/>
      <c r="O24" s="22"/>
    </row>
    <row r="25" spans="3:15" x14ac:dyDescent="0.25">
      <c r="C25" s="33" t="str">
        <f>IF(H25=1,"u","")</f>
        <v/>
      </c>
      <c r="D25" s="23" t="s">
        <v>239</v>
      </c>
      <c r="E25" s="33"/>
      <c r="F25" t="s">
        <v>240</v>
      </c>
      <c r="G25" t="s">
        <v>93</v>
      </c>
      <c r="H25">
        <f>RANK(I25,I$23:I$43,1)</f>
        <v>3</v>
      </c>
      <c r="I25" s="4">
        <v>741374</v>
      </c>
      <c r="J25" s="4"/>
      <c r="K25" s="4"/>
      <c r="L25" s="4"/>
      <c r="M25" s="22"/>
      <c r="N25" s="22"/>
      <c r="O25" s="22"/>
    </row>
    <row r="26" spans="3:15" x14ac:dyDescent="0.25">
      <c r="C26" s="33"/>
      <c r="D26" s="23"/>
      <c r="E26" s="33"/>
      <c r="I26" s="4"/>
      <c r="J26" s="4"/>
      <c r="K26" s="4"/>
      <c r="L26" s="4"/>
      <c r="M26" s="22"/>
      <c r="N26" s="22"/>
      <c r="O26" s="22"/>
    </row>
    <row r="27" spans="3:15" x14ac:dyDescent="0.25">
      <c r="C27" s="33" t="str">
        <f t="shared" ref="C27:C43" si="0">IF(H27=1,"u","")</f>
        <v/>
      </c>
      <c r="D27" s="11"/>
      <c r="E27" s="33" t="str">
        <f t="shared" ref="E27:E43" si="1">IF(H27=1,"t","")</f>
        <v/>
      </c>
      <c r="I27" s="4"/>
      <c r="J27" s="4"/>
      <c r="K27" s="4"/>
      <c r="L27" s="4"/>
      <c r="M27" s="22"/>
      <c r="N27" s="22"/>
      <c r="O27" s="22"/>
    </row>
    <row r="28" spans="3:15" x14ac:dyDescent="0.25">
      <c r="C28" s="33" t="str">
        <f t="shared" si="0"/>
        <v/>
      </c>
      <c r="D28" s="11"/>
      <c r="E28" s="33" t="str">
        <f t="shared" si="1"/>
        <v/>
      </c>
      <c r="I28" s="4"/>
      <c r="J28" s="4"/>
      <c r="K28" s="4"/>
      <c r="L28" s="4"/>
      <c r="M28" s="22"/>
      <c r="N28" s="22"/>
      <c r="O28" s="22"/>
    </row>
    <row r="29" spans="3:15" x14ac:dyDescent="0.25">
      <c r="C29" s="33" t="str">
        <f t="shared" si="0"/>
        <v/>
      </c>
      <c r="D29" s="11"/>
      <c r="E29" s="33" t="str">
        <f t="shared" si="1"/>
        <v/>
      </c>
      <c r="I29" s="4"/>
      <c r="J29" s="4"/>
      <c r="K29" s="4"/>
      <c r="L29" s="4"/>
      <c r="M29" s="22"/>
      <c r="N29" s="22"/>
      <c r="O29" s="22"/>
    </row>
    <row r="30" spans="3:15" x14ac:dyDescent="0.25">
      <c r="C30" s="33" t="str">
        <f t="shared" si="0"/>
        <v/>
      </c>
      <c r="D30" s="11"/>
      <c r="E30" s="33" t="str">
        <f t="shared" si="1"/>
        <v/>
      </c>
      <c r="I30" s="4"/>
      <c r="J30" s="4"/>
      <c r="K30" s="4"/>
      <c r="L30" s="4"/>
      <c r="M30" s="22"/>
      <c r="N30" s="22"/>
      <c r="O30" s="22"/>
    </row>
    <row r="31" spans="3:15" x14ac:dyDescent="0.25">
      <c r="C31" s="33" t="str">
        <f t="shared" si="0"/>
        <v/>
      </c>
      <c r="D31" s="11"/>
      <c r="E31" s="33" t="str">
        <f t="shared" si="1"/>
        <v/>
      </c>
      <c r="I31" s="4"/>
      <c r="J31" s="4"/>
      <c r="K31" s="4"/>
      <c r="L31" s="4"/>
      <c r="M31" s="22"/>
      <c r="N31" s="22"/>
      <c r="O31" s="22"/>
    </row>
    <row r="32" spans="3:15" x14ac:dyDescent="0.25">
      <c r="C32" s="33" t="str">
        <f t="shared" si="0"/>
        <v/>
      </c>
      <c r="D32" s="11"/>
      <c r="E32" s="33" t="str">
        <f t="shared" si="1"/>
        <v/>
      </c>
      <c r="I32" s="4"/>
      <c r="J32" s="4"/>
      <c r="K32" s="4"/>
      <c r="L32" s="4"/>
      <c r="M32" s="22"/>
      <c r="N32" s="22"/>
      <c r="O32" s="22"/>
    </row>
    <row r="33" spans="3:15" x14ac:dyDescent="0.25">
      <c r="C33" s="33" t="str">
        <f t="shared" si="0"/>
        <v/>
      </c>
      <c r="D33" s="11"/>
      <c r="E33" s="33" t="str">
        <f t="shared" si="1"/>
        <v/>
      </c>
      <c r="M33" s="21"/>
      <c r="N33" s="21"/>
      <c r="O33" s="21"/>
    </row>
    <row r="34" spans="3:15" x14ac:dyDescent="0.25">
      <c r="C34" s="33" t="str">
        <f t="shared" si="0"/>
        <v/>
      </c>
      <c r="D34" s="11"/>
      <c r="E34" s="33" t="str">
        <f t="shared" si="1"/>
        <v/>
      </c>
      <c r="M34" s="21"/>
      <c r="N34" s="21"/>
      <c r="O34" s="21"/>
    </row>
    <row r="35" spans="3:15" x14ac:dyDescent="0.25">
      <c r="C35" s="33" t="str">
        <f t="shared" si="0"/>
        <v/>
      </c>
      <c r="D35" s="11"/>
      <c r="E35" s="33" t="str">
        <f t="shared" si="1"/>
        <v/>
      </c>
      <c r="M35" s="21"/>
      <c r="N35" s="21"/>
      <c r="O35" s="21"/>
    </row>
    <row r="36" spans="3:15" x14ac:dyDescent="0.25">
      <c r="C36" s="33" t="str">
        <f t="shared" si="0"/>
        <v/>
      </c>
      <c r="D36" s="11"/>
      <c r="E36" s="33" t="str">
        <f t="shared" si="1"/>
        <v/>
      </c>
      <c r="M36" s="21"/>
      <c r="N36" s="21"/>
      <c r="O36" s="21"/>
    </row>
    <row r="37" spans="3:15" x14ac:dyDescent="0.25">
      <c r="C37" s="33" t="str">
        <f t="shared" si="0"/>
        <v/>
      </c>
      <c r="D37" s="11"/>
      <c r="E37" s="33" t="str">
        <f t="shared" si="1"/>
        <v/>
      </c>
      <c r="M37" s="21"/>
      <c r="N37" s="21"/>
      <c r="O37" s="21"/>
    </row>
    <row r="38" spans="3:15" x14ac:dyDescent="0.25">
      <c r="C38" s="33" t="str">
        <f t="shared" si="0"/>
        <v/>
      </c>
      <c r="D38" s="11"/>
      <c r="E38" s="33" t="str">
        <f t="shared" si="1"/>
        <v/>
      </c>
      <c r="M38" s="21"/>
      <c r="N38" s="21"/>
      <c r="O38" s="21"/>
    </row>
    <row r="39" spans="3:15" x14ac:dyDescent="0.25">
      <c r="C39" s="33" t="str">
        <f t="shared" si="0"/>
        <v/>
      </c>
      <c r="D39" s="11"/>
      <c r="E39" s="33" t="str">
        <f t="shared" si="1"/>
        <v/>
      </c>
      <c r="M39" s="21"/>
      <c r="N39" s="21"/>
      <c r="O39" s="21"/>
    </row>
    <row r="40" spans="3:15" x14ac:dyDescent="0.25">
      <c r="C40" s="33" t="str">
        <f t="shared" si="0"/>
        <v/>
      </c>
      <c r="D40" s="11"/>
      <c r="E40" s="33" t="str">
        <f t="shared" si="1"/>
        <v/>
      </c>
      <c r="M40" s="21"/>
      <c r="N40" s="21"/>
      <c r="O40" s="21"/>
    </row>
    <row r="41" spans="3:15" x14ac:dyDescent="0.25">
      <c r="C41" s="33" t="str">
        <f t="shared" si="0"/>
        <v/>
      </c>
      <c r="D41" s="11"/>
      <c r="E41" s="33" t="str">
        <f t="shared" si="1"/>
        <v/>
      </c>
      <c r="M41" s="21"/>
      <c r="N41" s="21"/>
      <c r="O41" s="21"/>
    </row>
    <row r="42" spans="3:15" x14ac:dyDescent="0.25">
      <c r="C42" s="33" t="str">
        <f t="shared" si="0"/>
        <v/>
      </c>
      <c r="D42" s="11"/>
      <c r="E42" s="33" t="str">
        <f t="shared" si="1"/>
        <v/>
      </c>
      <c r="M42" s="21"/>
      <c r="N42" s="21"/>
      <c r="O42" s="21"/>
    </row>
    <row r="43" spans="3:15" x14ac:dyDescent="0.25">
      <c r="C43" s="33" t="str">
        <f t="shared" si="0"/>
        <v/>
      </c>
      <c r="D43" s="11"/>
      <c r="E43" s="33" t="str">
        <f t="shared" si="1"/>
        <v/>
      </c>
      <c r="M43" s="21"/>
      <c r="N43" s="21"/>
      <c r="O43" s="21"/>
    </row>
    <row r="44" spans="3:15" ht="6" customHeight="1" x14ac:dyDescent="0.25">
      <c r="C44" s="9"/>
      <c r="D44" s="9"/>
      <c r="E44" s="9"/>
      <c r="F44" s="9"/>
      <c r="G44" s="9"/>
      <c r="H44" s="9"/>
      <c r="I44" s="9"/>
      <c r="J44" s="9"/>
      <c r="K44" s="9"/>
      <c r="L44" s="9"/>
      <c r="M44" s="21"/>
      <c r="N44" s="21"/>
      <c r="O44" s="21"/>
    </row>
    <row r="45" spans="3:15" ht="6" customHeight="1" x14ac:dyDescent="0.25">
      <c r="M45" s="21"/>
      <c r="N45" s="21"/>
      <c r="O45" s="21"/>
    </row>
    <row r="46" spans="3:15" x14ac:dyDescent="0.25">
      <c r="C46" s="15" t="s">
        <v>79</v>
      </c>
      <c r="M46" s="21"/>
      <c r="N46" s="21"/>
      <c r="O46" s="21"/>
    </row>
    <row r="47" spans="3:15" x14ac:dyDescent="0.25">
      <c r="C47" s="15" t="s">
        <v>78</v>
      </c>
    </row>
  </sheetData>
  <mergeCells count="1">
    <mergeCell ref="G13:H13"/>
  </mergeCells>
  <conditionalFormatting sqref="I9">
    <cfRule type="containsText" dxfId="350" priority="10" operator="containsText" text="FAIL">
      <formula>NOT(ISERROR(SEARCH("FAIL",I9)))</formula>
    </cfRule>
  </conditionalFormatting>
  <conditionalFormatting sqref="I9">
    <cfRule type="containsText" dxfId="349" priority="9" operator="containsText" text="GOOD">
      <formula>NOT(ISERROR(SEARCH("GOOD",I9)))</formula>
    </cfRule>
  </conditionalFormatting>
  <conditionalFormatting sqref="F11">
    <cfRule type="containsText" dxfId="348" priority="8" operator="containsText" text="FAIL">
      <formula>NOT(ISERROR(SEARCH("FAIL",F11)))</formula>
    </cfRule>
  </conditionalFormatting>
  <conditionalFormatting sqref="F11">
    <cfRule type="containsText" dxfId="347" priority="7" operator="containsText" text="GOOD">
      <formula>NOT(ISERROR(SEARCH("GOOD",F11)))</formula>
    </cfRule>
  </conditionalFormatting>
  <conditionalFormatting sqref="D25">
    <cfRule type="expression" dxfId="346" priority="6" stopIfTrue="1">
      <formula>IF($H$25=1,0)</formula>
    </cfRule>
  </conditionalFormatting>
  <conditionalFormatting sqref="D23:D43">
    <cfRule type="expression" dxfId="345" priority="5">
      <formula>H23=1</formula>
    </cfRule>
  </conditionalFormatting>
  <conditionalFormatting sqref="C23:C43">
    <cfRule type="expression" dxfId="344" priority="4">
      <formula>H23=1</formula>
    </cfRule>
  </conditionalFormatting>
  <conditionalFormatting sqref="E23:E43">
    <cfRule type="expression" dxfId="343" priority="3">
      <formula>H23=1</formula>
    </cfRule>
  </conditionalFormatting>
  <conditionalFormatting sqref="F11">
    <cfRule type="containsText" dxfId="342" priority="2" operator="containsText" text="FAIL">
      <formula>NOT(ISERROR(SEARCH("FAIL",F11)))</formula>
    </cfRule>
  </conditionalFormatting>
  <conditionalFormatting sqref="F11">
    <cfRule type="containsText" dxfId="341" priority="1" operator="containsText" text="GOOD">
      <formula>NOT(ISERROR(SEARCH("GOOD",F11)))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0">
    <tabColor theme="3" tint="-0.249977111117893"/>
  </sheetPr>
  <dimension ref="C2:AB742"/>
  <sheetViews>
    <sheetView workbookViewId="0">
      <pane ySplit="5" topLeftCell="A6" activePane="bottomLeft" state="frozen"/>
      <selection pane="bottomLeft" activeCell="J9" sqref="J9"/>
    </sheetView>
  </sheetViews>
  <sheetFormatPr defaultRowHeight="15" x14ac:dyDescent="0.25"/>
  <cols>
    <col min="2" max="2" width="2.85546875" customWidth="1"/>
    <col min="3" max="3" width="5.28515625" customWidth="1"/>
    <col min="4" max="4" width="13.42578125" customWidth="1"/>
    <col min="5" max="5" width="51.5703125" customWidth="1"/>
    <col min="6" max="6" width="9.5703125" bestFit="1" customWidth="1"/>
    <col min="7" max="7" width="8.5703125" customWidth="1"/>
    <col min="8" max="10" width="13.7109375" customWidth="1"/>
    <col min="11" max="11" width="9.5703125" customWidth="1"/>
    <col min="12" max="12" width="7" customWidth="1"/>
    <col min="13" max="13" width="6.42578125" customWidth="1"/>
    <col min="14" max="14" width="5.7109375" style="11" customWidth="1"/>
    <col min="15" max="15" width="3.42578125" customWidth="1"/>
    <col min="16" max="16" width="6.140625" customWidth="1"/>
    <col min="17" max="17" width="3.42578125" customWidth="1"/>
    <col min="18" max="18" width="44.7109375" customWidth="1"/>
  </cols>
  <sheetData>
    <row r="2" spans="3:22" ht="27.75" customHeight="1" x14ac:dyDescent="0.25">
      <c r="D2" s="21"/>
      <c r="E2" s="15"/>
      <c r="F2" s="15" t="s">
        <v>32</v>
      </c>
      <c r="I2" s="15"/>
      <c r="J2" s="15"/>
      <c r="L2" s="15" t="s">
        <v>33</v>
      </c>
    </row>
    <row r="3" spans="3:22" ht="18.75" x14ac:dyDescent="0.3">
      <c r="C3" s="3" t="s">
        <v>460</v>
      </c>
      <c r="D3" s="3"/>
      <c r="K3" s="36" t="s">
        <v>54</v>
      </c>
      <c r="L3" s="37">
        <v>2015</v>
      </c>
    </row>
    <row r="5" spans="3:22" x14ac:dyDescent="0.25">
      <c r="C5" s="40" t="s">
        <v>423</v>
      </c>
      <c r="D5" s="41" t="s">
        <v>55</v>
      </c>
      <c r="E5" s="41" t="s">
        <v>56</v>
      </c>
      <c r="F5" s="41" t="s">
        <v>57</v>
      </c>
      <c r="G5" s="44" t="s">
        <v>424</v>
      </c>
      <c r="H5" s="42" t="s">
        <v>58</v>
      </c>
      <c r="I5" s="42" t="s">
        <v>59</v>
      </c>
      <c r="J5" s="42" t="s">
        <v>456</v>
      </c>
      <c r="K5" s="42" t="s">
        <v>60</v>
      </c>
      <c r="L5" s="43" t="s">
        <v>61</v>
      </c>
      <c r="M5" s="42" t="s">
        <v>62</v>
      </c>
      <c r="N5" s="43" t="s">
        <v>225</v>
      </c>
      <c r="O5" s="43" t="s">
        <v>422</v>
      </c>
      <c r="P5" s="43" t="s">
        <v>454</v>
      </c>
      <c r="Q5" s="43"/>
      <c r="R5" s="41" t="s">
        <v>63</v>
      </c>
      <c r="S5" s="9"/>
      <c r="T5" s="9"/>
      <c r="U5" s="9"/>
      <c r="V5" s="9"/>
    </row>
    <row r="6" spans="3:22" ht="7.5" customHeight="1" x14ac:dyDescent="0.25">
      <c r="C6" s="39"/>
      <c r="G6" s="45"/>
    </row>
    <row r="7" spans="3:22" ht="18" customHeight="1" x14ac:dyDescent="0.25">
      <c r="C7" s="39"/>
      <c r="D7" s="15" t="s">
        <v>461</v>
      </c>
      <c r="E7" s="24"/>
      <c r="F7" s="25"/>
      <c r="G7" s="46"/>
      <c r="H7" s="27"/>
      <c r="I7" s="27"/>
      <c r="J7" s="27"/>
      <c r="K7" s="26"/>
      <c r="L7" s="11"/>
      <c r="M7" s="15"/>
      <c r="P7" s="11"/>
    </row>
    <row r="8" spans="3:22" ht="8.25" customHeight="1" x14ac:dyDescent="0.25">
      <c r="C8" s="39"/>
      <c r="D8" s="15"/>
      <c r="E8" s="24"/>
      <c r="F8" s="25"/>
      <c r="G8" s="46"/>
      <c r="H8" s="27"/>
      <c r="I8" s="27"/>
      <c r="J8" s="27"/>
      <c r="K8" s="26"/>
      <c r="L8" s="11"/>
      <c r="M8" s="15"/>
      <c r="P8" s="11"/>
    </row>
    <row r="9" spans="3:22" x14ac:dyDescent="0.25">
      <c r="C9" s="39">
        <v>2015</v>
      </c>
      <c r="D9" s="15" t="str">
        <f>+'AK-195'!$F$4</f>
        <v>AK-195</v>
      </c>
      <c r="E9" s="24" t="str">
        <f>+'AK-195'!$F$5</f>
        <v>Staten Island Bridges - Maint Pvmt Repairs via WO</v>
      </c>
      <c r="F9" s="25">
        <f>+'AK-195'!$F$6</f>
        <v>42342</v>
      </c>
      <c r="G9" s="46" t="str">
        <f>+'AK-195'!$G$7</f>
        <v>PQL</v>
      </c>
      <c r="H9" s="27">
        <f>+'AK-195'!$F$7</f>
        <v>2000000</v>
      </c>
      <c r="I9" s="27">
        <f>+'AK-195'!$F$8</f>
        <v>2092850</v>
      </c>
      <c r="J9" s="27"/>
      <c r="K9" s="26">
        <f>+'AK-195'!$G$9</f>
        <v>4.6425000000000001E-2</v>
      </c>
      <c r="L9" s="11" t="str">
        <f>+'AK-195'!$F$11</f>
        <v>GOOD</v>
      </c>
      <c r="M9" s="15">
        <f>+'AK-195'!$H$12</f>
        <v>4</v>
      </c>
      <c r="N9" s="35" t="s">
        <v>93</v>
      </c>
      <c r="O9" s="15">
        <v>4</v>
      </c>
      <c r="P9" s="35" t="s">
        <v>457</v>
      </c>
      <c r="Q9" s="15"/>
      <c r="R9" s="24"/>
      <c r="S9" s="15"/>
      <c r="T9" s="15"/>
      <c r="U9" s="15"/>
      <c r="V9" s="15"/>
    </row>
    <row r="10" spans="3:22" x14ac:dyDescent="0.25">
      <c r="C10" s="39">
        <v>2015</v>
      </c>
      <c r="D10" s="15" t="str">
        <f>+'GWB-564'!F4</f>
        <v>GWB-564</v>
      </c>
      <c r="E10" s="24" t="str">
        <f>+'GWB-564'!F5</f>
        <v>George Washington Bridge-Facility Wide Prioirty Rehabilitation</v>
      </c>
      <c r="F10" s="25">
        <f>+'GWB-564'!F6</f>
        <v>42312</v>
      </c>
      <c r="G10" s="46" t="str">
        <f>+'GWB-564'!G7</f>
        <v>Public</v>
      </c>
      <c r="H10" s="27">
        <f>+'GWB-564'!F7</f>
        <v>8700000</v>
      </c>
      <c r="I10" s="27">
        <f>+'GWB-564'!F8</f>
        <v>10162935</v>
      </c>
      <c r="J10" s="27"/>
      <c r="K10" s="26">
        <f>+'GWB-564'!G9</f>
        <v>0.16815344827586207</v>
      </c>
      <c r="L10" s="11" t="str">
        <f>+'GWB-564'!F11</f>
        <v>FAIL</v>
      </c>
      <c r="M10" s="15">
        <f>+'GWB-564'!H12</f>
        <v>3</v>
      </c>
      <c r="N10" s="35" t="s">
        <v>226</v>
      </c>
      <c r="O10" s="15">
        <v>4</v>
      </c>
      <c r="P10" s="35" t="s">
        <v>457</v>
      </c>
      <c r="Q10" s="15"/>
      <c r="R10" s="24"/>
      <c r="S10" s="15"/>
      <c r="T10" s="15"/>
      <c r="U10" s="15"/>
      <c r="V10" s="15"/>
    </row>
    <row r="11" spans="3:22" x14ac:dyDescent="0.25">
      <c r="C11" s="39">
        <v>2015</v>
      </c>
      <c r="D11" s="15" t="str">
        <f>+'HT-224.116'!F4</f>
        <v>HT-224.116</v>
      </c>
      <c r="E11" s="24" t="str">
        <f>+'HT-224.116'!F5</f>
        <v>Holland Tunnel-Concrete Repairs at Air Supply Ports</v>
      </c>
      <c r="F11" s="25">
        <f>+'HT-224.116'!F6</f>
        <v>42307</v>
      </c>
      <c r="G11" s="46" t="str">
        <f>+'HT-224.116'!G7</f>
        <v>Public</v>
      </c>
      <c r="H11" s="27">
        <f>+'HT-224.116'!F7</f>
        <v>7100000</v>
      </c>
      <c r="I11" s="27">
        <f>+'HT-224.116'!F8</f>
        <v>6676400</v>
      </c>
      <c r="J11" s="27"/>
      <c r="K11" s="26">
        <f>+'HT-224.116'!G9</f>
        <v>-5.9661971830985913E-2</v>
      </c>
      <c r="L11" s="11" t="str">
        <f>+'HT-224.116'!F11</f>
        <v>GOOD</v>
      </c>
      <c r="M11" s="15">
        <f>+'HT-224.116'!H12</f>
        <v>11</v>
      </c>
      <c r="N11" s="35" t="s">
        <v>226</v>
      </c>
      <c r="O11" s="15">
        <v>4</v>
      </c>
      <c r="P11" s="35" t="s">
        <v>457</v>
      </c>
      <c r="Q11" s="15"/>
      <c r="R11" s="24"/>
      <c r="S11" s="15"/>
      <c r="T11" s="15"/>
      <c r="U11" s="15"/>
      <c r="V11" s="15"/>
    </row>
    <row r="12" spans="3:22" x14ac:dyDescent="0.25">
      <c r="C12" s="39">
        <v>2015</v>
      </c>
      <c r="D12" s="15" t="str">
        <f>+'GWB-566'!F4</f>
        <v>GWB-566</v>
      </c>
      <c r="E12" s="24" t="str">
        <f>+'GWB-566'!F5</f>
        <v>George Washington Bridge-Temporary Semac Relocation</v>
      </c>
      <c r="F12" s="25">
        <f>+'GWB-566'!F6</f>
        <v>42304</v>
      </c>
      <c r="G12" s="46" t="str">
        <f>+'GWB-566'!G7</f>
        <v>Public</v>
      </c>
      <c r="H12" s="27">
        <f>+'GWB-566'!F7</f>
        <v>1340000</v>
      </c>
      <c r="I12" s="27">
        <f>+'GWB-566'!F8</f>
        <v>1850000</v>
      </c>
      <c r="J12" s="27"/>
      <c r="K12" s="26">
        <f>+'GWB-566'!G9</f>
        <v>0.38059701492537312</v>
      </c>
      <c r="L12" s="11" t="str">
        <f>+'GWB-566'!F11</f>
        <v>FAIL</v>
      </c>
      <c r="M12" s="15">
        <f>+'GWB-566'!H12</f>
        <v>4</v>
      </c>
      <c r="N12" s="35" t="s">
        <v>25</v>
      </c>
      <c r="O12" s="15">
        <v>4</v>
      </c>
      <c r="P12" s="35" t="s">
        <v>457</v>
      </c>
      <c r="Q12" s="15"/>
      <c r="R12" s="24"/>
      <c r="S12" s="15"/>
      <c r="T12" s="15"/>
      <c r="U12" s="15"/>
      <c r="V12" s="15"/>
    </row>
    <row r="13" spans="3:22" x14ac:dyDescent="0.25">
      <c r="C13" s="39">
        <v>2015</v>
      </c>
      <c r="D13" s="15" t="str">
        <f>+'GWB-924.092'!F4</f>
        <v>GWB-924.092</v>
      </c>
      <c r="E13" s="24" t="str">
        <f>+'GWB-924.092'!F5</f>
        <v>George Washington Bridge-Improvements to Bruce Reynolds Boulevard</v>
      </c>
      <c r="F13" s="25">
        <f>+'GWB-924.092'!F6</f>
        <v>42297</v>
      </c>
      <c r="G13" s="46" t="str">
        <f>+'GWB-924.092'!G7</f>
        <v>Public</v>
      </c>
      <c r="H13" s="27">
        <f>+'GWB-924.092'!F7</f>
        <v>1290000</v>
      </c>
      <c r="I13" s="27">
        <f>+'GWB-924.092'!F8</f>
        <v>1552600</v>
      </c>
      <c r="J13" s="27"/>
      <c r="K13" s="26">
        <f>+'GWB-924.092'!G9</f>
        <v>0.20356589147286822</v>
      </c>
      <c r="L13" s="11" t="str">
        <f>+'GWB-924.092'!F11</f>
        <v>FAIL</v>
      </c>
      <c r="M13" s="15">
        <f>+'GWB-924.092'!H12</f>
        <v>9</v>
      </c>
      <c r="N13" s="35" t="s">
        <v>25</v>
      </c>
      <c r="O13" s="15">
        <v>4</v>
      </c>
      <c r="P13" s="35" t="s">
        <v>457</v>
      </c>
      <c r="Q13" s="15"/>
      <c r="R13" s="24"/>
      <c r="S13" s="15"/>
      <c r="T13" s="15"/>
      <c r="U13" s="15"/>
      <c r="V13" s="15"/>
    </row>
    <row r="14" spans="3:22" x14ac:dyDescent="0.25">
      <c r="C14" s="39">
        <v>2015</v>
      </c>
      <c r="D14" s="15" t="str">
        <f>+'GWB-924.159'!F4</f>
        <v>GWB-924.159</v>
      </c>
      <c r="E14" s="24" t="str">
        <f>+'GWB-924.159'!F5</f>
        <v>George Washington Bridge-New Jersey Administration Building Hot Water/Chilled Water Piping Replacement</v>
      </c>
      <c r="F14" s="25">
        <f>+'GWB-924.159'!F6</f>
        <v>42297</v>
      </c>
      <c r="G14" s="46" t="str">
        <f>+'GWB-924.159'!G7</f>
        <v>Mentor Protégé Program</v>
      </c>
      <c r="H14" s="27"/>
      <c r="I14" s="27"/>
      <c r="J14" s="27"/>
      <c r="K14" s="26"/>
      <c r="L14" s="11"/>
      <c r="M14" s="15"/>
      <c r="N14" s="35" t="s">
        <v>25</v>
      </c>
      <c r="O14" s="15">
        <v>4</v>
      </c>
      <c r="P14" s="35" t="s">
        <v>457</v>
      </c>
      <c r="Q14" s="15"/>
      <c r="R14" s="24" t="s">
        <v>227</v>
      </c>
      <c r="S14" s="15"/>
      <c r="T14" s="15"/>
      <c r="U14" s="15"/>
      <c r="V14" s="15"/>
    </row>
    <row r="15" spans="3:22" x14ac:dyDescent="0.25">
      <c r="C15" s="39">
        <v>2015</v>
      </c>
      <c r="D15" s="15" t="str">
        <f>+'GWB-244.256'!F4</f>
        <v>GWB-244.256</v>
      </c>
      <c r="E15" s="24" t="str">
        <f>+'GWB-244.256'!F5</f>
        <v>George Washington Bridge-Pavement Rehabilitation of the Lower Level eastbound Approch Roadways, Lower Level Eastbound Bridge Span and Lower Expressway East Ramp</v>
      </c>
      <c r="F15" s="25">
        <f>+'GWB-244.256'!F6</f>
        <v>42284</v>
      </c>
      <c r="G15" s="46" t="str">
        <f>+'GWB-244.256'!G7</f>
        <v>PQL</v>
      </c>
      <c r="H15" s="27">
        <f>+'GWB-244.256'!F7</f>
        <v>7400000</v>
      </c>
      <c r="I15" s="27">
        <f>+'GWB-244.256'!F8</f>
        <v>4985882.5</v>
      </c>
      <c r="J15" s="27"/>
      <c r="K15" s="26">
        <f>+'GWB-244.256'!G9</f>
        <v>-0.32623209459459457</v>
      </c>
      <c r="L15" s="11" t="str">
        <f>+'GWB-244.256'!F11</f>
        <v>FAIL</v>
      </c>
      <c r="M15" s="15">
        <f>+'GWB-244.256'!H12</f>
        <v>4</v>
      </c>
      <c r="N15" s="35" t="s">
        <v>226</v>
      </c>
      <c r="O15" s="15">
        <v>4</v>
      </c>
      <c r="P15" s="35" t="s">
        <v>457</v>
      </c>
      <c r="Q15" s="15"/>
      <c r="R15" s="24"/>
      <c r="S15" s="15"/>
      <c r="T15" s="15"/>
      <c r="U15" s="15"/>
      <c r="V15" s="15"/>
    </row>
    <row r="16" spans="3:22" x14ac:dyDescent="0.25">
      <c r="C16" s="39">
        <v>2015</v>
      </c>
      <c r="D16" s="15" t="str">
        <f>+'LT-924.014'!F4</f>
        <v>LT-924.014</v>
      </c>
      <c r="E16" s="24" t="str">
        <f>+'LT-924.014'!F5</f>
        <v>Lincoln Tunnel-Water Leak Repairs</v>
      </c>
      <c r="F16" s="25">
        <f>+'LT-924.014'!F6</f>
        <v>42178</v>
      </c>
      <c r="G16" s="46" t="str">
        <f>+'LT-924.014'!G7</f>
        <v>Public</v>
      </c>
      <c r="H16" s="27">
        <f>+'LT-924.014'!F$7</f>
        <v>1800000</v>
      </c>
      <c r="I16" s="27">
        <f>+'LT-924.014'!F$8</f>
        <v>2217200</v>
      </c>
      <c r="J16" s="27"/>
      <c r="K16" s="26">
        <f>+'LT-924.014'!G$9</f>
        <v>0.23177777777777778</v>
      </c>
      <c r="L16" s="11" t="str">
        <f>+'LT-924.014'!F$11</f>
        <v>FAIL</v>
      </c>
      <c r="M16" s="15">
        <f>+'LT-924.014'!H$12</f>
        <v>2</v>
      </c>
      <c r="N16" s="35" t="s">
        <v>226</v>
      </c>
      <c r="O16" s="15">
        <v>2</v>
      </c>
      <c r="P16" s="35" t="s">
        <v>457</v>
      </c>
      <c r="Q16" s="15"/>
      <c r="R16" s="24"/>
      <c r="S16" s="15"/>
      <c r="T16" s="15"/>
      <c r="U16" s="15"/>
      <c r="V16" s="15"/>
    </row>
    <row r="17" spans="3:22" x14ac:dyDescent="0.25">
      <c r="C17" s="39">
        <v>2015</v>
      </c>
      <c r="D17" s="15" t="str">
        <f>+'GWB-244.240'!F4</f>
        <v>GWB-244.240</v>
      </c>
      <c r="E17" s="24" t="str">
        <f>+'GWB-244.240'!F5</f>
        <v>George Washington Bridge-Lower Level Priority Steel and Concrete Prepairs, Rehabilitation of Catwalks and Plaintenace Platform Travelers</v>
      </c>
      <c r="F17" s="25">
        <f>+'GWB-244.240'!F6</f>
        <v>42177</v>
      </c>
      <c r="G17" s="46" t="str">
        <f>+'GWB-244.240'!G7</f>
        <v>Public</v>
      </c>
      <c r="H17" s="27">
        <f>+'GWB-244.240'!F$7</f>
        <v>6500000</v>
      </c>
      <c r="I17" s="27">
        <f>+'GWB-244.240'!F$8</f>
        <v>6374800</v>
      </c>
      <c r="J17" s="27"/>
      <c r="K17" s="26">
        <f>+'GWB-244.240'!G$9</f>
        <v>-1.9261538461538462E-2</v>
      </c>
      <c r="L17" s="11" t="str">
        <f>+'GWB-244.240'!F$11</f>
        <v>GOOD</v>
      </c>
      <c r="M17" s="15">
        <f>+'GWB-244.240'!H$12</f>
        <v>7</v>
      </c>
      <c r="N17" s="35" t="s">
        <v>226</v>
      </c>
      <c r="O17" s="15">
        <v>2</v>
      </c>
      <c r="P17" s="35" t="s">
        <v>457</v>
      </c>
      <c r="Q17" s="15"/>
      <c r="R17" s="15"/>
      <c r="S17" s="15"/>
      <c r="T17" s="15"/>
      <c r="U17" s="15"/>
      <c r="V17" s="15"/>
    </row>
    <row r="18" spans="3:22" x14ac:dyDescent="0.25">
      <c r="C18" s="39">
        <v>2015</v>
      </c>
      <c r="D18" s="15" t="str">
        <f>+'GWB-924.044'!F4</f>
        <v>GWB-924.044</v>
      </c>
      <c r="E18" s="24" t="str">
        <f>+'GWB-924.044'!F5</f>
        <v xml:space="preserve">George Washington Bridge-Electrical Bus Replacement </v>
      </c>
      <c r="F18" s="25">
        <f>+'GWB-924.044'!F6</f>
        <v>42142</v>
      </c>
      <c r="G18" s="46" t="str">
        <f>+'GWB-924.044'!G7</f>
        <v>MBE</v>
      </c>
      <c r="H18" s="27">
        <f>+'GWB-924.044'!F$7</f>
        <v>830000</v>
      </c>
      <c r="I18" s="27">
        <f>+'GWB-924.044'!F$8</f>
        <v>1650000</v>
      </c>
      <c r="J18" s="27"/>
      <c r="K18" s="26">
        <f>+'GWB-924.044'!G$9</f>
        <v>0.98795180722891562</v>
      </c>
      <c r="L18" s="11" t="str">
        <f>+'GWB-924.044'!F$11</f>
        <v>FAIL</v>
      </c>
      <c r="M18" s="15">
        <f>+'GWB-924.044'!H$12</f>
        <v>1</v>
      </c>
      <c r="N18" s="35" t="s">
        <v>226</v>
      </c>
      <c r="O18" s="15">
        <v>2</v>
      </c>
      <c r="P18" s="35" t="s">
        <v>457</v>
      </c>
    </row>
    <row r="19" spans="3:22" x14ac:dyDescent="0.25">
      <c r="C19" s="39"/>
      <c r="D19" s="15"/>
      <c r="E19" s="24"/>
      <c r="F19" s="25"/>
      <c r="G19" s="46"/>
      <c r="H19" s="27"/>
      <c r="I19" s="27"/>
      <c r="J19" s="27"/>
      <c r="K19" s="26"/>
      <c r="L19" s="11"/>
      <c r="M19" s="15"/>
      <c r="O19" s="15"/>
      <c r="P19" s="11"/>
    </row>
    <row r="20" spans="3:22" ht="18" customHeight="1" x14ac:dyDescent="0.25">
      <c r="C20" s="39"/>
      <c r="D20" s="15" t="s">
        <v>479</v>
      </c>
      <c r="E20" s="24"/>
      <c r="F20" s="25"/>
      <c r="G20" s="46"/>
      <c r="H20" s="27"/>
      <c r="I20" s="27"/>
      <c r="J20" s="27"/>
      <c r="K20" s="26"/>
      <c r="L20" s="11"/>
      <c r="M20" s="15"/>
      <c r="P20" s="11"/>
    </row>
    <row r="21" spans="3:22" ht="8.25" customHeight="1" x14ac:dyDescent="0.25">
      <c r="C21" s="39"/>
      <c r="D21" s="15"/>
      <c r="E21" s="24"/>
      <c r="F21" s="25"/>
      <c r="G21" s="46"/>
      <c r="H21" s="27"/>
      <c r="I21" s="27"/>
      <c r="J21" s="27"/>
      <c r="K21" s="26"/>
      <c r="L21" s="11"/>
      <c r="M21" s="15"/>
      <c r="P21" s="11"/>
    </row>
    <row r="22" spans="3:22" x14ac:dyDescent="0.25">
      <c r="C22" s="39">
        <v>2015</v>
      </c>
      <c r="D22" s="15" t="str">
        <f>+'EP-684.509 Void'!$F$4</f>
        <v>EP-684.509</v>
      </c>
      <c r="E22" s="24" t="str">
        <f>+'EP-684.509 Void'!$F$5</f>
        <v>Bldg 1400 Upgrade of Fire Supression System</v>
      </c>
      <c r="F22" s="25">
        <f>+'EP-684.509 Void'!$F$6</f>
        <v>42355</v>
      </c>
      <c r="G22" s="46" t="str">
        <f>+'EP-684.509 Void'!$G$7</f>
        <v>M/WBE</v>
      </c>
      <c r="H22" s="27">
        <f>+'EP-684.509 Void'!$F$7</f>
        <v>640000</v>
      </c>
      <c r="I22" s="27">
        <f>+'EP-684.509 Void'!$F$8</f>
        <v>898000</v>
      </c>
      <c r="J22" s="27"/>
      <c r="K22" s="26">
        <f>+'EP-684.509 Void'!$G$9</f>
        <v>0.40312500000000001</v>
      </c>
      <c r="L22" s="11" t="str">
        <f>+'EP-684.509 Void'!$F$11</f>
        <v>FAIL</v>
      </c>
      <c r="M22" s="15">
        <f>+'EP-684.509 Void'!$H$12</f>
        <v>3</v>
      </c>
      <c r="N22" s="35" t="s">
        <v>25</v>
      </c>
      <c r="O22" s="15">
        <v>4</v>
      </c>
      <c r="P22" s="35" t="s">
        <v>492</v>
      </c>
      <c r="Q22" s="15"/>
      <c r="R22" s="24"/>
      <c r="S22" s="15"/>
      <c r="T22" s="15"/>
      <c r="U22" s="15"/>
      <c r="V22" s="15"/>
    </row>
    <row r="23" spans="3:22" x14ac:dyDescent="0.25">
      <c r="C23" s="39">
        <v>2015</v>
      </c>
      <c r="D23" s="15" t="str">
        <f>+'PN-654.036'!F4</f>
        <v>PN-654.036</v>
      </c>
      <c r="E23" s="24" t="str">
        <f>+'PN-654.036'!F5</f>
        <v>Port Newark-Water System Rehabilitation At Central And South Sections</v>
      </c>
      <c r="F23" s="25">
        <f>+'PN-654.036'!F6</f>
        <v>42277</v>
      </c>
      <c r="G23" s="46" t="str">
        <f>+'PN-654.036'!G7</f>
        <v>Public</v>
      </c>
      <c r="H23" s="27">
        <f>+'PN-654.036'!F7</f>
        <v>7000000</v>
      </c>
      <c r="I23" s="27">
        <f>+'PN-654.036'!F8</f>
        <v>5851111</v>
      </c>
      <c r="J23" s="27"/>
      <c r="K23" s="26">
        <f>+'PN-654.036'!G9</f>
        <v>-0.164127</v>
      </c>
      <c r="L23" s="11" t="str">
        <f>+'PN-654.036'!F11</f>
        <v>GOOD</v>
      </c>
      <c r="M23" s="15">
        <f>+'PN-654.036'!H12</f>
        <v>15</v>
      </c>
      <c r="N23" s="35" t="s">
        <v>25</v>
      </c>
      <c r="O23" s="15">
        <v>3</v>
      </c>
      <c r="P23" s="35" t="s">
        <v>492</v>
      </c>
      <c r="Q23" s="15"/>
      <c r="R23" s="24"/>
      <c r="S23" s="15"/>
      <c r="T23" s="15"/>
      <c r="U23" s="15"/>
      <c r="V23" s="15"/>
    </row>
    <row r="24" spans="3:22" x14ac:dyDescent="0.25">
      <c r="C24" s="39">
        <v>2015</v>
      </c>
      <c r="D24" s="15" t="str">
        <f>+'MFP-924.623'!F4</f>
        <v>MFP-924.623</v>
      </c>
      <c r="E24" s="24" t="str">
        <f>+'MFP-924.623'!F5</f>
        <v>New York Marine Terminals-Paving and Utility Rehabilitation Via Work Order</v>
      </c>
      <c r="F24" s="25">
        <f>+'MFP-924.623'!F6</f>
        <v>42159</v>
      </c>
      <c r="G24" s="46" t="str">
        <f>+'MFP-924.623'!G7</f>
        <v>Public</v>
      </c>
      <c r="H24" s="27">
        <f>+'MFP-924.623'!F$7</f>
        <v>1600000</v>
      </c>
      <c r="I24" s="27">
        <f>+'MFP-924.623'!F$8</f>
        <v>1298005</v>
      </c>
      <c r="J24" s="27"/>
      <c r="K24" s="26">
        <f>+'MFP-924.623'!G$9</f>
        <v>-0.18874687500000001</v>
      </c>
      <c r="L24" s="11" t="str">
        <f>+'MFP-924.623'!F$11</f>
        <v>GOOD</v>
      </c>
      <c r="M24" s="15">
        <f>+'MFP-924.623'!H$12</f>
        <v>6</v>
      </c>
      <c r="N24" s="35" t="s">
        <v>93</v>
      </c>
      <c r="O24" s="15">
        <v>2</v>
      </c>
      <c r="P24" s="35" t="s">
        <v>492</v>
      </c>
      <c r="Q24" s="15"/>
      <c r="R24" s="15"/>
      <c r="S24" s="15"/>
      <c r="T24" s="15"/>
      <c r="U24" s="15"/>
      <c r="V24" s="15"/>
    </row>
    <row r="25" spans="3:22" x14ac:dyDescent="0.25">
      <c r="C25" s="39">
        <v>2015</v>
      </c>
      <c r="D25" s="15" t="str">
        <f>+'NYNJRR-644.531'!F4</f>
        <v>NYNJRR-644.531</v>
      </c>
      <c r="E25" s="24" t="str">
        <f>+'NYNJRR-644.531'!F5</f>
        <v>NY and NJ Rail - Transfer Bridge #10 Reconstruction and Fender Modifications at 65th St Yard, Brooklyn</v>
      </c>
      <c r="F25" s="25">
        <f>+'NYNJRR-644.531'!F6</f>
        <v>42157</v>
      </c>
      <c r="G25" s="46" t="str">
        <f>+'NYNJRR-644.531'!G7</f>
        <v>Public</v>
      </c>
      <c r="H25" s="27">
        <f>+'NYNJRR-644.531'!F$7</f>
        <v>29100000</v>
      </c>
      <c r="I25" s="27">
        <f>+'NYNJRR-644.531'!F$8</f>
        <v>30452500</v>
      </c>
      <c r="J25" s="27"/>
      <c r="K25" s="26">
        <f>+'NYNJRR-644.531'!G$9</f>
        <v>4.6477663230240551E-2</v>
      </c>
      <c r="L25" s="11" t="str">
        <f>+'NYNJRR-644.531'!F$11</f>
        <v>GOOD</v>
      </c>
      <c r="M25" s="15">
        <f>+'NYNJRR-644.531'!H$12</f>
        <v>11</v>
      </c>
      <c r="N25" s="35" t="s">
        <v>25</v>
      </c>
      <c r="O25" s="15">
        <v>2</v>
      </c>
      <c r="P25" s="35" t="s">
        <v>492</v>
      </c>
      <c r="Q25" s="15"/>
      <c r="R25" s="15"/>
      <c r="S25" s="15"/>
      <c r="T25" s="15"/>
      <c r="U25" s="15"/>
      <c r="V25" s="15"/>
    </row>
    <row r="26" spans="3:22" x14ac:dyDescent="0.25">
      <c r="C26" s="39">
        <v>2015</v>
      </c>
      <c r="D26" s="15" t="str">
        <f>+'PN-654.545'!F4</f>
        <v>PN-654.545</v>
      </c>
      <c r="E26" s="24" t="str">
        <f>+'PN-654.545'!F5</f>
        <v>Port Newark Berth 19 Wharf Restoration</v>
      </c>
      <c r="F26" s="25">
        <f>+'PN-654.545'!F6</f>
        <v>42145</v>
      </c>
      <c r="G26" s="46" t="str">
        <f>+'PN-654.545'!G7</f>
        <v>Public</v>
      </c>
      <c r="H26" s="27">
        <f>+'PN-654.545'!F$7</f>
        <v>6400000</v>
      </c>
      <c r="I26" s="27">
        <f>+'PN-654.545'!F$8</f>
        <v>5777000</v>
      </c>
      <c r="J26" s="27"/>
      <c r="K26" s="26">
        <f>+'PN-654.545'!G$9</f>
        <v>-9.7343750000000007E-2</v>
      </c>
      <c r="L26" s="11" t="str">
        <f>+'PN-654.545'!F$11</f>
        <v>GOOD</v>
      </c>
      <c r="M26" s="15">
        <f>+'PN-654.545'!H$12</f>
        <v>7</v>
      </c>
      <c r="N26" s="11" t="s">
        <v>25</v>
      </c>
      <c r="O26" s="15">
        <v>2</v>
      </c>
      <c r="P26" s="35" t="s">
        <v>492</v>
      </c>
    </row>
    <row r="27" spans="3:22" x14ac:dyDescent="0.25">
      <c r="C27" s="39">
        <v>2015</v>
      </c>
      <c r="D27" s="15" t="str">
        <f>+'MFP-924.630'!F4</f>
        <v>MFP-924.630</v>
      </c>
      <c r="E27" s="24" t="str">
        <f>+'MFP-924.630'!F5</f>
        <v>New Jersey Marine Terminals-Paving and Utility Rehabilitation via Work Order</v>
      </c>
      <c r="F27" s="25">
        <f>+'MFP-924.630'!F6</f>
        <v>42108</v>
      </c>
      <c r="G27" s="46" t="str">
        <f>+'MFP-924.630'!G7</f>
        <v>Public</v>
      </c>
      <c r="H27" s="27">
        <f>+'MFP-924.630'!F$7</f>
        <v>2320000</v>
      </c>
      <c r="I27" s="27">
        <f>+'MFP-924.630'!F$8</f>
        <v>1550780</v>
      </c>
      <c r="J27" s="27"/>
      <c r="K27" s="26">
        <f>+'MFP-924.630'!G$9</f>
        <v>-0.33156034482758623</v>
      </c>
      <c r="L27" s="11" t="str">
        <f>+'MFP-924.630'!F$11</f>
        <v>GOOD</v>
      </c>
      <c r="M27" s="15">
        <f>+'MFP-924.630'!H$12</f>
        <v>9</v>
      </c>
      <c r="N27" s="11" t="s">
        <v>25</v>
      </c>
      <c r="O27" s="15">
        <v>2</v>
      </c>
      <c r="P27" s="35" t="s">
        <v>492</v>
      </c>
    </row>
    <row r="28" spans="3:22" x14ac:dyDescent="0.25">
      <c r="C28" s="39">
        <v>2015</v>
      </c>
      <c r="D28" s="15" t="str">
        <f>+'PJ-924.624'!F4</f>
        <v>PJ-924.624</v>
      </c>
      <c r="E28" s="24" t="str">
        <f>+'PJ-924.624'!F5</f>
        <v>Port Jersey Marine Terminal-Paving and Utility Rehabilitation via Work Order</v>
      </c>
      <c r="F28" s="25">
        <f>+'PJ-924.624'!F6</f>
        <v>42102</v>
      </c>
      <c r="G28" s="46" t="str">
        <f>+'PJ-924.624'!G7</f>
        <v>MBE/WBE</v>
      </c>
      <c r="H28" s="27">
        <f>+'PJ-924.624'!F$7</f>
        <v>1300000</v>
      </c>
      <c r="I28" s="27">
        <f>+'PJ-924.624'!F$8</f>
        <v>878175</v>
      </c>
      <c r="J28" s="27"/>
      <c r="K28" s="26">
        <f>+'PJ-924.624'!G$9</f>
        <v>-0.32448076923076924</v>
      </c>
      <c r="L28" s="11" t="str">
        <f>+'PJ-924.624'!F$11</f>
        <v>GOOD</v>
      </c>
      <c r="M28" s="15">
        <f>+'PJ-924.624'!H$12</f>
        <v>7</v>
      </c>
      <c r="N28" s="11" t="s">
        <v>25</v>
      </c>
      <c r="O28" s="15">
        <v>2</v>
      </c>
      <c r="P28" s="35" t="s">
        <v>492</v>
      </c>
    </row>
    <row r="29" spans="3:22" x14ac:dyDescent="0.25">
      <c r="C29" s="39">
        <v>2015</v>
      </c>
      <c r="D29" s="15" t="str">
        <f>+'PN-954.004'!F4</f>
        <v>PN-654.004</v>
      </c>
      <c r="E29" s="24" t="str">
        <f>+'PN-954.004'!F5</f>
        <v>Port Newark-Berths 30, 32, and 34 Fender Systems Reconstruction</v>
      </c>
      <c r="F29" s="25">
        <f>+'PN-954.004'!F6</f>
        <v>42072</v>
      </c>
      <c r="G29" s="46" t="str">
        <f>+'PN-954.004'!G7</f>
        <v>Public</v>
      </c>
      <c r="H29" s="27">
        <f>+'PN-954.004'!F$7</f>
        <v>9600000</v>
      </c>
      <c r="I29" s="27">
        <f>+'PN-954.004'!F$8</f>
        <v>6748000</v>
      </c>
      <c r="J29" s="27"/>
      <c r="K29" s="26">
        <f>+'PN-954.004'!G$9</f>
        <v>-0.29708333333333331</v>
      </c>
      <c r="L29" s="11" t="str">
        <f>+'PN-954.004'!F$11</f>
        <v>GOOD</v>
      </c>
      <c r="M29" s="15">
        <f>+'PN-954.004'!H$12</f>
        <v>12</v>
      </c>
      <c r="N29" s="11" t="s">
        <v>25</v>
      </c>
      <c r="O29" s="15">
        <v>1</v>
      </c>
      <c r="P29" s="35" t="s">
        <v>492</v>
      </c>
    </row>
    <row r="30" spans="3:22" x14ac:dyDescent="0.25">
      <c r="C30" s="39"/>
      <c r="D30" s="15"/>
      <c r="E30" s="24"/>
      <c r="F30" s="25"/>
      <c r="G30" s="46"/>
      <c r="H30" s="27"/>
      <c r="I30" s="27"/>
      <c r="J30" s="27"/>
      <c r="K30" s="26"/>
      <c r="L30" s="11"/>
      <c r="M30" s="15"/>
      <c r="O30" s="15"/>
      <c r="P30" s="11"/>
    </row>
    <row r="31" spans="3:22" ht="18" customHeight="1" x14ac:dyDescent="0.25">
      <c r="C31" s="39"/>
      <c r="D31" s="15" t="s">
        <v>462</v>
      </c>
      <c r="E31" s="24"/>
      <c r="F31" s="25"/>
      <c r="G31" s="46"/>
      <c r="H31" s="27"/>
      <c r="I31" s="27"/>
      <c r="J31" s="27"/>
      <c r="K31" s="26"/>
      <c r="L31" s="11"/>
      <c r="M31" s="15"/>
      <c r="P31" s="11"/>
    </row>
    <row r="32" spans="3:22" ht="8.25" customHeight="1" x14ac:dyDescent="0.25">
      <c r="C32" s="39"/>
      <c r="D32" s="15"/>
      <c r="E32" s="24"/>
      <c r="F32" s="25"/>
      <c r="G32" s="46"/>
      <c r="H32" s="27"/>
      <c r="I32" s="27"/>
      <c r="J32" s="27"/>
      <c r="K32" s="26"/>
      <c r="L32" s="11"/>
      <c r="M32" s="15"/>
      <c r="P32" s="11"/>
    </row>
    <row r="33" spans="3:22" x14ac:dyDescent="0.25">
      <c r="C33" s="39">
        <v>2015</v>
      </c>
      <c r="D33" s="15" t="str">
        <f>+'TP-104.006'!$F$4</f>
        <v>TP-104.006</v>
      </c>
      <c r="E33" s="24" t="str">
        <f>+'TP-104.006'!$F$5</f>
        <v>Backflow Prevention Devices</v>
      </c>
      <c r="F33" s="25">
        <f>+'TP-104.006'!$F$6</f>
        <v>42338</v>
      </c>
      <c r="G33" s="46" t="str">
        <f>+'TP-104.006'!$G$7</f>
        <v>Public</v>
      </c>
      <c r="H33" s="27">
        <f>+'TP-104.006'!$F$7</f>
        <v>1200000</v>
      </c>
      <c r="I33" s="27">
        <f>+'TP-104.006'!$F$8</f>
        <v>1222222</v>
      </c>
      <c r="J33" s="27"/>
      <c r="K33" s="26">
        <f>+'TP-104.006'!$G$9</f>
        <v>1.8518333333333335E-2</v>
      </c>
      <c r="L33" s="11" t="str">
        <f>+'TP-104.006'!$F$11</f>
        <v>GOOD</v>
      </c>
      <c r="M33" s="15">
        <f>+'TP-104.006'!$H$12</f>
        <v>6</v>
      </c>
      <c r="N33" s="35" t="s">
        <v>93</v>
      </c>
      <c r="O33" s="15">
        <v>4</v>
      </c>
      <c r="P33" s="35" t="s">
        <v>458</v>
      </c>
      <c r="Q33" s="15"/>
      <c r="R33" s="24"/>
      <c r="S33" s="15"/>
      <c r="T33" s="15"/>
      <c r="U33" s="15"/>
      <c r="V33" s="15"/>
    </row>
    <row r="34" spans="3:22" x14ac:dyDescent="0.25">
      <c r="C34" s="39">
        <v>2015</v>
      </c>
      <c r="D34" s="15" t="str">
        <f>+'MFA-924.283'!F4</f>
        <v>MFA-924.283</v>
      </c>
      <c r="E34" s="24" t="str">
        <f>+'MFA-924.283'!F5</f>
        <v>Newark Liberty International Airport and Teterboro Airport  Asphalt Concrete Pavement Repairs Via Work Order</v>
      </c>
      <c r="F34" s="25">
        <f>+'MFA-924.283'!F6</f>
        <v>42310</v>
      </c>
      <c r="G34" s="46" t="str">
        <f>+'MFA-924.283'!G7</f>
        <v>PQL</v>
      </c>
      <c r="H34" s="27">
        <f>+'MFA-924.283'!F7</f>
        <v>7055100</v>
      </c>
      <c r="I34" s="27">
        <f>+'MFA-924.283'!F8</f>
        <v>5774440</v>
      </c>
      <c r="J34" s="27"/>
      <c r="K34" s="26">
        <f>+'MFA-924.283'!G9</f>
        <v>-0.18152258649771089</v>
      </c>
      <c r="L34" s="11" t="str">
        <f>+'MFA-924.283'!F11</f>
        <v>FAIL</v>
      </c>
      <c r="M34" s="15">
        <f>+'MFA-924.283'!H12</f>
        <v>3</v>
      </c>
      <c r="N34" s="35" t="s">
        <v>25</v>
      </c>
      <c r="O34" s="15">
        <v>4</v>
      </c>
      <c r="P34" s="35" t="s">
        <v>458</v>
      </c>
      <c r="Q34" s="15"/>
      <c r="R34" s="24"/>
      <c r="S34" s="15"/>
      <c r="T34" s="15"/>
      <c r="U34" s="15"/>
      <c r="V34" s="15"/>
    </row>
    <row r="35" spans="3:22" x14ac:dyDescent="0.25">
      <c r="C35" s="39">
        <v>2015</v>
      </c>
      <c r="D35" s="15" t="str">
        <f>+'EWR-154.184'!F4</f>
        <v>EWR-154.184</v>
      </c>
      <c r="E35" s="24" t="str">
        <f>+'EWR-154.184'!F5</f>
        <v>Newark Liberty International Airport-Central Heating &amp; Refirgeration Plant Substation and Pumps Upgrade</v>
      </c>
      <c r="F35" s="25">
        <f>+'EWR-154.184'!F6</f>
        <v>42292</v>
      </c>
      <c r="G35" s="46" t="str">
        <f>+'EWR-154.184'!G7</f>
        <v>Public</v>
      </c>
      <c r="H35" s="27">
        <f>+'EWR-154.184'!F7</f>
        <v>3650000</v>
      </c>
      <c r="I35" s="27">
        <f>+'EWR-154.184'!F8</f>
        <v>3270000</v>
      </c>
      <c r="J35" s="27"/>
      <c r="K35" s="26">
        <f>+'EWR-154.184'!G9</f>
        <v>-0.10410958904109589</v>
      </c>
      <c r="L35" s="11" t="str">
        <f>+'EWR-154.184'!F11</f>
        <v>GOOD</v>
      </c>
      <c r="M35" s="15">
        <f>+'EWR-154.184'!H12</f>
        <v>6</v>
      </c>
      <c r="N35" s="35" t="s">
        <v>25</v>
      </c>
      <c r="O35" s="15">
        <v>4</v>
      </c>
      <c r="P35" s="35" t="s">
        <v>458</v>
      </c>
      <c r="Q35" s="15"/>
      <c r="R35" s="24"/>
      <c r="S35" s="15"/>
      <c r="T35" s="15"/>
      <c r="U35" s="15"/>
      <c r="V35" s="15"/>
    </row>
    <row r="36" spans="3:22" x14ac:dyDescent="0.25">
      <c r="C36" s="39">
        <v>2015</v>
      </c>
      <c r="D36" s="15" t="str">
        <f>+'LGA-124.226'!F4</f>
        <v>LGA-124.226</v>
      </c>
      <c r="E36" s="24" t="str">
        <f>+'LGA-124.226'!F5</f>
        <v>LaGuardia Airport-Hanger 7 South Build Out</v>
      </c>
      <c r="F36" s="25">
        <f>+'LGA-124.226'!F6</f>
        <v>42268</v>
      </c>
      <c r="G36" s="46" t="str">
        <f>+'LGA-124.226'!G7</f>
        <v>Public</v>
      </c>
      <c r="H36" s="27">
        <f>+'LGA-124.226'!F7</f>
        <v>7900000</v>
      </c>
      <c r="I36" s="27">
        <f>+'LGA-124.226'!F8</f>
        <v>6769800</v>
      </c>
      <c r="J36" s="27"/>
      <c r="K36" s="26">
        <f>+'LGA-124.226'!G9</f>
        <v>-0.14306329113924052</v>
      </c>
      <c r="L36" s="11" t="str">
        <f>+'LGA-124.226'!F11</f>
        <v>GOOD</v>
      </c>
      <c r="M36" s="15">
        <f>+'LGA-124.226'!H12</f>
        <v>18</v>
      </c>
      <c r="N36" s="35" t="s">
        <v>93</v>
      </c>
      <c r="O36" s="15">
        <v>3</v>
      </c>
      <c r="P36" s="35" t="s">
        <v>458</v>
      </c>
      <c r="Q36" s="15"/>
      <c r="R36" s="24"/>
      <c r="S36" s="15"/>
      <c r="T36" s="15"/>
      <c r="U36" s="15"/>
      <c r="V36" s="15"/>
    </row>
    <row r="37" spans="3:22" x14ac:dyDescent="0.25">
      <c r="C37" s="39">
        <v>2015</v>
      </c>
      <c r="D37" s="15" t="str">
        <f>+'EWR-924.320'!F4</f>
        <v>EWR-924.320</v>
      </c>
      <c r="E37" s="24" t="str">
        <f>+'EWR-924.320'!F5</f>
        <v>Newark Liberty International Airport-Terminal 'C' Level 1 Drainage Improvements</v>
      </c>
      <c r="F37" s="25">
        <f>+'EWR-924.320'!F6</f>
        <v>42256</v>
      </c>
      <c r="G37" s="46" t="str">
        <f>+'EWR-924.320'!G7</f>
        <v>M/WBE</v>
      </c>
      <c r="H37" s="27">
        <f>+'EWR-924.320'!F$7</f>
        <v>325000</v>
      </c>
      <c r="I37" s="27">
        <f>+'EWR-924.320'!F$8</f>
        <v>377777</v>
      </c>
      <c r="J37" s="27"/>
      <c r="K37" s="26">
        <f>+'EWR-924.320'!G$9</f>
        <v>0.16239076923076923</v>
      </c>
      <c r="L37" s="11" t="str">
        <f>+'EWR-924.320'!F$11</f>
        <v>FAIL</v>
      </c>
      <c r="M37" s="15">
        <f>+'EWR-924.320'!H$12</f>
        <v>6</v>
      </c>
      <c r="N37" s="35" t="s">
        <v>25</v>
      </c>
      <c r="O37" s="15">
        <v>3</v>
      </c>
      <c r="P37" s="35" t="s">
        <v>458</v>
      </c>
      <c r="Q37" s="15"/>
      <c r="R37" s="24"/>
      <c r="S37" s="15"/>
      <c r="T37" s="15"/>
      <c r="U37" s="15"/>
      <c r="V37" s="15"/>
    </row>
    <row r="38" spans="3:22" x14ac:dyDescent="0.25">
      <c r="C38" s="39">
        <v>2015</v>
      </c>
      <c r="D38" s="15" t="str">
        <f>+'LGA-124.229'!F4</f>
        <v>LGA-124.229</v>
      </c>
      <c r="E38" s="24" t="str">
        <f>+'LGA-124.229'!F5</f>
        <v>LaGuardia Airport - Watch Engineer's Office Relocation</v>
      </c>
      <c r="F38" s="25">
        <f>+'LGA-124.229'!F6</f>
        <v>42243</v>
      </c>
      <c r="G38" s="46" t="str">
        <f>+'LGA-124.229'!G7</f>
        <v>Public</v>
      </c>
      <c r="H38" s="27">
        <f>+'LGA-124.229'!F$7</f>
        <v>1650000</v>
      </c>
      <c r="I38" s="27">
        <f>+'LGA-124.229'!F$8</f>
        <v>1898000</v>
      </c>
      <c r="J38" s="27"/>
      <c r="K38" s="26">
        <f>+'LGA-124.229'!G$9</f>
        <v>0.1503030303030303</v>
      </c>
      <c r="L38" s="11" t="str">
        <f>+'LGA-124.229'!F$11</f>
        <v>FAIL</v>
      </c>
      <c r="M38" s="15">
        <f>+'LGA-124.229'!H$12</f>
        <v>4</v>
      </c>
      <c r="N38" s="35" t="s">
        <v>93</v>
      </c>
      <c r="O38" s="15">
        <v>3</v>
      </c>
      <c r="P38" s="35" t="s">
        <v>458</v>
      </c>
      <c r="Q38" s="15"/>
      <c r="R38" s="24"/>
      <c r="S38" s="15"/>
      <c r="T38" s="15"/>
      <c r="U38" s="15"/>
      <c r="V38" s="15"/>
    </row>
    <row r="39" spans="3:22" x14ac:dyDescent="0.25">
      <c r="C39" s="39">
        <v>2015</v>
      </c>
      <c r="D39" s="15" t="str">
        <f>+'EWR-924.175A'!F4</f>
        <v>EWR-924.175A</v>
      </c>
      <c r="E39" s="24" t="str">
        <f>+'EWR-924.175A'!F5</f>
        <v>Newark Liberty International Airport-Building No. 105 Roof Replacement</v>
      </c>
      <c r="F39" s="25">
        <f>+'EWR-924.175A'!F6</f>
        <v>42234</v>
      </c>
      <c r="G39" s="46" t="str">
        <f>+'EWR-924.175A'!G7</f>
        <v>M/WBE</v>
      </c>
      <c r="H39" s="27">
        <f>+'EWR-924.175A'!F$7</f>
        <v>354000</v>
      </c>
      <c r="I39" s="27">
        <f>+'EWR-924.175A'!F$8</f>
        <v>396811</v>
      </c>
      <c r="J39" s="27"/>
      <c r="K39" s="26">
        <f>+'EWR-924.175A'!G$9</f>
        <v>0.12093502824858757</v>
      </c>
      <c r="L39" s="11" t="str">
        <f>+'EWR-924.175A'!F$11</f>
        <v>FAIL</v>
      </c>
      <c r="M39" s="15">
        <f>+'EWR-924.175A'!H$12</f>
        <v>3</v>
      </c>
      <c r="N39" s="35" t="s">
        <v>25</v>
      </c>
      <c r="O39" s="15">
        <v>3</v>
      </c>
      <c r="P39" s="35" t="s">
        <v>458</v>
      </c>
      <c r="Q39" s="15"/>
      <c r="R39" s="24"/>
      <c r="S39" s="15"/>
      <c r="T39" s="15"/>
      <c r="U39" s="15"/>
      <c r="V39" s="15"/>
    </row>
    <row r="40" spans="3:22" x14ac:dyDescent="0.25">
      <c r="C40" s="39">
        <v>2015</v>
      </c>
      <c r="D40" s="15" t="str">
        <f>+'EWR-154.239'!F4</f>
        <v>EWR-154.239</v>
      </c>
      <c r="E40" s="24" t="str">
        <f>+'EWR-154.239'!F5</f>
        <v>Newark Liberty International Airport- Rehabilitation of Expansion Joints of Bridges N3, N9, N13, N17, N19 and N29, and Structural Elements</v>
      </c>
      <c r="F40" s="25">
        <f>+'EWR-154.239'!F6</f>
        <v>42213</v>
      </c>
      <c r="G40" s="46" t="str">
        <f>+'EWR-154.239'!G7</f>
        <v>Public</v>
      </c>
      <c r="H40" s="27">
        <f>+'EWR-154.239'!F$7</f>
        <v>1918000</v>
      </c>
      <c r="I40" s="27">
        <f>+'EWR-154.239'!F$8</f>
        <v>1389000</v>
      </c>
      <c r="J40" s="27"/>
      <c r="K40" s="26">
        <f>+'EWR-154.239'!G$9</f>
        <v>-0.27580813347236705</v>
      </c>
      <c r="L40" s="11" t="str">
        <f>+'EWR-154.239'!F$11</f>
        <v>GOOD</v>
      </c>
      <c r="M40" s="15">
        <f>+'EWR-154.239'!H$12</f>
        <v>12</v>
      </c>
      <c r="N40" s="35" t="s">
        <v>25</v>
      </c>
      <c r="O40" s="15">
        <v>3</v>
      </c>
      <c r="P40" s="35" t="s">
        <v>458</v>
      </c>
      <c r="Q40" s="15"/>
      <c r="R40" s="24"/>
      <c r="S40" s="15"/>
      <c r="T40" s="15"/>
      <c r="U40" s="15"/>
      <c r="V40" s="15"/>
    </row>
    <row r="41" spans="3:22" x14ac:dyDescent="0.25">
      <c r="C41" s="39">
        <v>2015</v>
      </c>
      <c r="D41" s="15" t="str">
        <f>+'JFK-914.209'!F4</f>
        <v>JFK-914.209</v>
      </c>
      <c r="E41" s="24" t="str">
        <f>+'JFK-914.209'!F5</f>
        <v>John F. Kennedy International Airport-Former Hangar 12 Site-West Area Lighting</v>
      </c>
      <c r="F41" s="25">
        <f>+'JFK-914.209'!F6</f>
        <v>42145</v>
      </c>
      <c r="G41" s="46" t="str">
        <f>+'JFK-914.209'!G7</f>
        <v>MBE</v>
      </c>
      <c r="H41" s="27">
        <f>+'JFK-914.209'!F$7</f>
        <v>1550000</v>
      </c>
      <c r="I41" s="27">
        <f>+'JFK-914.209'!F$8</f>
        <v>2333333.33</v>
      </c>
      <c r="J41" s="27"/>
      <c r="K41" s="26">
        <f>+'JFK-914.209'!G$9</f>
        <v>0.50537634193548386</v>
      </c>
      <c r="L41" s="11" t="str">
        <f>+'JFK-914.209'!F$11</f>
        <v>FAIL</v>
      </c>
      <c r="M41" s="15">
        <f>+'JFK-914.209'!H$12</f>
        <v>2</v>
      </c>
      <c r="N41" s="11" t="s">
        <v>93</v>
      </c>
      <c r="O41" s="15">
        <v>2</v>
      </c>
      <c r="P41" s="35" t="s">
        <v>458</v>
      </c>
    </row>
    <row r="42" spans="3:22" x14ac:dyDescent="0.25">
      <c r="C42" s="39">
        <v>2015</v>
      </c>
      <c r="D42" s="15" t="str">
        <f>+'SWF-164.031A'!F4</f>
        <v>SWF-164.031A</v>
      </c>
      <c r="E42" s="24" t="str">
        <f>+'SWF-164.031A'!F5</f>
        <v>Stewart International-Passenger Loading Bridges Pressurization Fans</v>
      </c>
      <c r="F42" s="25">
        <f>+'SWF-164.031A'!F6</f>
        <v>42143</v>
      </c>
      <c r="G42" s="46" t="str">
        <f>+'SWF-164.031A'!G7</f>
        <v>Public</v>
      </c>
      <c r="H42" s="27">
        <f>+'SWF-164.031A'!F$7</f>
        <v>1263000</v>
      </c>
      <c r="I42" s="27">
        <f>+'SWF-164.031A'!F$8</f>
        <v>930000</v>
      </c>
      <c r="J42" s="27"/>
      <c r="K42" s="26">
        <f>+'SWF-164.031A'!G$9</f>
        <v>-0.26365795724465557</v>
      </c>
      <c r="L42" s="11" t="str">
        <f>+'SWF-164.031A'!F$11</f>
        <v>FAIL</v>
      </c>
      <c r="M42" s="15">
        <f>+'SWF-164.031A'!H$12</f>
        <v>1</v>
      </c>
      <c r="N42" s="11" t="s">
        <v>93</v>
      </c>
      <c r="O42" s="15">
        <v>2</v>
      </c>
      <c r="P42" s="35" t="s">
        <v>458</v>
      </c>
    </row>
    <row r="43" spans="3:22" x14ac:dyDescent="0.25">
      <c r="C43" s="39">
        <v>2015</v>
      </c>
      <c r="D43" s="15" t="str">
        <f>+'TEB-914.203'!F4</f>
        <v>TEB-914.203</v>
      </c>
      <c r="E43" s="24" t="str">
        <f>+'TEB-914.203'!F5</f>
        <v>Teterboro Airport-Installation of Fencing to Mitigate Wildlife Hazards</v>
      </c>
      <c r="F43" s="25">
        <f>+'TEB-914.203'!F6</f>
        <v>42115</v>
      </c>
      <c r="G43" s="46" t="str">
        <f>+'TEB-914.203'!G7</f>
        <v>Public</v>
      </c>
      <c r="H43" s="27">
        <f>+'TEB-914.203'!F$7</f>
        <v>735000</v>
      </c>
      <c r="I43" s="27">
        <f>+'TEB-914.203'!F$8</f>
        <v>512568</v>
      </c>
      <c r="J43" s="27"/>
      <c r="K43" s="26">
        <f>+'TEB-914.203'!G$9</f>
        <v>-0.30262857142857141</v>
      </c>
      <c r="L43" s="11" t="str">
        <f>+'TEB-914.203'!F$11</f>
        <v>GOOD</v>
      </c>
      <c r="M43" s="15">
        <f>+'TEB-914.203'!H$12</f>
        <v>9</v>
      </c>
      <c r="N43" s="11" t="s">
        <v>25</v>
      </c>
      <c r="O43" s="15">
        <v>2</v>
      </c>
      <c r="P43" s="35" t="s">
        <v>458</v>
      </c>
    </row>
    <row r="44" spans="3:22" x14ac:dyDescent="0.25">
      <c r="C44" s="39">
        <v>2015</v>
      </c>
      <c r="D44" s="15" t="str">
        <f>+'LGA-774.234'!F4</f>
        <v>LGA-774.234</v>
      </c>
      <c r="E44" s="24" t="str">
        <f>+'LGA-774.234'!F5</f>
        <v>Laguardia Airport-Flood Protection at the West Field Lighting Vault</v>
      </c>
      <c r="F44" s="25">
        <f>+'LGA-774.234'!F6</f>
        <v>42104</v>
      </c>
      <c r="G44" s="46" t="str">
        <f>+'LGA-774.234'!G7</f>
        <v>Public</v>
      </c>
      <c r="H44" s="27">
        <f>+'LGA-774.234'!F$7</f>
        <v>3760000</v>
      </c>
      <c r="I44" s="27">
        <f>+'LGA-774.234'!F$8</f>
        <v>2999293</v>
      </c>
      <c r="J44" s="27"/>
      <c r="K44" s="26">
        <f>+'LGA-774.234'!G$9</f>
        <v>-0.20231569148936171</v>
      </c>
      <c r="L44" s="11" t="str">
        <f>+'LGA-774.234'!F$11</f>
        <v>GOOD</v>
      </c>
      <c r="M44" s="15">
        <f>+'LGA-774.234'!H$12</f>
        <v>10</v>
      </c>
      <c r="N44" s="11" t="s">
        <v>93</v>
      </c>
      <c r="O44" s="15">
        <v>2</v>
      </c>
      <c r="P44" s="35" t="s">
        <v>458</v>
      </c>
    </row>
    <row r="45" spans="3:22" x14ac:dyDescent="0.25">
      <c r="C45" s="39">
        <v>2015</v>
      </c>
      <c r="D45" s="15" t="str">
        <f>+'LGA-774.236'!F4</f>
        <v>LGA-774.236</v>
      </c>
      <c r="E45" s="24" t="str">
        <f>+'LGA-774.236'!F5</f>
        <v>Laguardia airport-Flood Protection at the West End Substation</v>
      </c>
      <c r="F45" s="25">
        <f>+'LGA-774.236'!F6</f>
        <v>42104</v>
      </c>
      <c r="G45" s="46" t="str">
        <f>+'LGA-774.236'!G7</f>
        <v>Public</v>
      </c>
      <c r="H45" s="27">
        <f>+'LGA-774.236'!F$7</f>
        <v>1770000</v>
      </c>
      <c r="I45" s="27">
        <f>+'LGA-774.236'!F$8</f>
        <v>1397380</v>
      </c>
      <c r="J45" s="27"/>
      <c r="K45" s="26">
        <f>+'LGA-774.236'!G$9</f>
        <v>-0.21051977401129943</v>
      </c>
      <c r="L45" s="11" t="str">
        <f>+'LGA-774.236'!F$11</f>
        <v>GOOD</v>
      </c>
      <c r="M45" s="15">
        <f>+'LGA-774.236'!H$12</f>
        <v>10</v>
      </c>
      <c r="N45" s="11" t="s">
        <v>93</v>
      </c>
      <c r="O45" s="15">
        <v>2</v>
      </c>
      <c r="P45" s="35" t="s">
        <v>458</v>
      </c>
    </row>
    <row r="46" spans="3:22" x14ac:dyDescent="0.25">
      <c r="C46" s="39">
        <v>2015</v>
      </c>
      <c r="D46" s="15" t="str">
        <f>+'JFK-1050'!F4</f>
        <v>JFK-1050</v>
      </c>
      <c r="E46" s="24" t="str">
        <f>+'JFK-1050'!F5</f>
        <v>John F. Kennedy International Airport-Replacement of Fire Alarm System at the Airport Traffic Control Tower</v>
      </c>
      <c r="F46" s="25">
        <f>+'JFK-1050'!F6</f>
        <v>42103</v>
      </c>
      <c r="G46" s="46" t="str">
        <f>+'JFK-1050'!G7</f>
        <v>Public</v>
      </c>
      <c r="H46" s="27">
        <f>+'JFK-1050'!F$7</f>
        <v>1850000</v>
      </c>
      <c r="I46" s="27">
        <f>+'JFK-1050'!F$8</f>
        <v>2137550</v>
      </c>
      <c r="J46" s="27"/>
      <c r="K46" s="26">
        <f>+'JFK-1050'!G$9</f>
        <v>0.15543243243243243</v>
      </c>
      <c r="L46" s="11" t="str">
        <f>+'JFK-1050'!F$11</f>
        <v>FAIL</v>
      </c>
      <c r="M46" s="15">
        <f>+'JFK-1050'!H$12</f>
        <v>8</v>
      </c>
      <c r="N46" s="11" t="s">
        <v>93</v>
      </c>
      <c r="O46" s="15">
        <v>2</v>
      </c>
      <c r="P46" s="35" t="s">
        <v>458</v>
      </c>
    </row>
    <row r="47" spans="3:22" x14ac:dyDescent="0.25">
      <c r="C47" s="39">
        <v>2015</v>
      </c>
      <c r="D47" s="15" t="str">
        <f>+'LGA-774.133'!F4</f>
        <v>LGA-774.133</v>
      </c>
      <c r="E47" s="24" t="str">
        <f>+'LGA-774.133'!F5</f>
        <v>LaGuardia Airport-Emergency Storm Drainage</v>
      </c>
      <c r="F47" s="25">
        <f>+'LGA-774.133'!F6</f>
        <v>42102</v>
      </c>
      <c r="G47" s="46" t="str">
        <f>+'LGA-774.133'!G7</f>
        <v>Public</v>
      </c>
      <c r="H47" s="27">
        <f>+'LGA-774.133'!F$7</f>
        <v>4900000</v>
      </c>
      <c r="I47" s="27">
        <f>+'LGA-774.133'!F$8</f>
        <v>3388390</v>
      </c>
      <c r="J47" s="27"/>
      <c r="K47" s="26">
        <f>+'LGA-774.133'!G$9</f>
        <v>-0.30849183673469388</v>
      </c>
      <c r="L47" s="11" t="str">
        <f>+'LGA-774.133'!F$11</f>
        <v>FAIL</v>
      </c>
      <c r="M47" s="15">
        <f>+'LGA-774.133'!H$12</f>
        <v>9</v>
      </c>
      <c r="N47" s="11" t="s">
        <v>93</v>
      </c>
      <c r="O47" s="15">
        <v>2</v>
      </c>
      <c r="P47" s="35" t="s">
        <v>458</v>
      </c>
    </row>
    <row r="48" spans="3:22" x14ac:dyDescent="0.25">
      <c r="C48" s="39">
        <v>2015</v>
      </c>
      <c r="D48" s="15" t="str">
        <f>+'JFK-134.025'!F4</f>
        <v>JFK-134.025</v>
      </c>
      <c r="E48" s="24" t="str">
        <f>+'JFK-134.025'!F5</f>
        <v>John F. Kennedy International Airport-Unmanned AOA Gates and Perimeter Fence Enhancement-Phase II</v>
      </c>
      <c r="F48" s="25">
        <f>+'JFK-134.025'!F6</f>
        <v>42060</v>
      </c>
      <c r="G48" s="46" t="str">
        <f>+'JFK-134.025'!G7</f>
        <v>M/WBE</v>
      </c>
      <c r="H48" s="27">
        <f>+'JFK-134.025'!F$7</f>
        <v>640000</v>
      </c>
      <c r="I48" s="27">
        <f>+'JFK-134.025'!F$8</f>
        <v>574000</v>
      </c>
      <c r="J48" s="27"/>
      <c r="K48" s="26">
        <f>+'JFK-134.025'!G$9</f>
        <v>-0.10312499999999999</v>
      </c>
      <c r="L48" s="11" t="str">
        <f>+'JFK-134.025'!F$11</f>
        <v>GOOD</v>
      </c>
      <c r="M48" s="15">
        <f>+'JFK-134.025'!H$12</f>
        <v>4</v>
      </c>
      <c r="N48" s="11" t="s">
        <v>93</v>
      </c>
      <c r="O48" s="15">
        <v>1</v>
      </c>
      <c r="P48" s="35" t="s">
        <v>458</v>
      </c>
    </row>
    <row r="49" spans="3:22" x14ac:dyDescent="0.25">
      <c r="C49" s="39">
        <v>2015</v>
      </c>
      <c r="D49" s="15" t="str">
        <f>+'LGA-124.231'!F4</f>
        <v>LGA-124.231</v>
      </c>
      <c r="E49" s="24" t="str">
        <f>+'LGA-124.231'!F5</f>
        <v>Laguardia Airport-Rehabilitation of Taxiways West of Runway 4-22</v>
      </c>
      <c r="F49" s="25">
        <f>+'LGA-124.231'!F6</f>
        <v>42057</v>
      </c>
      <c r="G49" s="46" t="str">
        <f>+'LGA-124.231'!G7</f>
        <v>PQL</v>
      </c>
      <c r="H49" s="27">
        <f>+'LGA-124.231'!F$7</f>
        <v>9700000</v>
      </c>
      <c r="I49" s="27">
        <f>+'LGA-124.231'!F$8</f>
        <v>8742268</v>
      </c>
      <c r="J49" s="27"/>
      <c r="K49" s="26">
        <f>+'LGA-124.231'!G$9</f>
        <v>-9.8735257731958764E-2</v>
      </c>
      <c r="L49" s="11" t="str">
        <f>+'LGA-124.231'!F$11</f>
        <v>GOOD</v>
      </c>
      <c r="M49" s="15">
        <f>+'LGA-124.231'!H$12</f>
        <v>3</v>
      </c>
      <c r="N49" s="11" t="s">
        <v>93</v>
      </c>
      <c r="O49" s="15">
        <v>1</v>
      </c>
      <c r="P49" s="35" t="s">
        <v>458</v>
      </c>
    </row>
    <row r="50" spans="3:22" x14ac:dyDescent="0.25">
      <c r="C50" s="39">
        <v>2015</v>
      </c>
      <c r="D50" s="15" t="str">
        <f>+'LGA-124.166'!F4</f>
        <v>LGA-124.166</v>
      </c>
      <c r="E50" s="24" t="str">
        <f>+'LGA-124.166'!F5</f>
        <v>Laguardia Airport-Rehabilitation of Runway 13-31 and Associated Taxiways</v>
      </c>
      <c r="F50" s="25">
        <f>+'LGA-124.166'!F6</f>
        <v>42038</v>
      </c>
      <c r="G50" s="46" t="str">
        <f>+'LGA-124.166'!G7</f>
        <v>PQL</v>
      </c>
      <c r="H50" s="27">
        <f>+'LGA-124.166'!F$7</f>
        <v>25770000</v>
      </c>
      <c r="I50" s="27">
        <f>+'LGA-124.166'!F$8</f>
        <v>28747550</v>
      </c>
      <c r="J50" s="27"/>
      <c r="K50" s="26">
        <f>+'LGA-124.166'!G$9</f>
        <v>0.11554326736515327</v>
      </c>
      <c r="L50" s="11" t="str">
        <f>+'LGA-124.166'!F$11</f>
        <v>FAIL</v>
      </c>
      <c r="M50" s="15">
        <f>+'LGA-124.166'!H$12</f>
        <v>3</v>
      </c>
      <c r="N50" s="11" t="s">
        <v>93</v>
      </c>
      <c r="O50" s="15">
        <v>1</v>
      </c>
      <c r="P50" s="35" t="s">
        <v>458</v>
      </c>
    </row>
    <row r="51" spans="3:22" x14ac:dyDescent="0.25">
      <c r="C51" s="39"/>
      <c r="D51" s="15"/>
      <c r="E51" s="24"/>
      <c r="F51" s="25"/>
      <c r="G51" s="46"/>
      <c r="H51" s="27"/>
      <c r="I51" s="27"/>
      <c r="J51" s="27"/>
      <c r="K51" s="26"/>
      <c r="L51" s="11"/>
      <c r="M51" s="15"/>
      <c r="P51" s="11"/>
    </row>
    <row r="52" spans="3:22" x14ac:dyDescent="0.25">
      <c r="C52" s="39"/>
      <c r="D52" s="15"/>
      <c r="E52" s="24"/>
      <c r="F52" s="25"/>
      <c r="G52" s="46"/>
      <c r="H52" s="27"/>
      <c r="I52" s="27"/>
      <c r="J52" s="27"/>
      <c r="K52" s="26"/>
      <c r="L52" s="11"/>
      <c r="M52" s="15"/>
      <c r="P52" s="11"/>
    </row>
    <row r="53" spans="3:22" x14ac:dyDescent="0.25">
      <c r="C53" s="39"/>
      <c r="D53" s="15"/>
      <c r="E53" s="24"/>
      <c r="F53" s="25"/>
      <c r="G53" s="46"/>
      <c r="H53" s="27"/>
      <c r="I53" s="27"/>
      <c r="J53" s="27"/>
      <c r="K53" s="26"/>
      <c r="L53" s="11"/>
      <c r="M53" s="15"/>
      <c r="P53" s="11"/>
    </row>
    <row r="54" spans="3:22" ht="18" customHeight="1" x14ac:dyDescent="0.25">
      <c r="C54" s="39"/>
      <c r="D54" s="15" t="s">
        <v>463</v>
      </c>
      <c r="E54" s="24"/>
      <c r="F54" s="25"/>
      <c r="G54" s="46"/>
      <c r="H54" s="27"/>
      <c r="I54" s="27"/>
      <c r="J54" s="27"/>
      <c r="K54" s="26"/>
      <c r="L54" s="11"/>
      <c r="M54" s="15"/>
      <c r="P54" s="11"/>
    </row>
    <row r="55" spans="3:22" ht="8.25" customHeight="1" x14ac:dyDescent="0.25">
      <c r="C55" s="39"/>
      <c r="D55" s="15"/>
      <c r="E55" s="24"/>
      <c r="F55" s="25"/>
      <c r="G55" s="46"/>
      <c r="H55" s="27"/>
      <c r="I55" s="27"/>
      <c r="J55" s="27"/>
      <c r="K55" s="26"/>
      <c r="L55" s="11"/>
      <c r="M55" s="15"/>
      <c r="P55" s="11"/>
    </row>
    <row r="56" spans="3:22" x14ac:dyDescent="0.25">
      <c r="C56" s="39">
        <v>2015</v>
      </c>
      <c r="D56" s="15" t="str">
        <f>+' PAT-024.069 Void'!F4</f>
        <v>PAT-024.069</v>
      </c>
      <c r="E56" s="24" t="str">
        <f>+' PAT-024.069 Void'!F5</f>
        <v>PATH-30th Street Mezzanine Rehabilitation</v>
      </c>
      <c r="F56" s="25">
        <f>+' PAT-024.069 Void'!F6</f>
        <v>42304</v>
      </c>
      <c r="G56" s="46" t="str">
        <f>+' PAT-024.069 Void'!G7</f>
        <v>Public</v>
      </c>
      <c r="H56" s="27">
        <f>+' PAT-024.069 Void'!F7</f>
        <v>2420000</v>
      </c>
      <c r="I56" s="27">
        <f>+' PAT-024.069 Void'!F8</f>
        <v>4137000</v>
      </c>
      <c r="J56" s="27"/>
      <c r="K56" s="26">
        <f>+' PAT-024.069 Void'!G9</f>
        <v>0.70950413223140496</v>
      </c>
      <c r="L56" s="11" t="str">
        <f>+' PAT-024.069 Void'!F11</f>
        <v>FAIL</v>
      </c>
      <c r="M56" s="15">
        <f>+' PAT-024.069 Void'!H12</f>
        <v>2</v>
      </c>
      <c r="N56" s="35" t="s">
        <v>93</v>
      </c>
      <c r="O56" s="15">
        <v>4</v>
      </c>
      <c r="P56" s="35" t="s">
        <v>459</v>
      </c>
      <c r="Q56" s="15"/>
      <c r="R56" s="11"/>
      <c r="S56" s="15"/>
      <c r="T56" s="15"/>
      <c r="U56" s="15"/>
      <c r="V56" s="15"/>
    </row>
    <row r="57" spans="3:22" x14ac:dyDescent="0.25">
      <c r="C57" s="39">
        <v>2015</v>
      </c>
      <c r="D57" s="15" t="str">
        <f>+'PAT-131.000'!F4</f>
        <v>PAT-131.000</v>
      </c>
      <c r="E57" s="24" t="str">
        <f>+'PAT-131.000'!F5</f>
        <v>Path-Hackensack River Bridge Emergency Generator Fuel Tank</v>
      </c>
      <c r="F57" s="25">
        <f>+'PAT-131.000'!F6</f>
        <v>42144</v>
      </c>
      <c r="G57" s="46" t="str">
        <f>+'PAT-131.000'!G7</f>
        <v>Public</v>
      </c>
      <c r="H57" s="27">
        <f>+'PAT-131.000'!F$7</f>
        <v>3340000</v>
      </c>
      <c r="I57" s="27">
        <f>+'PAT-131.000'!F$8</f>
        <v>4538160</v>
      </c>
      <c r="J57" s="27"/>
      <c r="K57" s="26">
        <f>+'PAT-131.000'!G$9</f>
        <v>0.35873053892215567</v>
      </c>
      <c r="L57" s="11" t="str">
        <f>+'PAT-131.000'!F$11</f>
        <v>FAIL</v>
      </c>
      <c r="M57" s="15">
        <f>+'PAT-131.000'!H$12</f>
        <v>3</v>
      </c>
      <c r="N57" s="11" t="s">
        <v>25</v>
      </c>
      <c r="O57" s="15">
        <v>2</v>
      </c>
      <c r="P57" s="35" t="s">
        <v>459</v>
      </c>
    </row>
    <row r="58" spans="3:22" x14ac:dyDescent="0.25">
      <c r="C58" s="39">
        <v>2015</v>
      </c>
      <c r="D58" s="15" t="str">
        <f>+'PAT-643'!F4</f>
        <v>PAT-643-Work Order No. 2</v>
      </c>
      <c r="E58" s="24" t="str">
        <f>+'PAT-643'!F5</f>
        <v>Path-Tunnels E&amp;F Temporary Event detection Systems (TEDS)</v>
      </c>
      <c r="F58" s="25">
        <f>+'PAT-643'!F6</f>
        <v>42108</v>
      </c>
      <c r="G58" s="46" t="str">
        <f>+'PAT-643'!G7</f>
        <v>PQL</v>
      </c>
      <c r="H58" s="27">
        <f>+'PAT-643'!F$7</f>
        <v>521000</v>
      </c>
      <c r="I58" s="27">
        <f>+'PAT-643'!F$8</f>
        <v>1840000</v>
      </c>
      <c r="J58" s="27"/>
      <c r="K58" s="26">
        <f>+'PAT-643'!G$9</f>
        <v>2.5316698656429941</v>
      </c>
      <c r="L58" s="11" t="str">
        <f>+'PAT-643'!F$11</f>
        <v>FAIL</v>
      </c>
      <c r="M58" s="15">
        <f>+'PAT-643'!H$12</f>
        <v>3</v>
      </c>
      <c r="N58" s="35" t="s">
        <v>226</v>
      </c>
      <c r="O58" s="15">
        <v>2</v>
      </c>
      <c r="P58" s="35" t="s">
        <v>459</v>
      </c>
    </row>
    <row r="59" spans="3:22" x14ac:dyDescent="0.25">
      <c r="C59" s="39">
        <v>2015</v>
      </c>
      <c r="D59" s="15" t="str">
        <f>+'PAT-084.057'!F4</f>
        <v>PAT-084.057</v>
      </c>
      <c r="E59" s="24" t="str">
        <f>+'PAT-084.057'!F5</f>
        <v>PATH-Access Control and CCTV at Substation and Communications Rooms</v>
      </c>
      <c r="F59" s="25">
        <f>+'PAT-084.057'!F6</f>
        <v>42080</v>
      </c>
      <c r="G59" s="46" t="str">
        <f>+'PAT-084.057'!G7</f>
        <v>PQL</v>
      </c>
      <c r="H59" s="27">
        <f>+'PAT-084.057'!F$7</f>
        <v>4450000</v>
      </c>
      <c r="I59" s="27">
        <f>+'PAT-084.057'!F$8</f>
        <v>3620000</v>
      </c>
      <c r="J59" s="27"/>
      <c r="K59" s="26">
        <f>+'PAT-084.057'!G$9</f>
        <v>-0.18651685393258427</v>
      </c>
      <c r="L59" s="11" t="str">
        <f>+'PAT-084.057'!F$11</f>
        <v>GOOD</v>
      </c>
      <c r="M59" s="15">
        <f>+'PAT-084.057'!H$12</f>
        <v>3</v>
      </c>
      <c r="O59" s="15">
        <v>1</v>
      </c>
      <c r="P59" s="35" t="s">
        <v>459</v>
      </c>
    </row>
    <row r="60" spans="3:22" x14ac:dyDescent="0.25">
      <c r="C60" s="39"/>
      <c r="G60" s="46"/>
      <c r="H60" s="27"/>
      <c r="P60" s="11"/>
    </row>
    <row r="61" spans="3:22" x14ac:dyDescent="0.25">
      <c r="C61" s="39"/>
      <c r="G61" s="45"/>
      <c r="H61" s="4">
        <f>SUM(H7:H60)</f>
        <v>181641100</v>
      </c>
      <c r="I61" s="4">
        <f>SUM(I7:I60)</f>
        <v>178011780.82999998</v>
      </c>
      <c r="K61" s="7">
        <f>+I61/H61</f>
        <v>0.98001928434698971</v>
      </c>
      <c r="P61" s="11"/>
    </row>
    <row r="62" spans="3:22" x14ac:dyDescent="0.25">
      <c r="C62" s="39"/>
      <c r="G62" s="45"/>
      <c r="P62" s="11"/>
    </row>
    <row r="63" spans="3:22" x14ac:dyDescent="0.25">
      <c r="C63" s="39"/>
      <c r="G63" s="45"/>
      <c r="P63" s="11"/>
    </row>
    <row r="64" spans="3:22" x14ac:dyDescent="0.25">
      <c r="C64" s="39"/>
      <c r="G64" s="45"/>
      <c r="P64" s="11"/>
    </row>
    <row r="65" spans="3:22" x14ac:dyDescent="0.25">
      <c r="C65" s="39"/>
      <c r="G65" s="45"/>
      <c r="P65" s="11"/>
    </row>
    <row r="66" spans="3:22" x14ac:dyDescent="0.25">
      <c r="C66" s="39"/>
      <c r="G66" s="45"/>
      <c r="P66" s="11"/>
    </row>
    <row r="67" spans="3:22" x14ac:dyDescent="0.25">
      <c r="C67" s="39"/>
      <c r="G67" s="45"/>
      <c r="P67" s="11"/>
    </row>
    <row r="68" spans="3:22" ht="18" customHeight="1" x14ac:dyDescent="0.25">
      <c r="C68" s="39"/>
      <c r="D68" s="15" t="s">
        <v>466</v>
      </c>
      <c r="E68" s="24"/>
      <c r="F68" s="25"/>
      <c r="G68" s="46"/>
      <c r="H68" s="27"/>
      <c r="I68" s="27"/>
      <c r="J68" s="27"/>
      <c r="K68" s="26"/>
      <c r="L68" s="11"/>
      <c r="M68" s="15"/>
      <c r="P68" s="11"/>
    </row>
    <row r="69" spans="3:22" ht="8.25" customHeight="1" x14ac:dyDescent="0.25">
      <c r="C69" s="39"/>
      <c r="D69" s="15"/>
      <c r="E69" s="24"/>
      <c r="F69" s="25"/>
      <c r="G69" s="46"/>
      <c r="H69" s="27"/>
      <c r="I69" s="27"/>
      <c r="J69" s="27"/>
      <c r="K69" s="26"/>
      <c r="L69" s="11"/>
      <c r="M69" s="15"/>
      <c r="P69" s="11"/>
    </row>
    <row r="70" spans="3:22" x14ac:dyDescent="0.25">
      <c r="C70" s="39">
        <v>2015</v>
      </c>
      <c r="D70" s="15" t="str">
        <f>+'EP-684.509 Void'!$F$4</f>
        <v>EP-684.509</v>
      </c>
      <c r="E70" s="24" t="str">
        <f>+'EP-684.509 Void'!$F$5</f>
        <v>Bldg 1400 Upgrade of Fire Supression System</v>
      </c>
      <c r="F70" s="25">
        <f>+'EP-684.509 Void'!$F$6</f>
        <v>42355</v>
      </c>
      <c r="G70" s="46" t="str">
        <f>+'EP-684.509 Void'!$G$7</f>
        <v>M/WBE</v>
      </c>
      <c r="H70" s="27">
        <f>+'EP-684.509 Void'!$F$7</f>
        <v>640000</v>
      </c>
      <c r="I70" s="27">
        <f>+'EP-684.509 Void'!$F$8</f>
        <v>898000</v>
      </c>
      <c r="J70" s="27"/>
      <c r="K70" s="26">
        <f>+'EP-684.509 Void'!$G$9</f>
        <v>0.40312500000000001</v>
      </c>
      <c r="L70" s="11" t="str">
        <f>+'EP-684.509 Void'!$F$11</f>
        <v>FAIL</v>
      </c>
      <c r="M70" s="15">
        <f>+'EP-684.509 Void'!$H$12</f>
        <v>3</v>
      </c>
      <c r="N70" s="35" t="s">
        <v>25</v>
      </c>
      <c r="O70" s="15">
        <v>4</v>
      </c>
      <c r="P70" s="35" t="s">
        <v>457</v>
      </c>
      <c r="Q70" s="15"/>
      <c r="R70" s="24"/>
      <c r="S70" s="15"/>
      <c r="T70" s="15"/>
      <c r="U70" s="15"/>
      <c r="V70" s="15"/>
    </row>
    <row r="71" spans="3:22" x14ac:dyDescent="0.25">
      <c r="C71" s="39">
        <v>2015</v>
      </c>
      <c r="D71" s="15" t="s">
        <v>102</v>
      </c>
      <c r="E71" s="24" t="s">
        <v>228</v>
      </c>
      <c r="F71" s="25">
        <v>42297</v>
      </c>
      <c r="G71" s="46" t="s">
        <v>187</v>
      </c>
      <c r="H71" s="27">
        <v>900000</v>
      </c>
      <c r="I71" s="27">
        <v>2997984.5</v>
      </c>
      <c r="J71" s="27"/>
      <c r="K71" s="26">
        <v>2.3310938888888888</v>
      </c>
      <c r="L71" s="11" t="s">
        <v>465</v>
      </c>
      <c r="M71" s="15">
        <v>2</v>
      </c>
      <c r="N71" s="35" t="s">
        <v>25</v>
      </c>
      <c r="O71" s="15">
        <v>4</v>
      </c>
      <c r="P71" s="35" t="s">
        <v>457</v>
      </c>
      <c r="Q71" s="15"/>
      <c r="R71" s="24" t="s">
        <v>227</v>
      </c>
      <c r="S71" s="15"/>
      <c r="T71" s="15"/>
      <c r="U71" s="15"/>
      <c r="V71" s="15"/>
    </row>
    <row r="72" spans="3:22" x14ac:dyDescent="0.25">
      <c r="C72" s="39">
        <v>2015</v>
      </c>
      <c r="D72" s="15" t="s">
        <v>418</v>
      </c>
      <c r="E72" s="24" t="s">
        <v>419</v>
      </c>
      <c r="F72" s="25">
        <v>42142</v>
      </c>
      <c r="G72" s="46" t="s">
        <v>299</v>
      </c>
      <c r="H72" s="27">
        <v>830000</v>
      </c>
      <c r="I72" s="27">
        <v>1650000</v>
      </c>
      <c r="J72" s="27"/>
      <c r="K72" s="26">
        <v>0.98795180722891562</v>
      </c>
      <c r="L72" s="11" t="s">
        <v>465</v>
      </c>
      <c r="M72" s="15">
        <v>1</v>
      </c>
      <c r="N72" s="35" t="s">
        <v>226</v>
      </c>
      <c r="O72" s="15">
        <v>2</v>
      </c>
      <c r="P72" s="35" t="s">
        <v>457</v>
      </c>
      <c r="Q72" s="15"/>
      <c r="R72" s="24"/>
      <c r="S72" s="15"/>
      <c r="T72" s="15"/>
      <c r="U72" s="15"/>
      <c r="V72" s="15"/>
    </row>
    <row r="73" spans="3:22" x14ac:dyDescent="0.25">
      <c r="C73" s="39">
        <v>2015</v>
      </c>
      <c r="D73" s="15" t="s">
        <v>372</v>
      </c>
      <c r="E73" s="24" t="s">
        <v>373</v>
      </c>
      <c r="F73" s="25">
        <v>42102</v>
      </c>
      <c r="G73" s="46" t="s">
        <v>374</v>
      </c>
      <c r="H73" s="27">
        <v>1300000</v>
      </c>
      <c r="I73" s="27">
        <v>878175</v>
      </c>
      <c r="J73" s="27"/>
      <c r="K73" s="26">
        <v>-0.32448076923076924</v>
      </c>
      <c r="L73" s="11" t="s">
        <v>464</v>
      </c>
      <c r="M73" s="15">
        <v>7</v>
      </c>
      <c r="N73" s="35" t="s">
        <v>25</v>
      </c>
      <c r="O73" s="15">
        <v>2</v>
      </c>
      <c r="P73" s="35" t="s">
        <v>457</v>
      </c>
      <c r="Q73" s="15"/>
      <c r="R73" s="24"/>
      <c r="S73" s="15"/>
      <c r="T73" s="15"/>
      <c r="U73" s="15"/>
      <c r="V73" s="15"/>
    </row>
    <row r="74" spans="3:22" x14ac:dyDescent="0.25">
      <c r="C74" s="39">
        <v>2015</v>
      </c>
      <c r="D74" s="15" t="s">
        <v>176</v>
      </c>
      <c r="E74" s="24" t="s">
        <v>417</v>
      </c>
      <c r="F74" s="25">
        <v>42256</v>
      </c>
      <c r="G74" s="46" t="s">
        <v>177</v>
      </c>
      <c r="H74" s="27">
        <v>325000</v>
      </c>
      <c r="I74" s="27">
        <v>377777</v>
      </c>
      <c r="J74" s="27"/>
      <c r="K74" s="26">
        <v>0.16239076923076923</v>
      </c>
      <c r="L74" s="11" t="s">
        <v>465</v>
      </c>
      <c r="M74" s="15">
        <v>6</v>
      </c>
      <c r="N74" s="35" t="s">
        <v>25</v>
      </c>
      <c r="O74" s="15">
        <v>3</v>
      </c>
      <c r="P74" s="35" t="s">
        <v>458</v>
      </c>
      <c r="Q74" s="15"/>
      <c r="R74" s="24"/>
      <c r="S74" s="15"/>
      <c r="T74" s="15"/>
      <c r="U74" s="15"/>
      <c r="V74" s="15"/>
    </row>
    <row r="75" spans="3:22" x14ac:dyDescent="0.25">
      <c r="C75" s="39">
        <v>2015</v>
      </c>
      <c r="D75" s="15" t="s">
        <v>235</v>
      </c>
      <c r="E75" s="24" t="s">
        <v>236</v>
      </c>
      <c r="F75" s="25">
        <v>42234</v>
      </c>
      <c r="G75" s="46" t="s">
        <v>177</v>
      </c>
      <c r="H75" s="27">
        <v>354000</v>
      </c>
      <c r="I75" s="27">
        <v>396811</v>
      </c>
      <c r="J75" s="27"/>
      <c r="K75" s="26">
        <v>0.12093502824858757</v>
      </c>
      <c r="L75" s="11" t="s">
        <v>465</v>
      </c>
      <c r="M75" s="15">
        <v>3</v>
      </c>
      <c r="N75" s="35" t="s">
        <v>25</v>
      </c>
      <c r="O75" s="15">
        <v>3</v>
      </c>
      <c r="P75" s="35" t="s">
        <v>458</v>
      </c>
      <c r="Q75" s="15"/>
      <c r="R75" s="24"/>
      <c r="S75" s="15"/>
      <c r="T75" s="15"/>
      <c r="U75" s="15"/>
      <c r="V75" s="15"/>
    </row>
    <row r="76" spans="3:22" x14ac:dyDescent="0.25">
      <c r="C76" s="39">
        <v>2015</v>
      </c>
      <c r="D76" s="15" t="s">
        <v>297</v>
      </c>
      <c r="E76" s="24" t="s">
        <v>298</v>
      </c>
      <c r="F76" s="25">
        <v>42145</v>
      </c>
      <c r="G76" s="46" t="s">
        <v>299</v>
      </c>
      <c r="H76" s="27">
        <v>1550000</v>
      </c>
      <c r="I76" s="27">
        <v>2333333.33</v>
      </c>
      <c r="J76" s="27"/>
      <c r="K76" s="26">
        <v>0.50537634193548386</v>
      </c>
      <c r="L76" s="11" t="s">
        <v>465</v>
      </c>
      <c r="M76" s="15">
        <v>2</v>
      </c>
      <c r="N76" s="35" t="s">
        <v>93</v>
      </c>
      <c r="O76" s="15">
        <v>2</v>
      </c>
      <c r="P76" s="35" t="s">
        <v>458</v>
      </c>
      <c r="Q76" s="15"/>
      <c r="R76" s="24"/>
      <c r="S76" s="15"/>
      <c r="T76" s="15"/>
      <c r="U76" s="15"/>
      <c r="V76" s="15"/>
    </row>
    <row r="77" spans="3:22" x14ac:dyDescent="0.25">
      <c r="C77" s="39">
        <v>2015</v>
      </c>
      <c r="D77" s="15" t="s">
        <v>402</v>
      </c>
      <c r="E77" s="24" t="s">
        <v>403</v>
      </c>
      <c r="F77" s="25">
        <v>42060</v>
      </c>
      <c r="G77" s="46" t="s">
        <v>177</v>
      </c>
      <c r="H77" s="27">
        <v>640000</v>
      </c>
      <c r="I77" s="27">
        <v>574000</v>
      </c>
      <c r="J77" s="27"/>
      <c r="K77" s="26">
        <v>-0.10312499999999999</v>
      </c>
      <c r="L77" s="11" t="s">
        <v>464</v>
      </c>
      <c r="M77" s="15">
        <v>4</v>
      </c>
      <c r="N77" s="35" t="s">
        <v>93</v>
      </c>
      <c r="O77" s="15">
        <v>1</v>
      </c>
      <c r="P77" s="35" t="s">
        <v>458</v>
      </c>
      <c r="Q77" s="15"/>
      <c r="R77" s="24"/>
      <c r="S77" s="15"/>
      <c r="T77" s="15"/>
      <c r="U77" s="15"/>
      <c r="V77" s="15"/>
    </row>
    <row r="78" spans="3:22" x14ac:dyDescent="0.25">
      <c r="C78" s="39"/>
      <c r="G78" s="45"/>
      <c r="P78" s="11"/>
    </row>
    <row r="79" spans="3:22" x14ac:dyDescent="0.25">
      <c r="C79" s="39"/>
      <c r="G79" s="45"/>
      <c r="P79" s="11"/>
    </row>
    <row r="80" spans="3:22" ht="18" customHeight="1" x14ac:dyDescent="0.25">
      <c r="C80" s="39"/>
      <c r="D80" s="15" t="s">
        <v>473</v>
      </c>
      <c r="E80" s="24"/>
      <c r="F80" s="25"/>
      <c r="G80" s="46"/>
      <c r="H80" s="27"/>
      <c r="I80" s="27"/>
      <c r="J80" s="27"/>
      <c r="K80" s="26"/>
      <c r="L80" s="11"/>
      <c r="M80" s="15"/>
      <c r="P80" s="11"/>
    </row>
    <row r="81" spans="3:16" ht="8.25" customHeight="1" x14ac:dyDescent="0.25">
      <c r="C81" s="39"/>
      <c r="D81" s="15"/>
      <c r="E81" s="24"/>
      <c r="F81" s="25"/>
      <c r="G81" s="46"/>
      <c r="H81" s="27"/>
      <c r="I81" s="27"/>
      <c r="J81" s="27"/>
      <c r="K81" s="26"/>
      <c r="L81" s="11"/>
      <c r="M81" s="15"/>
      <c r="P81" s="11"/>
    </row>
    <row r="82" spans="3:16" x14ac:dyDescent="0.25">
      <c r="C82" s="39">
        <v>2015</v>
      </c>
      <c r="D82" s="15" t="s">
        <v>434</v>
      </c>
      <c r="E82" s="24" t="s">
        <v>436</v>
      </c>
      <c r="F82" s="25">
        <v>42342</v>
      </c>
      <c r="G82" s="46" t="s">
        <v>190</v>
      </c>
      <c r="H82" s="27">
        <v>2000000</v>
      </c>
      <c r="I82" s="27">
        <v>2092850</v>
      </c>
      <c r="J82" s="27"/>
      <c r="K82" s="26">
        <v>4.6425000000000001E-2</v>
      </c>
      <c r="L82" s="11" t="s">
        <v>464</v>
      </c>
      <c r="M82" s="15">
        <v>4</v>
      </c>
      <c r="N82" s="11" t="s">
        <v>93</v>
      </c>
      <c r="O82" s="15">
        <v>4</v>
      </c>
      <c r="P82" s="35" t="s">
        <v>457</v>
      </c>
    </row>
    <row r="83" spans="3:16" x14ac:dyDescent="0.25">
      <c r="C83" s="39">
        <v>2015</v>
      </c>
      <c r="D83" s="15" t="s">
        <v>219</v>
      </c>
      <c r="E83" s="24" t="s">
        <v>220</v>
      </c>
      <c r="F83" s="25">
        <v>42284</v>
      </c>
      <c r="G83" s="46" t="s">
        <v>190</v>
      </c>
      <c r="H83" s="27">
        <v>7400000</v>
      </c>
      <c r="I83" s="27">
        <v>4985882.5</v>
      </c>
      <c r="J83" s="27"/>
      <c r="K83" s="26">
        <v>-0.32623209459459457</v>
      </c>
      <c r="L83" s="11" t="s">
        <v>465</v>
      </c>
      <c r="M83" s="15">
        <v>4</v>
      </c>
      <c r="N83" s="11" t="s">
        <v>226</v>
      </c>
      <c r="O83" s="15">
        <v>4</v>
      </c>
      <c r="P83" s="35" t="s">
        <v>457</v>
      </c>
    </row>
    <row r="84" spans="3:16" x14ac:dyDescent="0.25">
      <c r="C84" s="39">
        <v>2015</v>
      </c>
      <c r="D84" s="15" t="s">
        <v>188</v>
      </c>
      <c r="E84" s="24" t="s">
        <v>189</v>
      </c>
      <c r="F84" s="25">
        <v>42310</v>
      </c>
      <c r="G84" s="46" t="s">
        <v>190</v>
      </c>
      <c r="H84" s="27">
        <v>7055100</v>
      </c>
      <c r="I84" s="27">
        <v>5774440</v>
      </c>
      <c r="J84" s="27"/>
      <c r="K84" s="26">
        <v>-0.18152258649771089</v>
      </c>
      <c r="L84" s="11" t="s">
        <v>465</v>
      </c>
      <c r="M84" s="15">
        <v>3</v>
      </c>
      <c r="N84" s="11" t="s">
        <v>25</v>
      </c>
      <c r="O84" s="15">
        <v>4</v>
      </c>
      <c r="P84" s="35" t="s">
        <v>458</v>
      </c>
    </row>
    <row r="85" spans="3:16" x14ac:dyDescent="0.25">
      <c r="C85" s="39">
        <v>2015</v>
      </c>
      <c r="D85" s="15" t="s">
        <v>410</v>
      </c>
      <c r="E85" s="24" t="s">
        <v>411</v>
      </c>
      <c r="F85" s="25">
        <v>42057</v>
      </c>
      <c r="G85" s="46" t="s">
        <v>190</v>
      </c>
      <c r="H85" s="27">
        <v>9700000</v>
      </c>
      <c r="I85" s="27">
        <v>8742268</v>
      </c>
      <c r="J85" s="27"/>
      <c r="K85" s="26">
        <v>-9.8735257731958764E-2</v>
      </c>
      <c r="L85" s="11" t="s">
        <v>464</v>
      </c>
      <c r="M85" s="15">
        <v>3</v>
      </c>
      <c r="N85" s="11" t="s">
        <v>93</v>
      </c>
      <c r="O85" s="15">
        <v>1</v>
      </c>
      <c r="P85" s="35" t="s">
        <v>458</v>
      </c>
    </row>
    <row r="86" spans="3:16" x14ac:dyDescent="0.25">
      <c r="C86" s="39">
        <v>2015</v>
      </c>
      <c r="D86" s="15" t="s">
        <v>414</v>
      </c>
      <c r="E86" s="24" t="s">
        <v>415</v>
      </c>
      <c r="F86" s="25">
        <v>42038</v>
      </c>
      <c r="G86" s="46" t="s">
        <v>190</v>
      </c>
      <c r="H86" s="27">
        <v>25770000</v>
      </c>
      <c r="I86" s="27">
        <v>28747550</v>
      </c>
      <c r="J86" s="27"/>
      <c r="K86" s="26">
        <v>0.11554326736515327</v>
      </c>
      <c r="L86" s="11" t="s">
        <v>465</v>
      </c>
      <c r="M86" s="15">
        <v>3</v>
      </c>
      <c r="N86" s="11" t="s">
        <v>93</v>
      </c>
      <c r="O86" s="15">
        <v>1</v>
      </c>
      <c r="P86" s="35" t="s">
        <v>458</v>
      </c>
    </row>
    <row r="87" spans="3:16" x14ac:dyDescent="0.25">
      <c r="C87" s="39">
        <v>2015</v>
      </c>
      <c r="D87" s="15" t="s">
        <v>420</v>
      </c>
      <c r="E87" s="24" t="s">
        <v>342</v>
      </c>
      <c r="F87" s="25">
        <v>42108</v>
      </c>
      <c r="G87" s="46" t="s">
        <v>190</v>
      </c>
      <c r="H87" s="27">
        <v>521000</v>
      </c>
      <c r="I87" s="27">
        <v>1840000</v>
      </c>
      <c r="J87" s="27"/>
      <c r="K87" s="26">
        <v>2.5316698656429941</v>
      </c>
      <c r="L87" s="11" t="s">
        <v>465</v>
      </c>
      <c r="M87" s="15">
        <v>3</v>
      </c>
      <c r="N87" s="11" t="s">
        <v>226</v>
      </c>
      <c r="O87" s="15">
        <v>2</v>
      </c>
      <c r="P87" s="35" t="s">
        <v>459</v>
      </c>
    </row>
    <row r="88" spans="3:16" x14ac:dyDescent="0.25">
      <c r="C88" s="39">
        <v>2015</v>
      </c>
      <c r="D88" s="15" t="s">
        <v>383</v>
      </c>
      <c r="E88" s="24" t="s">
        <v>384</v>
      </c>
      <c r="F88" s="25">
        <v>42080</v>
      </c>
      <c r="G88" s="46" t="s">
        <v>190</v>
      </c>
      <c r="H88" s="27">
        <v>4450000</v>
      </c>
      <c r="I88" s="27">
        <v>3620000</v>
      </c>
      <c r="J88" s="27"/>
      <c r="K88" s="26">
        <v>-0.18651685393258427</v>
      </c>
      <c r="L88" s="11" t="s">
        <v>464</v>
      </c>
      <c r="M88" s="15">
        <v>3</v>
      </c>
      <c r="O88" s="15">
        <v>1</v>
      </c>
      <c r="P88" s="35" t="s">
        <v>459</v>
      </c>
    </row>
    <row r="89" spans="3:16" x14ac:dyDescent="0.25">
      <c r="C89" s="39"/>
      <c r="G89" s="45"/>
      <c r="P89" s="11"/>
    </row>
    <row r="90" spans="3:16" x14ac:dyDescent="0.25">
      <c r="C90" s="39"/>
      <c r="G90" s="45"/>
      <c r="P90" s="11"/>
    </row>
    <row r="91" spans="3:16" ht="18" customHeight="1" x14ac:dyDescent="0.25">
      <c r="C91" s="39"/>
      <c r="D91" s="15" t="s">
        <v>474</v>
      </c>
      <c r="E91" s="24"/>
      <c r="F91" s="25"/>
      <c r="G91" s="46"/>
      <c r="H91" s="27"/>
      <c r="I91" s="27"/>
      <c r="J91" s="27"/>
      <c r="K91" s="26"/>
      <c r="L91" s="11"/>
      <c r="M91" s="15"/>
      <c r="P91" s="11"/>
    </row>
    <row r="92" spans="3:16" ht="8.25" customHeight="1" x14ac:dyDescent="0.25">
      <c r="C92" s="39"/>
      <c r="D92" s="15"/>
      <c r="E92" s="24"/>
      <c r="F92" s="25"/>
      <c r="G92" s="46"/>
      <c r="H92" s="27"/>
      <c r="I92" s="27"/>
      <c r="J92" s="27"/>
      <c r="K92" s="26"/>
      <c r="L92" s="11"/>
      <c r="M92" s="15"/>
      <c r="P92" s="11"/>
    </row>
    <row r="93" spans="3:16" x14ac:dyDescent="0.25">
      <c r="C93" s="39">
        <v>2015</v>
      </c>
      <c r="D93" s="15" t="s">
        <v>224</v>
      </c>
      <c r="E93" s="24" t="s">
        <v>80</v>
      </c>
      <c r="F93" s="25">
        <v>42312</v>
      </c>
      <c r="G93" s="46" t="s">
        <v>34</v>
      </c>
      <c r="H93" s="27">
        <v>8700000</v>
      </c>
      <c r="I93" s="27">
        <v>10162935</v>
      </c>
      <c r="J93" s="27"/>
      <c r="K93" s="26">
        <v>0.16815344827586207</v>
      </c>
      <c r="L93" s="11" t="s">
        <v>465</v>
      </c>
      <c r="M93" s="15">
        <v>3</v>
      </c>
      <c r="N93" s="11" t="s">
        <v>226</v>
      </c>
      <c r="O93" s="15">
        <v>4</v>
      </c>
      <c r="P93" s="35" t="s">
        <v>457</v>
      </c>
    </row>
    <row r="94" spans="3:16" x14ac:dyDescent="0.25">
      <c r="C94" s="39">
        <v>2015</v>
      </c>
      <c r="D94" s="15" t="s">
        <v>196</v>
      </c>
      <c r="E94" s="24" t="s">
        <v>197</v>
      </c>
      <c r="F94" s="25">
        <v>42307</v>
      </c>
      <c r="G94" s="46" t="s">
        <v>34</v>
      </c>
      <c r="H94" s="27">
        <v>7100000</v>
      </c>
      <c r="I94" s="27">
        <v>6676400</v>
      </c>
      <c r="J94" s="27"/>
      <c r="K94" s="26">
        <v>-5.9661971830985913E-2</v>
      </c>
      <c r="L94" s="11" t="s">
        <v>464</v>
      </c>
      <c r="M94" s="15">
        <v>11</v>
      </c>
      <c r="N94" s="11" t="s">
        <v>226</v>
      </c>
      <c r="O94" s="15">
        <v>4</v>
      </c>
      <c r="P94" s="35" t="s">
        <v>457</v>
      </c>
    </row>
    <row r="95" spans="3:16" x14ac:dyDescent="0.25">
      <c r="C95" s="39">
        <v>2015</v>
      </c>
      <c r="D95" s="15" t="s">
        <v>86</v>
      </c>
      <c r="E95" s="24" t="s">
        <v>416</v>
      </c>
      <c r="F95" s="25">
        <v>42304</v>
      </c>
      <c r="G95" s="46" t="s">
        <v>34</v>
      </c>
      <c r="H95" s="27">
        <v>1340000</v>
      </c>
      <c r="I95" s="27">
        <v>1850000</v>
      </c>
      <c r="J95" s="27"/>
      <c r="K95" s="26">
        <v>0.38059701492537312</v>
      </c>
      <c r="L95" s="11" t="s">
        <v>465</v>
      </c>
      <c r="M95" s="15">
        <v>4</v>
      </c>
      <c r="N95" s="11" t="s">
        <v>25</v>
      </c>
      <c r="O95" s="15">
        <v>4</v>
      </c>
      <c r="P95" s="35" t="s">
        <v>457</v>
      </c>
    </row>
    <row r="96" spans="3:16" x14ac:dyDescent="0.25">
      <c r="C96" s="39">
        <v>2015</v>
      </c>
      <c r="D96" s="15" t="s">
        <v>101</v>
      </c>
      <c r="E96" s="24" t="s">
        <v>211</v>
      </c>
      <c r="F96" s="25">
        <v>42297</v>
      </c>
      <c r="G96" s="46" t="s">
        <v>34</v>
      </c>
      <c r="H96" s="27">
        <v>1290000</v>
      </c>
      <c r="I96" s="27">
        <v>1552600</v>
      </c>
      <c r="J96" s="27"/>
      <c r="K96" s="26">
        <v>0.20356589147286822</v>
      </c>
      <c r="L96" s="11" t="s">
        <v>465</v>
      </c>
      <c r="M96" s="15">
        <v>9</v>
      </c>
      <c r="N96" s="11" t="s">
        <v>25</v>
      </c>
      <c r="O96" s="15">
        <v>4</v>
      </c>
      <c r="P96" s="35" t="s">
        <v>457</v>
      </c>
    </row>
    <row r="97" spans="3:16" x14ac:dyDescent="0.25">
      <c r="C97" s="39">
        <v>2015</v>
      </c>
      <c r="D97" s="15" t="s">
        <v>117</v>
      </c>
      <c r="E97" s="24" t="s">
        <v>118</v>
      </c>
      <c r="F97" s="25">
        <v>42277</v>
      </c>
      <c r="G97" s="46" t="s">
        <v>34</v>
      </c>
      <c r="H97" s="27">
        <v>7000000</v>
      </c>
      <c r="I97" s="27">
        <v>5851111</v>
      </c>
      <c r="J97" s="27"/>
      <c r="K97" s="26">
        <v>-0.164127</v>
      </c>
      <c r="L97" s="11" t="s">
        <v>464</v>
      </c>
      <c r="M97" s="15">
        <v>15</v>
      </c>
      <c r="N97" s="11" t="s">
        <v>25</v>
      </c>
      <c r="O97" s="15">
        <v>3</v>
      </c>
      <c r="P97" s="35" t="s">
        <v>457</v>
      </c>
    </row>
    <row r="98" spans="3:16" x14ac:dyDescent="0.25">
      <c r="C98" s="39">
        <v>2015</v>
      </c>
      <c r="D98" s="15" t="s">
        <v>266</v>
      </c>
      <c r="E98" s="24" t="s">
        <v>265</v>
      </c>
      <c r="F98" s="25">
        <v>42178</v>
      </c>
      <c r="G98" s="46" t="s">
        <v>34</v>
      </c>
      <c r="H98" s="27">
        <v>1800000</v>
      </c>
      <c r="I98" s="27">
        <v>2217200</v>
      </c>
      <c r="J98" s="27"/>
      <c r="K98" s="26">
        <v>0.23177777777777778</v>
      </c>
      <c r="L98" s="11" t="s">
        <v>465</v>
      </c>
      <c r="M98" s="15">
        <v>2</v>
      </c>
      <c r="N98" s="11" t="s">
        <v>226</v>
      </c>
      <c r="O98" s="15">
        <v>2</v>
      </c>
      <c r="P98" s="35" t="s">
        <v>457</v>
      </c>
    </row>
    <row r="99" spans="3:16" x14ac:dyDescent="0.25">
      <c r="C99" s="39">
        <v>2015</v>
      </c>
      <c r="D99" s="15" t="s">
        <v>268</v>
      </c>
      <c r="E99" s="24" t="s">
        <v>269</v>
      </c>
      <c r="F99" s="25">
        <v>42177</v>
      </c>
      <c r="G99" s="46" t="s">
        <v>34</v>
      </c>
      <c r="H99" s="27">
        <v>6500000</v>
      </c>
      <c r="I99" s="27">
        <v>6374800</v>
      </c>
      <c r="J99" s="27"/>
      <c r="K99" s="26">
        <v>-1.9261538461538462E-2</v>
      </c>
      <c r="L99" s="11" t="s">
        <v>464</v>
      </c>
      <c r="M99" s="15">
        <v>7</v>
      </c>
      <c r="N99" s="11" t="s">
        <v>226</v>
      </c>
      <c r="O99" s="15">
        <v>2</v>
      </c>
      <c r="P99" s="35" t="s">
        <v>457</v>
      </c>
    </row>
    <row r="100" spans="3:16" x14ac:dyDescent="0.25">
      <c r="C100" s="39">
        <v>2015</v>
      </c>
      <c r="D100" s="15" t="s">
        <v>279</v>
      </c>
      <c r="E100" s="24" t="s">
        <v>280</v>
      </c>
      <c r="F100" s="25">
        <v>42159</v>
      </c>
      <c r="G100" s="46" t="s">
        <v>34</v>
      </c>
      <c r="H100" s="27">
        <v>1600000</v>
      </c>
      <c r="I100" s="27">
        <v>1298005</v>
      </c>
      <c r="J100" s="27"/>
      <c r="K100" s="26">
        <v>-0.18874687500000001</v>
      </c>
      <c r="L100" s="11" t="s">
        <v>464</v>
      </c>
      <c r="M100" s="15">
        <v>6</v>
      </c>
      <c r="N100" s="11" t="s">
        <v>93</v>
      </c>
      <c r="O100" s="15">
        <v>2</v>
      </c>
      <c r="P100" s="35" t="s">
        <v>457</v>
      </c>
    </row>
    <row r="101" spans="3:16" x14ac:dyDescent="0.25">
      <c r="C101" s="39">
        <v>2015</v>
      </c>
      <c r="D101" s="15" t="s">
        <v>35</v>
      </c>
      <c r="E101" s="24" t="s">
        <v>36</v>
      </c>
      <c r="F101" s="25">
        <v>42157</v>
      </c>
      <c r="G101" s="46" t="s">
        <v>34</v>
      </c>
      <c r="H101" s="27">
        <v>29100000</v>
      </c>
      <c r="I101" s="27">
        <v>30452500</v>
      </c>
      <c r="J101" s="27"/>
      <c r="K101" s="26">
        <v>4.6477663230240551E-2</v>
      </c>
      <c r="L101" s="11" t="s">
        <v>464</v>
      </c>
      <c r="M101" s="15">
        <v>11</v>
      </c>
      <c r="N101" s="11" t="s">
        <v>25</v>
      </c>
      <c r="O101" s="15">
        <v>2</v>
      </c>
      <c r="P101" s="35" t="s">
        <v>457</v>
      </c>
    </row>
    <row r="102" spans="3:16" x14ac:dyDescent="0.25">
      <c r="C102" s="39">
        <v>2015</v>
      </c>
      <c r="D102" s="15" t="s">
        <v>45</v>
      </c>
      <c r="E102" s="24" t="s">
        <v>46</v>
      </c>
      <c r="F102" s="25">
        <v>42145</v>
      </c>
      <c r="G102" s="46" t="s">
        <v>34</v>
      </c>
      <c r="H102" s="27">
        <v>6400000</v>
      </c>
      <c r="I102" s="27">
        <v>5777000</v>
      </c>
      <c r="J102" s="27"/>
      <c r="K102" s="26">
        <v>-9.7343750000000007E-2</v>
      </c>
      <c r="L102" s="11" t="s">
        <v>464</v>
      </c>
      <c r="M102" s="15">
        <v>7</v>
      </c>
      <c r="N102" s="11" t="s">
        <v>25</v>
      </c>
      <c r="O102" s="15">
        <v>2</v>
      </c>
      <c r="P102" s="35" t="s">
        <v>457</v>
      </c>
    </row>
    <row r="103" spans="3:16" x14ac:dyDescent="0.25">
      <c r="C103" s="39">
        <v>2015</v>
      </c>
      <c r="D103" s="15" t="s">
        <v>334</v>
      </c>
      <c r="E103" s="24" t="s">
        <v>335</v>
      </c>
      <c r="F103" s="25">
        <v>42108</v>
      </c>
      <c r="G103" s="46" t="s">
        <v>34</v>
      </c>
      <c r="H103" s="27">
        <v>2320000</v>
      </c>
      <c r="I103" s="27">
        <v>1550780</v>
      </c>
      <c r="J103" s="27"/>
      <c r="K103" s="26">
        <v>-0.33156034482758623</v>
      </c>
      <c r="L103" s="11" t="s">
        <v>464</v>
      </c>
      <c r="M103" s="15">
        <v>9</v>
      </c>
      <c r="N103" s="11" t="s">
        <v>25</v>
      </c>
      <c r="O103" s="15">
        <v>2</v>
      </c>
      <c r="P103" s="35" t="s">
        <v>457</v>
      </c>
    </row>
    <row r="104" spans="3:16" x14ac:dyDescent="0.25">
      <c r="C104" s="39">
        <v>2015</v>
      </c>
      <c r="D104" s="15" t="s">
        <v>388</v>
      </c>
      <c r="E104" s="24" t="s">
        <v>389</v>
      </c>
      <c r="F104" s="25">
        <v>42072</v>
      </c>
      <c r="G104" s="46" t="s">
        <v>34</v>
      </c>
      <c r="H104" s="27">
        <v>9600000</v>
      </c>
      <c r="I104" s="27">
        <v>6748000</v>
      </c>
      <c r="J104" s="27"/>
      <c r="K104" s="26">
        <v>-0.29708333333333331</v>
      </c>
      <c r="L104" s="11" t="s">
        <v>464</v>
      </c>
      <c r="M104" s="15">
        <v>12</v>
      </c>
      <c r="N104" s="11" t="s">
        <v>25</v>
      </c>
      <c r="O104" s="15">
        <v>1</v>
      </c>
      <c r="P104" s="35" t="s">
        <v>457</v>
      </c>
    </row>
    <row r="105" spans="3:16" x14ac:dyDescent="0.25">
      <c r="C105" s="39">
        <v>2015</v>
      </c>
      <c r="D105" s="15" t="s">
        <v>425</v>
      </c>
      <c r="E105" s="24" t="s">
        <v>426</v>
      </c>
      <c r="F105" s="25">
        <v>42338</v>
      </c>
      <c r="G105" s="46" t="s">
        <v>34</v>
      </c>
      <c r="H105" s="27">
        <v>1200000</v>
      </c>
      <c r="I105" s="27">
        <v>1222222</v>
      </c>
      <c r="J105" s="27"/>
      <c r="K105" s="26">
        <v>1.8518333333333335E-2</v>
      </c>
      <c r="L105" s="11" t="s">
        <v>464</v>
      </c>
      <c r="M105" s="15">
        <v>6</v>
      </c>
      <c r="N105" s="11" t="s">
        <v>93</v>
      </c>
      <c r="O105" s="15">
        <v>4</v>
      </c>
      <c r="P105" s="35" t="s">
        <v>458</v>
      </c>
    </row>
    <row r="106" spans="3:16" x14ac:dyDescent="0.25">
      <c r="C106" s="39">
        <v>2015</v>
      </c>
      <c r="D106" s="15" t="s">
        <v>106</v>
      </c>
      <c r="E106" s="24" t="s">
        <v>107</v>
      </c>
      <c r="F106" s="25">
        <v>42292</v>
      </c>
      <c r="G106" s="46" t="s">
        <v>34</v>
      </c>
      <c r="H106" s="27">
        <v>3650000</v>
      </c>
      <c r="I106" s="27">
        <v>3270000</v>
      </c>
      <c r="J106" s="27"/>
      <c r="K106" s="26">
        <v>-0.10410958904109589</v>
      </c>
      <c r="L106" s="11" t="s">
        <v>464</v>
      </c>
      <c r="M106" s="15">
        <v>6</v>
      </c>
      <c r="N106" s="11" t="s">
        <v>25</v>
      </c>
      <c r="O106" s="15">
        <v>4</v>
      </c>
      <c r="P106" s="35" t="s">
        <v>458</v>
      </c>
    </row>
    <row r="107" spans="3:16" x14ac:dyDescent="0.25">
      <c r="C107" s="39">
        <v>2015</v>
      </c>
      <c r="D107" s="15" t="s">
        <v>151</v>
      </c>
      <c r="E107" s="24" t="s">
        <v>152</v>
      </c>
      <c r="F107" s="25">
        <v>42268</v>
      </c>
      <c r="G107" s="46" t="s">
        <v>34</v>
      </c>
      <c r="H107" s="27">
        <v>7900000</v>
      </c>
      <c r="I107" s="27">
        <v>6769800</v>
      </c>
      <c r="J107" s="27"/>
      <c r="K107" s="26">
        <v>-0.14306329113924052</v>
      </c>
      <c r="L107" s="11" t="s">
        <v>464</v>
      </c>
      <c r="M107" s="15">
        <v>18</v>
      </c>
      <c r="N107" s="11" t="s">
        <v>93</v>
      </c>
      <c r="O107" s="15">
        <v>3</v>
      </c>
      <c r="P107" s="35" t="s">
        <v>458</v>
      </c>
    </row>
    <row r="108" spans="3:16" x14ac:dyDescent="0.25">
      <c r="C108" s="39">
        <v>2015</v>
      </c>
      <c r="D108" s="15" t="s">
        <v>6</v>
      </c>
      <c r="E108" s="24" t="s">
        <v>7</v>
      </c>
      <c r="F108" s="25">
        <v>42243</v>
      </c>
      <c r="G108" s="46" t="s">
        <v>34</v>
      </c>
      <c r="H108" s="27">
        <v>1650000</v>
      </c>
      <c r="I108" s="27">
        <v>1898000</v>
      </c>
      <c r="J108" s="27"/>
      <c r="K108" s="26">
        <v>0.1503030303030303</v>
      </c>
      <c r="L108" s="11" t="s">
        <v>465</v>
      </c>
      <c r="M108" s="15">
        <v>4</v>
      </c>
      <c r="N108" s="11" t="s">
        <v>93</v>
      </c>
      <c r="O108" s="15">
        <v>3</v>
      </c>
      <c r="P108" s="35" t="s">
        <v>458</v>
      </c>
    </row>
    <row r="109" spans="3:16" x14ac:dyDescent="0.25">
      <c r="C109" s="39">
        <v>2015</v>
      </c>
      <c r="D109" s="15" t="s">
        <v>241</v>
      </c>
      <c r="E109" s="24" t="s">
        <v>242</v>
      </c>
      <c r="F109" s="25">
        <v>42213</v>
      </c>
      <c r="G109" s="46" t="s">
        <v>34</v>
      </c>
      <c r="H109" s="27">
        <v>1918000</v>
      </c>
      <c r="I109" s="27">
        <v>1389000</v>
      </c>
      <c r="J109" s="27"/>
      <c r="K109" s="26">
        <v>-0.27580813347236705</v>
      </c>
      <c r="L109" s="11" t="s">
        <v>464</v>
      </c>
      <c r="M109" s="15">
        <v>12</v>
      </c>
      <c r="N109" s="11" t="s">
        <v>25</v>
      </c>
      <c r="O109" s="15">
        <v>3</v>
      </c>
      <c r="P109" s="35" t="s">
        <v>458</v>
      </c>
    </row>
    <row r="110" spans="3:16" x14ac:dyDescent="0.25">
      <c r="C110" s="39">
        <v>2015</v>
      </c>
      <c r="D110" s="15" t="s">
        <v>313</v>
      </c>
      <c r="E110" s="24" t="s">
        <v>314</v>
      </c>
      <c r="F110" s="25">
        <v>42143</v>
      </c>
      <c r="G110" s="46" t="s">
        <v>34</v>
      </c>
      <c r="H110" s="27">
        <v>1263000</v>
      </c>
      <c r="I110" s="27">
        <v>930000</v>
      </c>
      <c r="J110" s="27"/>
      <c r="K110" s="26">
        <v>-0.26365795724465557</v>
      </c>
      <c r="L110" s="11" t="s">
        <v>465</v>
      </c>
      <c r="M110" s="15">
        <v>1</v>
      </c>
      <c r="N110" s="11" t="s">
        <v>93</v>
      </c>
      <c r="O110" s="15">
        <v>2</v>
      </c>
      <c r="P110" s="35" t="s">
        <v>458</v>
      </c>
    </row>
    <row r="111" spans="3:16" x14ac:dyDescent="0.25">
      <c r="C111" s="39">
        <v>2015</v>
      </c>
      <c r="D111" s="15" t="s">
        <v>315</v>
      </c>
      <c r="E111" s="24" t="s">
        <v>316</v>
      </c>
      <c r="F111" s="25">
        <v>42115</v>
      </c>
      <c r="G111" s="46" t="s">
        <v>34</v>
      </c>
      <c r="H111" s="27">
        <v>735000</v>
      </c>
      <c r="I111" s="27">
        <v>512568</v>
      </c>
      <c r="J111" s="27"/>
      <c r="K111" s="26">
        <v>-0.30262857142857141</v>
      </c>
      <c r="L111" s="11" t="s">
        <v>464</v>
      </c>
      <c r="M111" s="15">
        <v>9</v>
      </c>
      <c r="N111" s="11" t="s">
        <v>25</v>
      </c>
      <c r="O111" s="15">
        <v>2</v>
      </c>
      <c r="P111" s="35" t="s">
        <v>458</v>
      </c>
    </row>
    <row r="112" spans="3:16" x14ac:dyDescent="0.25">
      <c r="C112" s="39">
        <v>2015</v>
      </c>
      <c r="D112" s="15" t="s">
        <v>344</v>
      </c>
      <c r="E112" s="24" t="s">
        <v>345</v>
      </c>
      <c r="F112" s="25">
        <v>42104</v>
      </c>
      <c r="G112" s="46" t="s">
        <v>34</v>
      </c>
      <c r="H112" s="27">
        <v>3760000</v>
      </c>
      <c r="I112" s="27">
        <v>2999293</v>
      </c>
      <c r="J112" s="27"/>
      <c r="K112" s="26">
        <v>-0.20231569148936171</v>
      </c>
      <c r="L112" s="11" t="s">
        <v>464</v>
      </c>
      <c r="M112" s="15">
        <v>10</v>
      </c>
      <c r="N112" s="11" t="s">
        <v>93</v>
      </c>
      <c r="O112" s="15">
        <v>2</v>
      </c>
      <c r="P112" s="35" t="s">
        <v>458</v>
      </c>
    </row>
    <row r="113" spans="3:16" x14ac:dyDescent="0.25">
      <c r="C113" s="39">
        <v>2015</v>
      </c>
      <c r="D113" s="15" t="s">
        <v>421</v>
      </c>
      <c r="E113" s="24" t="s">
        <v>352</v>
      </c>
      <c r="F113" s="25">
        <v>42104</v>
      </c>
      <c r="G113" s="46" t="s">
        <v>34</v>
      </c>
      <c r="H113" s="27">
        <v>1770000</v>
      </c>
      <c r="I113" s="27">
        <v>1397380</v>
      </c>
      <c r="J113" s="27"/>
      <c r="K113" s="26">
        <v>-0.21051977401129943</v>
      </c>
      <c r="L113" s="11" t="s">
        <v>464</v>
      </c>
      <c r="M113" s="15">
        <v>10</v>
      </c>
      <c r="N113" s="11" t="s">
        <v>93</v>
      </c>
      <c r="O113" s="15">
        <v>2</v>
      </c>
      <c r="P113" s="35" t="s">
        <v>458</v>
      </c>
    </row>
    <row r="114" spans="3:16" x14ac:dyDescent="0.25">
      <c r="C114" s="39">
        <v>2015</v>
      </c>
      <c r="D114" s="15" t="s">
        <v>358</v>
      </c>
      <c r="E114" s="24" t="s">
        <v>359</v>
      </c>
      <c r="F114" s="25">
        <v>42103</v>
      </c>
      <c r="G114" s="46" t="s">
        <v>34</v>
      </c>
      <c r="H114" s="27">
        <v>1850000</v>
      </c>
      <c r="I114" s="27">
        <v>2137550</v>
      </c>
      <c r="J114" s="27"/>
      <c r="K114" s="26">
        <v>0.15543243243243243</v>
      </c>
      <c r="L114" s="11" t="s">
        <v>465</v>
      </c>
      <c r="M114" s="15">
        <v>8</v>
      </c>
      <c r="N114" s="11" t="s">
        <v>93</v>
      </c>
      <c r="O114" s="15">
        <v>2</v>
      </c>
      <c r="P114" s="35" t="s">
        <v>458</v>
      </c>
    </row>
    <row r="115" spans="3:16" x14ac:dyDescent="0.25">
      <c r="C115" s="39">
        <v>2015</v>
      </c>
      <c r="D115" s="15" t="s">
        <v>368</v>
      </c>
      <c r="E115" s="24" t="s">
        <v>369</v>
      </c>
      <c r="F115" s="25">
        <v>42102</v>
      </c>
      <c r="G115" s="46" t="s">
        <v>34</v>
      </c>
      <c r="H115" s="27">
        <v>4900000</v>
      </c>
      <c r="I115" s="27">
        <v>3388390</v>
      </c>
      <c r="J115" s="27"/>
      <c r="K115" s="26">
        <v>-0.30849183673469388</v>
      </c>
      <c r="L115" s="11" t="s">
        <v>465</v>
      </c>
      <c r="M115" s="15">
        <v>9</v>
      </c>
      <c r="N115" s="11" t="s">
        <v>93</v>
      </c>
      <c r="O115" s="15">
        <v>2</v>
      </c>
      <c r="P115" s="35" t="s">
        <v>458</v>
      </c>
    </row>
    <row r="116" spans="3:16" x14ac:dyDescent="0.25">
      <c r="C116" s="39">
        <v>2015</v>
      </c>
      <c r="D116" s="15" t="s">
        <v>96</v>
      </c>
      <c r="E116" s="24" t="s">
        <v>97</v>
      </c>
      <c r="F116" s="25">
        <v>42304</v>
      </c>
      <c r="G116" s="46" t="s">
        <v>34</v>
      </c>
      <c r="H116" s="27">
        <v>2420000</v>
      </c>
      <c r="I116" s="27">
        <v>4137000</v>
      </c>
      <c r="J116" s="27"/>
      <c r="K116" s="26">
        <v>0.70950413223140496</v>
      </c>
      <c r="L116" s="11" t="s">
        <v>465</v>
      </c>
      <c r="M116" s="15">
        <v>2</v>
      </c>
      <c r="N116" s="11" t="s">
        <v>93</v>
      </c>
      <c r="O116" s="15">
        <v>4</v>
      </c>
      <c r="P116" s="35" t="s">
        <v>459</v>
      </c>
    </row>
    <row r="117" spans="3:16" x14ac:dyDescent="0.25">
      <c r="C117" s="39">
        <v>2015</v>
      </c>
      <c r="D117" s="15" t="s">
        <v>309</v>
      </c>
      <c r="E117" s="24" t="s">
        <v>310</v>
      </c>
      <c r="F117" s="25">
        <v>42144</v>
      </c>
      <c r="G117" s="46" t="s">
        <v>34</v>
      </c>
      <c r="H117" s="27">
        <v>3340000</v>
      </c>
      <c r="I117" s="27">
        <v>4538160</v>
      </c>
      <c r="J117" s="27"/>
      <c r="K117" s="26">
        <v>0.35873053892215567</v>
      </c>
      <c r="L117" s="11" t="s">
        <v>465</v>
      </c>
      <c r="M117" s="15">
        <v>3</v>
      </c>
      <c r="N117" s="35" t="s">
        <v>25</v>
      </c>
      <c r="O117" s="15">
        <v>2</v>
      </c>
      <c r="P117" s="35" t="s">
        <v>459</v>
      </c>
    </row>
    <row r="118" spans="3:16" x14ac:dyDescent="0.25">
      <c r="C118" s="39"/>
      <c r="G118" s="45"/>
    </row>
    <row r="119" spans="3:16" x14ac:dyDescent="0.25">
      <c r="C119" s="39"/>
      <c r="G119" s="45"/>
    </row>
    <row r="120" spans="3:16" ht="18" customHeight="1" x14ac:dyDescent="0.25">
      <c r="C120" s="39"/>
      <c r="D120" s="15" t="s">
        <v>476</v>
      </c>
      <c r="E120" s="24"/>
      <c r="F120" s="25"/>
      <c r="G120" s="46"/>
      <c r="H120" s="27"/>
      <c r="I120" s="27"/>
      <c r="J120" s="27"/>
      <c r="K120" s="26"/>
      <c r="L120" s="11"/>
      <c r="M120" s="15"/>
      <c r="P120" s="11"/>
    </row>
    <row r="121" spans="3:16" ht="8.25" customHeight="1" x14ac:dyDescent="0.25">
      <c r="C121" s="39"/>
      <c r="D121" s="15"/>
      <c r="E121" s="24"/>
      <c r="F121" s="25"/>
      <c r="G121" s="46"/>
      <c r="H121" s="27"/>
      <c r="I121" s="27"/>
      <c r="J121" s="27"/>
      <c r="K121" s="26"/>
      <c r="L121" s="11"/>
      <c r="M121" s="15"/>
      <c r="P121" s="11"/>
    </row>
    <row r="122" spans="3:16" x14ac:dyDescent="0.25">
      <c r="C122" s="39">
        <v>2015</v>
      </c>
      <c r="D122" s="15" t="s">
        <v>434</v>
      </c>
      <c r="E122" s="24" t="s">
        <v>436</v>
      </c>
      <c r="F122" s="25">
        <v>42342</v>
      </c>
      <c r="G122" s="46" t="s">
        <v>190</v>
      </c>
      <c r="H122" s="27">
        <v>2000000</v>
      </c>
      <c r="I122" s="27">
        <v>2092850</v>
      </c>
      <c r="J122" s="27"/>
      <c r="K122" s="26">
        <v>4.6425000000000001E-2</v>
      </c>
      <c r="L122" s="11" t="s">
        <v>464</v>
      </c>
      <c r="M122" s="15">
        <v>4</v>
      </c>
      <c r="N122" s="35" t="s">
        <v>93</v>
      </c>
      <c r="O122" s="15">
        <v>4</v>
      </c>
      <c r="P122" s="35" t="s">
        <v>457</v>
      </c>
    </row>
    <row r="123" spans="3:16" x14ac:dyDescent="0.25">
      <c r="C123" s="39">
        <v>2015</v>
      </c>
      <c r="D123" s="15" t="s">
        <v>279</v>
      </c>
      <c r="E123" s="24" t="s">
        <v>280</v>
      </c>
      <c r="F123" s="25">
        <v>42159</v>
      </c>
      <c r="G123" s="46" t="s">
        <v>34</v>
      </c>
      <c r="H123" s="27">
        <v>1600000</v>
      </c>
      <c r="I123" s="27">
        <v>1298005</v>
      </c>
      <c r="J123" s="27"/>
      <c r="K123" s="26">
        <v>-0.18874687500000001</v>
      </c>
      <c r="L123" s="11" t="s">
        <v>464</v>
      </c>
      <c r="M123" s="15">
        <v>6</v>
      </c>
      <c r="N123" s="35" t="s">
        <v>93</v>
      </c>
      <c r="O123" s="15">
        <v>2</v>
      </c>
      <c r="P123" s="35" t="s">
        <v>457</v>
      </c>
    </row>
    <row r="124" spans="3:16" x14ac:dyDescent="0.25">
      <c r="C124" s="39">
        <v>2015</v>
      </c>
      <c r="D124" s="15" t="s">
        <v>425</v>
      </c>
      <c r="E124" s="24" t="s">
        <v>426</v>
      </c>
      <c r="F124" s="25">
        <v>42338</v>
      </c>
      <c r="G124" s="46" t="s">
        <v>34</v>
      </c>
      <c r="H124" s="27">
        <v>1200000</v>
      </c>
      <c r="I124" s="27">
        <v>1222222</v>
      </c>
      <c r="J124" s="27"/>
      <c r="K124" s="26">
        <v>1.8518333333333335E-2</v>
      </c>
      <c r="L124" s="11" t="s">
        <v>464</v>
      </c>
      <c r="M124" s="15">
        <v>6</v>
      </c>
      <c r="N124" s="35" t="s">
        <v>93</v>
      </c>
      <c r="O124" s="15">
        <v>4</v>
      </c>
      <c r="P124" s="35" t="s">
        <v>458</v>
      </c>
    </row>
    <row r="125" spans="3:16" x14ac:dyDescent="0.25">
      <c r="C125" s="39">
        <v>2015</v>
      </c>
      <c r="D125" s="15" t="s">
        <v>151</v>
      </c>
      <c r="E125" s="24" t="s">
        <v>152</v>
      </c>
      <c r="F125" s="25">
        <v>42268</v>
      </c>
      <c r="G125" s="46" t="s">
        <v>34</v>
      </c>
      <c r="H125" s="27">
        <v>7900000</v>
      </c>
      <c r="I125" s="27">
        <v>6769800</v>
      </c>
      <c r="J125" s="27"/>
      <c r="K125" s="26">
        <v>-0.14306329113924052</v>
      </c>
      <c r="L125" s="11" t="s">
        <v>464</v>
      </c>
      <c r="M125" s="15">
        <v>18</v>
      </c>
      <c r="N125" s="35" t="s">
        <v>93</v>
      </c>
      <c r="O125" s="15">
        <v>3</v>
      </c>
      <c r="P125" s="35" t="s">
        <v>458</v>
      </c>
    </row>
    <row r="126" spans="3:16" x14ac:dyDescent="0.25">
      <c r="C126" s="39">
        <v>2015</v>
      </c>
      <c r="D126" s="15" t="s">
        <v>6</v>
      </c>
      <c r="E126" s="24" t="s">
        <v>7</v>
      </c>
      <c r="F126" s="25">
        <v>42243</v>
      </c>
      <c r="G126" s="46" t="s">
        <v>34</v>
      </c>
      <c r="H126" s="27">
        <v>1650000</v>
      </c>
      <c r="I126" s="27">
        <v>1898000</v>
      </c>
      <c r="J126" s="27"/>
      <c r="K126" s="26">
        <v>0.1503030303030303</v>
      </c>
      <c r="L126" s="11" t="s">
        <v>465</v>
      </c>
      <c r="M126" s="15">
        <v>4</v>
      </c>
      <c r="N126" s="35" t="s">
        <v>93</v>
      </c>
      <c r="O126" s="15">
        <v>3</v>
      </c>
      <c r="P126" s="35" t="s">
        <v>458</v>
      </c>
    </row>
    <row r="127" spans="3:16" x14ac:dyDescent="0.25">
      <c r="C127" s="39">
        <v>2015</v>
      </c>
      <c r="D127" s="15" t="s">
        <v>297</v>
      </c>
      <c r="E127" s="24" t="s">
        <v>298</v>
      </c>
      <c r="F127" s="25">
        <v>42145</v>
      </c>
      <c r="G127" s="46" t="s">
        <v>299</v>
      </c>
      <c r="H127" s="27">
        <v>1550000</v>
      </c>
      <c r="I127" s="27">
        <v>2333333.33</v>
      </c>
      <c r="J127" s="27"/>
      <c r="K127" s="26">
        <v>0.50537634193548386</v>
      </c>
      <c r="L127" s="11" t="s">
        <v>465</v>
      </c>
      <c r="M127" s="15">
        <v>2</v>
      </c>
      <c r="N127" s="35" t="s">
        <v>93</v>
      </c>
      <c r="O127" s="15">
        <v>2</v>
      </c>
      <c r="P127" s="35" t="s">
        <v>458</v>
      </c>
    </row>
    <row r="128" spans="3:16" x14ac:dyDescent="0.25">
      <c r="C128" s="39">
        <v>2015</v>
      </c>
      <c r="D128" s="15" t="s">
        <v>313</v>
      </c>
      <c r="E128" s="24" t="s">
        <v>314</v>
      </c>
      <c r="F128" s="25">
        <v>42143</v>
      </c>
      <c r="G128" s="46" t="s">
        <v>34</v>
      </c>
      <c r="H128" s="27">
        <v>1263000</v>
      </c>
      <c r="I128" s="27">
        <v>930000</v>
      </c>
      <c r="J128" s="27"/>
      <c r="K128" s="26">
        <v>-0.26365795724465557</v>
      </c>
      <c r="L128" s="11" t="s">
        <v>465</v>
      </c>
      <c r="M128" s="15">
        <v>1</v>
      </c>
      <c r="N128" s="35" t="s">
        <v>93</v>
      </c>
      <c r="O128" s="15">
        <v>2</v>
      </c>
      <c r="P128" s="35" t="s">
        <v>458</v>
      </c>
    </row>
    <row r="129" spans="3:18" x14ac:dyDescent="0.25">
      <c r="C129" s="39">
        <v>2015</v>
      </c>
      <c r="D129" s="15" t="s">
        <v>344</v>
      </c>
      <c r="E129" s="24" t="s">
        <v>345</v>
      </c>
      <c r="F129" s="25">
        <v>42104</v>
      </c>
      <c r="G129" s="46" t="s">
        <v>34</v>
      </c>
      <c r="H129" s="27">
        <v>3760000</v>
      </c>
      <c r="I129" s="27">
        <v>2999293</v>
      </c>
      <c r="J129" s="27"/>
      <c r="K129" s="26">
        <v>-0.20231569148936171</v>
      </c>
      <c r="L129" s="11" t="s">
        <v>464</v>
      </c>
      <c r="M129" s="15">
        <v>10</v>
      </c>
      <c r="N129" s="35" t="s">
        <v>93</v>
      </c>
      <c r="O129" s="15">
        <v>2</v>
      </c>
      <c r="P129" s="35" t="s">
        <v>458</v>
      </c>
    </row>
    <row r="130" spans="3:18" x14ac:dyDescent="0.25">
      <c r="C130" s="39">
        <v>2015</v>
      </c>
      <c r="D130" s="15" t="s">
        <v>421</v>
      </c>
      <c r="E130" s="24" t="s">
        <v>352</v>
      </c>
      <c r="F130" s="25">
        <v>42104</v>
      </c>
      <c r="G130" s="46" t="s">
        <v>34</v>
      </c>
      <c r="H130" s="27">
        <v>1770000</v>
      </c>
      <c r="I130" s="27">
        <v>1397380</v>
      </c>
      <c r="J130" s="27"/>
      <c r="K130" s="26">
        <v>-0.21051977401129943</v>
      </c>
      <c r="L130" s="11" t="s">
        <v>464</v>
      </c>
      <c r="M130" s="15">
        <v>10</v>
      </c>
      <c r="N130" s="35" t="s">
        <v>93</v>
      </c>
      <c r="O130" s="15">
        <v>2</v>
      </c>
      <c r="P130" s="35" t="s">
        <v>458</v>
      </c>
    </row>
    <row r="131" spans="3:18" x14ac:dyDescent="0.25">
      <c r="C131" s="39">
        <v>2015</v>
      </c>
      <c r="D131" s="15" t="s">
        <v>358</v>
      </c>
      <c r="E131" s="24" t="s">
        <v>359</v>
      </c>
      <c r="F131" s="25">
        <v>42103</v>
      </c>
      <c r="G131" s="46" t="s">
        <v>34</v>
      </c>
      <c r="H131" s="27">
        <v>1850000</v>
      </c>
      <c r="I131" s="27">
        <v>2137550</v>
      </c>
      <c r="J131" s="27"/>
      <c r="K131" s="26">
        <v>0.15543243243243243</v>
      </c>
      <c r="L131" s="11" t="s">
        <v>465</v>
      </c>
      <c r="M131" s="15">
        <v>8</v>
      </c>
      <c r="N131" s="35" t="s">
        <v>93</v>
      </c>
      <c r="O131" s="15">
        <v>2</v>
      </c>
      <c r="P131" s="35" t="s">
        <v>458</v>
      </c>
    </row>
    <row r="132" spans="3:18" x14ac:dyDescent="0.25">
      <c r="C132" s="39">
        <v>2015</v>
      </c>
      <c r="D132" s="15" t="s">
        <v>368</v>
      </c>
      <c r="E132" s="24" t="s">
        <v>369</v>
      </c>
      <c r="F132" s="25">
        <v>42102</v>
      </c>
      <c r="G132" s="46" t="s">
        <v>34</v>
      </c>
      <c r="H132" s="27">
        <v>4900000</v>
      </c>
      <c r="I132" s="27">
        <v>3388390</v>
      </c>
      <c r="J132" s="27"/>
      <c r="K132" s="26">
        <v>-0.30849183673469388</v>
      </c>
      <c r="L132" s="11" t="s">
        <v>465</v>
      </c>
      <c r="M132" s="15">
        <v>9</v>
      </c>
      <c r="N132" s="35" t="s">
        <v>93</v>
      </c>
      <c r="O132" s="15">
        <v>2</v>
      </c>
      <c r="P132" s="35" t="s">
        <v>458</v>
      </c>
    </row>
    <row r="133" spans="3:18" x14ac:dyDescent="0.25">
      <c r="C133" s="39">
        <v>2015</v>
      </c>
      <c r="D133" s="15" t="s">
        <v>402</v>
      </c>
      <c r="E133" s="24" t="s">
        <v>403</v>
      </c>
      <c r="F133" s="25">
        <v>42060</v>
      </c>
      <c r="G133" s="46" t="s">
        <v>177</v>
      </c>
      <c r="H133" s="27">
        <v>640000</v>
      </c>
      <c r="I133" s="27">
        <v>574000</v>
      </c>
      <c r="J133" s="27"/>
      <c r="K133" s="26">
        <v>-0.10312499999999999</v>
      </c>
      <c r="L133" s="11" t="s">
        <v>464</v>
      </c>
      <c r="M133" s="15">
        <v>4</v>
      </c>
      <c r="N133" s="35" t="s">
        <v>93</v>
      </c>
      <c r="O133" s="15">
        <v>1</v>
      </c>
      <c r="P133" s="35" t="s">
        <v>458</v>
      </c>
    </row>
    <row r="134" spans="3:18" x14ac:dyDescent="0.25">
      <c r="C134" s="39">
        <v>2015</v>
      </c>
      <c r="D134" s="15" t="s">
        <v>410</v>
      </c>
      <c r="E134" s="24" t="s">
        <v>411</v>
      </c>
      <c r="F134" s="25">
        <v>42057</v>
      </c>
      <c r="G134" s="46" t="s">
        <v>190</v>
      </c>
      <c r="H134" s="27">
        <v>9700000</v>
      </c>
      <c r="I134" s="27">
        <v>8742268</v>
      </c>
      <c r="J134" s="27"/>
      <c r="K134" s="26">
        <v>-9.8735257731958764E-2</v>
      </c>
      <c r="L134" s="11" t="s">
        <v>464</v>
      </c>
      <c r="M134" s="15">
        <v>3</v>
      </c>
      <c r="N134" s="35" t="s">
        <v>93</v>
      </c>
      <c r="O134" s="15">
        <v>1</v>
      </c>
      <c r="P134" s="35" t="s">
        <v>458</v>
      </c>
    </row>
    <row r="135" spans="3:18" x14ac:dyDescent="0.25">
      <c r="C135" s="39">
        <v>2015</v>
      </c>
      <c r="D135" s="15" t="s">
        <v>414</v>
      </c>
      <c r="E135" s="24" t="s">
        <v>415</v>
      </c>
      <c r="F135" s="25">
        <v>42038</v>
      </c>
      <c r="G135" s="46" t="s">
        <v>190</v>
      </c>
      <c r="H135" s="27">
        <v>25770000</v>
      </c>
      <c r="I135" s="27">
        <v>28747550</v>
      </c>
      <c r="J135" s="27"/>
      <c r="K135" s="26">
        <v>0.11554326736515327</v>
      </c>
      <c r="L135" s="11" t="s">
        <v>465</v>
      </c>
      <c r="M135" s="15">
        <v>3</v>
      </c>
      <c r="N135" s="35" t="s">
        <v>93</v>
      </c>
      <c r="O135" s="15">
        <v>1</v>
      </c>
      <c r="P135" s="35" t="s">
        <v>458</v>
      </c>
    </row>
    <row r="136" spans="3:18" x14ac:dyDescent="0.25">
      <c r="C136" s="39">
        <v>2015</v>
      </c>
      <c r="D136" s="15" t="s">
        <v>96</v>
      </c>
      <c r="E136" s="24" t="s">
        <v>97</v>
      </c>
      <c r="F136" s="25">
        <v>42304</v>
      </c>
      <c r="G136" s="46" t="s">
        <v>34</v>
      </c>
      <c r="H136" s="27">
        <v>2420000</v>
      </c>
      <c r="I136" s="27">
        <v>4137000</v>
      </c>
      <c r="J136" s="27"/>
      <c r="K136" s="26">
        <v>0.70950413223140496</v>
      </c>
      <c r="L136" s="11" t="s">
        <v>465</v>
      </c>
      <c r="M136" s="15">
        <v>2</v>
      </c>
      <c r="N136" s="35" t="s">
        <v>93</v>
      </c>
      <c r="O136" s="15">
        <v>4</v>
      </c>
      <c r="P136" s="35" t="s">
        <v>459</v>
      </c>
    </row>
    <row r="137" spans="3:18" x14ac:dyDescent="0.25">
      <c r="C137" s="39"/>
      <c r="G137" s="45"/>
    </row>
    <row r="138" spans="3:18" x14ac:dyDescent="0.25">
      <c r="C138" s="39"/>
      <c r="G138" s="45"/>
    </row>
    <row r="139" spans="3:18" ht="18" customHeight="1" x14ac:dyDescent="0.25">
      <c r="C139" s="39"/>
      <c r="D139" s="15" t="s">
        <v>475</v>
      </c>
      <c r="E139" s="24"/>
      <c r="F139" s="25"/>
      <c r="G139" s="46"/>
      <c r="H139" s="27"/>
      <c r="I139" s="27"/>
      <c r="J139" s="27"/>
      <c r="K139" s="26"/>
      <c r="L139" s="11"/>
      <c r="M139" s="15"/>
      <c r="P139" s="11"/>
    </row>
    <row r="140" spans="3:18" ht="8.25" customHeight="1" x14ac:dyDescent="0.25">
      <c r="C140" s="39"/>
      <c r="D140" s="15"/>
      <c r="E140" s="24"/>
      <c r="F140" s="25"/>
      <c r="G140" s="46"/>
      <c r="H140" s="27"/>
      <c r="I140" s="27"/>
      <c r="J140" s="27"/>
      <c r="K140" s="26"/>
      <c r="L140" s="11"/>
      <c r="M140" s="15"/>
      <c r="P140" s="11"/>
    </row>
    <row r="141" spans="3:18" x14ac:dyDescent="0.25">
      <c r="C141" s="39">
        <v>2015</v>
      </c>
      <c r="D141" s="15" t="s">
        <v>441</v>
      </c>
      <c r="E141" s="24" t="s">
        <v>443</v>
      </c>
      <c r="F141" s="25">
        <v>42355</v>
      </c>
      <c r="G141" s="46" t="s">
        <v>177</v>
      </c>
      <c r="H141" s="27">
        <v>640000</v>
      </c>
      <c r="I141" s="27">
        <v>898000</v>
      </c>
      <c r="J141" s="27"/>
      <c r="K141" s="26">
        <v>0.40312500000000001</v>
      </c>
      <c r="L141" s="11" t="s">
        <v>465</v>
      </c>
      <c r="M141" s="15">
        <v>3</v>
      </c>
      <c r="N141" s="35" t="s">
        <v>25</v>
      </c>
      <c r="O141" s="15">
        <v>4</v>
      </c>
      <c r="P141" s="35" t="s">
        <v>457</v>
      </c>
    </row>
    <row r="142" spans="3:18" x14ac:dyDescent="0.25">
      <c r="C142" s="39">
        <v>2015</v>
      </c>
      <c r="D142" s="15" t="s">
        <v>86</v>
      </c>
      <c r="E142" s="24" t="s">
        <v>416</v>
      </c>
      <c r="F142" s="25">
        <v>42304</v>
      </c>
      <c r="G142" s="46" t="s">
        <v>34</v>
      </c>
      <c r="H142" s="27">
        <v>1340000</v>
      </c>
      <c r="I142" s="27">
        <v>1850000</v>
      </c>
      <c r="J142" s="27"/>
      <c r="K142" s="26">
        <v>0.38059701492537312</v>
      </c>
      <c r="L142" s="11" t="s">
        <v>465</v>
      </c>
      <c r="M142" s="15">
        <v>4</v>
      </c>
      <c r="N142" s="35" t="s">
        <v>25</v>
      </c>
      <c r="O142" s="15">
        <v>4</v>
      </c>
      <c r="P142" s="35" t="s">
        <v>457</v>
      </c>
    </row>
    <row r="143" spans="3:18" x14ac:dyDescent="0.25">
      <c r="C143" s="39">
        <v>2015</v>
      </c>
      <c r="D143" s="15" t="s">
        <v>101</v>
      </c>
      <c r="E143" s="24" t="s">
        <v>211</v>
      </c>
      <c r="F143" s="25">
        <v>42297</v>
      </c>
      <c r="G143" s="46" t="s">
        <v>34</v>
      </c>
      <c r="H143" s="27">
        <v>1290000</v>
      </c>
      <c r="I143" s="27">
        <v>1552600</v>
      </c>
      <c r="J143" s="27"/>
      <c r="K143" s="26">
        <v>0.20356589147286822</v>
      </c>
      <c r="L143" s="11" t="s">
        <v>465</v>
      </c>
      <c r="M143" s="15">
        <v>9</v>
      </c>
      <c r="N143" s="35" t="s">
        <v>25</v>
      </c>
      <c r="O143" s="15">
        <v>4</v>
      </c>
      <c r="P143" s="35" t="s">
        <v>457</v>
      </c>
    </row>
    <row r="144" spans="3:18" x14ac:dyDescent="0.25">
      <c r="C144" s="39">
        <v>2015</v>
      </c>
      <c r="D144" s="15" t="s">
        <v>102</v>
      </c>
      <c r="E144" s="24" t="s">
        <v>228</v>
      </c>
      <c r="F144" s="25">
        <v>42297</v>
      </c>
      <c r="G144" s="46" t="s">
        <v>187</v>
      </c>
      <c r="H144" s="27"/>
      <c r="I144" s="27"/>
      <c r="J144" s="27"/>
      <c r="K144" s="26"/>
      <c r="L144" s="11"/>
      <c r="M144" s="15"/>
      <c r="N144" s="35" t="s">
        <v>25</v>
      </c>
      <c r="O144" s="15">
        <v>4</v>
      </c>
      <c r="P144" s="35" t="s">
        <v>457</v>
      </c>
      <c r="R144" t="s">
        <v>227</v>
      </c>
    </row>
    <row r="145" spans="3:16" x14ac:dyDescent="0.25">
      <c r="C145" s="39">
        <v>2015</v>
      </c>
      <c r="D145" s="15" t="s">
        <v>117</v>
      </c>
      <c r="E145" s="24" t="s">
        <v>118</v>
      </c>
      <c r="F145" s="25">
        <v>42277</v>
      </c>
      <c r="G145" s="46" t="s">
        <v>34</v>
      </c>
      <c r="H145" s="27">
        <v>7000000</v>
      </c>
      <c r="I145" s="27">
        <v>5851111</v>
      </c>
      <c r="J145" s="27"/>
      <c r="K145" s="26">
        <v>-0.164127</v>
      </c>
      <c r="L145" s="11" t="s">
        <v>464</v>
      </c>
      <c r="M145" s="15">
        <v>15</v>
      </c>
      <c r="N145" s="35" t="s">
        <v>25</v>
      </c>
      <c r="O145" s="15">
        <v>3</v>
      </c>
      <c r="P145" s="35" t="s">
        <v>457</v>
      </c>
    </row>
    <row r="146" spans="3:16" x14ac:dyDescent="0.25">
      <c r="C146" s="39">
        <v>2015</v>
      </c>
      <c r="D146" s="15" t="s">
        <v>35</v>
      </c>
      <c r="E146" s="24" t="s">
        <v>36</v>
      </c>
      <c r="F146" s="25">
        <v>42157</v>
      </c>
      <c r="G146" s="46" t="s">
        <v>34</v>
      </c>
      <c r="H146" s="27">
        <v>29100000</v>
      </c>
      <c r="I146" s="27">
        <v>30452500</v>
      </c>
      <c r="J146" s="27"/>
      <c r="K146" s="26">
        <v>4.6477663230240551E-2</v>
      </c>
      <c r="L146" s="11" t="s">
        <v>464</v>
      </c>
      <c r="M146" s="15">
        <v>11</v>
      </c>
      <c r="N146" s="35" t="s">
        <v>25</v>
      </c>
      <c r="O146" s="15">
        <v>2</v>
      </c>
      <c r="P146" s="35" t="s">
        <v>457</v>
      </c>
    </row>
    <row r="147" spans="3:16" x14ac:dyDescent="0.25">
      <c r="C147" s="39">
        <v>2015</v>
      </c>
      <c r="D147" s="15" t="s">
        <v>45</v>
      </c>
      <c r="E147" s="24" t="s">
        <v>46</v>
      </c>
      <c r="F147" s="25">
        <v>42145</v>
      </c>
      <c r="G147" s="46" t="s">
        <v>34</v>
      </c>
      <c r="H147" s="27">
        <v>6400000</v>
      </c>
      <c r="I147" s="27">
        <v>5777000</v>
      </c>
      <c r="J147" s="27"/>
      <c r="K147" s="26">
        <v>-9.7343750000000007E-2</v>
      </c>
      <c r="L147" s="11" t="s">
        <v>464</v>
      </c>
      <c r="M147" s="15">
        <v>7</v>
      </c>
      <c r="N147" s="35" t="s">
        <v>25</v>
      </c>
      <c r="O147" s="15">
        <v>2</v>
      </c>
      <c r="P147" s="35" t="s">
        <v>457</v>
      </c>
    </row>
    <row r="148" spans="3:16" x14ac:dyDescent="0.25">
      <c r="C148" s="39">
        <v>2015</v>
      </c>
      <c r="D148" s="15" t="s">
        <v>334</v>
      </c>
      <c r="E148" s="24" t="s">
        <v>335</v>
      </c>
      <c r="F148" s="25">
        <v>42108</v>
      </c>
      <c r="G148" s="46" t="s">
        <v>34</v>
      </c>
      <c r="H148" s="27">
        <v>2320000</v>
      </c>
      <c r="I148" s="27">
        <v>1550780</v>
      </c>
      <c r="J148" s="27"/>
      <c r="K148" s="26">
        <v>-0.33156034482758623</v>
      </c>
      <c r="L148" s="11" t="s">
        <v>464</v>
      </c>
      <c r="M148" s="15">
        <v>9</v>
      </c>
      <c r="N148" s="35" t="s">
        <v>25</v>
      </c>
      <c r="O148" s="15">
        <v>2</v>
      </c>
      <c r="P148" s="35" t="s">
        <v>457</v>
      </c>
    </row>
    <row r="149" spans="3:16" x14ac:dyDescent="0.25">
      <c r="C149" s="39">
        <v>2015</v>
      </c>
      <c r="D149" s="15" t="s">
        <v>372</v>
      </c>
      <c r="E149" s="24" t="s">
        <v>373</v>
      </c>
      <c r="F149" s="25">
        <v>42102</v>
      </c>
      <c r="G149" s="46" t="s">
        <v>374</v>
      </c>
      <c r="H149" s="27">
        <v>1300000</v>
      </c>
      <c r="I149" s="27">
        <v>878175</v>
      </c>
      <c r="J149" s="27"/>
      <c r="K149" s="26">
        <v>-0.32448076923076924</v>
      </c>
      <c r="L149" s="11" t="s">
        <v>464</v>
      </c>
      <c r="M149" s="15">
        <v>7</v>
      </c>
      <c r="N149" s="35" t="s">
        <v>25</v>
      </c>
      <c r="O149" s="15">
        <v>2</v>
      </c>
      <c r="P149" s="35" t="s">
        <v>457</v>
      </c>
    </row>
    <row r="150" spans="3:16" x14ac:dyDescent="0.25">
      <c r="C150" s="39">
        <v>2015</v>
      </c>
      <c r="D150" s="15" t="s">
        <v>388</v>
      </c>
      <c r="E150" s="24" t="s">
        <v>389</v>
      </c>
      <c r="F150" s="25">
        <v>42072</v>
      </c>
      <c r="G150" s="46" t="s">
        <v>34</v>
      </c>
      <c r="H150" s="27">
        <v>9600000</v>
      </c>
      <c r="I150" s="27">
        <v>6748000</v>
      </c>
      <c r="J150" s="27"/>
      <c r="K150" s="26">
        <v>-0.29708333333333331</v>
      </c>
      <c r="L150" s="11" t="s">
        <v>464</v>
      </c>
      <c r="M150" s="15">
        <v>12</v>
      </c>
      <c r="N150" s="35" t="s">
        <v>25</v>
      </c>
      <c r="O150" s="15">
        <v>1</v>
      </c>
      <c r="P150" s="35" t="s">
        <v>457</v>
      </c>
    </row>
    <row r="151" spans="3:16" x14ac:dyDescent="0.25">
      <c r="C151" s="39">
        <v>2015</v>
      </c>
      <c r="D151" s="15" t="s">
        <v>188</v>
      </c>
      <c r="E151" s="24" t="s">
        <v>189</v>
      </c>
      <c r="F151" s="25">
        <v>42310</v>
      </c>
      <c r="G151" s="46" t="s">
        <v>190</v>
      </c>
      <c r="H151" s="27">
        <v>7055100</v>
      </c>
      <c r="I151" s="27">
        <v>5774440</v>
      </c>
      <c r="J151" s="27"/>
      <c r="K151" s="26">
        <v>-0.18152258649771089</v>
      </c>
      <c r="L151" s="11" t="s">
        <v>465</v>
      </c>
      <c r="M151" s="15">
        <v>3</v>
      </c>
      <c r="N151" s="35" t="s">
        <v>25</v>
      </c>
      <c r="O151" s="15">
        <v>4</v>
      </c>
      <c r="P151" s="35" t="s">
        <v>458</v>
      </c>
    </row>
    <row r="152" spans="3:16" x14ac:dyDescent="0.25">
      <c r="C152" s="39">
        <v>2015</v>
      </c>
      <c r="D152" s="15" t="s">
        <v>106</v>
      </c>
      <c r="E152" s="24" t="s">
        <v>107</v>
      </c>
      <c r="F152" s="25">
        <v>42292</v>
      </c>
      <c r="G152" s="46" t="s">
        <v>34</v>
      </c>
      <c r="H152" s="27">
        <v>3650000</v>
      </c>
      <c r="I152" s="27">
        <v>3270000</v>
      </c>
      <c r="J152" s="27"/>
      <c r="K152" s="26">
        <v>-0.10410958904109589</v>
      </c>
      <c r="L152" s="11" t="s">
        <v>464</v>
      </c>
      <c r="M152" s="15">
        <v>6</v>
      </c>
      <c r="N152" s="35" t="s">
        <v>25</v>
      </c>
      <c r="O152" s="15">
        <v>4</v>
      </c>
      <c r="P152" s="35" t="s">
        <v>458</v>
      </c>
    </row>
    <row r="153" spans="3:16" x14ac:dyDescent="0.25">
      <c r="C153" s="39">
        <v>2015</v>
      </c>
      <c r="D153" s="15" t="s">
        <v>176</v>
      </c>
      <c r="E153" s="24" t="s">
        <v>417</v>
      </c>
      <c r="F153" s="25">
        <v>42256</v>
      </c>
      <c r="G153" s="46" t="s">
        <v>177</v>
      </c>
      <c r="H153" s="27">
        <v>325000</v>
      </c>
      <c r="I153" s="27">
        <v>377777</v>
      </c>
      <c r="J153" s="27"/>
      <c r="K153" s="26">
        <v>0.16239076923076923</v>
      </c>
      <c r="L153" s="11" t="s">
        <v>465</v>
      </c>
      <c r="M153" s="15">
        <v>6</v>
      </c>
      <c r="N153" s="35" t="s">
        <v>25</v>
      </c>
      <c r="O153" s="15">
        <v>3</v>
      </c>
      <c r="P153" s="35" t="s">
        <v>458</v>
      </c>
    </row>
    <row r="154" spans="3:16" x14ac:dyDescent="0.25">
      <c r="C154" s="39">
        <v>2015</v>
      </c>
      <c r="D154" s="15" t="s">
        <v>235</v>
      </c>
      <c r="E154" s="24" t="s">
        <v>236</v>
      </c>
      <c r="F154" s="25">
        <v>42234</v>
      </c>
      <c r="G154" s="46" t="s">
        <v>177</v>
      </c>
      <c r="H154" s="27">
        <v>354000</v>
      </c>
      <c r="I154" s="27">
        <v>396811</v>
      </c>
      <c r="J154" s="27"/>
      <c r="K154" s="26">
        <v>0.12093502824858757</v>
      </c>
      <c r="L154" s="11" t="s">
        <v>465</v>
      </c>
      <c r="M154" s="15">
        <v>3</v>
      </c>
      <c r="N154" s="35" t="s">
        <v>25</v>
      </c>
      <c r="O154" s="15">
        <v>3</v>
      </c>
      <c r="P154" s="35" t="s">
        <v>458</v>
      </c>
    </row>
    <row r="155" spans="3:16" x14ac:dyDescent="0.25">
      <c r="C155" s="39">
        <v>2015</v>
      </c>
      <c r="D155" s="15" t="s">
        <v>241</v>
      </c>
      <c r="E155" s="24" t="s">
        <v>242</v>
      </c>
      <c r="F155" s="25">
        <v>42213</v>
      </c>
      <c r="G155" s="46" t="s">
        <v>34</v>
      </c>
      <c r="H155" s="27">
        <v>1918000</v>
      </c>
      <c r="I155" s="27">
        <v>1389000</v>
      </c>
      <c r="J155" s="27"/>
      <c r="K155" s="26">
        <v>-0.27580813347236705</v>
      </c>
      <c r="L155" s="11" t="s">
        <v>464</v>
      </c>
      <c r="M155" s="15">
        <v>12</v>
      </c>
      <c r="N155" s="35" t="s">
        <v>25</v>
      </c>
      <c r="O155" s="15">
        <v>3</v>
      </c>
      <c r="P155" s="35" t="s">
        <v>458</v>
      </c>
    </row>
    <row r="156" spans="3:16" x14ac:dyDescent="0.25">
      <c r="C156" s="39">
        <v>2015</v>
      </c>
      <c r="D156" s="15" t="s">
        <v>315</v>
      </c>
      <c r="E156" s="24" t="s">
        <v>316</v>
      </c>
      <c r="F156" s="25">
        <v>42115</v>
      </c>
      <c r="G156" s="46" t="s">
        <v>34</v>
      </c>
      <c r="H156" s="27">
        <v>735000</v>
      </c>
      <c r="I156" s="27">
        <v>512568</v>
      </c>
      <c r="J156" s="27"/>
      <c r="K156" s="26">
        <v>-0.30262857142857141</v>
      </c>
      <c r="L156" s="11" t="s">
        <v>464</v>
      </c>
      <c r="M156" s="15">
        <v>9</v>
      </c>
      <c r="N156" s="35" t="s">
        <v>25</v>
      </c>
      <c r="O156" s="15">
        <v>2</v>
      </c>
      <c r="P156" s="35" t="s">
        <v>458</v>
      </c>
    </row>
    <row r="157" spans="3:16" x14ac:dyDescent="0.25">
      <c r="C157" s="39">
        <v>2015</v>
      </c>
      <c r="D157" s="15" t="s">
        <v>309</v>
      </c>
      <c r="E157" s="24" t="s">
        <v>310</v>
      </c>
      <c r="F157" s="25">
        <v>42144</v>
      </c>
      <c r="G157" s="46" t="s">
        <v>34</v>
      </c>
      <c r="H157" s="27">
        <v>3340000</v>
      </c>
      <c r="I157" s="27">
        <v>4538160</v>
      </c>
      <c r="J157" s="27"/>
      <c r="K157" s="26">
        <v>0.35873053892215567</v>
      </c>
      <c r="L157" s="11" t="s">
        <v>465</v>
      </c>
      <c r="M157" s="15">
        <v>3</v>
      </c>
      <c r="N157" s="35" t="s">
        <v>25</v>
      </c>
      <c r="O157" s="15">
        <v>2</v>
      </c>
      <c r="P157" s="35" t="s">
        <v>459</v>
      </c>
    </row>
    <row r="158" spans="3:16" x14ac:dyDescent="0.25">
      <c r="C158" s="39"/>
    </row>
    <row r="159" spans="3:16" x14ac:dyDescent="0.25">
      <c r="C159" s="39"/>
    </row>
    <row r="160" spans="3:16" x14ac:dyDescent="0.25">
      <c r="C160" s="39"/>
    </row>
    <row r="161" spans="3:22" ht="18" customHeight="1" x14ac:dyDescent="0.25">
      <c r="C161" s="39"/>
      <c r="D161" s="15" t="s">
        <v>477</v>
      </c>
      <c r="E161" s="24"/>
      <c r="F161" s="25"/>
      <c r="G161" s="46"/>
      <c r="H161" s="27"/>
      <c r="I161" s="27"/>
      <c r="J161" s="27"/>
      <c r="K161" s="26"/>
      <c r="L161" s="11"/>
      <c r="M161" s="15"/>
      <c r="P161" s="11"/>
    </row>
    <row r="162" spans="3:22" ht="8.25" customHeight="1" x14ac:dyDescent="0.25">
      <c r="C162" s="39"/>
      <c r="D162" s="15"/>
      <c r="E162" s="24"/>
      <c r="F162" s="25"/>
      <c r="G162" s="46"/>
      <c r="H162" s="27"/>
      <c r="I162" s="27"/>
      <c r="J162" s="27"/>
      <c r="K162" s="26"/>
      <c r="L162" s="11"/>
      <c r="M162" s="15"/>
      <c r="P162" s="11"/>
    </row>
    <row r="163" spans="3:22" x14ac:dyDescent="0.25">
      <c r="C163" s="39">
        <v>2015</v>
      </c>
      <c r="D163" s="15" t="s">
        <v>441</v>
      </c>
      <c r="E163" s="24" t="s">
        <v>443</v>
      </c>
      <c r="F163" s="25">
        <v>42355</v>
      </c>
      <c r="G163" s="46" t="s">
        <v>177</v>
      </c>
      <c r="H163" s="27">
        <v>640000</v>
      </c>
      <c r="I163" s="27">
        <v>898000</v>
      </c>
      <c r="J163" s="27"/>
      <c r="K163" s="26">
        <v>0.40312500000000001</v>
      </c>
      <c r="L163" s="11" t="s">
        <v>465</v>
      </c>
      <c r="M163" s="15">
        <v>3</v>
      </c>
      <c r="N163" s="35" t="s">
        <v>25</v>
      </c>
      <c r="O163" s="15">
        <v>4</v>
      </c>
      <c r="P163" s="35" t="s">
        <v>457</v>
      </c>
      <c r="Q163" s="15"/>
      <c r="R163" s="24"/>
      <c r="S163" s="15"/>
      <c r="T163" s="15"/>
      <c r="U163" s="15"/>
      <c r="V163" s="15"/>
    </row>
    <row r="164" spans="3:22" x14ac:dyDescent="0.25">
      <c r="C164" s="39">
        <v>2015</v>
      </c>
      <c r="D164" s="15" t="s">
        <v>86</v>
      </c>
      <c r="E164" s="24" t="s">
        <v>416</v>
      </c>
      <c r="F164" s="25">
        <v>42304</v>
      </c>
      <c r="G164" s="46" t="s">
        <v>34</v>
      </c>
      <c r="H164" s="27">
        <v>1340000</v>
      </c>
      <c r="I164" s="27">
        <v>1850000</v>
      </c>
      <c r="J164" s="27"/>
      <c r="K164" s="26">
        <v>0.38059701492537312</v>
      </c>
      <c r="L164" s="11" t="s">
        <v>465</v>
      </c>
      <c r="M164" s="15">
        <v>4</v>
      </c>
      <c r="N164" s="35" t="s">
        <v>25</v>
      </c>
      <c r="O164" s="15">
        <v>4</v>
      </c>
      <c r="P164" s="35" t="s">
        <v>457</v>
      </c>
      <c r="Q164" s="15"/>
      <c r="R164" s="24"/>
      <c r="S164" s="15"/>
      <c r="T164" s="15"/>
      <c r="U164" s="15"/>
      <c r="V164" s="15"/>
    </row>
    <row r="165" spans="3:22" x14ac:dyDescent="0.25">
      <c r="C165" s="39">
        <v>2015</v>
      </c>
      <c r="D165" s="15" t="s">
        <v>101</v>
      </c>
      <c r="E165" s="24" t="s">
        <v>211</v>
      </c>
      <c r="F165" s="25">
        <v>42297</v>
      </c>
      <c r="G165" s="46" t="s">
        <v>34</v>
      </c>
      <c r="H165" s="27">
        <v>1290000</v>
      </c>
      <c r="I165" s="27">
        <v>1552600</v>
      </c>
      <c r="J165" s="27"/>
      <c r="K165" s="26">
        <v>0.20356589147286822</v>
      </c>
      <c r="L165" s="11" t="s">
        <v>465</v>
      </c>
      <c r="M165" s="15">
        <v>9</v>
      </c>
      <c r="N165" s="35" t="s">
        <v>25</v>
      </c>
      <c r="O165" s="15">
        <v>4</v>
      </c>
      <c r="P165" s="35" t="s">
        <v>457</v>
      </c>
      <c r="Q165" s="15"/>
      <c r="R165" s="24"/>
      <c r="S165" s="15"/>
      <c r="T165" s="15"/>
      <c r="U165" s="15"/>
      <c r="V165" s="15"/>
    </row>
    <row r="166" spans="3:22" x14ac:dyDescent="0.25">
      <c r="C166" s="39">
        <v>2015</v>
      </c>
      <c r="D166" s="15" t="s">
        <v>279</v>
      </c>
      <c r="E166" s="24" t="s">
        <v>280</v>
      </c>
      <c r="F166" s="25">
        <v>42159</v>
      </c>
      <c r="G166" s="46" t="s">
        <v>34</v>
      </c>
      <c r="H166" s="27">
        <v>1600000</v>
      </c>
      <c r="I166" s="27">
        <v>1298005</v>
      </c>
      <c r="J166" s="27"/>
      <c r="K166" s="26">
        <v>-0.18874687500000001</v>
      </c>
      <c r="L166" s="11" t="s">
        <v>464</v>
      </c>
      <c r="M166" s="15">
        <v>6</v>
      </c>
      <c r="N166" s="35" t="s">
        <v>93</v>
      </c>
      <c r="O166" s="15">
        <v>2</v>
      </c>
      <c r="P166" s="35" t="s">
        <v>457</v>
      </c>
      <c r="Q166" s="15"/>
      <c r="R166" s="15"/>
      <c r="S166" s="15"/>
      <c r="T166" s="15"/>
      <c r="U166" s="15"/>
      <c r="V166" s="15"/>
    </row>
    <row r="167" spans="3:22" x14ac:dyDescent="0.25">
      <c r="C167" s="39">
        <v>2015</v>
      </c>
      <c r="D167" s="15" t="s">
        <v>418</v>
      </c>
      <c r="E167" s="24" t="s">
        <v>419</v>
      </c>
      <c r="F167" s="25">
        <v>42142</v>
      </c>
      <c r="G167" s="46" t="s">
        <v>299</v>
      </c>
      <c r="H167" s="27">
        <v>830000</v>
      </c>
      <c r="I167" s="27">
        <v>1650000</v>
      </c>
      <c r="J167" s="27"/>
      <c r="K167" s="26">
        <v>0.98795180722891562</v>
      </c>
      <c r="L167" s="11" t="s">
        <v>465</v>
      </c>
      <c r="M167" s="15">
        <v>1</v>
      </c>
      <c r="N167" s="35" t="s">
        <v>226</v>
      </c>
      <c r="O167" s="15">
        <v>2</v>
      </c>
      <c r="P167" s="35" t="s">
        <v>457</v>
      </c>
    </row>
    <row r="168" spans="3:22" x14ac:dyDescent="0.25">
      <c r="C168" s="39">
        <v>2015</v>
      </c>
      <c r="D168" s="15" t="s">
        <v>334</v>
      </c>
      <c r="E168" s="24" t="s">
        <v>335</v>
      </c>
      <c r="F168" s="25">
        <v>42108</v>
      </c>
      <c r="G168" s="46" t="s">
        <v>34</v>
      </c>
      <c r="H168" s="27">
        <v>2320000</v>
      </c>
      <c r="I168" s="27">
        <v>1550780</v>
      </c>
      <c r="J168" s="27"/>
      <c r="K168" s="26">
        <v>-0.33156034482758623</v>
      </c>
      <c r="L168" s="11" t="s">
        <v>464</v>
      </c>
      <c r="M168" s="15">
        <v>9</v>
      </c>
      <c r="N168" s="11" t="s">
        <v>25</v>
      </c>
      <c r="O168" s="15">
        <v>2</v>
      </c>
      <c r="P168" s="35" t="s">
        <v>457</v>
      </c>
    </row>
    <row r="169" spans="3:22" x14ac:dyDescent="0.25">
      <c r="C169" s="39">
        <v>2015</v>
      </c>
      <c r="D169" s="15" t="s">
        <v>372</v>
      </c>
      <c r="E169" s="24" t="s">
        <v>373</v>
      </c>
      <c r="F169" s="25">
        <v>42102</v>
      </c>
      <c r="G169" s="46" t="s">
        <v>374</v>
      </c>
      <c r="H169" s="27">
        <v>1300000</v>
      </c>
      <c r="I169" s="27">
        <v>878175</v>
      </c>
      <c r="J169" s="27"/>
      <c r="K169" s="26">
        <v>-0.32448076923076924</v>
      </c>
      <c r="L169" s="11" t="s">
        <v>464</v>
      </c>
      <c r="M169" s="15">
        <v>7</v>
      </c>
      <c r="N169" s="11" t="s">
        <v>25</v>
      </c>
      <c r="O169" s="15">
        <v>2</v>
      </c>
      <c r="P169" s="35" t="s">
        <v>457</v>
      </c>
    </row>
    <row r="170" spans="3:22" x14ac:dyDescent="0.25">
      <c r="C170" s="39">
        <v>2015</v>
      </c>
      <c r="D170" s="15" t="s">
        <v>425</v>
      </c>
      <c r="E170" s="24" t="s">
        <v>426</v>
      </c>
      <c r="F170" s="25">
        <v>42338</v>
      </c>
      <c r="G170" s="46" t="s">
        <v>34</v>
      </c>
      <c r="H170" s="27">
        <v>1200000</v>
      </c>
      <c r="I170" s="27">
        <v>1222222</v>
      </c>
      <c r="J170" s="27"/>
      <c r="K170" s="26">
        <v>1.8518333333333335E-2</v>
      </c>
      <c r="L170" s="11" t="s">
        <v>464</v>
      </c>
      <c r="M170" s="15">
        <v>6</v>
      </c>
      <c r="N170" s="35" t="s">
        <v>93</v>
      </c>
      <c r="O170" s="15">
        <v>4</v>
      </c>
      <c r="P170" s="35" t="s">
        <v>458</v>
      </c>
      <c r="Q170" s="15"/>
      <c r="R170" s="24"/>
      <c r="S170" s="15"/>
      <c r="T170" s="15"/>
      <c r="U170" s="15"/>
      <c r="V170" s="15"/>
    </row>
    <row r="171" spans="3:22" x14ac:dyDescent="0.25">
      <c r="C171" s="39">
        <v>2015</v>
      </c>
      <c r="D171" s="15" t="s">
        <v>176</v>
      </c>
      <c r="E171" s="24" t="s">
        <v>417</v>
      </c>
      <c r="F171" s="25">
        <v>42256</v>
      </c>
      <c r="G171" s="46" t="s">
        <v>177</v>
      </c>
      <c r="H171" s="27">
        <v>325000</v>
      </c>
      <c r="I171" s="27">
        <v>377777</v>
      </c>
      <c r="J171" s="27"/>
      <c r="K171" s="26">
        <v>0.16239076923076923</v>
      </c>
      <c r="L171" s="11" t="s">
        <v>465</v>
      </c>
      <c r="M171" s="15">
        <v>6</v>
      </c>
      <c r="N171" s="35" t="s">
        <v>25</v>
      </c>
      <c r="O171" s="15">
        <v>3</v>
      </c>
      <c r="P171" s="35" t="s">
        <v>458</v>
      </c>
      <c r="Q171" s="15"/>
      <c r="R171" s="24"/>
      <c r="S171" s="15"/>
      <c r="T171" s="15"/>
      <c r="U171" s="15"/>
      <c r="V171" s="15"/>
    </row>
    <row r="172" spans="3:22" x14ac:dyDescent="0.25">
      <c r="C172" s="39">
        <v>2015</v>
      </c>
      <c r="D172" s="15" t="s">
        <v>6</v>
      </c>
      <c r="E172" s="24" t="s">
        <v>7</v>
      </c>
      <c r="F172" s="25">
        <v>42243</v>
      </c>
      <c r="G172" s="46" t="s">
        <v>34</v>
      </c>
      <c r="H172" s="27">
        <v>1650000</v>
      </c>
      <c r="I172" s="27">
        <v>1898000</v>
      </c>
      <c r="J172" s="27"/>
      <c r="K172" s="26">
        <v>0.1503030303030303</v>
      </c>
      <c r="L172" s="11" t="s">
        <v>465</v>
      </c>
      <c r="M172" s="15">
        <v>4</v>
      </c>
      <c r="N172" s="35" t="s">
        <v>93</v>
      </c>
      <c r="O172" s="15">
        <v>3</v>
      </c>
      <c r="P172" s="35" t="s">
        <v>458</v>
      </c>
      <c r="Q172" s="15"/>
      <c r="R172" s="24"/>
      <c r="S172" s="15"/>
      <c r="T172" s="15"/>
      <c r="U172" s="15"/>
      <c r="V172" s="15"/>
    </row>
    <row r="173" spans="3:22" x14ac:dyDescent="0.25">
      <c r="C173" s="39">
        <v>2015</v>
      </c>
      <c r="D173" s="15" t="s">
        <v>235</v>
      </c>
      <c r="E173" s="24" t="s">
        <v>236</v>
      </c>
      <c r="F173" s="25">
        <v>42234</v>
      </c>
      <c r="G173" s="46" t="s">
        <v>177</v>
      </c>
      <c r="H173" s="27">
        <v>354000</v>
      </c>
      <c r="I173" s="27">
        <v>396811</v>
      </c>
      <c r="J173" s="27"/>
      <c r="K173" s="26">
        <v>0.12093502824858757</v>
      </c>
      <c r="L173" s="11" t="s">
        <v>465</v>
      </c>
      <c r="M173" s="15">
        <v>3</v>
      </c>
      <c r="N173" s="35" t="s">
        <v>25</v>
      </c>
      <c r="O173" s="15">
        <v>3</v>
      </c>
      <c r="P173" s="35" t="s">
        <v>458</v>
      </c>
      <c r="Q173" s="15"/>
      <c r="R173" s="24"/>
      <c r="S173" s="15"/>
      <c r="T173" s="15"/>
      <c r="U173" s="15"/>
      <c r="V173" s="15"/>
    </row>
    <row r="174" spans="3:22" x14ac:dyDescent="0.25">
      <c r="C174" s="39">
        <v>2015</v>
      </c>
      <c r="D174" s="15" t="s">
        <v>241</v>
      </c>
      <c r="E174" s="24" t="s">
        <v>242</v>
      </c>
      <c r="F174" s="25">
        <v>42213</v>
      </c>
      <c r="G174" s="46" t="s">
        <v>34</v>
      </c>
      <c r="H174" s="27">
        <v>1918000</v>
      </c>
      <c r="I174" s="27">
        <v>1389000</v>
      </c>
      <c r="J174" s="27"/>
      <c r="K174" s="26">
        <v>-0.27580813347236705</v>
      </c>
      <c r="L174" s="11" t="s">
        <v>464</v>
      </c>
      <c r="M174" s="15">
        <v>12</v>
      </c>
      <c r="N174" s="35" t="s">
        <v>25</v>
      </c>
      <c r="O174" s="15">
        <v>3</v>
      </c>
      <c r="P174" s="35" t="s">
        <v>458</v>
      </c>
      <c r="Q174" s="15"/>
      <c r="R174" s="24"/>
      <c r="S174" s="15"/>
      <c r="T174" s="15"/>
      <c r="U174" s="15"/>
      <c r="V174" s="15"/>
    </row>
    <row r="175" spans="3:22" x14ac:dyDescent="0.25">
      <c r="C175" s="39">
        <v>2015</v>
      </c>
      <c r="D175" s="15" t="s">
        <v>258</v>
      </c>
      <c r="E175" s="24" t="s">
        <v>259</v>
      </c>
      <c r="F175" s="25">
        <v>42209</v>
      </c>
      <c r="G175" s="46" t="s">
        <v>34</v>
      </c>
      <c r="H175" s="27">
        <v>4100000</v>
      </c>
      <c r="I175" s="27">
        <v>1775000</v>
      </c>
      <c r="J175" s="27"/>
      <c r="K175" s="26">
        <v>-0.56707317073170727</v>
      </c>
      <c r="L175" s="11" t="s">
        <v>465</v>
      </c>
      <c r="M175" s="15">
        <v>7</v>
      </c>
      <c r="N175" s="35" t="s">
        <v>93</v>
      </c>
      <c r="O175" s="15">
        <v>3</v>
      </c>
      <c r="P175" s="35" t="s">
        <v>458</v>
      </c>
      <c r="Q175" s="15"/>
      <c r="R175" s="24"/>
      <c r="S175" s="15"/>
      <c r="T175" s="15"/>
      <c r="U175" s="15"/>
      <c r="V175" s="15"/>
    </row>
    <row r="176" spans="3:22" x14ac:dyDescent="0.25">
      <c r="C176" s="39">
        <v>2015</v>
      </c>
      <c r="D176" s="15" t="s">
        <v>313</v>
      </c>
      <c r="E176" s="24" t="s">
        <v>314</v>
      </c>
      <c r="F176" s="25">
        <v>42143</v>
      </c>
      <c r="G176" s="46" t="s">
        <v>34</v>
      </c>
      <c r="H176" s="27">
        <v>1263000</v>
      </c>
      <c r="I176" s="27">
        <v>930000</v>
      </c>
      <c r="J176" s="27"/>
      <c r="K176" s="26">
        <v>-0.26365795724465557</v>
      </c>
      <c r="L176" s="11" t="s">
        <v>465</v>
      </c>
      <c r="M176" s="15">
        <v>1</v>
      </c>
      <c r="N176" s="11" t="s">
        <v>93</v>
      </c>
      <c r="O176" s="15">
        <v>2</v>
      </c>
      <c r="P176" s="35" t="s">
        <v>458</v>
      </c>
    </row>
    <row r="177" spans="3:22" x14ac:dyDescent="0.25">
      <c r="C177" s="39">
        <v>2015</v>
      </c>
      <c r="D177" s="15" t="s">
        <v>315</v>
      </c>
      <c r="E177" s="24" t="s">
        <v>316</v>
      </c>
      <c r="F177" s="25">
        <v>42115</v>
      </c>
      <c r="G177" s="46" t="s">
        <v>34</v>
      </c>
      <c r="H177" s="27">
        <v>735000</v>
      </c>
      <c r="I177" s="27">
        <v>512568</v>
      </c>
      <c r="J177" s="27"/>
      <c r="K177" s="26">
        <v>-0.30262857142857141</v>
      </c>
      <c r="L177" s="11" t="s">
        <v>464</v>
      </c>
      <c r="M177" s="15">
        <v>9</v>
      </c>
      <c r="N177" s="11" t="s">
        <v>25</v>
      </c>
      <c r="O177" s="15">
        <v>2</v>
      </c>
      <c r="P177" s="35" t="s">
        <v>458</v>
      </c>
    </row>
    <row r="178" spans="3:22" x14ac:dyDescent="0.25">
      <c r="C178" s="39">
        <v>2015</v>
      </c>
      <c r="D178" s="15" t="s">
        <v>421</v>
      </c>
      <c r="E178" s="24" t="s">
        <v>352</v>
      </c>
      <c r="F178" s="25">
        <v>42104</v>
      </c>
      <c r="G178" s="46" t="s">
        <v>34</v>
      </c>
      <c r="H178" s="27">
        <v>1770000</v>
      </c>
      <c r="I178" s="27">
        <v>1397380</v>
      </c>
      <c r="J178" s="27"/>
      <c r="K178" s="26">
        <v>-0.21051977401129943</v>
      </c>
      <c r="L178" s="11" t="s">
        <v>464</v>
      </c>
      <c r="M178" s="15">
        <v>10</v>
      </c>
      <c r="N178" s="11" t="s">
        <v>93</v>
      </c>
      <c r="O178" s="15">
        <v>2</v>
      </c>
      <c r="P178" s="35" t="s">
        <v>458</v>
      </c>
    </row>
    <row r="179" spans="3:22" x14ac:dyDescent="0.25">
      <c r="C179" s="39">
        <v>2015</v>
      </c>
      <c r="D179" s="15" t="s">
        <v>402</v>
      </c>
      <c r="E179" s="24" t="s">
        <v>403</v>
      </c>
      <c r="F179" s="25">
        <v>42060</v>
      </c>
      <c r="G179" s="46" t="s">
        <v>177</v>
      </c>
      <c r="H179" s="27">
        <v>640000</v>
      </c>
      <c r="I179" s="27">
        <v>574000</v>
      </c>
      <c r="J179" s="27"/>
      <c r="K179" s="26">
        <v>-0.10312499999999999</v>
      </c>
      <c r="L179" s="11" t="s">
        <v>464</v>
      </c>
      <c r="M179" s="15">
        <v>4</v>
      </c>
      <c r="N179" s="11" t="s">
        <v>93</v>
      </c>
      <c r="O179" s="15">
        <v>1</v>
      </c>
      <c r="P179" s="35" t="s">
        <v>458</v>
      </c>
    </row>
    <row r="180" spans="3:22" x14ac:dyDescent="0.25">
      <c r="C180" s="39">
        <v>2015</v>
      </c>
      <c r="D180" s="15" t="s">
        <v>420</v>
      </c>
      <c r="E180" s="24" t="s">
        <v>342</v>
      </c>
      <c r="F180" s="25">
        <v>42108</v>
      </c>
      <c r="G180" s="46" t="s">
        <v>190</v>
      </c>
      <c r="H180" s="27">
        <v>521000</v>
      </c>
      <c r="I180" s="27">
        <v>1840000</v>
      </c>
      <c r="J180" s="27"/>
      <c r="K180" s="26">
        <v>2.5316698656429941</v>
      </c>
      <c r="L180" s="11" t="s">
        <v>465</v>
      </c>
      <c r="M180" s="15">
        <v>3</v>
      </c>
      <c r="N180" s="35" t="s">
        <v>226</v>
      </c>
      <c r="O180" s="15">
        <v>2</v>
      </c>
      <c r="P180" s="35" t="s">
        <v>459</v>
      </c>
    </row>
    <row r="181" spans="3:22" x14ac:dyDescent="0.25">
      <c r="C181" s="39"/>
    </row>
    <row r="182" spans="3:22" x14ac:dyDescent="0.25">
      <c r="C182" s="39"/>
    </row>
    <row r="183" spans="3:22" x14ac:dyDescent="0.25">
      <c r="C183" s="39"/>
    </row>
    <row r="184" spans="3:22" x14ac:dyDescent="0.25">
      <c r="C184" s="39"/>
    </row>
    <row r="185" spans="3:22" ht="18" customHeight="1" x14ac:dyDescent="0.25">
      <c r="C185" s="39"/>
      <c r="D185" s="15" t="s">
        <v>478</v>
      </c>
      <c r="E185" s="24"/>
      <c r="F185" s="25"/>
      <c r="G185" s="46"/>
      <c r="H185" s="27"/>
      <c r="I185" s="27"/>
      <c r="J185" s="27"/>
      <c r="K185" s="26"/>
      <c r="L185" s="11"/>
      <c r="M185" s="15"/>
      <c r="P185" s="11"/>
    </row>
    <row r="186" spans="3:22" ht="8.25" customHeight="1" x14ac:dyDescent="0.25">
      <c r="C186" s="39"/>
      <c r="D186" s="15"/>
      <c r="E186" s="24"/>
      <c r="F186" s="25"/>
      <c r="G186" s="46"/>
      <c r="H186" s="27"/>
      <c r="I186" s="27"/>
      <c r="J186" s="27"/>
      <c r="K186" s="26"/>
      <c r="L186" s="11"/>
      <c r="M186" s="15"/>
      <c r="P186" s="11"/>
    </row>
    <row r="187" spans="3:22" x14ac:dyDescent="0.25">
      <c r="C187" s="39">
        <v>2015</v>
      </c>
      <c r="D187" s="15" t="s">
        <v>224</v>
      </c>
      <c r="E187" s="24" t="s">
        <v>80</v>
      </c>
      <c r="F187" s="25">
        <v>42312</v>
      </c>
      <c r="G187" s="46" t="s">
        <v>34</v>
      </c>
      <c r="H187" s="27">
        <v>8700000</v>
      </c>
      <c r="I187" s="27">
        <v>10162935</v>
      </c>
      <c r="J187" s="27"/>
      <c r="K187" s="26">
        <v>0.16815344827586207</v>
      </c>
      <c r="L187" s="11" t="s">
        <v>465</v>
      </c>
      <c r="M187" s="15">
        <v>3</v>
      </c>
      <c r="N187" s="35" t="s">
        <v>226</v>
      </c>
      <c r="O187" s="15">
        <v>4</v>
      </c>
      <c r="P187" s="35" t="s">
        <v>457</v>
      </c>
      <c r="Q187" s="15"/>
      <c r="R187" s="24"/>
      <c r="S187" s="15"/>
      <c r="T187" s="15"/>
      <c r="U187" s="15"/>
      <c r="V187" s="15"/>
    </row>
    <row r="188" spans="3:22" x14ac:dyDescent="0.25">
      <c r="C188" s="39">
        <v>2015</v>
      </c>
      <c r="D188" s="15" t="s">
        <v>196</v>
      </c>
      <c r="E188" s="24" t="s">
        <v>197</v>
      </c>
      <c r="F188" s="25">
        <v>42307</v>
      </c>
      <c r="G188" s="46" t="s">
        <v>34</v>
      </c>
      <c r="H188" s="27">
        <v>7100000</v>
      </c>
      <c r="I188" s="27">
        <v>6676400</v>
      </c>
      <c r="J188" s="27"/>
      <c r="K188" s="26">
        <v>-5.9661971830985913E-2</v>
      </c>
      <c r="L188" s="11" t="s">
        <v>464</v>
      </c>
      <c r="M188" s="15">
        <v>11</v>
      </c>
      <c r="N188" s="35" t="s">
        <v>226</v>
      </c>
      <c r="O188" s="15">
        <v>4</v>
      </c>
      <c r="P188" s="35" t="s">
        <v>457</v>
      </c>
      <c r="Q188" s="15"/>
      <c r="R188" s="24"/>
      <c r="S188" s="15"/>
      <c r="T188" s="15"/>
      <c r="U188" s="15"/>
      <c r="V188" s="15"/>
    </row>
    <row r="189" spans="3:22" x14ac:dyDescent="0.25">
      <c r="C189" s="39">
        <v>2015</v>
      </c>
      <c r="D189" s="15" t="s">
        <v>117</v>
      </c>
      <c r="E189" s="24" t="s">
        <v>118</v>
      </c>
      <c r="F189" s="25">
        <v>42277</v>
      </c>
      <c r="G189" s="46" t="s">
        <v>34</v>
      </c>
      <c r="H189" s="27">
        <v>7000000</v>
      </c>
      <c r="I189" s="27">
        <v>5851111</v>
      </c>
      <c r="J189" s="27"/>
      <c r="K189" s="26">
        <v>-0.164127</v>
      </c>
      <c r="L189" s="11" t="s">
        <v>464</v>
      </c>
      <c r="M189" s="15">
        <v>15</v>
      </c>
      <c r="N189" s="35" t="s">
        <v>25</v>
      </c>
      <c r="O189" s="15">
        <v>3</v>
      </c>
      <c r="P189" s="35" t="s">
        <v>457</v>
      </c>
      <c r="Q189" s="15"/>
      <c r="R189" s="24"/>
      <c r="S189" s="15"/>
      <c r="T189" s="15"/>
      <c r="U189" s="15"/>
      <c r="V189" s="15"/>
    </row>
    <row r="190" spans="3:22" x14ac:dyDescent="0.25">
      <c r="C190" s="39">
        <v>2015</v>
      </c>
      <c r="D190" s="15" t="s">
        <v>268</v>
      </c>
      <c r="E190" s="24" t="s">
        <v>269</v>
      </c>
      <c r="F190" s="25">
        <v>42177</v>
      </c>
      <c r="G190" s="46" t="s">
        <v>34</v>
      </c>
      <c r="H190" s="27">
        <v>6500000</v>
      </c>
      <c r="I190" s="27">
        <v>6374800</v>
      </c>
      <c r="J190" s="27"/>
      <c r="K190" s="26">
        <v>-1.9261538461538462E-2</v>
      </c>
      <c r="L190" s="11" t="s">
        <v>464</v>
      </c>
      <c r="M190" s="15">
        <v>7</v>
      </c>
      <c r="N190" s="35" t="s">
        <v>226</v>
      </c>
      <c r="O190" s="15">
        <v>2</v>
      </c>
      <c r="P190" s="35" t="s">
        <v>457</v>
      </c>
      <c r="Q190" s="15"/>
      <c r="R190" s="15"/>
      <c r="S190" s="15"/>
      <c r="T190" s="15"/>
      <c r="U190" s="15"/>
      <c r="V190" s="15"/>
    </row>
    <row r="191" spans="3:22" x14ac:dyDescent="0.25">
      <c r="C191" s="39">
        <v>2015</v>
      </c>
      <c r="D191" s="15" t="s">
        <v>35</v>
      </c>
      <c r="E191" s="24" t="s">
        <v>36</v>
      </c>
      <c r="F191" s="25">
        <v>42157</v>
      </c>
      <c r="G191" s="46" t="s">
        <v>34</v>
      </c>
      <c r="H191" s="27">
        <v>29100000</v>
      </c>
      <c r="I191" s="27">
        <v>30452500</v>
      </c>
      <c r="J191" s="27"/>
      <c r="K191" s="26">
        <v>4.6477663230240551E-2</v>
      </c>
      <c r="L191" s="11" t="s">
        <v>464</v>
      </c>
      <c r="M191" s="15">
        <v>11</v>
      </c>
      <c r="N191" s="35" t="s">
        <v>25</v>
      </c>
      <c r="O191" s="15">
        <v>2</v>
      </c>
      <c r="P191" s="35" t="s">
        <v>457</v>
      </c>
      <c r="Q191" s="15"/>
      <c r="R191" s="15"/>
      <c r="S191" s="15"/>
      <c r="T191" s="15"/>
      <c r="U191" s="15"/>
      <c r="V191" s="15"/>
    </row>
    <row r="192" spans="3:22" x14ac:dyDescent="0.25">
      <c r="C192" s="39">
        <v>2015</v>
      </c>
      <c r="D192" s="15" t="s">
        <v>45</v>
      </c>
      <c r="E192" s="24" t="s">
        <v>46</v>
      </c>
      <c r="F192" s="25">
        <v>42145</v>
      </c>
      <c r="G192" s="46" t="s">
        <v>34</v>
      </c>
      <c r="H192" s="27">
        <v>6400000</v>
      </c>
      <c r="I192" s="27">
        <v>5777000</v>
      </c>
      <c r="J192" s="27"/>
      <c r="K192" s="26">
        <v>-9.7343750000000007E-2</v>
      </c>
      <c r="L192" s="11" t="s">
        <v>464</v>
      </c>
      <c r="M192" s="15">
        <v>7</v>
      </c>
      <c r="N192" s="11" t="s">
        <v>25</v>
      </c>
      <c r="O192" s="15">
        <v>2</v>
      </c>
      <c r="P192" s="35" t="s">
        <v>457</v>
      </c>
    </row>
    <row r="193" spans="3:28" x14ac:dyDescent="0.25">
      <c r="C193" s="39">
        <v>2015</v>
      </c>
      <c r="D193" s="15" t="s">
        <v>388</v>
      </c>
      <c r="E193" s="24" t="s">
        <v>389</v>
      </c>
      <c r="F193" s="25">
        <v>42072</v>
      </c>
      <c r="G193" s="46" t="s">
        <v>34</v>
      </c>
      <c r="H193" s="27">
        <v>9600000</v>
      </c>
      <c r="I193" s="27">
        <v>6748000</v>
      </c>
      <c r="J193" s="27"/>
      <c r="K193" s="26">
        <v>-0.29708333333333331</v>
      </c>
      <c r="L193" s="11" t="s">
        <v>464</v>
      </c>
      <c r="M193" s="15">
        <v>12</v>
      </c>
      <c r="N193" s="11" t="s">
        <v>25</v>
      </c>
      <c r="O193" s="15">
        <v>1</v>
      </c>
      <c r="P193" s="35" t="s">
        <v>457</v>
      </c>
    </row>
    <row r="194" spans="3:28" x14ac:dyDescent="0.25">
      <c r="C194" s="39">
        <v>2015</v>
      </c>
      <c r="D194" s="15" t="s">
        <v>188</v>
      </c>
      <c r="E194" s="24" t="s">
        <v>189</v>
      </c>
      <c r="F194" s="25">
        <v>42310</v>
      </c>
      <c r="G194" s="46" t="s">
        <v>190</v>
      </c>
      <c r="H194" s="27">
        <v>7055100</v>
      </c>
      <c r="I194" s="27">
        <v>5774440</v>
      </c>
      <c r="J194" s="27"/>
      <c r="K194" s="26">
        <v>-0.18152258649771089</v>
      </c>
      <c r="L194" s="11" t="s">
        <v>465</v>
      </c>
      <c r="M194" s="15">
        <v>3</v>
      </c>
      <c r="N194" s="35" t="s">
        <v>25</v>
      </c>
      <c r="O194" s="15">
        <v>4</v>
      </c>
      <c r="P194" s="35" t="s">
        <v>458</v>
      </c>
      <c r="Q194" s="15"/>
      <c r="R194" s="24"/>
      <c r="S194" s="15"/>
      <c r="T194" s="15"/>
      <c r="U194" s="15"/>
      <c r="V194" s="15"/>
    </row>
    <row r="195" spans="3:28" x14ac:dyDescent="0.25">
      <c r="C195" s="39">
        <v>2015</v>
      </c>
      <c r="D195" s="15" t="s">
        <v>151</v>
      </c>
      <c r="E195" s="24" t="s">
        <v>152</v>
      </c>
      <c r="F195" s="25">
        <v>42268</v>
      </c>
      <c r="G195" s="46" t="s">
        <v>34</v>
      </c>
      <c r="H195" s="27">
        <v>7900000</v>
      </c>
      <c r="I195" s="27">
        <v>6769800</v>
      </c>
      <c r="J195" s="27"/>
      <c r="K195" s="26">
        <v>-0.14306329113924052</v>
      </c>
      <c r="L195" s="11" t="s">
        <v>464</v>
      </c>
      <c r="M195" s="15">
        <v>18</v>
      </c>
      <c r="N195" s="35" t="s">
        <v>93</v>
      </c>
      <c r="O195" s="15">
        <v>3</v>
      </c>
      <c r="P195" s="35" t="s">
        <v>458</v>
      </c>
      <c r="Q195" s="15"/>
      <c r="R195" s="24"/>
      <c r="S195" s="15"/>
      <c r="T195" s="15"/>
      <c r="U195" s="15"/>
      <c r="V195" s="15"/>
    </row>
    <row r="196" spans="3:28" x14ac:dyDescent="0.25">
      <c r="C196" s="39">
        <v>2015</v>
      </c>
      <c r="D196" s="15" t="s">
        <v>410</v>
      </c>
      <c r="E196" s="24" t="s">
        <v>411</v>
      </c>
      <c r="F196" s="25">
        <v>42057</v>
      </c>
      <c r="G196" s="46" t="s">
        <v>190</v>
      </c>
      <c r="H196" s="27">
        <v>9700000</v>
      </c>
      <c r="I196" s="27">
        <v>8742268</v>
      </c>
      <c r="J196" s="27"/>
      <c r="K196" s="26">
        <v>-9.8735257731958764E-2</v>
      </c>
      <c r="L196" s="11" t="s">
        <v>464</v>
      </c>
      <c r="M196" s="15">
        <v>3</v>
      </c>
      <c r="N196" s="11" t="s">
        <v>93</v>
      </c>
      <c r="O196" s="15">
        <v>1</v>
      </c>
      <c r="P196" s="35" t="s">
        <v>458</v>
      </c>
    </row>
    <row r="197" spans="3:28" x14ac:dyDescent="0.25">
      <c r="C197" s="39">
        <v>2015</v>
      </c>
      <c r="D197" s="15" t="s">
        <v>414</v>
      </c>
      <c r="E197" s="24" t="s">
        <v>415</v>
      </c>
      <c r="F197" s="25">
        <v>42038</v>
      </c>
      <c r="G197" s="46" t="s">
        <v>190</v>
      </c>
      <c r="H197" s="27">
        <v>25770000</v>
      </c>
      <c r="I197" s="27">
        <v>28747550</v>
      </c>
      <c r="J197" s="27"/>
      <c r="K197" s="26">
        <v>0.11554326736515327</v>
      </c>
      <c r="L197" s="11" t="s">
        <v>465</v>
      </c>
      <c r="M197" s="15">
        <v>3</v>
      </c>
      <c r="N197" s="11" t="s">
        <v>93</v>
      </c>
      <c r="O197" s="15">
        <v>1</v>
      </c>
      <c r="P197" s="35" t="s">
        <v>458</v>
      </c>
    </row>
    <row r="198" spans="3:28" x14ac:dyDescent="0.25">
      <c r="C198" s="39"/>
    </row>
    <row r="199" spans="3:28" ht="18" customHeight="1" x14ac:dyDescent="0.25">
      <c r="C199" s="39"/>
      <c r="D199" s="15" t="s">
        <v>589</v>
      </c>
      <c r="E199" s="24"/>
      <c r="F199" s="25"/>
      <c r="G199" s="46"/>
      <c r="H199" s="27"/>
      <c r="I199" s="27"/>
      <c r="J199" s="27"/>
      <c r="K199" s="26"/>
      <c r="L199" s="11"/>
      <c r="M199" s="15"/>
      <c r="P199" s="11"/>
    </row>
    <row r="200" spans="3:28" ht="8.25" customHeight="1" x14ac:dyDescent="0.25">
      <c r="C200" s="39"/>
      <c r="D200" s="15"/>
      <c r="E200" s="24"/>
      <c r="F200" s="25"/>
      <c r="G200" s="46"/>
      <c r="H200" s="27"/>
      <c r="I200" s="27"/>
      <c r="J200" s="27"/>
      <c r="K200" s="26"/>
      <c r="L200" s="11"/>
      <c r="M200" s="15"/>
      <c r="P200" s="11"/>
    </row>
    <row r="201" spans="3:28" x14ac:dyDescent="0.25">
      <c r="C201" s="39">
        <v>2015</v>
      </c>
      <c r="D201" s="15" t="s">
        <v>434</v>
      </c>
      <c r="E201" s="24" t="s">
        <v>436</v>
      </c>
      <c r="F201" s="25">
        <v>42342</v>
      </c>
      <c r="G201" s="46" t="s">
        <v>190</v>
      </c>
      <c r="H201" s="27">
        <v>2000000</v>
      </c>
      <c r="I201" s="27">
        <v>2092850</v>
      </c>
      <c r="J201" s="27"/>
      <c r="K201" s="26">
        <v>4.6425000000000001E-2</v>
      </c>
      <c r="L201" s="11" t="s">
        <v>464</v>
      </c>
      <c r="M201" s="15">
        <v>4</v>
      </c>
      <c r="N201" s="35" t="s">
        <v>93</v>
      </c>
      <c r="O201" s="15">
        <v>4</v>
      </c>
      <c r="P201" s="35" t="s">
        <v>457</v>
      </c>
      <c r="Q201" s="15"/>
      <c r="R201" s="24"/>
      <c r="S201" s="15" t="s">
        <v>435</v>
      </c>
      <c r="T201" s="15" t="s">
        <v>434</v>
      </c>
      <c r="U201" s="15"/>
      <c r="V201" s="54">
        <v>2000000</v>
      </c>
      <c r="W201" s="54">
        <v>2092850</v>
      </c>
      <c r="X201" s="54">
        <v>-92850</v>
      </c>
    </row>
    <row r="202" spans="3:28" x14ac:dyDescent="0.25">
      <c r="C202" s="39">
        <v>2015</v>
      </c>
      <c r="D202" s="15" t="s">
        <v>96</v>
      </c>
      <c r="E202" s="24" t="s">
        <v>97</v>
      </c>
      <c r="F202" s="25">
        <v>42304</v>
      </c>
      <c r="G202" s="46" t="s">
        <v>34</v>
      </c>
      <c r="H202" s="27">
        <v>2420000</v>
      </c>
      <c r="I202" s="27">
        <v>4137000</v>
      </c>
      <c r="J202" s="27"/>
      <c r="K202" s="26">
        <v>0.70950413223140496</v>
      </c>
      <c r="L202" s="11" t="s">
        <v>465</v>
      </c>
      <c r="M202" s="15">
        <v>2</v>
      </c>
      <c r="N202" s="35" t="s">
        <v>93</v>
      </c>
      <c r="O202" s="15">
        <v>4</v>
      </c>
      <c r="P202" s="35" t="s">
        <v>459</v>
      </c>
      <c r="Q202" s="15"/>
      <c r="R202" s="11"/>
      <c r="S202" s="15"/>
      <c r="T202" s="15" t="s">
        <v>96</v>
      </c>
      <c r="U202" s="15"/>
      <c r="V202" s="54">
        <v>2420000</v>
      </c>
      <c r="W202" s="54">
        <v>4137000</v>
      </c>
      <c r="X202" s="54">
        <v>-1717000</v>
      </c>
    </row>
    <row r="203" spans="3:28" x14ac:dyDescent="0.25">
      <c r="C203" s="39">
        <v>2015</v>
      </c>
      <c r="D203" s="15" t="s">
        <v>106</v>
      </c>
      <c r="E203" s="24" t="s">
        <v>107</v>
      </c>
      <c r="F203" s="25">
        <v>42292</v>
      </c>
      <c r="G203" s="46" t="s">
        <v>34</v>
      </c>
      <c r="H203" s="27">
        <v>3650000</v>
      </c>
      <c r="I203" s="27">
        <v>3270000</v>
      </c>
      <c r="J203" s="27"/>
      <c r="K203" s="26">
        <v>-0.10410958904109589</v>
      </c>
      <c r="L203" s="11" t="s">
        <v>464</v>
      </c>
      <c r="M203" s="15">
        <v>6</v>
      </c>
      <c r="N203" s="35" t="s">
        <v>25</v>
      </c>
      <c r="O203" s="15">
        <v>4</v>
      </c>
      <c r="P203" s="35" t="s">
        <v>458</v>
      </c>
      <c r="Q203" s="15"/>
      <c r="R203" s="24"/>
      <c r="S203" s="15"/>
      <c r="T203" s="15" t="s">
        <v>106</v>
      </c>
      <c r="U203" s="15"/>
      <c r="V203" s="54">
        <v>3650000</v>
      </c>
      <c r="W203" s="54">
        <v>3270000</v>
      </c>
      <c r="X203" s="54">
        <v>380000</v>
      </c>
    </row>
    <row r="204" spans="3:28" x14ac:dyDescent="0.25">
      <c r="C204" s="39">
        <v>2015</v>
      </c>
      <c r="D204" s="15" t="s">
        <v>309</v>
      </c>
      <c r="E204" s="24" t="s">
        <v>310</v>
      </c>
      <c r="F204" s="25">
        <v>42144</v>
      </c>
      <c r="G204" s="46" t="s">
        <v>34</v>
      </c>
      <c r="H204" s="27">
        <v>3340000</v>
      </c>
      <c r="I204" s="27">
        <v>4538160</v>
      </c>
      <c r="J204" s="27"/>
      <c r="K204" s="26">
        <v>0.35873053892215567</v>
      </c>
      <c r="L204" s="11" t="s">
        <v>465</v>
      </c>
      <c r="M204" s="15">
        <v>3</v>
      </c>
      <c r="N204" s="11" t="s">
        <v>25</v>
      </c>
      <c r="O204" s="15">
        <v>2</v>
      </c>
      <c r="P204" s="35" t="s">
        <v>459</v>
      </c>
      <c r="T204" s="15" t="s">
        <v>309</v>
      </c>
      <c r="V204" s="54">
        <v>3340000</v>
      </c>
      <c r="W204" s="54">
        <v>4538160</v>
      </c>
      <c r="X204" s="54">
        <v>-1198160</v>
      </c>
    </row>
    <row r="205" spans="3:28" x14ac:dyDescent="0.25">
      <c r="C205" s="39">
        <v>2015</v>
      </c>
      <c r="D205" s="15" t="s">
        <v>344</v>
      </c>
      <c r="E205" s="24" t="s">
        <v>345</v>
      </c>
      <c r="F205" s="25">
        <v>42104</v>
      </c>
      <c r="G205" s="46" t="s">
        <v>34</v>
      </c>
      <c r="H205" s="27">
        <v>3760000</v>
      </c>
      <c r="I205" s="27">
        <v>2999293</v>
      </c>
      <c r="J205" s="27"/>
      <c r="K205" s="26">
        <v>-0.20231569148936171</v>
      </c>
      <c r="L205" s="11" t="s">
        <v>464</v>
      </c>
      <c r="M205" s="15">
        <v>10</v>
      </c>
      <c r="N205" s="11" t="s">
        <v>93</v>
      </c>
      <c r="O205" s="15">
        <v>2</v>
      </c>
      <c r="P205" s="35" t="s">
        <v>458</v>
      </c>
      <c r="T205" s="15" t="s">
        <v>344</v>
      </c>
      <c r="V205" s="54">
        <v>3760000</v>
      </c>
      <c r="W205" s="54">
        <v>2999293</v>
      </c>
      <c r="X205" s="54">
        <v>760707</v>
      </c>
    </row>
    <row r="206" spans="3:28" x14ac:dyDescent="0.25">
      <c r="C206" s="39">
        <v>2015</v>
      </c>
      <c r="D206" s="15" t="s">
        <v>368</v>
      </c>
      <c r="E206" s="24" t="s">
        <v>369</v>
      </c>
      <c r="F206" s="25">
        <v>42102</v>
      </c>
      <c r="G206" s="46" t="s">
        <v>34</v>
      </c>
      <c r="H206" s="27">
        <v>4900000</v>
      </c>
      <c r="I206" s="27">
        <v>3388390</v>
      </c>
      <c r="J206" s="27"/>
      <c r="K206" s="26">
        <v>-0.30849183673469388</v>
      </c>
      <c r="L206" s="11" t="s">
        <v>465</v>
      </c>
      <c r="M206" s="15">
        <v>9</v>
      </c>
      <c r="N206" s="11" t="s">
        <v>93</v>
      </c>
      <c r="O206" s="15">
        <v>2</v>
      </c>
      <c r="P206" s="35" t="s">
        <v>458</v>
      </c>
      <c r="T206" s="15" t="s">
        <v>368</v>
      </c>
      <c r="V206" s="54">
        <v>4900000</v>
      </c>
      <c r="W206" s="54">
        <v>3388390</v>
      </c>
      <c r="X206" s="54">
        <v>1511610</v>
      </c>
    </row>
    <row r="207" spans="3:28" x14ac:dyDescent="0.25">
      <c r="C207" s="39">
        <v>2015</v>
      </c>
      <c r="D207" s="15" t="s">
        <v>383</v>
      </c>
      <c r="E207" s="24" t="s">
        <v>384</v>
      </c>
      <c r="F207" s="25">
        <v>42080</v>
      </c>
      <c r="G207" s="46" t="s">
        <v>190</v>
      </c>
      <c r="H207" s="27">
        <v>4450000</v>
      </c>
      <c r="I207" s="27">
        <v>3620000</v>
      </c>
      <c r="J207" s="27"/>
      <c r="K207" s="26">
        <v>-0.18651685393258427</v>
      </c>
      <c r="L207" s="11" t="s">
        <v>464</v>
      </c>
      <c r="M207" s="15">
        <v>3</v>
      </c>
      <c r="O207" s="15">
        <v>1</v>
      </c>
      <c r="P207" s="35" t="s">
        <v>459</v>
      </c>
      <c r="T207" s="15" t="s">
        <v>383</v>
      </c>
      <c r="V207" s="54">
        <v>4450000</v>
      </c>
      <c r="W207" s="54">
        <v>3620000</v>
      </c>
      <c r="X207" s="54">
        <v>830000</v>
      </c>
      <c r="Z207" s="4">
        <v>50160000</v>
      </c>
      <c r="AA207" s="4">
        <v>48431818</v>
      </c>
      <c r="AB207" s="7">
        <v>1.0356827819265426</v>
      </c>
    </row>
    <row r="208" spans="3:28" x14ac:dyDescent="0.25">
      <c r="C208" s="39"/>
    </row>
    <row r="209" spans="3:3" x14ac:dyDescent="0.25">
      <c r="C209" s="39"/>
    </row>
    <row r="210" spans="3:3" x14ac:dyDescent="0.25">
      <c r="C210" s="39"/>
    </row>
    <row r="211" spans="3:3" x14ac:dyDescent="0.25">
      <c r="C211" s="39"/>
    </row>
    <row r="212" spans="3:3" x14ac:dyDescent="0.25">
      <c r="C212" s="39"/>
    </row>
    <row r="213" spans="3:3" x14ac:dyDescent="0.25">
      <c r="C213" s="39"/>
    </row>
    <row r="214" spans="3:3" x14ac:dyDescent="0.25">
      <c r="C214" s="39"/>
    </row>
    <row r="215" spans="3:3" x14ac:dyDescent="0.25">
      <c r="C215" s="39"/>
    </row>
    <row r="216" spans="3:3" x14ac:dyDescent="0.25">
      <c r="C216" s="39"/>
    </row>
    <row r="217" spans="3:3" x14ac:dyDescent="0.25">
      <c r="C217" s="39"/>
    </row>
    <row r="218" spans="3:3" x14ac:dyDescent="0.25">
      <c r="C218" s="39"/>
    </row>
    <row r="219" spans="3:3" x14ac:dyDescent="0.25">
      <c r="C219" s="39"/>
    </row>
    <row r="220" spans="3:3" x14ac:dyDescent="0.25">
      <c r="C220" s="39"/>
    </row>
    <row r="221" spans="3:3" x14ac:dyDescent="0.25">
      <c r="C221" s="39"/>
    </row>
    <row r="222" spans="3:3" x14ac:dyDescent="0.25">
      <c r="C222" s="39"/>
    </row>
    <row r="223" spans="3:3" x14ac:dyDescent="0.25">
      <c r="C223" s="39"/>
    </row>
    <row r="224" spans="3:3" x14ac:dyDescent="0.25">
      <c r="C224" s="39"/>
    </row>
    <row r="225" spans="3:3" x14ac:dyDescent="0.25">
      <c r="C225" s="39"/>
    </row>
    <row r="226" spans="3:3" x14ac:dyDescent="0.25">
      <c r="C226" s="39"/>
    </row>
    <row r="227" spans="3:3" x14ac:dyDescent="0.25">
      <c r="C227" s="39"/>
    </row>
    <row r="228" spans="3:3" x14ac:dyDescent="0.25">
      <c r="C228" s="39"/>
    </row>
    <row r="229" spans="3:3" x14ac:dyDescent="0.25">
      <c r="C229" s="39"/>
    </row>
    <row r="230" spans="3:3" x14ac:dyDescent="0.25">
      <c r="C230" s="39"/>
    </row>
    <row r="231" spans="3:3" x14ac:dyDescent="0.25">
      <c r="C231" s="39"/>
    </row>
    <row r="232" spans="3:3" x14ac:dyDescent="0.25">
      <c r="C232" s="39"/>
    </row>
    <row r="233" spans="3:3" x14ac:dyDescent="0.25">
      <c r="C233" s="39"/>
    </row>
    <row r="234" spans="3:3" x14ac:dyDescent="0.25">
      <c r="C234" s="39"/>
    </row>
    <row r="235" spans="3:3" x14ac:dyDescent="0.25">
      <c r="C235" s="39"/>
    </row>
    <row r="236" spans="3:3" x14ac:dyDescent="0.25">
      <c r="C236" s="39"/>
    </row>
    <row r="237" spans="3:3" x14ac:dyDescent="0.25">
      <c r="C237" s="39"/>
    </row>
    <row r="238" spans="3:3" x14ac:dyDescent="0.25">
      <c r="C238" s="39"/>
    </row>
    <row r="239" spans="3:3" x14ac:dyDescent="0.25">
      <c r="C239" s="39"/>
    </row>
    <row r="240" spans="3:3" x14ac:dyDescent="0.25">
      <c r="C240" s="39"/>
    </row>
    <row r="241" spans="3:3" x14ac:dyDescent="0.25">
      <c r="C241" s="39"/>
    </row>
    <row r="242" spans="3:3" x14ac:dyDescent="0.25">
      <c r="C242" s="39"/>
    </row>
    <row r="243" spans="3:3" x14ac:dyDescent="0.25">
      <c r="C243" s="39"/>
    </row>
    <row r="244" spans="3:3" x14ac:dyDescent="0.25">
      <c r="C244" s="39"/>
    </row>
    <row r="245" spans="3:3" x14ac:dyDescent="0.25">
      <c r="C245" s="39"/>
    </row>
    <row r="246" spans="3:3" x14ac:dyDescent="0.25">
      <c r="C246" s="39"/>
    </row>
    <row r="247" spans="3:3" x14ac:dyDescent="0.25">
      <c r="C247" s="39"/>
    </row>
    <row r="248" spans="3:3" x14ac:dyDescent="0.25">
      <c r="C248" s="39"/>
    </row>
    <row r="249" spans="3:3" x14ac:dyDescent="0.25">
      <c r="C249" s="39"/>
    </row>
    <row r="250" spans="3:3" x14ac:dyDescent="0.25">
      <c r="C250" s="39"/>
    </row>
    <row r="251" spans="3:3" x14ac:dyDescent="0.25">
      <c r="C251" s="39"/>
    </row>
    <row r="252" spans="3:3" x14ac:dyDescent="0.25">
      <c r="C252" s="39"/>
    </row>
    <row r="253" spans="3:3" x14ac:dyDescent="0.25">
      <c r="C253" s="39"/>
    </row>
    <row r="254" spans="3:3" x14ac:dyDescent="0.25">
      <c r="C254" s="39"/>
    </row>
    <row r="255" spans="3:3" x14ac:dyDescent="0.25">
      <c r="C255" s="39"/>
    </row>
    <row r="256" spans="3:3" x14ac:dyDescent="0.25">
      <c r="C256" s="39"/>
    </row>
    <row r="257" spans="3:3" x14ac:dyDescent="0.25">
      <c r="C257" s="39"/>
    </row>
    <row r="258" spans="3:3" x14ac:dyDescent="0.25">
      <c r="C258" s="39"/>
    </row>
    <row r="259" spans="3:3" x14ac:dyDescent="0.25">
      <c r="C259" s="39"/>
    </row>
    <row r="260" spans="3:3" x14ac:dyDescent="0.25">
      <c r="C260" s="39"/>
    </row>
    <row r="261" spans="3:3" x14ac:dyDescent="0.25">
      <c r="C261" s="39"/>
    </row>
    <row r="262" spans="3:3" x14ac:dyDescent="0.25">
      <c r="C262" s="39"/>
    </row>
    <row r="263" spans="3:3" x14ac:dyDescent="0.25">
      <c r="C263" s="39"/>
    </row>
    <row r="264" spans="3:3" x14ac:dyDescent="0.25">
      <c r="C264" s="39"/>
    </row>
    <row r="265" spans="3:3" x14ac:dyDescent="0.25">
      <c r="C265" s="39"/>
    </row>
    <row r="266" spans="3:3" x14ac:dyDescent="0.25">
      <c r="C266" s="39"/>
    </row>
    <row r="267" spans="3:3" x14ac:dyDescent="0.25">
      <c r="C267" s="39"/>
    </row>
    <row r="268" spans="3:3" x14ac:dyDescent="0.25">
      <c r="C268" s="39"/>
    </row>
    <row r="269" spans="3:3" x14ac:dyDescent="0.25">
      <c r="C269" s="39"/>
    </row>
    <row r="270" spans="3:3" x14ac:dyDescent="0.25">
      <c r="C270" s="39"/>
    </row>
    <row r="271" spans="3:3" x14ac:dyDescent="0.25">
      <c r="C271" s="39"/>
    </row>
    <row r="272" spans="3:3" x14ac:dyDescent="0.25">
      <c r="C272" s="39"/>
    </row>
    <row r="273" spans="3:3" x14ac:dyDescent="0.25">
      <c r="C273" s="39"/>
    </row>
    <row r="274" spans="3:3" x14ac:dyDescent="0.25">
      <c r="C274" s="39"/>
    </row>
    <row r="275" spans="3:3" x14ac:dyDescent="0.25">
      <c r="C275" s="39"/>
    </row>
    <row r="276" spans="3:3" x14ac:dyDescent="0.25">
      <c r="C276" s="39"/>
    </row>
    <row r="277" spans="3:3" x14ac:dyDescent="0.25">
      <c r="C277" s="39"/>
    </row>
    <row r="278" spans="3:3" x14ac:dyDescent="0.25">
      <c r="C278" s="39"/>
    </row>
    <row r="279" spans="3:3" x14ac:dyDescent="0.25">
      <c r="C279" s="39"/>
    </row>
    <row r="280" spans="3:3" x14ac:dyDescent="0.25">
      <c r="C280" s="39"/>
    </row>
    <row r="281" spans="3:3" x14ac:dyDescent="0.25">
      <c r="C281" s="39"/>
    </row>
    <row r="282" spans="3:3" x14ac:dyDescent="0.25">
      <c r="C282" s="39"/>
    </row>
    <row r="283" spans="3:3" x14ac:dyDescent="0.25">
      <c r="C283" s="39"/>
    </row>
    <row r="284" spans="3:3" x14ac:dyDescent="0.25">
      <c r="C284" s="39"/>
    </row>
    <row r="285" spans="3:3" x14ac:dyDescent="0.25">
      <c r="C285" s="39"/>
    </row>
    <row r="286" spans="3:3" x14ac:dyDescent="0.25">
      <c r="C286" s="39"/>
    </row>
    <row r="287" spans="3:3" x14ac:dyDescent="0.25">
      <c r="C287" s="39"/>
    </row>
    <row r="288" spans="3:3" x14ac:dyDescent="0.25">
      <c r="C288" s="39"/>
    </row>
    <row r="289" spans="3:3" x14ac:dyDescent="0.25">
      <c r="C289" s="39"/>
    </row>
    <row r="290" spans="3:3" x14ac:dyDescent="0.25">
      <c r="C290" s="39"/>
    </row>
    <row r="291" spans="3:3" x14ac:dyDescent="0.25">
      <c r="C291" s="39"/>
    </row>
    <row r="292" spans="3:3" x14ac:dyDescent="0.25">
      <c r="C292" s="39"/>
    </row>
    <row r="293" spans="3:3" x14ac:dyDescent="0.25">
      <c r="C293" s="39"/>
    </row>
    <row r="294" spans="3:3" x14ac:dyDescent="0.25">
      <c r="C294" s="39"/>
    </row>
    <row r="295" spans="3:3" x14ac:dyDescent="0.25">
      <c r="C295" s="39"/>
    </row>
    <row r="296" spans="3:3" x14ac:dyDescent="0.25">
      <c r="C296" s="39"/>
    </row>
    <row r="297" spans="3:3" x14ac:dyDescent="0.25">
      <c r="C297" s="39"/>
    </row>
    <row r="298" spans="3:3" x14ac:dyDescent="0.25">
      <c r="C298" s="39"/>
    </row>
    <row r="299" spans="3:3" x14ac:dyDescent="0.25">
      <c r="C299" s="39"/>
    </row>
    <row r="300" spans="3:3" x14ac:dyDescent="0.25">
      <c r="C300" s="39"/>
    </row>
    <row r="301" spans="3:3" x14ac:dyDescent="0.25">
      <c r="C301" s="39"/>
    </row>
    <row r="302" spans="3:3" x14ac:dyDescent="0.25">
      <c r="C302" s="39"/>
    </row>
    <row r="303" spans="3:3" x14ac:dyDescent="0.25">
      <c r="C303" s="39"/>
    </row>
    <row r="304" spans="3:3" x14ac:dyDescent="0.25">
      <c r="C304" s="39"/>
    </row>
    <row r="305" spans="3:3" x14ac:dyDescent="0.25">
      <c r="C305" s="39"/>
    </row>
    <row r="306" spans="3:3" x14ac:dyDescent="0.25">
      <c r="C306" s="39"/>
    </row>
    <row r="307" spans="3:3" x14ac:dyDescent="0.25">
      <c r="C307" s="39"/>
    </row>
    <row r="308" spans="3:3" x14ac:dyDescent="0.25">
      <c r="C308" s="39"/>
    </row>
    <row r="309" spans="3:3" x14ac:dyDescent="0.25">
      <c r="C309" s="39"/>
    </row>
    <row r="310" spans="3:3" x14ac:dyDescent="0.25">
      <c r="C310" s="39"/>
    </row>
    <row r="311" spans="3:3" x14ac:dyDescent="0.25">
      <c r="C311" s="39"/>
    </row>
    <row r="312" spans="3:3" x14ac:dyDescent="0.25">
      <c r="C312" s="39"/>
    </row>
    <row r="313" spans="3:3" x14ac:dyDescent="0.25">
      <c r="C313" s="39"/>
    </row>
    <row r="314" spans="3:3" x14ac:dyDescent="0.25">
      <c r="C314" s="39"/>
    </row>
    <row r="315" spans="3:3" x14ac:dyDescent="0.25">
      <c r="C315" s="39"/>
    </row>
    <row r="316" spans="3:3" x14ac:dyDescent="0.25">
      <c r="C316" s="39"/>
    </row>
    <row r="317" spans="3:3" x14ac:dyDescent="0.25">
      <c r="C317" s="39"/>
    </row>
    <row r="318" spans="3:3" x14ac:dyDescent="0.25">
      <c r="C318" s="39"/>
    </row>
    <row r="319" spans="3:3" x14ac:dyDescent="0.25">
      <c r="C319" s="39"/>
    </row>
    <row r="320" spans="3:3" x14ac:dyDescent="0.25">
      <c r="C320" s="39"/>
    </row>
    <row r="321" spans="3:3" x14ac:dyDescent="0.25">
      <c r="C321" s="39"/>
    </row>
    <row r="322" spans="3:3" x14ac:dyDescent="0.25">
      <c r="C322" s="39"/>
    </row>
    <row r="323" spans="3:3" x14ac:dyDescent="0.25">
      <c r="C323" s="39"/>
    </row>
    <row r="324" spans="3:3" x14ac:dyDescent="0.25">
      <c r="C324" s="39"/>
    </row>
    <row r="325" spans="3:3" x14ac:dyDescent="0.25">
      <c r="C325" s="39"/>
    </row>
    <row r="326" spans="3:3" x14ac:dyDescent="0.25">
      <c r="C326" s="39"/>
    </row>
    <row r="327" spans="3:3" x14ac:dyDescent="0.25">
      <c r="C327" s="39"/>
    </row>
    <row r="328" spans="3:3" x14ac:dyDescent="0.25">
      <c r="C328" s="39"/>
    </row>
    <row r="329" spans="3:3" x14ac:dyDescent="0.25">
      <c r="C329" s="39"/>
    </row>
    <row r="330" spans="3:3" x14ac:dyDescent="0.25">
      <c r="C330" s="39"/>
    </row>
    <row r="331" spans="3:3" x14ac:dyDescent="0.25">
      <c r="C331" s="39"/>
    </row>
    <row r="332" spans="3:3" x14ac:dyDescent="0.25">
      <c r="C332" s="39"/>
    </row>
    <row r="333" spans="3:3" x14ac:dyDescent="0.25">
      <c r="C333" s="39"/>
    </row>
    <row r="334" spans="3:3" x14ac:dyDescent="0.25">
      <c r="C334" s="39"/>
    </row>
    <row r="335" spans="3:3" x14ac:dyDescent="0.25">
      <c r="C335" s="39"/>
    </row>
    <row r="336" spans="3:3" x14ac:dyDescent="0.25">
      <c r="C336" s="39"/>
    </row>
    <row r="337" spans="3:3" x14ac:dyDescent="0.25">
      <c r="C337" s="39"/>
    </row>
    <row r="338" spans="3:3" x14ac:dyDescent="0.25">
      <c r="C338" s="39"/>
    </row>
    <row r="339" spans="3:3" x14ac:dyDescent="0.25">
      <c r="C339" s="39"/>
    </row>
    <row r="340" spans="3:3" x14ac:dyDescent="0.25">
      <c r="C340" s="39"/>
    </row>
    <row r="341" spans="3:3" x14ac:dyDescent="0.25">
      <c r="C341" s="39"/>
    </row>
    <row r="342" spans="3:3" x14ac:dyDescent="0.25">
      <c r="C342" s="39"/>
    </row>
    <row r="343" spans="3:3" x14ac:dyDescent="0.25">
      <c r="C343" s="39"/>
    </row>
    <row r="344" spans="3:3" x14ac:dyDescent="0.25">
      <c r="C344" s="39"/>
    </row>
    <row r="345" spans="3:3" x14ac:dyDescent="0.25">
      <c r="C345" s="39"/>
    </row>
    <row r="346" spans="3:3" x14ac:dyDescent="0.25">
      <c r="C346" s="39"/>
    </row>
    <row r="347" spans="3:3" x14ac:dyDescent="0.25">
      <c r="C347" s="39"/>
    </row>
    <row r="348" spans="3:3" x14ac:dyDescent="0.25">
      <c r="C348" s="39"/>
    </row>
    <row r="349" spans="3:3" x14ac:dyDescent="0.25">
      <c r="C349" s="39"/>
    </row>
    <row r="350" spans="3:3" x14ac:dyDescent="0.25">
      <c r="C350" s="39"/>
    </row>
    <row r="351" spans="3:3" x14ac:dyDescent="0.25">
      <c r="C351" s="39"/>
    </row>
    <row r="352" spans="3:3" x14ac:dyDescent="0.25">
      <c r="C352" s="39"/>
    </row>
    <row r="353" spans="3:3" x14ac:dyDescent="0.25">
      <c r="C353" s="39"/>
    </row>
    <row r="354" spans="3:3" x14ac:dyDescent="0.25">
      <c r="C354" s="39"/>
    </row>
    <row r="355" spans="3:3" x14ac:dyDescent="0.25">
      <c r="C355" s="39"/>
    </row>
    <row r="356" spans="3:3" x14ac:dyDescent="0.25">
      <c r="C356" s="39"/>
    </row>
    <row r="357" spans="3:3" x14ac:dyDescent="0.25">
      <c r="C357" s="39"/>
    </row>
    <row r="358" spans="3:3" x14ac:dyDescent="0.25">
      <c r="C358" s="39"/>
    </row>
    <row r="359" spans="3:3" x14ac:dyDescent="0.25">
      <c r="C359" s="39"/>
    </row>
    <row r="360" spans="3:3" x14ac:dyDescent="0.25">
      <c r="C360" s="39"/>
    </row>
    <row r="361" spans="3:3" x14ac:dyDescent="0.25">
      <c r="C361" s="39"/>
    </row>
    <row r="362" spans="3:3" x14ac:dyDescent="0.25">
      <c r="C362" s="39"/>
    </row>
    <row r="363" spans="3:3" x14ac:dyDescent="0.25">
      <c r="C363" s="39"/>
    </row>
    <row r="364" spans="3:3" x14ac:dyDescent="0.25">
      <c r="C364" s="39"/>
    </row>
    <row r="365" spans="3:3" x14ac:dyDescent="0.25">
      <c r="C365" s="39"/>
    </row>
    <row r="366" spans="3:3" x14ac:dyDescent="0.25">
      <c r="C366" s="39"/>
    </row>
    <row r="367" spans="3:3" x14ac:dyDescent="0.25">
      <c r="C367" s="39"/>
    </row>
    <row r="368" spans="3:3" x14ac:dyDescent="0.25">
      <c r="C368" s="39"/>
    </row>
    <row r="369" spans="3:3" x14ac:dyDescent="0.25">
      <c r="C369" s="39"/>
    </row>
    <row r="370" spans="3:3" x14ac:dyDescent="0.25">
      <c r="C370" s="39"/>
    </row>
    <row r="371" spans="3:3" x14ac:dyDescent="0.25">
      <c r="C371" s="39"/>
    </row>
    <row r="372" spans="3:3" x14ac:dyDescent="0.25">
      <c r="C372" s="39"/>
    </row>
    <row r="373" spans="3:3" x14ac:dyDescent="0.25">
      <c r="C373" s="39"/>
    </row>
    <row r="374" spans="3:3" x14ac:dyDescent="0.25">
      <c r="C374" s="39"/>
    </row>
    <row r="375" spans="3:3" x14ac:dyDescent="0.25">
      <c r="C375" s="39"/>
    </row>
    <row r="376" spans="3:3" x14ac:dyDescent="0.25">
      <c r="C376" s="39"/>
    </row>
    <row r="377" spans="3:3" x14ac:dyDescent="0.25">
      <c r="C377" s="39"/>
    </row>
    <row r="378" spans="3:3" x14ac:dyDescent="0.25">
      <c r="C378" s="39"/>
    </row>
    <row r="379" spans="3:3" x14ac:dyDescent="0.25">
      <c r="C379" s="39"/>
    </row>
    <row r="380" spans="3:3" x14ac:dyDescent="0.25">
      <c r="C380" s="39"/>
    </row>
    <row r="381" spans="3:3" x14ac:dyDescent="0.25">
      <c r="C381" s="39"/>
    </row>
    <row r="382" spans="3:3" x14ac:dyDescent="0.25">
      <c r="C382" s="39"/>
    </row>
    <row r="383" spans="3:3" x14ac:dyDescent="0.25">
      <c r="C383" s="39"/>
    </row>
    <row r="384" spans="3:3" x14ac:dyDescent="0.25">
      <c r="C384" s="39"/>
    </row>
    <row r="385" spans="3:3" x14ac:dyDescent="0.25">
      <c r="C385" s="39"/>
    </row>
    <row r="386" spans="3:3" x14ac:dyDescent="0.25">
      <c r="C386" s="39"/>
    </row>
    <row r="387" spans="3:3" x14ac:dyDescent="0.25">
      <c r="C387" s="39"/>
    </row>
    <row r="388" spans="3:3" x14ac:dyDescent="0.25">
      <c r="C388" s="39"/>
    </row>
    <row r="389" spans="3:3" x14ac:dyDescent="0.25">
      <c r="C389" s="39"/>
    </row>
    <row r="390" spans="3:3" x14ac:dyDescent="0.25">
      <c r="C390" s="39"/>
    </row>
    <row r="391" spans="3:3" x14ac:dyDescent="0.25">
      <c r="C391" s="39"/>
    </row>
    <row r="392" spans="3:3" x14ac:dyDescent="0.25">
      <c r="C392" s="39"/>
    </row>
    <row r="393" spans="3:3" x14ac:dyDescent="0.25">
      <c r="C393" s="39"/>
    </row>
    <row r="394" spans="3:3" x14ac:dyDescent="0.25">
      <c r="C394" s="39"/>
    </row>
    <row r="395" spans="3:3" x14ac:dyDescent="0.25">
      <c r="C395" s="39"/>
    </row>
    <row r="396" spans="3:3" x14ac:dyDescent="0.25">
      <c r="C396" s="39"/>
    </row>
    <row r="397" spans="3:3" x14ac:dyDescent="0.25">
      <c r="C397" s="39"/>
    </row>
    <row r="398" spans="3:3" x14ac:dyDescent="0.25">
      <c r="C398" s="39"/>
    </row>
    <row r="399" spans="3:3" x14ac:dyDescent="0.25">
      <c r="C399" s="39"/>
    </row>
    <row r="400" spans="3:3" x14ac:dyDescent="0.25">
      <c r="C400" s="39"/>
    </row>
    <row r="401" spans="3:3" x14ac:dyDescent="0.25">
      <c r="C401" s="39"/>
    </row>
    <row r="402" spans="3:3" x14ac:dyDescent="0.25">
      <c r="C402" s="39"/>
    </row>
    <row r="403" spans="3:3" x14ac:dyDescent="0.25">
      <c r="C403" s="39"/>
    </row>
    <row r="404" spans="3:3" x14ac:dyDescent="0.25">
      <c r="C404" s="39"/>
    </row>
    <row r="405" spans="3:3" x14ac:dyDescent="0.25">
      <c r="C405" s="39"/>
    </row>
    <row r="406" spans="3:3" x14ac:dyDescent="0.25">
      <c r="C406" s="39"/>
    </row>
    <row r="407" spans="3:3" x14ac:dyDescent="0.25">
      <c r="C407" s="39"/>
    </row>
    <row r="408" spans="3:3" x14ac:dyDescent="0.25">
      <c r="C408" s="39"/>
    </row>
    <row r="409" spans="3:3" x14ac:dyDescent="0.25">
      <c r="C409" s="39"/>
    </row>
    <row r="410" spans="3:3" x14ac:dyDescent="0.25">
      <c r="C410" s="39"/>
    </row>
    <row r="411" spans="3:3" x14ac:dyDescent="0.25">
      <c r="C411" s="39"/>
    </row>
    <row r="412" spans="3:3" x14ac:dyDescent="0.25">
      <c r="C412" s="39"/>
    </row>
    <row r="413" spans="3:3" x14ac:dyDescent="0.25">
      <c r="C413" s="39"/>
    </row>
    <row r="414" spans="3:3" x14ac:dyDescent="0.25">
      <c r="C414" s="39"/>
    </row>
    <row r="415" spans="3:3" x14ac:dyDescent="0.25">
      <c r="C415" s="39"/>
    </row>
    <row r="416" spans="3:3" x14ac:dyDescent="0.25">
      <c r="C416" s="39"/>
    </row>
    <row r="417" spans="3:3" x14ac:dyDescent="0.25">
      <c r="C417" s="39"/>
    </row>
    <row r="418" spans="3:3" x14ac:dyDescent="0.25">
      <c r="C418" s="39"/>
    </row>
    <row r="419" spans="3:3" x14ac:dyDescent="0.25">
      <c r="C419" s="39"/>
    </row>
    <row r="420" spans="3:3" x14ac:dyDescent="0.25">
      <c r="C420" s="39"/>
    </row>
    <row r="421" spans="3:3" x14ac:dyDescent="0.25">
      <c r="C421" s="39"/>
    </row>
    <row r="422" spans="3:3" x14ac:dyDescent="0.25">
      <c r="C422" s="39"/>
    </row>
    <row r="423" spans="3:3" x14ac:dyDescent="0.25">
      <c r="C423" s="39"/>
    </row>
    <row r="424" spans="3:3" x14ac:dyDescent="0.25">
      <c r="C424" s="39"/>
    </row>
    <row r="425" spans="3:3" x14ac:dyDescent="0.25">
      <c r="C425" s="39"/>
    </row>
    <row r="426" spans="3:3" x14ac:dyDescent="0.25">
      <c r="C426" s="39"/>
    </row>
    <row r="427" spans="3:3" x14ac:dyDescent="0.25">
      <c r="C427" s="39"/>
    </row>
    <row r="428" spans="3:3" x14ac:dyDescent="0.25">
      <c r="C428" s="39"/>
    </row>
    <row r="429" spans="3:3" x14ac:dyDescent="0.25">
      <c r="C429" s="39"/>
    </row>
    <row r="430" spans="3:3" x14ac:dyDescent="0.25">
      <c r="C430" s="39"/>
    </row>
    <row r="431" spans="3:3" x14ac:dyDescent="0.25">
      <c r="C431" s="39"/>
    </row>
    <row r="432" spans="3:3" x14ac:dyDescent="0.25">
      <c r="C432" s="39"/>
    </row>
    <row r="433" spans="3:3" x14ac:dyDescent="0.25">
      <c r="C433" s="39"/>
    </row>
    <row r="434" spans="3:3" x14ac:dyDescent="0.25">
      <c r="C434" s="39"/>
    </row>
    <row r="435" spans="3:3" x14ac:dyDescent="0.25">
      <c r="C435" s="39"/>
    </row>
    <row r="436" spans="3:3" x14ac:dyDescent="0.25">
      <c r="C436" s="39"/>
    </row>
    <row r="437" spans="3:3" x14ac:dyDescent="0.25">
      <c r="C437" s="39"/>
    </row>
    <row r="438" spans="3:3" x14ac:dyDescent="0.25">
      <c r="C438" s="39"/>
    </row>
    <row r="439" spans="3:3" x14ac:dyDescent="0.25">
      <c r="C439" s="39"/>
    </row>
    <row r="440" spans="3:3" x14ac:dyDescent="0.25">
      <c r="C440" s="39"/>
    </row>
    <row r="441" spans="3:3" x14ac:dyDescent="0.25">
      <c r="C441" s="39"/>
    </row>
    <row r="442" spans="3:3" x14ac:dyDescent="0.25">
      <c r="C442" s="39"/>
    </row>
    <row r="443" spans="3:3" x14ac:dyDescent="0.25">
      <c r="C443" s="39"/>
    </row>
    <row r="444" spans="3:3" x14ac:dyDescent="0.25">
      <c r="C444" s="39"/>
    </row>
    <row r="445" spans="3:3" x14ac:dyDescent="0.25">
      <c r="C445" s="39"/>
    </row>
    <row r="446" spans="3:3" x14ac:dyDescent="0.25">
      <c r="C446" s="39"/>
    </row>
    <row r="447" spans="3:3" x14ac:dyDescent="0.25">
      <c r="C447" s="39"/>
    </row>
    <row r="448" spans="3:3" x14ac:dyDescent="0.25">
      <c r="C448" s="39"/>
    </row>
    <row r="449" spans="3:3" x14ac:dyDescent="0.25">
      <c r="C449" s="39"/>
    </row>
    <row r="450" spans="3:3" x14ac:dyDescent="0.25">
      <c r="C450" s="39"/>
    </row>
    <row r="451" spans="3:3" x14ac:dyDescent="0.25">
      <c r="C451" s="39"/>
    </row>
    <row r="452" spans="3:3" x14ac:dyDescent="0.25">
      <c r="C452" s="39"/>
    </row>
    <row r="453" spans="3:3" x14ac:dyDescent="0.25">
      <c r="C453" s="39"/>
    </row>
    <row r="454" spans="3:3" x14ac:dyDescent="0.25">
      <c r="C454" s="39"/>
    </row>
    <row r="455" spans="3:3" x14ac:dyDescent="0.25">
      <c r="C455" s="39"/>
    </row>
    <row r="456" spans="3:3" x14ac:dyDescent="0.25">
      <c r="C456" s="39"/>
    </row>
    <row r="457" spans="3:3" x14ac:dyDescent="0.25">
      <c r="C457" s="39"/>
    </row>
    <row r="458" spans="3:3" x14ac:dyDescent="0.25">
      <c r="C458" s="39"/>
    </row>
    <row r="459" spans="3:3" x14ac:dyDescent="0.25">
      <c r="C459" s="39"/>
    </row>
    <row r="460" spans="3:3" x14ac:dyDescent="0.25">
      <c r="C460" s="39"/>
    </row>
    <row r="461" spans="3:3" x14ac:dyDescent="0.25">
      <c r="C461" s="39"/>
    </row>
    <row r="462" spans="3:3" x14ac:dyDescent="0.25">
      <c r="C462" s="39"/>
    </row>
    <row r="463" spans="3:3" x14ac:dyDescent="0.25">
      <c r="C463" s="39"/>
    </row>
    <row r="464" spans="3:3" x14ac:dyDescent="0.25">
      <c r="C464" s="39"/>
    </row>
    <row r="465" spans="3:3" x14ac:dyDescent="0.25">
      <c r="C465" s="39"/>
    </row>
    <row r="466" spans="3:3" x14ac:dyDescent="0.25">
      <c r="C466" s="39"/>
    </row>
    <row r="467" spans="3:3" x14ac:dyDescent="0.25">
      <c r="C467" s="39"/>
    </row>
    <row r="468" spans="3:3" x14ac:dyDescent="0.25">
      <c r="C468" s="39"/>
    </row>
    <row r="469" spans="3:3" x14ac:dyDescent="0.25">
      <c r="C469" s="39"/>
    </row>
    <row r="470" spans="3:3" x14ac:dyDescent="0.25">
      <c r="C470" s="39"/>
    </row>
    <row r="471" spans="3:3" x14ac:dyDescent="0.25">
      <c r="C471" s="39"/>
    </row>
    <row r="472" spans="3:3" x14ac:dyDescent="0.25">
      <c r="C472" s="39"/>
    </row>
    <row r="473" spans="3:3" x14ac:dyDescent="0.25">
      <c r="C473" s="39"/>
    </row>
    <row r="474" spans="3:3" x14ac:dyDescent="0.25">
      <c r="C474" s="39"/>
    </row>
    <row r="475" spans="3:3" x14ac:dyDescent="0.25">
      <c r="C475" s="39"/>
    </row>
    <row r="476" spans="3:3" x14ac:dyDescent="0.25">
      <c r="C476" s="39"/>
    </row>
    <row r="477" spans="3:3" x14ac:dyDescent="0.25">
      <c r="C477" s="39"/>
    </row>
    <row r="478" spans="3:3" x14ac:dyDescent="0.25">
      <c r="C478" s="39"/>
    </row>
    <row r="479" spans="3:3" x14ac:dyDescent="0.25">
      <c r="C479" s="39"/>
    </row>
    <row r="480" spans="3:3" x14ac:dyDescent="0.25">
      <c r="C480" s="39"/>
    </row>
    <row r="481" spans="3:3" x14ac:dyDescent="0.25">
      <c r="C481" s="39"/>
    </row>
    <row r="482" spans="3:3" x14ac:dyDescent="0.25">
      <c r="C482" s="39"/>
    </row>
    <row r="483" spans="3:3" x14ac:dyDescent="0.25">
      <c r="C483" s="39"/>
    </row>
    <row r="484" spans="3:3" x14ac:dyDescent="0.25">
      <c r="C484" s="39"/>
    </row>
    <row r="485" spans="3:3" x14ac:dyDescent="0.25">
      <c r="C485" s="39"/>
    </row>
    <row r="486" spans="3:3" x14ac:dyDescent="0.25">
      <c r="C486" s="39"/>
    </row>
    <row r="487" spans="3:3" x14ac:dyDescent="0.25">
      <c r="C487" s="38"/>
    </row>
    <row r="488" spans="3:3" x14ac:dyDescent="0.25">
      <c r="C488" s="38"/>
    </row>
    <row r="489" spans="3:3" x14ac:dyDescent="0.25">
      <c r="C489" s="38"/>
    </row>
    <row r="490" spans="3:3" x14ac:dyDescent="0.25">
      <c r="C490" s="38"/>
    </row>
    <row r="491" spans="3:3" x14ac:dyDescent="0.25">
      <c r="C491" s="38"/>
    </row>
    <row r="492" spans="3:3" x14ac:dyDescent="0.25">
      <c r="C492" s="38"/>
    </row>
    <row r="493" spans="3:3" x14ac:dyDescent="0.25">
      <c r="C493" s="38"/>
    </row>
    <row r="494" spans="3:3" x14ac:dyDescent="0.25">
      <c r="C494" s="38"/>
    </row>
    <row r="495" spans="3:3" x14ac:dyDescent="0.25">
      <c r="C495" s="38"/>
    </row>
    <row r="496" spans="3:3" x14ac:dyDescent="0.25">
      <c r="C496" s="38"/>
    </row>
    <row r="497" spans="3:3" x14ac:dyDescent="0.25">
      <c r="C497" s="38"/>
    </row>
    <row r="498" spans="3:3" x14ac:dyDescent="0.25">
      <c r="C498" s="38"/>
    </row>
    <row r="499" spans="3:3" x14ac:dyDescent="0.25">
      <c r="C499" s="38"/>
    </row>
    <row r="500" spans="3:3" x14ac:dyDescent="0.25">
      <c r="C500" s="38"/>
    </row>
    <row r="501" spans="3:3" x14ac:dyDescent="0.25">
      <c r="C501" s="38"/>
    </row>
    <row r="502" spans="3:3" x14ac:dyDescent="0.25">
      <c r="C502" s="38"/>
    </row>
    <row r="503" spans="3:3" x14ac:dyDescent="0.25">
      <c r="C503" s="38"/>
    </row>
    <row r="504" spans="3:3" x14ac:dyDescent="0.25">
      <c r="C504" s="38"/>
    </row>
    <row r="505" spans="3:3" x14ac:dyDescent="0.25">
      <c r="C505" s="38"/>
    </row>
    <row r="506" spans="3:3" x14ac:dyDescent="0.25">
      <c r="C506" s="38"/>
    </row>
    <row r="507" spans="3:3" x14ac:dyDescent="0.25">
      <c r="C507" s="38"/>
    </row>
    <row r="508" spans="3:3" x14ac:dyDescent="0.25">
      <c r="C508" s="38"/>
    </row>
    <row r="509" spans="3:3" x14ac:dyDescent="0.25">
      <c r="C509" s="38"/>
    </row>
    <row r="510" spans="3:3" x14ac:dyDescent="0.25">
      <c r="C510" s="38"/>
    </row>
    <row r="511" spans="3:3" x14ac:dyDescent="0.25">
      <c r="C511" s="38"/>
    </row>
    <row r="512" spans="3:3" x14ac:dyDescent="0.25">
      <c r="C512" s="38"/>
    </row>
    <row r="513" spans="3:3" x14ac:dyDescent="0.25">
      <c r="C513" s="38"/>
    </row>
    <row r="514" spans="3:3" x14ac:dyDescent="0.25">
      <c r="C514" s="38"/>
    </row>
    <row r="515" spans="3:3" x14ac:dyDescent="0.25">
      <c r="C515" s="38"/>
    </row>
    <row r="516" spans="3:3" x14ac:dyDescent="0.25">
      <c r="C516" s="38"/>
    </row>
    <row r="517" spans="3:3" x14ac:dyDescent="0.25">
      <c r="C517" s="38"/>
    </row>
    <row r="518" spans="3:3" x14ac:dyDescent="0.25">
      <c r="C518" s="38"/>
    </row>
    <row r="519" spans="3:3" x14ac:dyDescent="0.25">
      <c r="C519" s="38"/>
    </row>
    <row r="520" spans="3:3" x14ac:dyDescent="0.25">
      <c r="C520" s="38"/>
    </row>
    <row r="521" spans="3:3" x14ac:dyDescent="0.25">
      <c r="C521" s="38"/>
    </row>
    <row r="522" spans="3:3" x14ac:dyDescent="0.25">
      <c r="C522" s="38"/>
    </row>
    <row r="523" spans="3:3" x14ac:dyDescent="0.25">
      <c r="C523" s="38"/>
    </row>
    <row r="524" spans="3:3" x14ac:dyDescent="0.25">
      <c r="C524" s="38"/>
    </row>
    <row r="525" spans="3:3" x14ac:dyDescent="0.25">
      <c r="C525" s="38"/>
    </row>
    <row r="526" spans="3:3" x14ac:dyDescent="0.25">
      <c r="C526" s="38"/>
    </row>
    <row r="527" spans="3:3" x14ac:dyDescent="0.25">
      <c r="C527" s="38"/>
    </row>
    <row r="528" spans="3:3" x14ac:dyDescent="0.25">
      <c r="C528" s="38"/>
    </row>
    <row r="529" spans="3:3" x14ac:dyDescent="0.25">
      <c r="C529" s="38"/>
    </row>
    <row r="530" spans="3:3" x14ac:dyDescent="0.25">
      <c r="C530" s="38"/>
    </row>
    <row r="531" spans="3:3" x14ac:dyDescent="0.25">
      <c r="C531" s="38"/>
    </row>
    <row r="532" spans="3:3" x14ac:dyDescent="0.25">
      <c r="C532" s="38"/>
    </row>
    <row r="533" spans="3:3" x14ac:dyDescent="0.25">
      <c r="C533" s="38"/>
    </row>
    <row r="534" spans="3:3" x14ac:dyDescent="0.25">
      <c r="C534" s="38"/>
    </row>
    <row r="535" spans="3:3" x14ac:dyDescent="0.25">
      <c r="C535" s="38"/>
    </row>
    <row r="536" spans="3:3" x14ac:dyDescent="0.25">
      <c r="C536" s="38"/>
    </row>
    <row r="537" spans="3:3" x14ac:dyDescent="0.25">
      <c r="C537" s="38"/>
    </row>
    <row r="538" spans="3:3" x14ac:dyDescent="0.25">
      <c r="C538" s="38"/>
    </row>
    <row r="539" spans="3:3" x14ac:dyDescent="0.25">
      <c r="C539" s="38"/>
    </row>
    <row r="540" spans="3:3" x14ac:dyDescent="0.25">
      <c r="C540" s="38"/>
    </row>
    <row r="541" spans="3:3" x14ac:dyDescent="0.25">
      <c r="C541" s="38"/>
    </row>
    <row r="542" spans="3:3" x14ac:dyDescent="0.25">
      <c r="C542" s="38"/>
    </row>
    <row r="543" spans="3:3" x14ac:dyDescent="0.25">
      <c r="C543" s="38"/>
    </row>
    <row r="544" spans="3:3" x14ac:dyDescent="0.25">
      <c r="C544" s="38"/>
    </row>
    <row r="545" spans="3:3" x14ac:dyDescent="0.25">
      <c r="C545" s="38"/>
    </row>
    <row r="546" spans="3:3" x14ac:dyDescent="0.25">
      <c r="C546" s="38"/>
    </row>
    <row r="547" spans="3:3" x14ac:dyDescent="0.25">
      <c r="C547" s="38"/>
    </row>
    <row r="548" spans="3:3" x14ac:dyDescent="0.25">
      <c r="C548" s="38"/>
    </row>
    <row r="549" spans="3:3" x14ac:dyDescent="0.25">
      <c r="C549" s="38"/>
    </row>
    <row r="550" spans="3:3" x14ac:dyDescent="0.25">
      <c r="C550" s="38"/>
    </row>
    <row r="551" spans="3:3" x14ac:dyDescent="0.25">
      <c r="C551" s="38"/>
    </row>
    <row r="552" spans="3:3" x14ac:dyDescent="0.25">
      <c r="C552" s="38"/>
    </row>
    <row r="553" spans="3:3" x14ac:dyDescent="0.25">
      <c r="C553" s="38"/>
    </row>
    <row r="554" spans="3:3" x14ac:dyDescent="0.25">
      <c r="C554" s="38"/>
    </row>
    <row r="555" spans="3:3" x14ac:dyDescent="0.25">
      <c r="C555" s="38"/>
    </row>
    <row r="556" spans="3:3" x14ac:dyDescent="0.25">
      <c r="C556" s="38"/>
    </row>
    <row r="557" spans="3:3" x14ac:dyDescent="0.25">
      <c r="C557" s="38"/>
    </row>
    <row r="558" spans="3:3" x14ac:dyDescent="0.25">
      <c r="C558" s="38"/>
    </row>
    <row r="559" spans="3:3" x14ac:dyDescent="0.25">
      <c r="C559" s="38"/>
    </row>
    <row r="560" spans="3:3" x14ac:dyDescent="0.25">
      <c r="C560" s="38"/>
    </row>
    <row r="561" spans="3:3" x14ac:dyDescent="0.25">
      <c r="C561" s="38"/>
    </row>
    <row r="562" spans="3:3" x14ac:dyDescent="0.25">
      <c r="C562" s="38"/>
    </row>
    <row r="563" spans="3:3" x14ac:dyDescent="0.25">
      <c r="C563" s="38"/>
    </row>
    <row r="564" spans="3:3" x14ac:dyDescent="0.25">
      <c r="C564" s="38"/>
    </row>
    <row r="565" spans="3:3" x14ac:dyDescent="0.25">
      <c r="C565" s="38"/>
    </row>
    <row r="566" spans="3:3" x14ac:dyDescent="0.25">
      <c r="C566" s="38"/>
    </row>
    <row r="567" spans="3:3" x14ac:dyDescent="0.25">
      <c r="C567" s="38"/>
    </row>
    <row r="568" spans="3:3" x14ac:dyDescent="0.25">
      <c r="C568" s="38"/>
    </row>
    <row r="569" spans="3:3" x14ac:dyDescent="0.25">
      <c r="C569" s="38"/>
    </row>
    <row r="570" spans="3:3" x14ac:dyDescent="0.25">
      <c r="C570" s="38"/>
    </row>
    <row r="571" spans="3:3" x14ac:dyDescent="0.25">
      <c r="C571" s="38"/>
    </row>
    <row r="572" spans="3:3" x14ac:dyDescent="0.25">
      <c r="C572" s="38"/>
    </row>
    <row r="573" spans="3:3" x14ac:dyDescent="0.25">
      <c r="C573" s="38"/>
    </row>
    <row r="574" spans="3:3" x14ac:dyDescent="0.25">
      <c r="C574" s="38"/>
    </row>
    <row r="575" spans="3:3" x14ac:dyDescent="0.25">
      <c r="C575" s="38"/>
    </row>
    <row r="576" spans="3:3" x14ac:dyDescent="0.25">
      <c r="C576" s="38"/>
    </row>
    <row r="577" spans="3:3" x14ac:dyDescent="0.25">
      <c r="C577" s="38"/>
    </row>
    <row r="578" spans="3:3" x14ac:dyDescent="0.25">
      <c r="C578" s="38"/>
    </row>
    <row r="579" spans="3:3" x14ac:dyDescent="0.25">
      <c r="C579" s="38"/>
    </row>
    <row r="580" spans="3:3" x14ac:dyDescent="0.25">
      <c r="C580" s="38"/>
    </row>
    <row r="581" spans="3:3" x14ac:dyDescent="0.25">
      <c r="C581" s="38"/>
    </row>
    <row r="582" spans="3:3" x14ac:dyDescent="0.25">
      <c r="C582" s="38"/>
    </row>
    <row r="583" spans="3:3" x14ac:dyDescent="0.25">
      <c r="C583" s="38"/>
    </row>
    <row r="584" spans="3:3" x14ac:dyDescent="0.25">
      <c r="C584" s="38"/>
    </row>
    <row r="585" spans="3:3" x14ac:dyDescent="0.25">
      <c r="C585" s="38"/>
    </row>
    <row r="586" spans="3:3" x14ac:dyDescent="0.25">
      <c r="C586" s="38"/>
    </row>
    <row r="587" spans="3:3" x14ac:dyDescent="0.25">
      <c r="C587" s="38"/>
    </row>
    <row r="588" spans="3:3" x14ac:dyDescent="0.25">
      <c r="C588" s="38"/>
    </row>
    <row r="589" spans="3:3" x14ac:dyDescent="0.25">
      <c r="C589" s="38"/>
    </row>
    <row r="590" spans="3:3" x14ac:dyDescent="0.25">
      <c r="C590" s="38"/>
    </row>
    <row r="591" spans="3:3" x14ac:dyDescent="0.25">
      <c r="C591" s="38"/>
    </row>
    <row r="592" spans="3:3" x14ac:dyDescent="0.25">
      <c r="C592" s="38"/>
    </row>
    <row r="593" spans="3:3" x14ac:dyDescent="0.25">
      <c r="C593" s="38"/>
    </row>
    <row r="594" spans="3:3" x14ac:dyDescent="0.25">
      <c r="C594" s="38"/>
    </row>
    <row r="595" spans="3:3" x14ac:dyDescent="0.25">
      <c r="C595" s="38"/>
    </row>
    <row r="596" spans="3:3" x14ac:dyDescent="0.25">
      <c r="C596" s="38"/>
    </row>
    <row r="597" spans="3:3" x14ac:dyDescent="0.25">
      <c r="C597" s="38"/>
    </row>
    <row r="598" spans="3:3" x14ac:dyDescent="0.25">
      <c r="C598" s="38"/>
    </row>
    <row r="599" spans="3:3" x14ac:dyDescent="0.25">
      <c r="C599" s="38"/>
    </row>
    <row r="600" spans="3:3" x14ac:dyDescent="0.25">
      <c r="C600" s="38"/>
    </row>
    <row r="601" spans="3:3" x14ac:dyDescent="0.25">
      <c r="C601" s="38"/>
    </row>
    <row r="602" spans="3:3" x14ac:dyDescent="0.25">
      <c r="C602" s="38"/>
    </row>
    <row r="603" spans="3:3" x14ac:dyDescent="0.25">
      <c r="C603" s="38"/>
    </row>
    <row r="604" spans="3:3" x14ac:dyDescent="0.25">
      <c r="C604" s="38"/>
    </row>
    <row r="605" spans="3:3" x14ac:dyDescent="0.25">
      <c r="C605" s="38"/>
    </row>
    <row r="606" spans="3:3" x14ac:dyDescent="0.25">
      <c r="C606" s="38"/>
    </row>
    <row r="607" spans="3:3" x14ac:dyDescent="0.25">
      <c r="C607" s="38"/>
    </row>
    <row r="608" spans="3:3" x14ac:dyDescent="0.25">
      <c r="C608" s="38"/>
    </row>
    <row r="609" spans="3:3" x14ac:dyDescent="0.25">
      <c r="C609" s="38"/>
    </row>
    <row r="610" spans="3:3" x14ac:dyDescent="0.25">
      <c r="C610" s="38"/>
    </row>
    <row r="611" spans="3:3" x14ac:dyDescent="0.25">
      <c r="C611" s="38"/>
    </row>
    <row r="612" spans="3:3" x14ac:dyDescent="0.25">
      <c r="C612" s="38"/>
    </row>
    <row r="613" spans="3:3" x14ac:dyDescent="0.25">
      <c r="C613" s="38"/>
    </row>
    <row r="614" spans="3:3" x14ac:dyDescent="0.25">
      <c r="C614" s="38"/>
    </row>
    <row r="615" spans="3:3" x14ac:dyDescent="0.25">
      <c r="C615" s="38"/>
    </row>
    <row r="616" spans="3:3" x14ac:dyDescent="0.25">
      <c r="C616" s="38"/>
    </row>
    <row r="617" spans="3:3" x14ac:dyDescent="0.25">
      <c r="C617" s="38"/>
    </row>
    <row r="618" spans="3:3" x14ac:dyDescent="0.25">
      <c r="C618" s="38"/>
    </row>
    <row r="619" spans="3:3" x14ac:dyDescent="0.25">
      <c r="C619" s="38"/>
    </row>
    <row r="620" spans="3:3" x14ac:dyDescent="0.25">
      <c r="C620" s="38"/>
    </row>
    <row r="621" spans="3:3" x14ac:dyDescent="0.25">
      <c r="C621" s="38"/>
    </row>
    <row r="622" spans="3:3" x14ac:dyDescent="0.25">
      <c r="C622" s="38"/>
    </row>
    <row r="623" spans="3:3" x14ac:dyDescent="0.25">
      <c r="C623" s="38"/>
    </row>
    <row r="624" spans="3:3" x14ac:dyDescent="0.25">
      <c r="C624" s="38"/>
    </row>
    <row r="625" spans="3:3" x14ac:dyDescent="0.25">
      <c r="C625" s="38"/>
    </row>
    <row r="626" spans="3:3" x14ac:dyDescent="0.25">
      <c r="C626" s="38"/>
    </row>
    <row r="627" spans="3:3" x14ac:dyDescent="0.25">
      <c r="C627" s="38"/>
    </row>
    <row r="628" spans="3:3" x14ac:dyDescent="0.25">
      <c r="C628" s="38"/>
    </row>
    <row r="629" spans="3:3" x14ac:dyDescent="0.25">
      <c r="C629" s="38"/>
    </row>
    <row r="630" spans="3:3" x14ac:dyDescent="0.25">
      <c r="C630" s="38"/>
    </row>
    <row r="631" spans="3:3" x14ac:dyDescent="0.25">
      <c r="C631" s="38"/>
    </row>
    <row r="632" spans="3:3" x14ac:dyDescent="0.25">
      <c r="C632" s="38"/>
    </row>
    <row r="633" spans="3:3" x14ac:dyDescent="0.25">
      <c r="C633" s="38"/>
    </row>
    <row r="634" spans="3:3" x14ac:dyDescent="0.25">
      <c r="C634" s="38"/>
    </row>
    <row r="635" spans="3:3" x14ac:dyDescent="0.25">
      <c r="C635" s="38"/>
    </row>
    <row r="636" spans="3:3" x14ac:dyDescent="0.25">
      <c r="C636" s="38"/>
    </row>
    <row r="637" spans="3:3" x14ac:dyDescent="0.25">
      <c r="C637" s="38"/>
    </row>
    <row r="638" spans="3:3" x14ac:dyDescent="0.25">
      <c r="C638" s="38"/>
    </row>
    <row r="639" spans="3:3" x14ac:dyDescent="0.25">
      <c r="C639" s="38"/>
    </row>
    <row r="640" spans="3:3" x14ac:dyDescent="0.25">
      <c r="C640" s="38"/>
    </row>
    <row r="641" spans="3:3" x14ac:dyDescent="0.25">
      <c r="C641" s="38"/>
    </row>
    <row r="642" spans="3:3" x14ac:dyDescent="0.25">
      <c r="C642" s="38"/>
    </row>
    <row r="643" spans="3:3" x14ac:dyDescent="0.25">
      <c r="C643" s="38"/>
    </row>
    <row r="644" spans="3:3" x14ac:dyDescent="0.25">
      <c r="C644" s="38"/>
    </row>
    <row r="645" spans="3:3" x14ac:dyDescent="0.25">
      <c r="C645" s="38"/>
    </row>
    <row r="646" spans="3:3" x14ac:dyDescent="0.25">
      <c r="C646" s="38"/>
    </row>
    <row r="647" spans="3:3" x14ac:dyDescent="0.25">
      <c r="C647" s="38"/>
    </row>
    <row r="648" spans="3:3" x14ac:dyDescent="0.25">
      <c r="C648" s="38"/>
    </row>
    <row r="649" spans="3:3" x14ac:dyDescent="0.25">
      <c r="C649" s="38"/>
    </row>
    <row r="650" spans="3:3" x14ac:dyDescent="0.25">
      <c r="C650" s="38"/>
    </row>
    <row r="651" spans="3:3" x14ac:dyDescent="0.25">
      <c r="C651" s="38"/>
    </row>
    <row r="652" spans="3:3" x14ac:dyDescent="0.25">
      <c r="C652" s="38"/>
    </row>
    <row r="653" spans="3:3" x14ac:dyDescent="0.25">
      <c r="C653" s="38"/>
    </row>
    <row r="654" spans="3:3" x14ac:dyDescent="0.25">
      <c r="C654" s="38"/>
    </row>
    <row r="655" spans="3:3" x14ac:dyDescent="0.25">
      <c r="C655" s="38"/>
    </row>
    <row r="656" spans="3:3" x14ac:dyDescent="0.25">
      <c r="C656" s="38"/>
    </row>
    <row r="657" spans="3:3" x14ac:dyDescent="0.25">
      <c r="C657" s="38"/>
    </row>
    <row r="658" spans="3:3" x14ac:dyDescent="0.25">
      <c r="C658" s="38"/>
    </row>
    <row r="659" spans="3:3" x14ac:dyDescent="0.25">
      <c r="C659" s="38"/>
    </row>
    <row r="660" spans="3:3" x14ac:dyDescent="0.25">
      <c r="C660" s="38"/>
    </row>
    <row r="661" spans="3:3" x14ac:dyDescent="0.25">
      <c r="C661" s="38"/>
    </row>
    <row r="662" spans="3:3" x14ac:dyDescent="0.25">
      <c r="C662" s="38"/>
    </row>
    <row r="663" spans="3:3" x14ac:dyDescent="0.25">
      <c r="C663" s="38"/>
    </row>
    <row r="664" spans="3:3" x14ac:dyDescent="0.25">
      <c r="C664" s="38"/>
    </row>
    <row r="665" spans="3:3" x14ac:dyDescent="0.25">
      <c r="C665" s="38"/>
    </row>
    <row r="666" spans="3:3" x14ac:dyDescent="0.25">
      <c r="C666" s="38"/>
    </row>
    <row r="667" spans="3:3" x14ac:dyDescent="0.25">
      <c r="C667" s="38"/>
    </row>
    <row r="668" spans="3:3" x14ac:dyDescent="0.25">
      <c r="C668" s="38"/>
    </row>
    <row r="669" spans="3:3" x14ac:dyDescent="0.25">
      <c r="C669" s="38"/>
    </row>
    <row r="670" spans="3:3" x14ac:dyDescent="0.25">
      <c r="C670" s="38"/>
    </row>
    <row r="671" spans="3:3" x14ac:dyDescent="0.25">
      <c r="C671" s="38"/>
    </row>
    <row r="672" spans="3:3" x14ac:dyDescent="0.25">
      <c r="C672" s="38"/>
    </row>
    <row r="673" spans="3:3" x14ac:dyDescent="0.25">
      <c r="C673" s="38"/>
    </row>
    <row r="674" spans="3:3" x14ac:dyDescent="0.25">
      <c r="C674" s="38"/>
    </row>
    <row r="675" spans="3:3" x14ac:dyDescent="0.25">
      <c r="C675" s="38"/>
    </row>
    <row r="676" spans="3:3" x14ac:dyDescent="0.25">
      <c r="C676" s="38"/>
    </row>
    <row r="677" spans="3:3" x14ac:dyDescent="0.25">
      <c r="C677" s="38"/>
    </row>
    <row r="678" spans="3:3" x14ac:dyDescent="0.25">
      <c r="C678" s="38"/>
    </row>
    <row r="679" spans="3:3" x14ac:dyDescent="0.25">
      <c r="C679" s="38"/>
    </row>
    <row r="680" spans="3:3" x14ac:dyDescent="0.25">
      <c r="C680" s="38"/>
    </row>
    <row r="681" spans="3:3" x14ac:dyDescent="0.25">
      <c r="C681" s="38"/>
    </row>
    <row r="682" spans="3:3" x14ac:dyDescent="0.25">
      <c r="C682" s="38"/>
    </row>
    <row r="683" spans="3:3" x14ac:dyDescent="0.25">
      <c r="C683" s="38"/>
    </row>
    <row r="684" spans="3:3" x14ac:dyDescent="0.25">
      <c r="C684" s="38"/>
    </row>
    <row r="685" spans="3:3" x14ac:dyDescent="0.25">
      <c r="C685" s="38"/>
    </row>
    <row r="686" spans="3:3" x14ac:dyDescent="0.25">
      <c r="C686" s="38"/>
    </row>
    <row r="687" spans="3:3" x14ac:dyDescent="0.25">
      <c r="C687" s="38"/>
    </row>
    <row r="688" spans="3:3" x14ac:dyDescent="0.25">
      <c r="C688" s="38"/>
    </row>
    <row r="689" spans="3:3" x14ac:dyDescent="0.25">
      <c r="C689" s="38"/>
    </row>
    <row r="690" spans="3:3" x14ac:dyDescent="0.25">
      <c r="C690" s="38"/>
    </row>
    <row r="691" spans="3:3" x14ac:dyDescent="0.25">
      <c r="C691" s="38"/>
    </row>
    <row r="692" spans="3:3" x14ac:dyDescent="0.25">
      <c r="C692" s="38"/>
    </row>
    <row r="693" spans="3:3" x14ac:dyDescent="0.25">
      <c r="C693" s="38"/>
    </row>
    <row r="694" spans="3:3" x14ac:dyDescent="0.25">
      <c r="C694" s="38"/>
    </row>
    <row r="695" spans="3:3" x14ac:dyDescent="0.25">
      <c r="C695" s="38"/>
    </row>
    <row r="696" spans="3:3" x14ac:dyDescent="0.25">
      <c r="C696" s="38"/>
    </row>
    <row r="697" spans="3:3" x14ac:dyDescent="0.25">
      <c r="C697" s="38"/>
    </row>
    <row r="698" spans="3:3" x14ac:dyDescent="0.25">
      <c r="C698" s="38"/>
    </row>
    <row r="699" spans="3:3" x14ac:dyDescent="0.25">
      <c r="C699" s="38"/>
    </row>
    <row r="700" spans="3:3" x14ac:dyDescent="0.25">
      <c r="C700" s="38"/>
    </row>
    <row r="701" spans="3:3" x14ac:dyDescent="0.25">
      <c r="C701" s="38"/>
    </row>
    <row r="702" spans="3:3" x14ac:dyDescent="0.25">
      <c r="C702" s="38"/>
    </row>
    <row r="703" spans="3:3" x14ac:dyDescent="0.25">
      <c r="C703" s="38"/>
    </row>
    <row r="704" spans="3:3" x14ac:dyDescent="0.25">
      <c r="C704" s="38"/>
    </row>
    <row r="705" spans="3:3" x14ac:dyDescent="0.25">
      <c r="C705" s="38"/>
    </row>
    <row r="706" spans="3:3" x14ac:dyDescent="0.25">
      <c r="C706" s="38"/>
    </row>
    <row r="707" spans="3:3" x14ac:dyDescent="0.25">
      <c r="C707" s="38"/>
    </row>
    <row r="708" spans="3:3" x14ac:dyDescent="0.25">
      <c r="C708" s="38"/>
    </row>
    <row r="709" spans="3:3" x14ac:dyDescent="0.25">
      <c r="C709" s="38"/>
    </row>
    <row r="710" spans="3:3" x14ac:dyDescent="0.25">
      <c r="C710" s="38"/>
    </row>
    <row r="711" spans="3:3" x14ac:dyDescent="0.25">
      <c r="C711" s="38"/>
    </row>
    <row r="712" spans="3:3" x14ac:dyDescent="0.25">
      <c r="C712" s="38"/>
    </row>
    <row r="713" spans="3:3" x14ac:dyDescent="0.25">
      <c r="C713" s="38"/>
    </row>
    <row r="714" spans="3:3" x14ac:dyDescent="0.25">
      <c r="C714" s="38"/>
    </row>
    <row r="715" spans="3:3" x14ac:dyDescent="0.25">
      <c r="C715" s="38"/>
    </row>
    <row r="716" spans="3:3" x14ac:dyDescent="0.25">
      <c r="C716" s="38"/>
    </row>
    <row r="717" spans="3:3" x14ac:dyDescent="0.25">
      <c r="C717" s="38"/>
    </row>
    <row r="718" spans="3:3" x14ac:dyDescent="0.25">
      <c r="C718" s="38"/>
    </row>
    <row r="719" spans="3:3" x14ac:dyDescent="0.25">
      <c r="C719" s="38"/>
    </row>
    <row r="720" spans="3:3" x14ac:dyDescent="0.25">
      <c r="C720" s="38"/>
    </row>
    <row r="721" spans="3:3" x14ac:dyDescent="0.25">
      <c r="C721" s="38"/>
    </row>
    <row r="722" spans="3:3" x14ac:dyDescent="0.25">
      <c r="C722" s="38"/>
    </row>
    <row r="723" spans="3:3" x14ac:dyDescent="0.25">
      <c r="C723" s="38"/>
    </row>
    <row r="724" spans="3:3" x14ac:dyDescent="0.25">
      <c r="C724" s="38"/>
    </row>
    <row r="725" spans="3:3" x14ac:dyDescent="0.25">
      <c r="C725" s="38"/>
    </row>
    <row r="726" spans="3:3" x14ac:dyDescent="0.25">
      <c r="C726" s="38"/>
    </row>
    <row r="727" spans="3:3" x14ac:dyDescent="0.25">
      <c r="C727" s="38"/>
    </row>
    <row r="728" spans="3:3" x14ac:dyDescent="0.25">
      <c r="C728" s="38"/>
    </row>
    <row r="729" spans="3:3" x14ac:dyDescent="0.25">
      <c r="C729" s="38"/>
    </row>
    <row r="730" spans="3:3" x14ac:dyDescent="0.25">
      <c r="C730" s="38"/>
    </row>
    <row r="731" spans="3:3" x14ac:dyDescent="0.25">
      <c r="C731" s="38"/>
    </row>
    <row r="732" spans="3:3" x14ac:dyDescent="0.25">
      <c r="C732" s="38"/>
    </row>
    <row r="733" spans="3:3" x14ac:dyDescent="0.25">
      <c r="C733" s="38"/>
    </row>
    <row r="734" spans="3:3" x14ac:dyDescent="0.25">
      <c r="C734" s="38"/>
    </row>
    <row r="735" spans="3:3" x14ac:dyDescent="0.25">
      <c r="C735" s="38"/>
    </row>
    <row r="736" spans="3:3" x14ac:dyDescent="0.25">
      <c r="C736" s="38"/>
    </row>
    <row r="737" spans="3:3" x14ac:dyDescent="0.25">
      <c r="C737" s="38"/>
    </row>
    <row r="738" spans="3:3" x14ac:dyDescent="0.25">
      <c r="C738" s="38"/>
    </row>
    <row r="739" spans="3:3" x14ac:dyDescent="0.25">
      <c r="C739" s="38"/>
    </row>
    <row r="740" spans="3:3" x14ac:dyDescent="0.25">
      <c r="C740" s="38"/>
    </row>
    <row r="741" spans="3:3" x14ac:dyDescent="0.25">
      <c r="C741" s="38"/>
    </row>
    <row r="742" spans="3:3" x14ac:dyDescent="0.25">
      <c r="C742" s="38"/>
    </row>
  </sheetData>
  <conditionalFormatting sqref="R56 L68:L77 L80:L88 L139:L157 L161:L180 L185:L197 L202:L207 L120:L136 L91:L117 L7:L59">
    <cfRule type="containsText" dxfId="2751" priority="58" operator="containsText" text="FAIL">
      <formula>NOT(ISERROR(SEARCH("FAIL",L7)))</formula>
    </cfRule>
  </conditionalFormatting>
  <conditionalFormatting sqref="R56 L68:L77 L80:L88 L139:L157 L161:L180 L185:L197 L202:L207 L120:L136 L91:L117 L7:L59">
    <cfRule type="containsText" dxfId="2750" priority="57" operator="containsText" text="GOOD">
      <formula>NOT(ISERROR(SEARCH("GOOD",L7)))</formula>
    </cfRule>
  </conditionalFormatting>
  <conditionalFormatting sqref="L199:L200">
    <cfRule type="containsText" dxfId="2749" priority="6" operator="containsText" text="FAIL">
      <formula>NOT(ISERROR(SEARCH("FAIL",L199)))</formula>
    </cfRule>
  </conditionalFormatting>
  <conditionalFormatting sqref="L199:L200">
    <cfRule type="containsText" dxfId="2748" priority="5" operator="containsText" text="GOOD">
      <formula>NOT(ISERROR(SEARCH("GOOD",L199)))</formula>
    </cfRule>
  </conditionalFormatting>
  <conditionalFormatting sqref="L201">
    <cfRule type="containsText" dxfId="2747" priority="4" operator="containsText" text="FAIL">
      <formula>NOT(ISERROR(SEARCH("FAIL",L201)))</formula>
    </cfRule>
  </conditionalFormatting>
  <conditionalFormatting sqref="L201">
    <cfRule type="containsText" dxfId="2746" priority="3" operator="containsText" text="GOOD">
      <formula>NOT(ISERROR(SEARCH("GOOD",L201)))</formula>
    </cfRule>
  </conditionalFormatting>
  <conditionalFormatting sqref="R202">
    <cfRule type="containsText" dxfId="2745" priority="2" operator="containsText" text="FAIL">
      <formula>NOT(ISERROR(SEARCH("FAIL",R202)))</formula>
    </cfRule>
  </conditionalFormatting>
  <conditionalFormatting sqref="R202">
    <cfRule type="containsText" dxfId="2744" priority="1" operator="containsText" text="GOOD">
      <formula>NOT(ISERROR(SEARCH("GOOD",R202)))</formula>
    </cfRule>
  </conditionalFormatting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MSPhotoEd.3" shapeId="7169" r:id="rId4">
          <objectPr defaultSize="0" autoPict="0" r:id="rId5">
            <anchor moveWithCells="1">
              <from>
                <xdr:col>2</xdr:col>
                <xdr:colOff>19050</xdr:colOff>
                <xdr:row>0</xdr:row>
                <xdr:rowOff>142875</xdr:rowOff>
              </from>
              <to>
                <xdr:col>4</xdr:col>
                <xdr:colOff>1409700</xdr:colOff>
                <xdr:row>2</xdr:row>
                <xdr:rowOff>0</xdr:rowOff>
              </to>
            </anchor>
          </objectPr>
        </oleObject>
      </mc:Choice>
      <mc:Fallback>
        <oleObject progId="MSPhotoEd.3" shapeId="7169" r:id="rId4"/>
      </mc:Fallback>
    </mc:AlternateContent>
  </oleObjects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sheetPr codeName="Sheet51"/>
  <dimension ref="A2:P47"/>
  <sheetViews>
    <sheetView topLeftCell="A7" zoomScaleNormal="100" workbookViewId="0">
      <selection activeCell="J35" sqref="J35"/>
    </sheetView>
  </sheetViews>
  <sheetFormatPr defaultRowHeight="15" x14ac:dyDescent="0.25"/>
  <cols>
    <col min="1" max="2" width="4.42578125" customWidth="1"/>
    <col min="3" max="3" width="3" customWidth="1"/>
    <col min="4" max="4" width="24.85546875" customWidth="1"/>
    <col min="5" max="5" width="3" customWidth="1"/>
    <col min="6" max="6" width="15.7109375" customWidth="1"/>
    <col min="7" max="7" width="8.5703125" customWidth="1"/>
    <col min="8" max="8" width="5.85546875" customWidth="1"/>
    <col min="9" max="15" width="15.7109375" customWidth="1"/>
  </cols>
  <sheetData>
    <row r="2" spans="1:16" x14ac:dyDescent="0.25">
      <c r="C2" s="15" t="s">
        <v>32</v>
      </c>
      <c r="E2" s="15"/>
      <c r="F2" s="15"/>
      <c r="G2" s="15" t="s">
        <v>33</v>
      </c>
      <c r="H2" s="15"/>
      <c r="I2" s="15"/>
      <c r="J2" s="15"/>
      <c r="K2" s="15"/>
    </row>
    <row r="3" spans="1:16" ht="18.75" x14ac:dyDescent="0.3">
      <c r="C3" s="3" t="s">
        <v>26</v>
      </c>
      <c r="J3" s="8" t="s">
        <v>17</v>
      </c>
      <c r="P3" s="100"/>
    </row>
    <row r="4" spans="1:16" x14ac:dyDescent="0.25">
      <c r="D4" s="2" t="s">
        <v>0</v>
      </c>
      <c r="E4" s="1"/>
      <c r="F4" t="s">
        <v>1014</v>
      </c>
      <c r="I4" s="2" t="s">
        <v>4</v>
      </c>
      <c r="J4" t="s">
        <v>616</v>
      </c>
    </row>
    <row r="5" spans="1:16" x14ac:dyDescent="0.25">
      <c r="D5" s="2" t="s">
        <v>1</v>
      </c>
      <c r="F5" t="s">
        <v>1015</v>
      </c>
    </row>
    <row r="6" spans="1:16" x14ac:dyDescent="0.25">
      <c r="D6" s="2" t="s">
        <v>2</v>
      </c>
      <c r="F6" s="6">
        <v>42886</v>
      </c>
      <c r="H6" s="11"/>
    </row>
    <row r="7" spans="1:16" x14ac:dyDescent="0.25">
      <c r="D7" s="2" t="s">
        <v>3</v>
      </c>
      <c r="F7" s="5">
        <v>1140000</v>
      </c>
      <c r="G7" s="2" t="s">
        <v>34</v>
      </c>
      <c r="H7" s="11"/>
    </row>
    <row r="8" spans="1:16" x14ac:dyDescent="0.25">
      <c r="D8" s="2" t="s">
        <v>18</v>
      </c>
      <c r="F8" s="5">
        <f>MIN(I23:I43)</f>
        <v>904780</v>
      </c>
      <c r="H8" s="11"/>
    </row>
    <row r="9" spans="1:16" x14ac:dyDescent="0.25">
      <c r="D9" s="2" t="s">
        <v>67</v>
      </c>
      <c r="F9" s="4">
        <f>+F8-F7</f>
        <v>-235220</v>
      </c>
      <c r="G9" s="16">
        <f>+F9/F7</f>
        <v>-0.20633333333333334</v>
      </c>
      <c r="H9" s="12" t="s">
        <v>20</v>
      </c>
      <c r="I9" s="11" t="str">
        <f>(IF(G9&lt;-0.1,"FAIL",IF(G9&gt;0.05,"FAIL","GOOD")))</f>
        <v>FAIL</v>
      </c>
      <c r="J9" s="14" t="s">
        <v>72</v>
      </c>
    </row>
    <row r="10" spans="1:16" x14ac:dyDescent="0.25">
      <c r="D10" s="2" t="s">
        <v>68</v>
      </c>
      <c r="F10" s="4">
        <f>+F7-F12</f>
        <v>-482587.4444444445</v>
      </c>
      <c r="H10" s="11"/>
    </row>
    <row r="11" spans="1:16" x14ac:dyDescent="0.25">
      <c r="A11" s="52"/>
      <c r="D11" s="2" t="s">
        <v>71</v>
      </c>
      <c r="F11" s="11" t="str">
        <f>(IF(F7&lt;J12,"FAIL",IF(F7&gt;J13,"FAIL","GOOD")))</f>
        <v>GOOD</v>
      </c>
      <c r="H11" s="11"/>
    </row>
    <row r="12" spans="1:16" x14ac:dyDescent="0.25">
      <c r="D12" s="2" t="s">
        <v>28</v>
      </c>
      <c r="F12" s="4">
        <f>SUM(I23:I43)/H12</f>
        <v>1622587.4444444445</v>
      </c>
      <c r="G12" s="14"/>
      <c r="H12" s="11">
        <f>COUNT(I23:I43)</f>
        <v>9</v>
      </c>
      <c r="I12" s="1" t="s">
        <v>31</v>
      </c>
      <c r="J12" s="4">
        <f>+F8*0.9</f>
        <v>814302</v>
      </c>
      <c r="K12" s="1" t="s">
        <v>69</v>
      </c>
    </row>
    <row r="13" spans="1:16" x14ac:dyDescent="0.25">
      <c r="D13" s="2" t="s">
        <v>29</v>
      </c>
      <c r="F13" s="4">
        <f>MAX(I23:I43)-MIN(I23:I43)</f>
        <v>1859320</v>
      </c>
      <c r="G13" s="399">
        <f>MEDIAN(I23:I43)</f>
        <v>1645000</v>
      </c>
      <c r="H13" s="400"/>
      <c r="I13" s="1" t="s">
        <v>30</v>
      </c>
      <c r="J13" s="4">
        <f>+F12*1.1</f>
        <v>1784846.188888889</v>
      </c>
      <c r="K13" s="1" t="s">
        <v>70</v>
      </c>
    </row>
    <row r="14" spans="1:16" x14ac:dyDescent="0.25">
      <c r="H14" s="11"/>
    </row>
    <row r="15" spans="1:16" x14ac:dyDescent="0.25">
      <c r="D15" s="2" t="s">
        <v>8</v>
      </c>
      <c r="F15" s="4"/>
      <c r="G15" s="1" t="s">
        <v>9</v>
      </c>
      <c r="H15" s="11"/>
      <c r="I15" t="s">
        <v>15</v>
      </c>
      <c r="J15" s="7" t="e">
        <f>+F16/F15</f>
        <v>#DIV/0!</v>
      </c>
    </row>
    <row r="16" spans="1:16" x14ac:dyDescent="0.25">
      <c r="F16" s="4"/>
      <c r="G16" s="1" t="s">
        <v>10</v>
      </c>
      <c r="H16" s="11"/>
      <c r="I16" t="s">
        <v>14</v>
      </c>
      <c r="J16" s="7" t="e">
        <f>+F17/F16</f>
        <v>#DIV/0!</v>
      </c>
    </row>
    <row r="17" spans="3:15" x14ac:dyDescent="0.25">
      <c r="F17" s="4"/>
      <c r="G17" s="1" t="s">
        <v>11</v>
      </c>
      <c r="H17" s="11"/>
      <c r="I17" t="s">
        <v>13</v>
      </c>
      <c r="J17" s="7" t="e">
        <f>+F18/F17</f>
        <v>#DIV/0!</v>
      </c>
      <c r="M17" s="21"/>
      <c r="N17" s="21"/>
      <c r="O17" s="21"/>
    </row>
    <row r="18" spans="3:15" x14ac:dyDescent="0.25">
      <c r="F18" s="4"/>
      <c r="G18" s="1" t="s">
        <v>12</v>
      </c>
      <c r="H18" s="11"/>
      <c r="I18" t="s">
        <v>16</v>
      </c>
      <c r="J18" s="7" t="e">
        <f>+F8/F18</f>
        <v>#DIV/0!</v>
      </c>
      <c r="M18" s="21"/>
      <c r="N18" s="21"/>
      <c r="O18" s="21"/>
    </row>
    <row r="19" spans="3:15" x14ac:dyDescent="0.25">
      <c r="F19" s="2" t="s">
        <v>51</v>
      </c>
      <c r="G19">
        <v>0</v>
      </c>
      <c r="H19" s="11" t="s">
        <v>52</v>
      </c>
      <c r="I19" t="s">
        <v>41</v>
      </c>
      <c r="J19" s="7" t="e">
        <f>+F8/F15</f>
        <v>#DIV/0!</v>
      </c>
      <c r="M19" s="21"/>
      <c r="N19" s="21"/>
      <c r="O19" s="21"/>
    </row>
    <row r="20" spans="3:15" x14ac:dyDescent="0.25">
      <c r="H20" s="11"/>
      <c r="M20" s="21"/>
      <c r="N20" s="21"/>
      <c r="O20" s="21"/>
    </row>
    <row r="21" spans="3:15" x14ac:dyDescent="0.25">
      <c r="C21" s="9"/>
      <c r="D21" s="13" t="s">
        <v>21</v>
      </c>
      <c r="E21" s="9"/>
      <c r="F21" s="9" t="s">
        <v>22</v>
      </c>
      <c r="G21" s="9" t="s">
        <v>23</v>
      </c>
      <c r="H21" s="13" t="s">
        <v>27</v>
      </c>
      <c r="I21" s="10" t="s">
        <v>24</v>
      </c>
      <c r="J21" s="9"/>
      <c r="K21" s="9"/>
      <c r="L21" s="9"/>
      <c r="M21" s="21"/>
      <c r="N21" s="21"/>
      <c r="O21" s="21"/>
    </row>
    <row r="22" spans="3:15" ht="6" customHeight="1" x14ac:dyDescent="0.25">
      <c r="M22" s="21"/>
      <c r="N22" s="21"/>
      <c r="O22" s="21"/>
    </row>
    <row r="23" spans="3:15" x14ac:dyDescent="0.25">
      <c r="C23" s="33" t="str">
        <f>IF(H23=1,"u","")</f>
        <v/>
      </c>
      <c r="D23" s="11" t="s">
        <v>561</v>
      </c>
      <c r="E23" s="33"/>
      <c r="F23" t="s">
        <v>215</v>
      </c>
      <c r="G23" t="s">
        <v>25</v>
      </c>
      <c r="H23">
        <f>RANK(I23,I$23:I$43,1)</f>
        <v>2</v>
      </c>
      <c r="I23" s="4">
        <v>942757</v>
      </c>
      <c r="J23" s="4"/>
      <c r="K23" s="4"/>
      <c r="L23" s="4"/>
      <c r="M23" s="22"/>
      <c r="N23" s="22"/>
      <c r="O23" s="22"/>
    </row>
    <row r="24" spans="3:15" x14ac:dyDescent="0.25">
      <c r="C24" s="33" t="str">
        <f>IF(H24=1,"u","")</f>
        <v/>
      </c>
      <c r="D24" s="11" t="s">
        <v>738</v>
      </c>
      <c r="E24" s="33"/>
      <c r="F24" t="s">
        <v>739</v>
      </c>
      <c r="G24" t="s">
        <v>93</v>
      </c>
      <c r="H24">
        <f t="shared" ref="H24:H31" si="0">RANK(I24,I$23:I$43,1)</f>
        <v>7</v>
      </c>
      <c r="I24" s="4">
        <v>1833000</v>
      </c>
      <c r="J24" s="4"/>
      <c r="K24" s="4"/>
      <c r="L24" s="4"/>
      <c r="M24" s="22"/>
      <c r="N24" s="22"/>
      <c r="O24" s="22"/>
    </row>
    <row r="25" spans="3:15" x14ac:dyDescent="0.25">
      <c r="C25" s="33" t="str">
        <f>IF(H25=1,"u","")</f>
        <v/>
      </c>
      <c r="D25" s="11" t="s">
        <v>1016</v>
      </c>
      <c r="E25" s="33"/>
      <c r="F25" t="s">
        <v>159</v>
      </c>
      <c r="G25" t="s">
        <v>93</v>
      </c>
      <c r="H25">
        <f t="shared" si="0"/>
        <v>9</v>
      </c>
      <c r="I25" s="4">
        <v>2764100</v>
      </c>
      <c r="J25" s="4"/>
      <c r="K25" s="4"/>
      <c r="L25" s="4"/>
      <c r="M25" s="22"/>
      <c r="N25" s="22"/>
      <c r="O25" s="22"/>
    </row>
    <row r="26" spans="3:15" x14ac:dyDescent="0.25">
      <c r="C26" s="33"/>
      <c r="D26" s="11" t="s">
        <v>908</v>
      </c>
      <c r="E26" s="33"/>
      <c r="F26" t="s">
        <v>131</v>
      </c>
      <c r="G26" t="s">
        <v>25</v>
      </c>
      <c r="H26">
        <f t="shared" si="0"/>
        <v>6</v>
      </c>
      <c r="I26" s="4">
        <v>1682785</v>
      </c>
      <c r="J26" s="4"/>
      <c r="K26" s="4"/>
      <c r="L26" s="4"/>
      <c r="M26" s="22"/>
      <c r="N26" s="22"/>
      <c r="O26" s="22"/>
    </row>
    <row r="27" spans="3:15" x14ac:dyDescent="0.25">
      <c r="C27" s="33"/>
      <c r="D27" s="11" t="s">
        <v>676</v>
      </c>
      <c r="E27" s="33"/>
      <c r="F27" t="s">
        <v>85</v>
      </c>
      <c r="G27" t="s">
        <v>25</v>
      </c>
      <c r="H27">
        <f t="shared" si="0"/>
        <v>4</v>
      </c>
      <c r="I27" s="4">
        <v>1387665</v>
      </c>
      <c r="J27" s="4"/>
      <c r="K27" s="4"/>
      <c r="L27" s="4"/>
      <c r="M27" s="22"/>
      <c r="N27" s="22"/>
      <c r="O27" s="22"/>
    </row>
    <row r="28" spans="3:15" x14ac:dyDescent="0.25">
      <c r="C28" s="33"/>
      <c r="D28" s="11" t="s">
        <v>824</v>
      </c>
      <c r="E28" s="33"/>
      <c r="F28" t="s">
        <v>186</v>
      </c>
      <c r="G28" t="s">
        <v>25</v>
      </c>
      <c r="H28">
        <f t="shared" si="0"/>
        <v>5</v>
      </c>
      <c r="I28" s="4">
        <v>1645000</v>
      </c>
      <c r="J28" s="4"/>
      <c r="K28" s="4"/>
      <c r="L28" s="4"/>
      <c r="M28" s="22"/>
      <c r="N28" s="22"/>
      <c r="O28" s="22"/>
    </row>
    <row r="29" spans="3:15" x14ac:dyDescent="0.25">
      <c r="C29" s="33" t="str">
        <f t="shared" ref="C29:C43" si="1">IF(H29=1,"u","")</f>
        <v>u</v>
      </c>
      <c r="D29" s="11" t="s">
        <v>1017</v>
      </c>
      <c r="E29" s="33"/>
      <c r="F29" t="s">
        <v>201</v>
      </c>
      <c r="G29" t="s">
        <v>25</v>
      </c>
      <c r="H29">
        <f t="shared" si="0"/>
        <v>1</v>
      </c>
      <c r="I29" s="4">
        <v>904780</v>
      </c>
      <c r="J29" s="4"/>
      <c r="K29" s="4"/>
      <c r="L29" s="4"/>
      <c r="M29" s="22"/>
      <c r="N29" s="22"/>
      <c r="O29" s="22"/>
    </row>
    <row r="30" spans="3:15" x14ac:dyDescent="0.25">
      <c r="C30" s="33" t="str">
        <f t="shared" si="1"/>
        <v/>
      </c>
      <c r="D30" s="11" t="s">
        <v>521</v>
      </c>
      <c r="E30" s="33"/>
      <c r="F30" t="s">
        <v>251</v>
      </c>
      <c r="G30" t="s">
        <v>25</v>
      </c>
      <c r="H30">
        <f t="shared" si="0"/>
        <v>8</v>
      </c>
      <c r="I30" s="4">
        <v>2246200</v>
      </c>
      <c r="J30" s="4"/>
      <c r="K30" s="4"/>
      <c r="L30" s="4"/>
      <c r="M30" s="22"/>
      <c r="N30" s="22"/>
      <c r="O30" s="22"/>
    </row>
    <row r="31" spans="3:15" x14ac:dyDescent="0.25">
      <c r="C31" s="33" t="str">
        <f t="shared" si="1"/>
        <v/>
      </c>
      <c r="D31" s="11" t="s">
        <v>679</v>
      </c>
      <c r="E31" s="33"/>
      <c r="F31" t="s">
        <v>193</v>
      </c>
      <c r="G31" t="s">
        <v>25</v>
      </c>
      <c r="H31">
        <f t="shared" si="0"/>
        <v>3</v>
      </c>
      <c r="I31" s="4">
        <v>1197000</v>
      </c>
      <c r="J31" s="4"/>
      <c r="K31" s="4"/>
      <c r="L31" s="4"/>
      <c r="M31" s="22"/>
      <c r="N31" s="22"/>
      <c r="O31" s="22"/>
    </row>
    <row r="32" spans="3:15" x14ac:dyDescent="0.25">
      <c r="C32" s="33" t="str">
        <f t="shared" si="1"/>
        <v/>
      </c>
      <c r="D32" s="11"/>
      <c r="E32" s="33"/>
      <c r="I32" s="4"/>
      <c r="J32" s="4"/>
      <c r="K32" s="4"/>
      <c r="L32" s="4"/>
      <c r="M32" s="22"/>
      <c r="N32" s="22"/>
      <c r="O32" s="22"/>
    </row>
    <row r="33" spans="3:15" x14ac:dyDescent="0.25">
      <c r="C33" s="33" t="str">
        <f t="shared" si="1"/>
        <v/>
      </c>
      <c r="D33" s="11"/>
      <c r="E33" s="33"/>
      <c r="I33" s="4"/>
      <c r="M33" s="21"/>
      <c r="N33" s="21"/>
      <c r="O33" s="21"/>
    </row>
    <row r="34" spans="3:15" x14ac:dyDescent="0.25">
      <c r="C34" s="33" t="str">
        <f t="shared" si="1"/>
        <v/>
      </c>
      <c r="D34" s="11"/>
      <c r="E34" s="33" t="str">
        <f t="shared" ref="E34:E43" si="2">IF(H34=1,"t","")</f>
        <v/>
      </c>
      <c r="M34" s="21"/>
      <c r="N34" s="21"/>
      <c r="O34" s="21"/>
    </row>
    <row r="35" spans="3:15" x14ac:dyDescent="0.25">
      <c r="C35" s="33" t="str">
        <f t="shared" si="1"/>
        <v/>
      </c>
      <c r="D35" s="11"/>
      <c r="E35" s="33" t="str">
        <f t="shared" si="2"/>
        <v/>
      </c>
      <c r="M35" s="21"/>
      <c r="N35" s="21"/>
      <c r="O35" s="21"/>
    </row>
    <row r="36" spans="3:15" x14ac:dyDescent="0.25">
      <c r="C36" s="33" t="str">
        <f t="shared" si="1"/>
        <v/>
      </c>
      <c r="D36" s="11"/>
      <c r="E36" s="33" t="str">
        <f t="shared" si="2"/>
        <v/>
      </c>
      <c r="M36" s="21"/>
      <c r="N36" s="21"/>
      <c r="O36" s="21"/>
    </row>
    <row r="37" spans="3:15" x14ac:dyDescent="0.25">
      <c r="C37" s="33" t="str">
        <f t="shared" si="1"/>
        <v/>
      </c>
      <c r="D37" s="11"/>
      <c r="E37" s="33" t="str">
        <f t="shared" si="2"/>
        <v/>
      </c>
      <c r="M37" s="21"/>
      <c r="N37" s="21"/>
      <c r="O37" s="21"/>
    </row>
    <row r="38" spans="3:15" x14ac:dyDescent="0.25">
      <c r="C38" s="33" t="str">
        <f t="shared" si="1"/>
        <v/>
      </c>
      <c r="D38" s="11"/>
      <c r="E38" s="33" t="str">
        <f t="shared" si="2"/>
        <v/>
      </c>
      <c r="M38" s="21"/>
      <c r="N38" s="21"/>
      <c r="O38" s="21"/>
    </row>
    <row r="39" spans="3:15" x14ac:dyDescent="0.25">
      <c r="C39" s="33" t="str">
        <f t="shared" si="1"/>
        <v/>
      </c>
      <c r="D39" s="11"/>
      <c r="E39" s="33" t="str">
        <f t="shared" si="2"/>
        <v/>
      </c>
      <c r="M39" s="21"/>
      <c r="N39" s="21"/>
      <c r="O39" s="21"/>
    </row>
    <row r="40" spans="3:15" x14ac:dyDescent="0.25">
      <c r="C40" s="33" t="str">
        <f t="shared" si="1"/>
        <v/>
      </c>
      <c r="D40" s="11"/>
      <c r="E40" s="33" t="str">
        <f t="shared" si="2"/>
        <v/>
      </c>
      <c r="M40" s="21"/>
      <c r="N40" s="21"/>
      <c r="O40" s="21"/>
    </row>
    <row r="41" spans="3:15" x14ac:dyDescent="0.25">
      <c r="C41" s="33" t="str">
        <f t="shared" si="1"/>
        <v/>
      </c>
      <c r="D41" s="11"/>
      <c r="E41" s="33" t="str">
        <f t="shared" si="2"/>
        <v/>
      </c>
      <c r="M41" s="21"/>
      <c r="N41" s="21"/>
      <c r="O41" s="21"/>
    </row>
    <row r="42" spans="3:15" x14ac:dyDescent="0.25">
      <c r="C42" s="33" t="str">
        <f t="shared" si="1"/>
        <v/>
      </c>
      <c r="D42" s="11"/>
      <c r="E42" s="33" t="str">
        <f t="shared" si="2"/>
        <v/>
      </c>
      <c r="M42" s="21"/>
      <c r="N42" s="21"/>
      <c r="O42" s="21"/>
    </row>
    <row r="43" spans="3:15" x14ac:dyDescent="0.25">
      <c r="C43" s="33" t="str">
        <f t="shared" si="1"/>
        <v/>
      </c>
      <c r="D43" s="11"/>
      <c r="E43" s="33" t="str">
        <f t="shared" si="2"/>
        <v/>
      </c>
      <c r="M43" s="21"/>
      <c r="N43" s="21"/>
      <c r="O43" s="21"/>
    </row>
    <row r="44" spans="3:15" ht="6" customHeight="1" x14ac:dyDescent="0.25">
      <c r="C44" s="9"/>
      <c r="D44" s="9"/>
      <c r="E44" s="9"/>
      <c r="F44" s="9"/>
      <c r="G44" s="9"/>
      <c r="H44" s="9"/>
      <c r="I44" s="9"/>
      <c r="J44" s="9"/>
      <c r="K44" s="9"/>
      <c r="L44" s="9"/>
      <c r="M44" s="21"/>
      <c r="N44" s="21"/>
      <c r="O44" s="21"/>
    </row>
    <row r="45" spans="3:15" ht="6" customHeight="1" x14ac:dyDescent="0.25">
      <c r="M45" s="21"/>
      <c r="N45" s="21"/>
      <c r="O45" s="21"/>
    </row>
    <row r="46" spans="3:15" x14ac:dyDescent="0.25">
      <c r="C46" s="15" t="s">
        <v>79</v>
      </c>
      <c r="M46" s="21"/>
      <c r="N46" s="21"/>
      <c r="O46" s="21"/>
    </row>
    <row r="47" spans="3:15" x14ac:dyDescent="0.25">
      <c r="C47" s="15" t="s">
        <v>78</v>
      </c>
    </row>
  </sheetData>
  <mergeCells count="1">
    <mergeCell ref="G13:H13"/>
  </mergeCells>
  <conditionalFormatting sqref="I9">
    <cfRule type="containsText" dxfId="1725" priority="16" operator="containsText" text="FAIL">
      <formula>NOT(ISERROR(SEARCH("FAIL",I9)))</formula>
    </cfRule>
  </conditionalFormatting>
  <conditionalFormatting sqref="I9">
    <cfRule type="containsText" dxfId="1724" priority="15" operator="containsText" text="GOOD">
      <formula>NOT(ISERROR(SEARCH("GOOD",I9)))</formula>
    </cfRule>
  </conditionalFormatting>
  <conditionalFormatting sqref="F11">
    <cfRule type="containsText" dxfId="1723" priority="14" operator="containsText" text="FAIL">
      <formula>NOT(ISERROR(SEARCH("FAIL",F11)))</formula>
    </cfRule>
  </conditionalFormatting>
  <conditionalFormatting sqref="F11">
    <cfRule type="containsText" dxfId="1722" priority="13" operator="containsText" text="GOOD">
      <formula>NOT(ISERROR(SEARCH("GOOD",F11)))</formula>
    </cfRule>
  </conditionalFormatting>
  <conditionalFormatting sqref="D25">
    <cfRule type="expression" dxfId="1721" priority="12" stopIfTrue="1">
      <formula>IF($H$25=1,0)</formula>
    </cfRule>
  </conditionalFormatting>
  <conditionalFormatting sqref="D23 D29:D43 D25:D26">
    <cfRule type="expression" dxfId="1720" priority="11">
      <formula>H23=1</formula>
    </cfRule>
  </conditionalFormatting>
  <conditionalFormatting sqref="C23:C26 C29:C43">
    <cfRule type="expression" dxfId="1719" priority="10">
      <formula>H23=1</formula>
    </cfRule>
  </conditionalFormatting>
  <conditionalFormatting sqref="E23 E29:E43 E25:E26">
    <cfRule type="expression" dxfId="1718" priority="9">
      <formula>H23=1</formula>
    </cfRule>
  </conditionalFormatting>
  <conditionalFormatting sqref="F11">
    <cfRule type="containsText" dxfId="1717" priority="8" operator="containsText" text="FAIL">
      <formula>NOT(ISERROR(SEARCH("FAIL",F11)))</formula>
    </cfRule>
  </conditionalFormatting>
  <conditionalFormatting sqref="F11">
    <cfRule type="containsText" dxfId="1716" priority="7" operator="containsText" text="GOOD">
      <formula>NOT(ISERROR(SEARCH("GOOD",F11)))</formula>
    </cfRule>
  </conditionalFormatting>
  <conditionalFormatting sqref="D27:D28">
    <cfRule type="expression" dxfId="1715" priority="6">
      <formula>H27=1</formula>
    </cfRule>
  </conditionalFormatting>
  <conditionalFormatting sqref="C27:C28">
    <cfRule type="expression" dxfId="1714" priority="5">
      <formula>H27=1</formula>
    </cfRule>
  </conditionalFormatting>
  <conditionalFormatting sqref="E27:E28">
    <cfRule type="expression" dxfId="1713" priority="4">
      <formula>H27=1</formula>
    </cfRule>
  </conditionalFormatting>
  <conditionalFormatting sqref="D24">
    <cfRule type="expression" dxfId="1712" priority="3" stopIfTrue="1">
      <formula>IF($H$25=1,0)</formula>
    </cfRule>
  </conditionalFormatting>
  <conditionalFormatting sqref="D24">
    <cfRule type="expression" dxfId="1711" priority="2">
      <formula>H24=1</formula>
    </cfRule>
  </conditionalFormatting>
  <conditionalFormatting sqref="E24">
    <cfRule type="expression" dxfId="1710" priority="1">
      <formula>H24=1</formula>
    </cfRule>
  </conditionalFormatting>
  <pageMargins left="0.7" right="0.7" top="0.75" bottom="0.75" header="0.3" footer="0.3"/>
  <pageSetup scale="68"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100-000000000000}">
  <sheetPr codeName="Sheet115"/>
  <dimension ref="A2:O47"/>
  <sheetViews>
    <sheetView zoomScaleNormal="100" workbookViewId="0">
      <selection activeCell="M9" sqref="M9"/>
    </sheetView>
  </sheetViews>
  <sheetFormatPr defaultRowHeight="15" x14ac:dyDescent="0.25"/>
  <cols>
    <col min="1" max="2" width="4.42578125" customWidth="1"/>
    <col min="3" max="3" width="3" customWidth="1"/>
    <col min="4" max="4" width="24.85546875" customWidth="1"/>
    <col min="5" max="5" width="3" customWidth="1"/>
    <col min="6" max="6" width="15.7109375" customWidth="1"/>
    <col min="7" max="7" width="8.5703125" customWidth="1"/>
    <col min="8" max="8" width="5.85546875" customWidth="1"/>
    <col min="9" max="15" width="15.7109375" customWidth="1"/>
  </cols>
  <sheetData>
    <row r="2" spans="1:11" x14ac:dyDescent="0.25">
      <c r="C2" s="15" t="s">
        <v>32</v>
      </c>
      <c r="E2" s="15"/>
      <c r="F2" s="15"/>
      <c r="G2" s="15" t="s">
        <v>33</v>
      </c>
      <c r="H2" s="15"/>
      <c r="I2" s="15"/>
      <c r="J2" s="15"/>
      <c r="K2" s="15"/>
    </row>
    <row r="3" spans="1:11" ht="18.75" x14ac:dyDescent="0.3">
      <c r="C3" s="3" t="s">
        <v>26</v>
      </c>
      <c r="J3" s="8" t="s">
        <v>17</v>
      </c>
    </row>
    <row r="4" spans="1:11" x14ac:dyDescent="0.25">
      <c r="D4" s="2" t="s">
        <v>0</v>
      </c>
      <c r="E4" s="1"/>
      <c r="F4" t="s">
        <v>614</v>
      </c>
      <c r="I4" s="2" t="s">
        <v>4</v>
      </c>
      <c r="J4" t="s">
        <v>616</v>
      </c>
    </row>
    <row r="5" spans="1:11" x14ac:dyDescent="0.25">
      <c r="D5" s="2" t="s">
        <v>1</v>
      </c>
      <c r="F5" t="s">
        <v>615</v>
      </c>
    </row>
    <row r="6" spans="1:11" x14ac:dyDescent="0.25">
      <c r="D6" s="2" t="s">
        <v>2</v>
      </c>
      <c r="F6" s="6">
        <v>42479</v>
      </c>
      <c r="H6" s="11"/>
    </row>
    <row r="7" spans="1:11" x14ac:dyDescent="0.25">
      <c r="D7" s="2" t="s">
        <v>3</v>
      </c>
      <c r="F7" s="5">
        <v>670000</v>
      </c>
      <c r="G7" s="2" t="s">
        <v>34</v>
      </c>
      <c r="H7" s="11"/>
    </row>
    <row r="8" spans="1:11" x14ac:dyDescent="0.25">
      <c r="D8" s="2" t="s">
        <v>18</v>
      </c>
      <c r="F8" s="5">
        <f>MIN(I23:I43)</f>
        <v>897950</v>
      </c>
      <c r="H8" s="11"/>
    </row>
    <row r="9" spans="1:11" x14ac:dyDescent="0.25">
      <c r="D9" s="2" t="s">
        <v>67</v>
      </c>
      <c r="F9" s="4">
        <f>+F8-F7</f>
        <v>227950</v>
      </c>
      <c r="G9" s="16">
        <f>+F9/F7</f>
        <v>0.34022388059701492</v>
      </c>
      <c r="H9" s="12" t="s">
        <v>20</v>
      </c>
      <c r="I9" s="11" t="str">
        <f>(IF(G9&lt;-0.1,"FAIL",IF(G9&gt;0.05,"FAIL","GOOD")))</f>
        <v>FAIL</v>
      </c>
      <c r="J9" s="14" t="s">
        <v>72</v>
      </c>
    </row>
    <row r="10" spans="1:11" x14ac:dyDescent="0.25">
      <c r="D10" s="2" t="s">
        <v>68</v>
      </c>
      <c r="F10" s="4">
        <f>+F7-F12</f>
        <v>-409081</v>
      </c>
      <c r="H10" s="11"/>
    </row>
    <row r="11" spans="1:11" x14ac:dyDescent="0.25">
      <c r="A11" s="52"/>
      <c r="D11" s="2" t="s">
        <v>71</v>
      </c>
      <c r="F11" s="11" t="str">
        <f>(IF(F7&lt;J12,"FAIL",IF(F7&gt;J13,"FAIL","GOOD")))</f>
        <v>FAIL</v>
      </c>
      <c r="H11" s="11"/>
    </row>
    <row r="12" spans="1:11" x14ac:dyDescent="0.25">
      <c r="D12" s="2" t="s">
        <v>28</v>
      </c>
      <c r="F12" s="4">
        <f>SUM(I23:I43)/H12</f>
        <v>1079081</v>
      </c>
      <c r="G12" s="14"/>
      <c r="H12" s="11">
        <f>COUNT(I23:I43)</f>
        <v>5</v>
      </c>
      <c r="I12" s="1" t="s">
        <v>31</v>
      </c>
      <c r="J12" s="4">
        <f>+F8*0.9</f>
        <v>808155</v>
      </c>
      <c r="K12" s="1" t="s">
        <v>69</v>
      </c>
    </row>
    <row r="13" spans="1:11" x14ac:dyDescent="0.25">
      <c r="D13" s="2" t="s">
        <v>29</v>
      </c>
      <c r="F13" s="4">
        <f>MAX(I23:I43)-MIN(I23:I43)</f>
        <v>647595</v>
      </c>
      <c r="G13" s="399">
        <f>MEDIAN(I23:I43)</f>
        <v>918000</v>
      </c>
      <c r="H13" s="400"/>
      <c r="I13" s="1" t="s">
        <v>30</v>
      </c>
      <c r="J13" s="4">
        <f>+F12*1.1</f>
        <v>1186989.1000000001</v>
      </c>
      <c r="K13" s="1" t="s">
        <v>70</v>
      </c>
    </row>
    <row r="14" spans="1:11" x14ac:dyDescent="0.25">
      <c r="H14" s="11"/>
    </row>
    <row r="15" spans="1:11" x14ac:dyDescent="0.25">
      <c r="D15" s="2" t="s">
        <v>8</v>
      </c>
      <c r="F15" s="4"/>
      <c r="G15" s="1" t="s">
        <v>9</v>
      </c>
      <c r="H15" s="11"/>
      <c r="I15" t="s">
        <v>15</v>
      </c>
      <c r="J15" s="7" t="e">
        <f>+F16/F15</f>
        <v>#DIV/0!</v>
      </c>
    </row>
    <row r="16" spans="1:11" x14ac:dyDescent="0.25">
      <c r="F16" s="4"/>
      <c r="G16" s="1" t="s">
        <v>10</v>
      </c>
      <c r="H16" s="11"/>
      <c r="I16" t="s">
        <v>14</v>
      </c>
      <c r="J16" s="7" t="e">
        <f>+F17/F16</f>
        <v>#DIV/0!</v>
      </c>
    </row>
    <row r="17" spans="3:15" x14ac:dyDescent="0.25">
      <c r="F17" s="4"/>
      <c r="G17" s="1" t="s">
        <v>11</v>
      </c>
      <c r="H17" s="11"/>
      <c r="I17" t="s">
        <v>13</v>
      </c>
      <c r="J17" s="7" t="e">
        <f>+F18/F17</f>
        <v>#DIV/0!</v>
      </c>
      <c r="M17" s="21"/>
      <c r="N17" s="21"/>
      <c r="O17" s="21"/>
    </row>
    <row r="18" spans="3:15" x14ac:dyDescent="0.25">
      <c r="F18" s="4"/>
      <c r="G18" s="1" t="s">
        <v>12</v>
      </c>
      <c r="H18" s="11"/>
      <c r="I18" t="s">
        <v>16</v>
      </c>
      <c r="J18" s="7" t="e">
        <f>+F8/F18</f>
        <v>#DIV/0!</v>
      </c>
      <c r="M18" s="21"/>
      <c r="N18" s="21"/>
      <c r="O18" s="21"/>
    </row>
    <row r="19" spans="3:15" x14ac:dyDescent="0.25">
      <c r="F19" s="2" t="s">
        <v>51</v>
      </c>
      <c r="G19">
        <v>0</v>
      </c>
      <c r="H19" s="11" t="s">
        <v>52</v>
      </c>
      <c r="I19" t="s">
        <v>41</v>
      </c>
      <c r="J19" s="7" t="e">
        <f>+F8/F15</f>
        <v>#DIV/0!</v>
      </c>
      <c r="M19" s="21"/>
      <c r="N19" s="21"/>
      <c r="O19" s="21"/>
    </row>
    <row r="20" spans="3:15" x14ac:dyDescent="0.25">
      <c r="H20" s="11"/>
      <c r="M20" s="21"/>
      <c r="N20" s="21"/>
      <c r="O20" s="21"/>
    </row>
    <row r="21" spans="3:15" x14ac:dyDescent="0.25">
      <c r="C21" s="9"/>
      <c r="D21" s="13" t="s">
        <v>21</v>
      </c>
      <c r="E21" s="9"/>
      <c r="F21" s="9" t="s">
        <v>22</v>
      </c>
      <c r="G21" s="9" t="s">
        <v>23</v>
      </c>
      <c r="H21" s="13" t="s">
        <v>27</v>
      </c>
      <c r="I21" s="10" t="s">
        <v>24</v>
      </c>
      <c r="J21" s="9"/>
      <c r="K21" s="9"/>
      <c r="L21" s="9"/>
      <c r="M21" s="21"/>
      <c r="N21" s="21"/>
      <c r="O21" s="21"/>
    </row>
    <row r="22" spans="3:15" ht="6" customHeight="1" x14ac:dyDescent="0.25">
      <c r="M22" s="21"/>
      <c r="N22" s="21"/>
      <c r="O22" s="21"/>
    </row>
    <row r="23" spans="3:15" x14ac:dyDescent="0.25">
      <c r="C23" s="33" t="str">
        <f>IF(H23=1,"u","")</f>
        <v/>
      </c>
      <c r="D23" s="11" t="s">
        <v>556</v>
      </c>
      <c r="E23" s="33"/>
      <c r="F23" t="s">
        <v>201</v>
      </c>
      <c r="G23" t="s">
        <v>25</v>
      </c>
      <c r="H23">
        <f>RANK(I23,I$23:I$43,1)</f>
        <v>4</v>
      </c>
      <c r="I23" s="4">
        <v>1119600</v>
      </c>
      <c r="J23" s="4"/>
      <c r="K23" s="4"/>
      <c r="L23" s="4"/>
      <c r="M23" s="22"/>
      <c r="N23" s="22"/>
      <c r="O23" s="22"/>
    </row>
    <row r="24" spans="3:15" x14ac:dyDescent="0.25">
      <c r="C24" s="33" t="str">
        <f>IF(H24=1,"u","")</f>
        <v/>
      </c>
      <c r="D24" s="11" t="s">
        <v>617</v>
      </c>
      <c r="E24" s="33"/>
      <c r="F24" t="s">
        <v>618</v>
      </c>
      <c r="G24" t="s">
        <v>25</v>
      </c>
      <c r="H24">
        <f>RANK(I24,I$23:I$43,1)</f>
        <v>3</v>
      </c>
      <c r="I24" s="4">
        <v>918000</v>
      </c>
      <c r="J24" s="4"/>
      <c r="K24" s="4"/>
      <c r="L24" s="4"/>
      <c r="M24" s="22"/>
      <c r="N24" s="22"/>
      <c r="O24" s="22"/>
    </row>
    <row r="25" spans="3:15" x14ac:dyDescent="0.25">
      <c r="C25" s="33" t="str">
        <f>IF(H25=1,"u","")</f>
        <v/>
      </c>
      <c r="D25" s="11" t="s">
        <v>619</v>
      </c>
      <c r="E25" s="33"/>
      <c r="F25" t="s">
        <v>620</v>
      </c>
      <c r="G25" t="s">
        <v>25</v>
      </c>
      <c r="H25">
        <f>RANK(I25,I$23:I$43,1)</f>
        <v>5</v>
      </c>
      <c r="I25" s="4">
        <v>1545545</v>
      </c>
      <c r="J25" s="4"/>
      <c r="K25" s="4"/>
      <c r="L25" s="4"/>
      <c r="M25" s="22"/>
      <c r="N25" s="22"/>
      <c r="O25" s="22"/>
    </row>
    <row r="26" spans="3:15" x14ac:dyDescent="0.25">
      <c r="C26" s="33" t="str">
        <f t="shared" ref="C26:C43" si="0">IF(H26=1,"u","")</f>
        <v>u</v>
      </c>
      <c r="D26" s="11" t="s">
        <v>621</v>
      </c>
      <c r="E26" s="33"/>
      <c r="F26" t="s">
        <v>622</v>
      </c>
      <c r="G26" t="s">
        <v>333</v>
      </c>
      <c r="H26">
        <f>RANK(I26,I$23:I$43,1)</f>
        <v>1</v>
      </c>
      <c r="I26" s="4">
        <v>897950</v>
      </c>
      <c r="J26" s="4"/>
      <c r="K26" s="4"/>
      <c r="L26" s="4"/>
      <c r="M26" s="22"/>
      <c r="N26" s="22"/>
      <c r="O26" s="22"/>
    </row>
    <row r="27" spans="3:15" x14ac:dyDescent="0.25">
      <c r="C27" s="33" t="str">
        <f t="shared" si="0"/>
        <v/>
      </c>
      <c r="D27" s="11" t="s">
        <v>623</v>
      </c>
      <c r="E27" s="33" t="str">
        <f t="shared" ref="E27:E43" si="1">IF(H27=1,"t","")</f>
        <v/>
      </c>
      <c r="F27" t="s">
        <v>624</v>
      </c>
      <c r="G27" t="s">
        <v>25</v>
      </c>
      <c r="H27">
        <f>RANK(I27,I$23:I$43,1)</f>
        <v>2</v>
      </c>
      <c r="I27" s="4">
        <v>914310</v>
      </c>
      <c r="J27" s="4"/>
      <c r="K27" s="4"/>
      <c r="L27" s="4"/>
      <c r="M27" s="22"/>
      <c r="N27" s="22"/>
      <c r="O27" s="22"/>
    </row>
    <row r="28" spans="3:15" x14ac:dyDescent="0.25">
      <c r="C28" s="33" t="str">
        <f t="shared" si="0"/>
        <v/>
      </c>
      <c r="D28" s="11"/>
      <c r="E28" s="33"/>
      <c r="I28" s="4"/>
      <c r="J28" s="4"/>
      <c r="K28" s="4"/>
      <c r="L28" s="4"/>
      <c r="M28" s="22"/>
      <c r="N28" s="22"/>
      <c r="O28" s="22"/>
    </row>
    <row r="29" spans="3:15" x14ac:dyDescent="0.25">
      <c r="C29" s="33" t="str">
        <f t="shared" si="0"/>
        <v/>
      </c>
      <c r="D29" s="11"/>
      <c r="E29" s="33"/>
      <c r="I29" s="4"/>
      <c r="J29" s="4"/>
      <c r="K29" s="4"/>
      <c r="L29" s="4"/>
      <c r="M29" s="22"/>
      <c r="N29" s="22"/>
      <c r="O29" s="22"/>
    </row>
    <row r="30" spans="3:15" x14ac:dyDescent="0.25">
      <c r="C30" s="33" t="str">
        <f t="shared" si="0"/>
        <v/>
      </c>
      <c r="D30" s="11"/>
      <c r="E30" s="33"/>
      <c r="I30" s="4"/>
      <c r="J30" s="4"/>
      <c r="K30" s="4"/>
      <c r="L30" s="4"/>
      <c r="M30" s="22"/>
      <c r="N30" s="22"/>
      <c r="O30" s="22"/>
    </row>
    <row r="31" spans="3:15" x14ac:dyDescent="0.25">
      <c r="C31" s="33" t="str">
        <f t="shared" si="0"/>
        <v/>
      </c>
      <c r="D31" s="11"/>
      <c r="E31" s="33"/>
      <c r="I31" s="4"/>
      <c r="J31" s="4"/>
      <c r="K31" s="4"/>
      <c r="L31" s="4"/>
      <c r="M31" s="22"/>
      <c r="N31" s="22"/>
      <c r="O31" s="22"/>
    </row>
    <row r="32" spans="3:15" x14ac:dyDescent="0.25">
      <c r="C32" s="33" t="str">
        <f t="shared" si="0"/>
        <v/>
      </c>
      <c r="D32" s="11"/>
      <c r="E32" s="33"/>
      <c r="I32" s="4"/>
      <c r="J32" s="4"/>
      <c r="K32" s="4"/>
      <c r="L32" s="4"/>
      <c r="M32" s="22"/>
      <c r="N32" s="22"/>
      <c r="O32" s="22"/>
    </row>
    <row r="33" spans="3:15" x14ac:dyDescent="0.25">
      <c r="C33" s="33" t="str">
        <f t="shared" si="0"/>
        <v/>
      </c>
      <c r="D33" s="11"/>
      <c r="E33" s="33"/>
      <c r="I33" s="4"/>
      <c r="M33" s="21"/>
      <c r="N33" s="21"/>
      <c r="O33" s="21"/>
    </row>
    <row r="34" spans="3:15" x14ac:dyDescent="0.25">
      <c r="C34" s="33" t="str">
        <f t="shared" si="0"/>
        <v/>
      </c>
      <c r="D34" s="11"/>
      <c r="E34" s="33" t="str">
        <f t="shared" si="1"/>
        <v/>
      </c>
      <c r="M34" s="21"/>
      <c r="N34" s="21"/>
      <c r="O34" s="21"/>
    </row>
    <row r="35" spans="3:15" x14ac:dyDescent="0.25">
      <c r="C35" s="33" t="str">
        <f t="shared" si="0"/>
        <v/>
      </c>
      <c r="D35" s="11"/>
      <c r="E35" s="33" t="str">
        <f t="shared" si="1"/>
        <v/>
      </c>
      <c r="M35" s="21"/>
      <c r="N35" s="21"/>
      <c r="O35" s="21"/>
    </row>
    <row r="36" spans="3:15" x14ac:dyDescent="0.25">
      <c r="C36" s="33" t="str">
        <f t="shared" si="0"/>
        <v/>
      </c>
      <c r="D36" s="11"/>
      <c r="E36" s="33" t="str">
        <f t="shared" si="1"/>
        <v/>
      </c>
      <c r="M36" s="21"/>
      <c r="N36" s="21"/>
      <c r="O36" s="21"/>
    </row>
    <row r="37" spans="3:15" x14ac:dyDescent="0.25">
      <c r="C37" s="33" t="str">
        <f t="shared" si="0"/>
        <v/>
      </c>
      <c r="D37" s="11"/>
      <c r="E37" s="33" t="str">
        <f t="shared" si="1"/>
        <v/>
      </c>
      <c r="M37" s="21"/>
      <c r="N37" s="21"/>
      <c r="O37" s="21"/>
    </row>
    <row r="38" spans="3:15" x14ac:dyDescent="0.25">
      <c r="C38" s="33" t="str">
        <f t="shared" si="0"/>
        <v/>
      </c>
      <c r="D38" s="11"/>
      <c r="E38" s="33" t="str">
        <f t="shared" si="1"/>
        <v/>
      </c>
      <c r="M38" s="21"/>
      <c r="N38" s="21"/>
      <c r="O38" s="21"/>
    </row>
    <row r="39" spans="3:15" x14ac:dyDescent="0.25">
      <c r="C39" s="33" t="str">
        <f t="shared" si="0"/>
        <v/>
      </c>
      <c r="D39" s="11"/>
      <c r="E39" s="33" t="str">
        <f t="shared" si="1"/>
        <v/>
      </c>
      <c r="M39" s="21"/>
      <c r="N39" s="21"/>
      <c r="O39" s="21"/>
    </row>
    <row r="40" spans="3:15" x14ac:dyDescent="0.25">
      <c r="C40" s="33" t="str">
        <f t="shared" si="0"/>
        <v/>
      </c>
      <c r="D40" s="11"/>
      <c r="E40" s="33" t="str">
        <f t="shared" si="1"/>
        <v/>
      </c>
      <c r="M40" s="21"/>
      <c r="N40" s="21"/>
      <c r="O40" s="21"/>
    </row>
    <row r="41" spans="3:15" x14ac:dyDescent="0.25">
      <c r="C41" s="33" t="str">
        <f t="shared" si="0"/>
        <v/>
      </c>
      <c r="D41" s="11"/>
      <c r="E41" s="33" t="str">
        <f t="shared" si="1"/>
        <v/>
      </c>
      <c r="M41" s="21"/>
      <c r="N41" s="21"/>
      <c r="O41" s="21"/>
    </row>
    <row r="42" spans="3:15" x14ac:dyDescent="0.25">
      <c r="C42" s="33" t="str">
        <f t="shared" si="0"/>
        <v/>
      </c>
      <c r="D42" s="11"/>
      <c r="E42" s="33" t="str">
        <f t="shared" si="1"/>
        <v/>
      </c>
      <c r="M42" s="21"/>
      <c r="N42" s="21"/>
      <c r="O42" s="21"/>
    </row>
    <row r="43" spans="3:15" x14ac:dyDescent="0.25">
      <c r="C43" s="33" t="str">
        <f t="shared" si="0"/>
        <v/>
      </c>
      <c r="D43" s="11"/>
      <c r="E43" s="33" t="str">
        <f t="shared" si="1"/>
        <v/>
      </c>
      <c r="M43" s="21"/>
      <c r="N43" s="21"/>
      <c r="O43" s="21"/>
    </row>
    <row r="44" spans="3:15" ht="6" customHeight="1" x14ac:dyDescent="0.25">
      <c r="C44" s="9"/>
      <c r="D44" s="9"/>
      <c r="E44" s="9"/>
      <c r="F44" s="9"/>
      <c r="G44" s="9"/>
      <c r="H44" s="9"/>
      <c r="I44" s="9"/>
      <c r="J44" s="9"/>
      <c r="K44" s="9"/>
      <c r="L44" s="9"/>
      <c r="M44" s="21"/>
      <c r="N44" s="21"/>
      <c r="O44" s="21"/>
    </row>
    <row r="45" spans="3:15" ht="6" customHeight="1" x14ac:dyDescent="0.25">
      <c r="M45" s="21"/>
      <c r="N45" s="21"/>
      <c r="O45" s="21"/>
    </row>
    <row r="46" spans="3:15" x14ac:dyDescent="0.25">
      <c r="C46" s="15" t="s">
        <v>79</v>
      </c>
      <c r="M46" s="21"/>
      <c r="N46" s="21"/>
      <c r="O46" s="21"/>
    </row>
    <row r="47" spans="3:15" x14ac:dyDescent="0.25">
      <c r="C47" s="15" t="s">
        <v>78</v>
      </c>
    </row>
  </sheetData>
  <mergeCells count="1">
    <mergeCell ref="G13:H13"/>
  </mergeCells>
  <conditionalFormatting sqref="I9">
    <cfRule type="containsText" dxfId="729" priority="10" operator="containsText" text="FAIL">
      <formula>NOT(ISERROR(SEARCH("FAIL",I9)))</formula>
    </cfRule>
  </conditionalFormatting>
  <conditionalFormatting sqref="I9">
    <cfRule type="containsText" dxfId="728" priority="9" operator="containsText" text="GOOD">
      <formula>NOT(ISERROR(SEARCH("GOOD",I9)))</formula>
    </cfRule>
  </conditionalFormatting>
  <conditionalFormatting sqref="F11">
    <cfRule type="containsText" dxfId="727" priority="8" operator="containsText" text="FAIL">
      <formula>NOT(ISERROR(SEARCH("FAIL",F11)))</formula>
    </cfRule>
  </conditionalFormatting>
  <conditionalFormatting sqref="F11">
    <cfRule type="containsText" dxfId="726" priority="7" operator="containsText" text="GOOD">
      <formula>NOT(ISERROR(SEARCH("GOOD",F11)))</formula>
    </cfRule>
  </conditionalFormatting>
  <conditionalFormatting sqref="D25">
    <cfRule type="expression" dxfId="725" priority="6" stopIfTrue="1">
      <formula>IF($H$25=1,0)</formula>
    </cfRule>
  </conditionalFormatting>
  <conditionalFormatting sqref="D23:D43">
    <cfRule type="expression" dxfId="724" priority="5">
      <formula>H23=1</formula>
    </cfRule>
  </conditionalFormatting>
  <conditionalFormatting sqref="C23:C43">
    <cfRule type="expression" dxfId="723" priority="4">
      <formula>H23=1</formula>
    </cfRule>
  </conditionalFormatting>
  <conditionalFormatting sqref="E23:E43">
    <cfRule type="expression" dxfId="722" priority="3">
      <formula>H23=1</formula>
    </cfRule>
  </conditionalFormatting>
  <conditionalFormatting sqref="F11">
    <cfRule type="containsText" dxfId="721" priority="2" operator="containsText" text="FAIL">
      <formula>NOT(ISERROR(SEARCH("FAIL",F11)))</formula>
    </cfRule>
  </conditionalFormatting>
  <conditionalFormatting sqref="F11">
    <cfRule type="containsText" dxfId="720" priority="1" operator="containsText" text="GOOD">
      <formula>NOT(ISERROR(SEARCH("GOOD",F11)))</formula>
    </cfRule>
  </conditionalFormatting>
  <pageMargins left="0.7" right="0.7" top="0.75" bottom="0.75" header="0.3" footer="0.3"/>
  <pageSetup scale="68"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sheetPr codeName="Sheet83"/>
  <dimension ref="A2:O47"/>
  <sheetViews>
    <sheetView workbookViewId="0">
      <selection activeCell="M13" sqref="M13"/>
    </sheetView>
  </sheetViews>
  <sheetFormatPr defaultRowHeight="15" x14ac:dyDescent="0.25"/>
  <cols>
    <col min="1" max="2" width="4.42578125" customWidth="1"/>
    <col min="3" max="3" width="3" customWidth="1"/>
    <col min="4" max="4" width="24.7109375" customWidth="1"/>
    <col min="5" max="5" width="3" customWidth="1"/>
    <col min="6" max="6" width="15.7109375" customWidth="1"/>
    <col min="7" max="7" width="8.5703125" customWidth="1"/>
    <col min="8" max="8" width="5.85546875" customWidth="1"/>
    <col min="9" max="15" width="15.7109375" customWidth="1"/>
  </cols>
  <sheetData>
    <row r="2" spans="1:11" x14ac:dyDescent="0.25">
      <c r="C2" s="15" t="s">
        <v>32</v>
      </c>
      <c r="E2" s="15"/>
      <c r="F2" s="15"/>
      <c r="G2" s="15" t="s">
        <v>33</v>
      </c>
      <c r="H2" s="15"/>
      <c r="I2" s="15"/>
      <c r="J2" s="15"/>
      <c r="K2" s="15"/>
    </row>
    <row r="3" spans="1:11" ht="18.75" x14ac:dyDescent="0.3">
      <c r="C3" s="3" t="s">
        <v>26</v>
      </c>
      <c r="J3" s="8" t="s">
        <v>47</v>
      </c>
    </row>
    <row r="4" spans="1:11" x14ac:dyDescent="0.25">
      <c r="D4" s="2" t="s">
        <v>0</v>
      </c>
      <c r="E4" s="1"/>
      <c r="F4" t="s">
        <v>821</v>
      </c>
      <c r="I4" s="2" t="s">
        <v>4</v>
      </c>
      <c r="J4" t="s">
        <v>616</v>
      </c>
    </row>
    <row r="5" spans="1:11" x14ac:dyDescent="0.25">
      <c r="D5" s="2" t="s">
        <v>1</v>
      </c>
      <c r="F5" t="s">
        <v>822</v>
      </c>
    </row>
    <row r="6" spans="1:11" x14ac:dyDescent="0.25">
      <c r="D6" s="2" t="s">
        <v>2</v>
      </c>
      <c r="F6" s="6">
        <v>42725</v>
      </c>
      <c r="H6" s="11"/>
    </row>
    <row r="7" spans="1:11" x14ac:dyDescent="0.25">
      <c r="D7" s="2" t="s">
        <v>3</v>
      </c>
      <c r="F7" s="5">
        <f>+I7+J7</f>
        <v>600000</v>
      </c>
      <c r="G7" s="2" t="s">
        <v>693</v>
      </c>
      <c r="H7" s="11"/>
      <c r="I7" s="19">
        <v>170000</v>
      </c>
      <c r="J7" s="19">
        <v>430000</v>
      </c>
    </row>
    <row r="8" spans="1:11" x14ac:dyDescent="0.25">
      <c r="D8" s="2" t="s">
        <v>18</v>
      </c>
      <c r="F8" s="5">
        <f>MIN(K23:K43)</f>
        <v>421111</v>
      </c>
      <c r="H8" s="11"/>
      <c r="I8" s="18" t="s">
        <v>43</v>
      </c>
      <c r="J8" s="18" t="s">
        <v>44</v>
      </c>
    </row>
    <row r="9" spans="1:11" x14ac:dyDescent="0.25">
      <c r="D9" s="2" t="s">
        <v>19</v>
      </c>
      <c r="F9" s="4">
        <f>+F8-F7</f>
        <v>-178889</v>
      </c>
      <c r="G9" s="16">
        <f>+F9/F7</f>
        <v>-0.29814833333333335</v>
      </c>
      <c r="H9" s="12" t="s">
        <v>20</v>
      </c>
      <c r="I9" s="11" t="str">
        <f>(IF(G9&lt;-0.1,"FAIL",IF(G9&gt;0.05,"FAIL","GOOD")))</f>
        <v>FAIL</v>
      </c>
      <c r="J9" s="14" t="s">
        <v>72</v>
      </c>
    </row>
    <row r="10" spans="1:11" x14ac:dyDescent="0.25">
      <c r="D10" s="2" t="s">
        <v>68</v>
      </c>
      <c r="F10" s="4">
        <f>+F7-F12</f>
        <v>-62973.5</v>
      </c>
      <c r="H10" s="11"/>
    </row>
    <row r="11" spans="1:11" x14ac:dyDescent="0.25">
      <c r="A11" s="30"/>
      <c r="D11" s="2" t="s">
        <v>71</v>
      </c>
      <c r="F11" s="11" t="str">
        <f>(IF(F7&lt;J12,"FAIL",IF(F7&gt;J13,"FAIL","GOOD")))</f>
        <v>GOOD</v>
      </c>
      <c r="H11" s="11"/>
    </row>
    <row r="12" spans="1:11" x14ac:dyDescent="0.25">
      <c r="D12" s="2" t="s">
        <v>28</v>
      </c>
      <c r="F12" s="4">
        <f>SUM(K23:K43)/H12</f>
        <v>662973.5</v>
      </c>
      <c r="G12" s="14"/>
      <c r="H12" s="11">
        <f>COUNT(K23:K43)</f>
        <v>8</v>
      </c>
      <c r="I12" s="1" t="s">
        <v>31</v>
      </c>
      <c r="J12" s="4">
        <f>+F8*0.9</f>
        <v>378999.9</v>
      </c>
      <c r="K12" s="1" t="s">
        <v>69</v>
      </c>
    </row>
    <row r="13" spans="1:11" x14ac:dyDescent="0.25">
      <c r="D13" s="2" t="s">
        <v>29</v>
      </c>
      <c r="F13" s="4">
        <f>MAX(K23:K43)-MIN(K23:K43)</f>
        <v>508244</v>
      </c>
      <c r="G13" s="399">
        <f>MEDIAN(K23:K43)</f>
        <v>661122.5</v>
      </c>
      <c r="H13" s="400"/>
      <c r="I13" s="1" t="s">
        <v>30</v>
      </c>
      <c r="J13" s="4">
        <f>+F12*1.1</f>
        <v>729270.85000000009</v>
      </c>
      <c r="K13" s="1" t="s">
        <v>70</v>
      </c>
    </row>
    <row r="14" spans="1:11" x14ac:dyDescent="0.25">
      <c r="H14" s="11"/>
    </row>
    <row r="15" spans="1:11" x14ac:dyDescent="0.25">
      <c r="D15" s="2" t="s">
        <v>8</v>
      </c>
      <c r="F15" s="4">
        <v>30000000</v>
      </c>
      <c r="G15" s="1" t="s">
        <v>9</v>
      </c>
      <c r="H15" s="11"/>
      <c r="I15" t="s">
        <v>15</v>
      </c>
      <c r="J15" s="7">
        <f>+F16/F15</f>
        <v>0.93333333333333335</v>
      </c>
    </row>
    <row r="16" spans="1:11" x14ac:dyDescent="0.25">
      <c r="F16" s="4">
        <v>28000000</v>
      </c>
      <c r="G16" s="1" t="s">
        <v>10</v>
      </c>
      <c r="H16" s="11"/>
      <c r="I16" t="s">
        <v>14</v>
      </c>
      <c r="J16" s="7">
        <f>+F17/F16</f>
        <v>1.0535714285714286</v>
      </c>
    </row>
    <row r="17" spans="3:15" x14ac:dyDescent="0.25">
      <c r="F17" s="4">
        <v>29500000</v>
      </c>
      <c r="G17" s="1" t="s">
        <v>11</v>
      </c>
      <c r="H17" s="11"/>
      <c r="I17" t="s">
        <v>13</v>
      </c>
      <c r="J17" s="7">
        <f>+F18/F17</f>
        <v>2.0338983050847456E-2</v>
      </c>
    </row>
    <row r="18" spans="3:15" x14ac:dyDescent="0.25">
      <c r="F18" s="4">
        <f>+F7</f>
        <v>600000</v>
      </c>
      <c r="G18" s="1" t="s">
        <v>12</v>
      </c>
      <c r="H18" s="11"/>
      <c r="I18" t="s">
        <v>16</v>
      </c>
      <c r="J18" s="7">
        <f>+F8/F18</f>
        <v>0.70185166666666665</v>
      </c>
    </row>
    <row r="19" spans="3:15" x14ac:dyDescent="0.25">
      <c r="F19" s="2" t="s">
        <v>51</v>
      </c>
      <c r="G19">
        <v>0</v>
      </c>
      <c r="H19" s="11" t="s">
        <v>52</v>
      </c>
      <c r="I19" t="s">
        <v>41</v>
      </c>
      <c r="J19" s="7">
        <f>+F8/F15</f>
        <v>1.4037033333333334E-2</v>
      </c>
    </row>
    <row r="20" spans="3:15" x14ac:dyDescent="0.25">
      <c r="H20" s="11"/>
      <c r="M20" s="21"/>
      <c r="N20" s="21"/>
      <c r="O20" s="21"/>
    </row>
    <row r="21" spans="3:15" x14ac:dyDescent="0.25">
      <c r="C21" s="9"/>
      <c r="D21" s="13" t="s">
        <v>21</v>
      </c>
      <c r="E21" s="9"/>
      <c r="F21" s="9" t="s">
        <v>22</v>
      </c>
      <c r="G21" s="9" t="s">
        <v>23</v>
      </c>
      <c r="H21" s="13" t="s">
        <v>27</v>
      </c>
      <c r="I21" s="10" t="s">
        <v>38</v>
      </c>
      <c r="J21" s="10" t="s">
        <v>37</v>
      </c>
      <c r="K21" s="10" t="s">
        <v>39</v>
      </c>
      <c r="L21" s="9"/>
      <c r="M21" s="21"/>
      <c r="N21" s="21"/>
      <c r="O21" s="21"/>
    </row>
    <row r="22" spans="3:15" ht="6" customHeight="1" x14ac:dyDescent="0.25">
      <c r="M22" s="21"/>
      <c r="N22" s="21"/>
      <c r="O22" s="21"/>
    </row>
    <row r="23" spans="3:15" x14ac:dyDescent="0.25">
      <c r="C23" s="33" t="str">
        <f t="shared" ref="C23:C43" si="0">IF(H23=1,"u","")</f>
        <v/>
      </c>
      <c r="D23" s="11" t="s">
        <v>489</v>
      </c>
      <c r="E23" s="33"/>
      <c r="F23" t="s">
        <v>490</v>
      </c>
      <c r="G23" t="s">
        <v>25</v>
      </c>
      <c r="H23">
        <f>RANK(K23,K$23:K$43,1)</f>
        <v>6</v>
      </c>
      <c r="I23" s="4">
        <v>150900</v>
      </c>
      <c r="J23" s="4">
        <v>626877</v>
      </c>
      <c r="K23" s="4">
        <f>+J23+I23</f>
        <v>777777</v>
      </c>
      <c r="L23" s="4"/>
      <c r="M23" s="22"/>
      <c r="N23" s="22"/>
      <c r="O23" s="22"/>
    </row>
    <row r="24" spans="3:15" x14ac:dyDescent="0.25">
      <c r="C24" s="33" t="str">
        <f t="shared" si="0"/>
        <v/>
      </c>
      <c r="D24" s="11" t="s">
        <v>347</v>
      </c>
      <c r="E24" s="33"/>
      <c r="F24" t="s">
        <v>147</v>
      </c>
      <c r="G24" t="s">
        <v>93</v>
      </c>
      <c r="H24">
        <f t="shared" ref="H24:H30" si="1">RANK(K24,K$23:K$43,1)</f>
        <v>2</v>
      </c>
      <c r="I24" s="4">
        <v>130500</v>
      </c>
      <c r="J24" s="4">
        <v>333200</v>
      </c>
      <c r="K24" s="4">
        <f t="shared" ref="K24:K30" si="2">+J24+I24</f>
        <v>463700</v>
      </c>
      <c r="L24" s="4"/>
      <c r="M24" s="22"/>
      <c r="N24" s="22"/>
      <c r="O24" s="22"/>
    </row>
    <row r="25" spans="3:15" x14ac:dyDescent="0.25">
      <c r="C25" s="33" t="str">
        <f t="shared" si="0"/>
        <v/>
      </c>
      <c r="D25" s="11" t="s">
        <v>823</v>
      </c>
      <c r="E25" s="33"/>
      <c r="F25" t="s">
        <v>181</v>
      </c>
      <c r="G25" t="s">
        <v>93</v>
      </c>
      <c r="H25">
        <f t="shared" si="1"/>
        <v>8</v>
      </c>
      <c r="I25" s="4">
        <v>338375</v>
      </c>
      <c r="J25" s="4">
        <v>590980</v>
      </c>
      <c r="K25" s="4">
        <f t="shared" si="2"/>
        <v>929355</v>
      </c>
      <c r="L25" s="4"/>
      <c r="M25" s="22"/>
      <c r="N25" s="22"/>
      <c r="O25" s="22"/>
    </row>
    <row r="26" spans="3:15" x14ac:dyDescent="0.25">
      <c r="C26" s="33" t="str">
        <f t="shared" si="0"/>
        <v/>
      </c>
      <c r="D26" s="11" t="s">
        <v>824</v>
      </c>
      <c r="E26" s="33"/>
      <c r="F26" t="s">
        <v>186</v>
      </c>
      <c r="G26" t="s">
        <v>25</v>
      </c>
      <c r="H26">
        <f t="shared" si="1"/>
        <v>7</v>
      </c>
      <c r="I26" s="4">
        <v>180500</v>
      </c>
      <c r="J26" s="4">
        <v>714500</v>
      </c>
      <c r="K26" s="4">
        <f t="shared" si="2"/>
        <v>895000</v>
      </c>
      <c r="L26" s="4"/>
      <c r="M26" s="22"/>
      <c r="N26" s="22"/>
      <c r="O26" s="22"/>
    </row>
    <row r="27" spans="3:15" x14ac:dyDescent="0.25">
      <c r="C27" s="33" t="str">
        <f t="shared" si="0"/>
        <v>u</v>
      </c>
      <c r="D27" s="11" t="s">
        <v>733</v>
      </c>
      <c r="E27" s="33"/>
      <c r="F27" t="s">
        <v>120</v>
      </c>
      <c r="G27" t="s">
        <v>25</v>
      </c>
      <c r="H27">
        <f t="shared" si="1"/>
        <v>1</v>
      </c>
      <c r="I27" s="4">
        <v>94600</v>
      </c>
      <c r="J27" s="4">
        <v>326511</v>
      </c>
      <c r="K27" s="4">
        <f t="shared" si="2"/>
        <v>421111</v>
      </c>
      <c r="L27" s="4"/>
      <c r="M27" s="22"/>
      <c r="N27" s="22"/>
      <c r="O27" s="22"/>
    </row>
    <row r="28" spans="3:15" x14ac:dyDescent="0.25">
      <c r="C28" s="33" t="str">
        <f t="shared" si="0"/>
        <v/>
      </c>
      <c r="D28" s="11" t="s">
        <v>814</v>
      </c>
      <c r="E28" s="33"/>
      <c r="F28" t="s">
        <v>376</v>
      </c>
      <c r="G28" t="s">
        <v>93</v>
      </c>
      <c r="H28">
        <f t="shared" si="1"/>
        <v>3</v>
      </c>
      <c r="I28" s="4">
        <v>117100</v>
      </c>
      <c r="J28" s="4">
        <v>377500</v>
      </c>
      <c r="K28" s="4">
        <f t="shared" si="2"/>
        <v>494600</v>
      </c>
      <c r="L28" s="4"/>
      <c r="M28" s="22"/>
      <c r="N28" s="22"/>
      <c r="O28" s="22"/>
    </row>
    <row r="29" spans="3:15" x14ac:dyDescent="0.25">
      <c r="C29" s="33" t="str">
        <f t="shared" si="0"/>
        <v/>
      </c>
      <c r="D29" s="11" t="s">
        <v>631</v>
      </c>
      <c r="E29" s="33"/>
      <c r="F29" t="s">
        <v>131</v>
      </c>
      <c r="G29" t="s">
        <v>25</v>
      </c>
      <c r="H29">
        <f t="shared" si="1"/>
        <v>5</v>
      </c>
      <c r="I29" s="4">
        <v>166600</v>
      </c>
      <c r="J29" s="4">
        <v>513400</v>
      </c>
      <c r="K29" s="4">
        <f t="shared" si="2"/>
        <v>680000</v>
      </c>
      <c r="L29" s="4"/>
      <c r="M29" s="22"/>
      <c r="N29" s="22"/>
      <c r="O29" s="22"/>
    </row>
    <row r="30" spans="3:15" x14ac:dyDescent="0.25">
      <c r="C30" s="33" t="str">
        <f t="shared" si="0"/>
        <v/>
      </c>
      <c r="D30" s="11" t="s">
        <v>676</v>
      </c>
      <c r="E30" s="33"/>
      <c r="F30" t="s">
        <v>85</v>
      </c>
      <c r="G30" t="s">
        <v>25</v>
      </c>
      <c r="H30">
        <f t="shared" si="1"/>
        <v>4</v>
      </c>
      <c r="I30" s="4">
        <v>133000</v>
      </c>
      <c r="J30" s="4">
        <v>509245</v>
      </c>
      <c r="K30" s="4">
        <f t="shared" si="2"/>
        <v>642245</v>
      </c>
      <c r="L30" s="4"/>
      <c r="M30" s="22"/>
      <c r="N30" s="22"/>
      <c r="O30" s="22"/>
    </row>
    <row r="31" spans="3:15" x14ac:dyDescent="0.25">
      <c r="C31" s="33" t="str">
        <f t="shared" si="0"/>
        <v/>
      </c>
      <c r="D31" s="11"/>
      <c r="E31" s="33"/>
      <c r="I31" s="4"/>
      <c r="J31" s="4"/>
      <c r="K31" s="4"/>
      <c r="L31" s="4"/>
      <c r="M31" s="22"/>
      <c r="N31" s="22"/>
      <c r="O31" s="22"/>
    </row>
    <row r="32" spans="3:15" x14ac:dyDescent="0.25">
      <c r="C32" s="33" t="str">
        <f t="shared" si="0"/>
        <v/>
      </c>
      <c r="D32" s="11"/>
      <c r="E32" s="33"/>
      <c r="I32" s="4"/>
      <c r="J32" s="4"/>
      <c r="K32" s="4"/>
      <c r="L32" s="4"/>
      <c r="M32" s="22"/>
      <c r="N32" s="22"/>
      <c r="O32" s="22"/>
    </row>
    <row r="33" spans="3:15" x14ac:dyDescent="0.25">
      <c r="C33" s="33" t="str">
        <f t="shared" si="0"/>
        <v/>
      </c>
      <c r="D33" s="11"/>
      <c r="E33" s="33"/>
      <c r="I33" s="4"/>
      <c r="J33" s="4"/>
      <c r="K33" s="4"/>
      <c r="M33" s="21"/>
      <c r="N33" s="21"/>
      <c r="O33" s="21"/>
    </row>
    <row r="34" spans="3:15" x14ac:dyDescent="0.25">
      <c r="C34" s="33" t="str">
        <f t="shared" si="0"/>
        <v/>
      </c>
      <c r="D34" s="11"/>
      <c r="E34" s="33"/>
      <c r="I34" s="4"/>
      <c r="J34" s="4"/>
      <c r="K34" s="4"/>
      <c r="M34" s="21"/>
      <c r="N34" s="21"/>
      <c r="O34" s="21"/>
    </row>
    <row r="35" spans="3:15" x14ac:dyDescent="0.25">
      <c r="C35" s="33" t="str">
        <f t="shared" si="0"/>
        <v/>
      </c>
      <c r="D35" s="11"/>
      <c r="E35" s="33"/>
      <c r="I35" s="4"/>
      <c r="J35" s="4"/>
      <c r="K35" s="4"/>
      <c r="M35" s="21"/>
      <c r="N35" s="21"/>
      <c r="O35" s="21"/>
    </row>
    <row r="36" spans="3:15" x14ac:dyDescent="0.25">
      <c r="C36" s="33" t="str">
        <f t="shared" si="0"/>
        <v/>
      </c>
      <c r="D36" s="11"/>
      <c r="E36" s="33" t="str">
        <f t="shared" ref="E36:E43" si="3">IF(H36=1,"t","")</f>
        <v/>
      </c>
      <c r="K36" s="4"/>
      <c r="M36" s="21"/>
      <c r="N36" s="21"/>
      <c r="O36" s="21"/>
    </row>
    <row r="37" spans="3:15" x14ac:dyDescent="0.25">
      <c r="C37" s="33" t="str">
        <f t="shared" si="0"/>
        <v/>
      </c>
      <c r="D37" s="11"/>
      <c r="E37" s="33" t="str">
        <f t="shared" si="3"/>
        <v/>
      </c>
      <c r="K37" s="4"/>
      <c r="M37" s="21"/>
      <c r="N37" s="21"/>
      <c r="O37" s="21"/>
    </row>
    <row r="38" spans="3:15" x14ac:dyDescent="0.25">
      <c r="C38" s="33" t="str">
        <f t="shared" si="0"/>
        <v/>
      </c>
      <c r="D38" s="11"/>
      <c r="E38" s="33" t="str">
        <f t="shared" si="3"/>
        <v/>
      </c>
      <c r="K38" s="4"/>
      <c r="M38" s="21"/>
      <c r="N38" s="21"/>
      <c r="O38" s="21"/>
    </row>
    <row r="39" spans="3:15" x14ac:dyDescent="0.25">
      <c r="C39" s="33" t="str">
        <f t="shared" si="0"/>
        <v/>
      </c>
      <c r="D39" s="11"/>
      <c r="E39" s="33" t="str">
        <f t="shared" si="3"/>
        <v/>
      </c>
      <c r="K39" s="4"/>
      <c r="M39" s="21"/>
      <c r="N39" s="21"/>
      <c r="O39" s="21"/>
    </row>
    <row r="40" spans="3:15" x14ac:dyDescent="0.25">
      <c r="C40" s="33" t="str">
        <f t="shared" si="0"/>
        <v/>
      </c>
      <c r="D40" s="11"/>
      <c r="E40" s="33" t="str">
        <f t="shared" si="3"/>
        <v/>
      </c>
      <c r="K40" s="4"/>
      <c r="M40" s="21"/>
      <c r="N40" s="21"/>
      <c r="O40" s="21"/>
    </row>
    <row r="41" spans="3:15" x14ac:dyDescent="0.25">
      <c r="C41" s="33" t="str">
        <f t="shared" si="0"/>
        <v/>
      </c>
      <c r="D41" s="11"/>
      <c r="E41" s="33" t="str">
        <f t="shared" si="3"/>
        <v/>
      </c>
      <c r="K41" s="4"/>
      <c r="M41" s="21"/>
      <c r="N41" s="21"/>
      <c r="O41" s="21"/>
    </row>
    <row r="42" spans="3:15" x14ac:dyDescent="0.25">
      <c r="C42" s="33" t="str">
        <f t="shared" si="0"/>
        <v/>
      </c>
      <c r="D42" s="11"/>
      <c r="E42" s="33" t="str">
        <f t="shared" si="3"/>
        <v/>
      </c>
      <c r="K42" s="4"/>
      <c r="M42" s="21"/>
      <c r="N42" s="21"/>
      <c r="O42" s="21"/>
    </row>
    <row r="43" spans="3:15" x14ac:dyDescent="0.25">
      <c r="C43" s="33" t="str">
        <f t="shared" si="0"/>
        <v/>
      </c>
      <c r="D43" s="11"/>
      <c r="E43" s="33" t="str">
        <f t="shared" si="3"/>
        <v/>
      </c>
      <c r="K43" s="4"/>
      <c r="M43" s="21"/>
      <c r="N43" s="21"/>
      <c r="O43" s="21"/>
    </row>
    <row r="44" spans="3:15" ht="6" customHeight="1" x14ac:dyDescent="0.25">
      <c r="C44" s="9"/>
      <c r="D44" s="9"/>
      <c r="E44" s="9"/>
      <c r="F44" s="9"/>
      <c r="G44" s="9"/>
      <c r="H44" s="9"/>
      <c r="I44" s="9"/>
      <c r="J44" s="9"/>
      <c r="K44" s="9"/>
      <c r="L44" s="9"/>
      <c r="M44" s="21"/>
      <c r="N44" s="21"/>
      <c r="O44" s="21"/>
    </row>
    <row r="45" spans="3:15" ht="6" customHeight="1" x14ac:dyDescent="0.25">
      <c r="M45" s="21"/>
      <c r="N45" s="21"/>
      <c r="O45" s="21"/>
    </row>
    <row r="46" spans="3:15" x14ac:dyDescent="0.25">
      <c r="C46" s="15" t="s">
        <v>79</v>
      </c>
      <c r="M46" s="21"/>
      <c r="N46" s="21"/>
      <c r="O46" s="21"/>
    </row>
    <row r="47" spans="3:15" x14ac:dyDescent="0.25">
      <c r="C47" s="15" t="s">
        <v>78</v>
      </c>
    </row>
  </sheetData>
  <mergeCells count="1">
    <mergeCell ref="G13:H13"/>
  </mergeCells>
  <conditionalFormatting sqref="I9">
    <cfRule type="containsText" dxfId="1184" priority="25" operator="containsText" text="FAIL">
      <formula>NOT(ISERROR(SEARCH("FAIL",I9)))</formula>
    </cfRule>
  </conditionalFormatting>
  <conditionalFormatting sqref="I9">
    <cfRule type="containsText" dxfId="1183" priority="24" operator="containsText" text="GOOD">
      <formula>NOT(ISERROR(SEARCH("GOOD",I9)))</formula>
    </cfRule>
  </conditionalFormatting>
  <conditionalFormatting sqref="I9">
    <cfRule type="containsText" dxfId="1182" priority="23" operator="containsText" text="FAIL">
      <formula>NOT(ISERROR(SEARCH("FAIL",I9)))</formula>
    </cfRule>
  </conditionalFormatting>
  <conditionalFormatting sqref="I9">
    <cfRule type="containsText" dxfId="1181" priority="22" operator="containsText" text="GOOD">
      <formula>NOT(ISERROR(SEARCH("GOOD",I9)))</formula>
    </cfRule>
  </conditionalFormatting>
  <conditionalFormatting sqref="I9">
    <cfRule type="containsText" dxfId="1180" priority="21" operator="containsText" text="FAIL">
      <formula>NOT(ISERROR(SEARCH("FAIL",I9)))</formula>
    </cfRule>
  </conditionalFormatting>
  <conditionalFormatting sqref="I9">
    <cfRule type="containsText" dxfId="1179" priority="20" operator="containsText" text="GOOD">
      <formula>NOT(ISERROR(SEARCH("GOOD",I9)))</formula>
    </cfRule>
  </conditionalFormatting>
  <conditionalFormatting sqref="F11">
    <cfRule type="containsText" dxfId="1178" priority="19" operator="containsText" text="FAIL">
      <formula>NOT(ISERROR(SEARCH("FAIL",F11)))</formula>
    </cfRule>
  </conditionalFormatting>
  <conditionalFormatting sqref="F11">
    <cfRule type="containsText" dxfId="1177" priority="18" operator="containsText" text="GOOD">
      <formula>NOT(ISERROR(SEARCH("GOOD",F11)))</formula>
    </cfRule>
  </conditionalFormatting>
  <conditionalFormatting sqref="I9">
    <cfRule type="containsText" dxfId="1176" priority="17" operator="containsText" text="FAIL">
      <formula>NOT(ISERROR(SEARCH("FAIL",I9)))</formula>
    </cfRule>
  </conditionalFormatting>
  <conditionalFormatting sqref="I9">
    <cfRule type="containsText" dxfId="1175" priority="16" operator="containsText" text="GOOD">
      <formula>NOT(ISERROR(SEARCH("GOOD",I9)))</formula>
    </cfRule>
  </conditionalFormatting>
  <conditionalFormatting sqref="F11">
    <cfRule type="containsText" dxfId="1174" priority="15" operator="containsText" text="FAIL">
      <formula>NOT(ISERROR(SEARCH("FAIL",F11)))</formula>
    </cfRule>
  </conditionalFormatting>
  <conditionalFormatting sqref="F11">
    <cfRule type="containsText" dxfId="1173" priority="14" operator="containsText" text="GOOD">
      <formula>NOT(ISERROR(SEARCH("GOOD",F11)))</formula>
    </cfRule>
  </conditionalFormatting>
  <conditionalFormatting sqref="D25">
    <cfRule type="expression" dxfId="1172" priority="13" stopIfTrue="1">
      <formula>IF($H$25=1,0)</formula>
    </cfRule>
  </conditionalFormatting>
  <conditionalFormatting sqref="D23:D29 D36:D43 D32:D33">
    <cfRule type="expression" dxfId="1171" priority="12">
      <formula>H23=1</formula>
    </cfRule>
  </conditionalFormatting>
  <conditionalFormatting sqref="C23:C43">
    <cfRule type="expression" dxfId="1170" priority="11">
      <formula>H23=1</formula>
    </cfRule>
  </conditionalFormatting>
  <conditionalFormatting sqref="E23:E29 E36:E43 E32:E33">
    <cfRule type="expression" dxfId="1169" priority="10">
      <formula>H23=1</formula>
    </cfRule>
  </conditionalFormatting>
  <conditionalFormatting sqref="E23:E29 E36:E43 E32:E33">
    <cfRule type="expression" dxfId="1168" priority="9">
      <formula>H23=1</formula>
    </cfRule>
  </conditionalFormatting>
  <conditionalFormatting sqref="F11">
    <cfRule type="containsText" dxfId="1167" priority="8" operator="containsText" text="FAIL">
      <formula>NOT(ISERROR(SEARCH("FAIL",F11)))</formula>
    </cfRule>
  </conditionalFormatting>
  <conditionalFormatting sqref="F11">
    <cfRule type="containsText" dxfId="1166" priority="7" operator="containsText" text="GOOD">
      <formula>NOT(ISERROR(SEARCH("GOOD",F11)))</formula>
    </cfRule>
  </conditionalFormatting>
  <conditionalFormatting sqref="D34:D35">
    <cfRule type="expression" dxfId="1165" priority="6">
      <formula>H34=1</formula>
    </cfRule>
  </conditionalFormatting>
  <conditionalFormatting sqref="E34:E35">
    <cfRule type="expression" dxfId="1164" priority="5">
      <formula>H34=1</formula>
    </cfRule>
  </conditionalFormatting>
  <conditionalFormatting sqref="E34:E35">
    <cfRule type="expression" dxfId="1163" priority="4">
      <formula>H34=1</formula>
    </cfRule>
  </conditionalFormatting>
  <conditionalFormatting sqref="D30:D31">
    <cfRule type="expression" dxfId="1162" priority="3">
      <formula>H30=1</formula>
    </cfRule>
  </conditionalFormatting>
  <conditionalFormatting sqref="E30:E31">
    <cfRule type="expression" dxfId="1161" priority="2">
      <formula>H30=1</formula>
    </cfRule>
  </conditionalFormatting>
  <conditionalFormatting sqref="E30:E31">
    <cfRule type="expression" dxfId="1160" priority="1">
      <formula>H30=1</formula>
    </cfRule>
  </conditionalFormatting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E00-000000000000}">
  <sheetPr codeName="Sheet144"/>
  <dimension ref="A2:O47"/>
  <sheetViews>
    <sheetView topLeftCell="A4" workbookViewId="0">
      <selection activeCell="I28" sqref="I28"/>
    </sheetView>
  </sheetViews>
  <sheetFormatPr defaultRowHeight="15" x14ac:dyDescent="0.25"/>
  <cols>
    <col min="1" max="2" width="4.42578125" customWidth="1"/>
    <col min="3" max="3" width="3" customWidth="1"/>
    <col min="4" max="4" width="24.85546875" customWidth="1"/>
    <col min="5" max="5" width="3" customWidth="1"/>
    <col min="6" max="6" width="15.7109375" customWidth="1"/>
    <col min="7" max="7" width="8.5703125" customWidth="1"/>
    <col min="8" max="8" width="5.85546875" customWidth="1"/>
    <col min="9" max="15" width="15.7109375" customWidth="1"/>
  </cols>
  <sheetData>
    <row r="2" spans="1:11" x14ac:dyDescent="0.25">
      <c r="C2" s="15" t="s">
        <v>32</v>
      </c>
      <c r="E2" s="15"/>
      <c r="F2" s="15"/>
      <c r="G2" s="15" t="s">
        <v>33</v>
      </c>
      <c r="H2" s="15"/>
      <c r="I2" s="15"/>
      <c r="J2" s="15"/>
      <c r="K2" s="15"/>
    </row>
    <row r="3" spans="1:11" ht="18.75" x14ac:dyDescent="0.3">
      <c r="C3" s="3" t="s">
        <v>26</v>
      </c>
      <c r="J3" s="8" t="s">
        <v>17</v>
      </c>
    </row>
    <row r="4" spans="1:11" x14ac:dyDescent="0.25">
      <c r="D4" s="2" t="s">
        <v>0</v>
      </c>
      <c r="E4" s="1"/>
      <c r="F4" t="s">
        <v>176</v>
      </c>
      <c r="I4" s="2" t="s">
        <v>4</v>
      </c>
    </row>
    <row r="5" spans="1:11" x14ac:dyDescent="0.25">
      <c r="D5" s="2" t="s">
        <v>1</v>
      </c>
      <c r="F5" t="s">
        <v>417</v>
      </c>
    </row>
    <row r="6" spans="1:11" x14ac:dyDescent="0.25">
      <c r="D6" s="2" t="s">
        <v>2</v>
      </c>
      <c r="F6" s="6">
        <v>42256</v>
      </c>
      <c r="H6" s="11"/>
    </row>
    <row r="7" spans="1:11" x14ac:dyDescent="0.25">
      <c r="D7" s="2" t="s">
        <v>3</v>
      </c>
      <c r="F7" s="5">
        <v>325000</v>
      </c>
      <c r="G7" s="2" t="s">
        <v>177</v>
      </c>
      <c r="H7" s="11"/>
    </row>
    <row r="8" spans="1:11" x14ac:dyDescent="0.25">
      <c r="D8" s="2" t="s">
        <v>18</v>
      </c>
      <c r="F8" s="5">
        <f>MIN(I23:I43)</f>
        <v>377777</v>
      </c>
      <c r="H8" s="11"/>
    </row>
    <row r="9" spans="1:11" x14ac:dyDescent="0.25">
      <c r="D9" s="2" t="s">
        <v>67</v>
      </c>
      <c r="F9" s="4">
        <f>+F8-F7</f>
        <v>52777</v>
      </c>
      <c r="G9" s="16">
        <f>+F9/F7</f>
        <v>0.16239076923076923</v>
      </c>
      <c r="H9" s="12" t="s">
        <v>20</v>
      </c>
      <c r="I9" s="11" t="str">
        <f>(IF(G9&lt;-0.1,"FAIL",IF(G9&gt;0.05,"FAIL","GOOD")))</f>
        <v>FAIL</v>
      </c>
      <c r="J9" s="14" t="s">
        <v>72</v>
      </c>
    </row>
    <row r="10" spans="1:11" x14ac:dyDescent="0.25">
      <c r="D10" s="2" t="s">
        <v>68</v>
      </c>
      <c r="F10" s="4">
        <f>+F7-F12</f>
        <v>-164615.33333333331</v>
      </c>
      <c r="H10" s="11"/>
    </row>
    <row r="11" spans="1:11" x14ac:dyDescent="0.25">
      <c r="A11" s="30"/>
      <c r="D11" s="2" t="s">
        <v>71</v>
      </c>
      <c r="F11" s="11" t="str">
        <f>(IF(F7&lt;J12,"FAIL",IF(F7&gt;J13,"FAIL","GOOD")))</f>
        <v>FAIL</v>
      </c>
      <c r="H11" s="11"/>
    </row>
    <row r="12" spans="1:11" x14ac:dyDescent="0.25">
      <c r="D12" s="2" t="s">
        <v>28</v>
      </c>
      <c r="F12" s="4">
        <f>SUM(I23:I43)/H12</f>
        <v>489615.33333333331</v>
      </c>
      <c r="G12" s="14"/>
      <c r="H12" s="11">
        <f>COUNT(I23:I43)</f>
        <v>6</v>
      </c>
      <c r="I12" s="1" t="s">
        <v>31</v>
      </c>
      <c r="J12" s="4">
        <f>+F8*0.9</f>
        <v>339999.3</v>
      </c>
      <c r="K12" s="1" t="s">
        <v>69</v>
      </c>
    </row>
    <row r="13" spans="1:11" x14ac:dyDescent="0.25">
      <c r="D13" s="2" t="s">
        <v>29</v>
      </c>
      <c r="F13" s="4">
        <f>MAX(I23:I43)-MIN(I23:I43)</f>
        <v>265348</v>
      </c>
      <c r="G13" s="399">
        <f>MEDIAN(I23:I43)</f>
        <v>456000</v>
      </c>
      <c r="H13" s="400"/>
      <c r="I13" s="1" t="s">
        <v>30</v>
      </c>
      <c r="J13" s="4">
        <f>+F12*1.1</f>
        <v>538576.8666666667</v>
      </c>
      <c r="K13" s="1" t="s">
        <v>70</v>
      </c>
    </row>
    <row r="14" spans="1:11" x14ac:dyDescent="0.25">
      <c r="H14" s="11"/>
    </row>
    <row r="15" spans="1:11" x14ac:dyDescent="0.25">
      <c r="D15" s="2" t="s">
        <v>8</v>
      </c>
      <c r="F15" s="4"/>
      <c r="G15" s="1" t="s">
        <v>9</v>
      </c>
      <c r="H15" s="11"/>
      <c r="I15" t="s">
        <v>15</v>
      </c>
      <c r="J15" s="7" t="e">
        <f>+F16/F15</f>
        <v>#DIV/0!</v>
      </c>
    </row>
    <row r="16" spans="1:11" x14ac:dyDescent="0.25">
      <c r="F16" s="4"/>
      <c r="G16" s="1" t="s">
        <v>10</v>
      </c>
      <c r="H16" s="11"/>
      <c r="I16" t="s">
        <v>14</v>
      </c>
      <c r="J16" s="7" t="e">
        <f>+F17/F16</f>
        <v>#DIV/0!</v>
      </c>
    </row>
    <row r="17" spans="3:15" x14ac:dyDescent="0.25">
      <c r="F17" s="4"/>
      <c r="G17" s="1" t="s">
        <v>11</v>
      </c>
      <c r="H17" s="11"/>
      <c r="I17" t="s">
        <v>13</v>
      </c>
      <c r="J17" s="7" t="e">
        <f>+F18/F17</f>
        <v>#DIV/0!</v>
      </c>
      <c r="M17" s="21"/>
      <c r="N17" s="21"/>
      <c r="O17" s="21"/>
    </row>
    <row r="18" spans="3:15" x14ac:dyDescent="0.25">
      <c r="F18" s="4"/>
      <c r="G18" s="1" t="s">
        <v>12</v>
      </c>
      <c r="H18" s="11"/>
      <c r="I18" t="s">
        <v>16</v>
      </c>
      <c r="J18" s="7" t="e">
        <f>+F8/F18</f>
        <v>#DIV/0!</v>
      </c>
      <c r="M18" s="21"/>
      <c r="N18" s="21"/>
      <c r="O18" s="21"/>
    </row>
    <row r="19" spans="3:15" x14ac:dyDescent="0.25">
      <c r="F19" s="2" t="s">
        <v>51</v>
      </c>
      <c r="H19" s="11" t="s">
        <v>52</v>
      </c>
      <c r="I19" t="s">
        <v>41</v>
      </c>
      <c r="J19" s="7" t="e">
        <f>+F8/F15</f>
        <v>#DIV/0!</v>
      </c>
      <c r="M19" s="21"/>
      <c r="N19" s="21"/>
      <c r="O19" s="21"/>
    </row>
    <row r="20" spans="3:15" x14ac:dyDescent="0.25">
      <c r="H20" s="11"/>
      <c r="M20" s="21"/>
      <c r="N20" s="21"/>
      <c r="O20" s="21"/>
    </row>
    <row r="21" spans="3:15" x14ac:dyDescent="0.25">
      <c r="C21" s="9"/>
      <c r="D21" s="13" t="s">
        <v>21</v>
      </c>
      <c r="E21" s="9"/>
      <c r="F21" s="9" t="s">
        <v>22</v>
      </c>
      <c r="G21" s="9" t="s">
        <v>23</v>
      </c>
      <c r="H21" s="13" t="s">
        <v>27</v>
      </c>
      <c r="I21" s="10" t="s">
        <v>24</v>
      </c>
      <c r="J21" s="9"/>
      <c r="K21" s="9"/>
      <c r="L21" s="9"/>
      <c r="M21" s="21"/>
      <c r="N21" s="21"/>
      <c r="O21" s="21"/>
    </row>
    <row r="22" spans="3:15" ht="6" customHeight="1" x14ac:dyDescent="0.25">
      <c r="M22" s="21"/>
      <c r="N22" s="21"/>
      <c r="O22" s="21"/>
    </row>
    <row r="23" spans="3:15" x14ac:dyDescent="0.25">
      <c r="C23" s="33" t="str">
        <f t="shared" ref="C23:C28" si="0">IF(H23=1,"u","")</f>
        <v>u</v>
      </c>
      <c r="D23" s="23" t="s">
        <v>146</v>
      </c>
      <c r="E23" s="33"/>
      <c r="F23" t="s">
        <v>147</v>
      </c>
      <c r="G23" t="s">
        <v>93</v>
      </c>
      <c r="H23">
        <f t="shared" ref="H23:H28" si="1">RANK(I23,I$23:I$43,1)</f>
        <v>1</v>
      </c>
      <c r="I23" s="4">
        <v>377777</v>
      </c>
      <c r="J23" s="4"/>
      <c r="K23" s="4"/>
      <c r="L23" s="4"/>
      <c r="M23" s="22"/>
      <c r="N23" s="22"/>
      <c r="O23" s="22"/>
    </row>
    <row r="24" spans="3:15" x14ac:dyDescent="0.25">
      <c r="C24" s="33" t="str">
        <f t="shared" si="0"/>
        <v/>
      </c>
      <c r="D24" s="23" t="s">
        <v>178</v>
      </c>
      <c r="E24" s="33"/>
      <c r="F24" t="s">
        <v>179</v>
      </c>
      <c r="G24" t="s">
        <v>25</v>
      </c>
      <c r="H24">
        <f t="shared" si="1"/>
        <v>2</v>
      </c>
      <c r="I24" s="4">
        <v>415415</v>
      </c>
      <c r="J24" s="4"/>
      <c r="K24" s="4"/>
      <c r="L24" s="4"/>
      <c r="M24" s="22"/>
      <c r="N24" s="22"/>
      <c r="O24" s="22"/>
    </row>
    <row r="25" spans="3:15" x14ac:dyDescent="0.25">
      <c r="C25" s="33" t="str">
        <f t="shared" si="0"/>
        <v/>
      </c>
      <c r="D25" s="23" t="s">
        <v>180</v>
      </c>
      <c r="E25" s="33"/>
      <c r="F25" t="s">
        <v>181</v>
      </c>
      <c r="G25" t="s">
        <v>93</v>
      </c>
      <c r="H25">
        <f t="shared" si="1"/>
        <v>3</v>
      </c>
      <c r="I25" s="4">
        <v>442000</v>
      </c>
      <c r="J25" s="4"/>
      <c r="K25" s="4"/>
      <c r="L25" s="4"/>
      <c r="M25" s="22"/>
      <c r="N25" s="22"/>
      <c r="O25" s="22"/>
    </row>
    <row r="26" spans="3:15" x14ac:dyDescent="0.25">
      <c r="C26" s="33" t="str">
        <f t="shared" si="0"/>
        <v/>
      </c>
      <c r="D26" s="23" t="s">
        <v>182</v>
      </c>
      <c r="E26" s="33"/>
      <c r="F26" t="s">
        <v>131</v>
      </c>
      <c r="G26" t="s">
        <v>25</v>
      </c>
      <c r="H26">
        <f t="shared" si="1"/>
        <v>4</v>
      </c>
      <c r="I26" s="4">
        <v>470000</v>
      </c>
      <c r="J26" s="4"/>
      <c r="K26" s="4"/>
      <c r="L26" s="4"/>
      <c r="M26" s="22"/>
      <c r="N26" s="22"/>
      <c r="O26" s="22"/>
    </row>
    <row r="27" spans="3:15" x14ac:dyDescent="0.25">
      <c r="C27" s="33" t="str">
        <f t="shared" si="0"/>
        <v/>
      </c>
      <c r="D27" s="23" t="s">
        <v>183</v>
      </c>
      <c r="E27" s="33"/>
      <c r="F27" t="s">
        <v>184</v>
      </c>
      <c r="G27" t="s">
        <v>93</v>
      </c>
      <c r="H27">
        <f t="shared" si="1"/>
        <v>5</v>
      </c>
      <c r="I27" s="4">
        <v>589375</v>
      </c>
      <c r="J27" s="4"/>
      <c r="K27" s="4"/>
      <c r="L27" s="4"/>
      <c r="M27" s="22"/>
      <c r="N27" s="22"/>
      <c r="O27" s="22"/>
    </row>
    <row r="28" spans="3:15" x14ac:dyDescent="0.25">
      <c r="C28" s="33" t="str">
        <f t="shared" si="0"/>
        <v/>
      </c>
      <c r="D28" s="23" t="s">
        <v>185</v>
      </c>
      <c r="E28" s="33"/>
      <c r="F28" t="s">
        <v>186</v>
      </c>
      <c r="G28" t="s">
        <v>25</v>
      </c>
      <c r="H28">
        <f t="shared" si="1"/>
        <v>6</v>
      </c>
      <c r="I28" s="4">
        <v>643125</v>
      </c>
      <c r="J28" s="4"/>
      <c r="K28" s="4"/>
      <c r="L28" s="4"/>
      <c r="M28" s="22"/>
      <c r="N28" s="22"/>
      <c r="O28" s="22"/>
    </row>
    <row r="29" spans="3:15" x14ac:dyDescent="0.25">
      <c r="C29" s="33"/>
      <c r="D29" s="23"/>
      <c r="E29" s="33"/>
      <c r="I29" s="4"/>
      <c r="J29" s="4"/>
      <c r="K29" s="4"/>
      <c r="L29" s="4"/>
      <c r="M29" s="22"/>
      <c r="N29" s="22"/>
      <c r="O29" s="22"/>
    </row>
    <row r="30" spans="3:15" x14ac:dyDescent="0.25">
      <c r="C30" s="33"/>
      <c r="D30" s="23"/>
      <c r="E30" s="33"/>
      <c r="I30" s="4"/>
      <c r="J30" s="4"/>
      <c r="K30" s="4"/>
      <c r="L30" s="4"/>
      <c r="M30" s="22"/>
      <c r="N30" s="22"/>
      <c r="O30" s="22"/>
    </row>
    <row r="31" spans="3:15" x14ac:dyDescent="0.25">
      <c r="C31" s="33"/>
      <c r="D31" s="23"/>
      <c r="E31" s="33"/>
      <c r="I31" s="4"/>
      <c r="J31" s="4"/>
      <c r="K31" s="4"/>
      <c r="L31" s="4"/>
      <c r="M31" s="22"/>
      <c r="N31" s="22"/>
      <c r="O31" s="22"/>
    </row>
    <row r="32" spans="3:15" x14ac:dyDescent="0.25">
      <c r="C32" s="33"/>
      <c r="D32" s="23"/>
      <c r="E32" s="33"/>
      <c r="I32" s="4"/>
      <c r="J32" s="4"/>
      <c r="K32" s="4"/>
      <c r="L32" s="4"/>
      <c r="M32" s="22"/>
      <c r="N32" s="22"/>
      <c r="O32" s="22"/>
    </row>
    <row r="33" spans="3:15" x14ac:dyDescent="0.25">
      <c r="C33" s="33"/>
      <c r="D33" s="23"/>
      <c r="E33" s="33"/>
      <c r="I33" s="4"/>
      <c r="M33" s="21"/>
      <c r="N33" s="21"/>
      <c r="O33" s="21"/>
    </row>
    <row r="34" spans="3:15" x14ac:dyDescent="0.25">
      <c r="C34" s="33"/>
      <c r="D34" s="23"/>
      <c r="E34" s="33"/>
      <c r="I34" s="4"/>
      <c r="M34" s="21"/>
      <c r="N34" s="21"/>
      <c r="O34" s="21"/>
    </row>
    <row r="35" spans="3:15" x14ac:dyDescent="0.25">
      <c r="C35" s="33"/>
      <c r="D35" s="23"/>
      <c r="E35" s="33"/>
      <c r="I35" s="4"/>
      <c r="M35" s="21"/>
      <c r="N35" s="21"/>
      <c r="O35" s="21"/>
    </row>
    <row r="36" spans="3:15" x14ac:dyDescent="0.25">
      <c r="C36" s="33"/>
      <c r="D36" s="23"/>
      <c r="E36" s="33"/>
      <c r="I36" s="4"/>
      <c r="M36" s="21"/>
      <c r="N36" s="21"/>
      <c r="O36" s="21"/>
    </row>
    <row r="37" spans="3:15" x14ac:dyDescent="0.25">
      <c r="C37" s="33"/>
      <c r="D37" s="23"/>
      <c r="E37" s="33"/>
      <c r="I37" s="4"/>
      <c r="M37" s="21"/>
      <c r="N37" s="21"/>
      <c r="O37" s="21"/>
    </row>
    <row r="38" spans="3:15" x14ac:dyDescent="0.25">
      <c r="C38" s="33"/>
      <c r="D38" s="23"/>
      <c r="E38" s="33"/>
      <c r="I38" s="4"/>
      <c r="M38" s="21"/>
      <c r="N38" s="21"/>
      <c r="O38" s="21"/>
    </row>
    <row r="39" spans="3:15" x14ac:dyDescent="0.25">
      <c r="C39" s="33"/>
      <c r="D39" s="23"/>
      <c r="E39" s="33"/>
      <c r="I39" s="4"/>
      <c r="M39" s="21"/>
      <c r="N39" s="21"/>
      <c r="O39" s="21"/>
    </row>
    <row r="40" spans="3:15" x14ac:dyDescent="0.25">
      <c r="C40" s="33"/>
      <c r="D40" s="23"/>
      <c r="E40" s="33"/>
      <c r="I40" s="4"/>
      <c r="M40" s="21"/>
      <c r="N40" s="21"/>
      <c r="O40" s="21"/>
    </row>
    <row r="41" spans="3:15" x14ac:dyDescent="0.25">
      <c r="C41" s="33"/>
      <c r="D41" s="23"/>
      <c r="E41" s="33"/>
      <c r="M41" s="21"/>
      <c r="N41" s="21"/>
      <c r="O41" s="21"/>
    </row>
    <row r="42" spans="3:15" x14ac:dyDescent="0.25">
      <c r="C42" s="33"/>
      <c r="D42" s="23"/>
      <c r="E42" s="33"/>
      <c r="M42" s="21"/>
      <c r="N42" s="21"/>
      <c r="O42" s="21"/>
    </row>
    <row r="43" spans="3:15" x14ac:dyDescent="0.25">
      <c r="C43" s="33" t="str">
        <f>IF(H43=1,"u","")</f>
        <v/>
      </c>
      <c r="D43" s="11"/>
      <c r="E43" s="33" t="str">
        <f>IF(H43=1,"t","")</f>
        <v/>
      </c>
      <c r="M43" s="21"/>
      <c r="N43" s="21"/>
      <c r="O43" s="21"/>
    </row>
    <row r="44" spans="3:15" ht="6" customHeight="1" x14ac:dyDescent="0.25">
      <c r="C44" s="9"/>
      <c r="D44" s="9"/>
      <c r="E44" s="9"/>
      <c r="F44" s="9"/>
      <c r="G44" s="9"/>
      <c r="H44" s="9"/>
      <c r="I44" s="9"/>
      <c r="J44" s="9"/>
      <c r="K44" s="9"/>
      <c r="L44" s="9"/>
      <c r="M44" s="21"/>
      <c r="N44" s="21"/>
      <c r="O44" s="21"/>
    </row>
    <row r="45" spans="3:15" ht="6" customHeight="1" x14ac:dyDescent="0.25">
      <c r="M45" s="21"/>
      <c r="N45" s="21"/>
      <c r="O45" s="21"/>
    </row>
    <row r="46" spans="3:15" x14ac:dyDescent="0.25">
      <c r="C46" s="15" t="s">
        <v>79</v>
      </c>
      <c r="M46" s="21"/>
      <c r="N46" s="21"/>
      <c r="O46" s="21"/>
    </row>
    <row r="47" spans="3:15" x14ac:dyDescent="0.25">
      <c r="C47" s="15" t="s">
        <v>78</v>
      </c>
    </row>
  </sheetData>
  <mergeCells count="1">
    <mergeCell ref="G13:H13"/>
  </mergeCells>
  <conditionalFormatting sqref="I9">
    <cfRule type="containsText" dxfId="370" priority="10" operator="containsText" text="FAIL">
      <formula>NOT(ISERROR(SEARCH("FAIL",I9)))</formula>
    </cfRule>
  </conditionalFormatting>
  <conditionalFormatting sqref="I9">
    <cfRule type="containsText" dxfId="369" priority="9" operator="containsText" text="GOOD">
      <formula>NOT(ISERROR(SEARCH("GOOD",I9)))</formula>
    </cfRule>
  </conditionalFormatting>
  <conditionalFormatting sqref="F11">
    <cfRule type="containsText" dxfId="368" priority="8" operator="containsText" text="FAIL">
      <formula>NOT(ISERROR(SEARCH("FAIL",F11)))</formula>
    </cfRule>
  </conditionalFormatting>
  <conditionalFormatting sqref="F11">
    <cfRule type="containsText" dxfId="367" priority="7" operator="containsText" text="GOOD">
      <formula>NOT(ISERROR(SEARCH("GOOD",F11)))</formula>
    </cfRule>
  </conditionalFormatting>
  <conditionalFormatting sqref="D25">
    <cfRule type="expression" dxfId="366" priority="6" stopIfTrue="1">
      <formula>IF($H$25=1,0)</formula>
    </cfRule>
  </conditionalFormatting>
  <conditionalFormatting sqref="D23:D43">
    <cfRule type="expression" dxfId="365" priority="5">
      <formula>H23=1</formula>
    </cfRule>
  </conditionalFormatting>
  <conditionalFormatting sqref="C23:C43">
    <cfRule type="expression" dxfId="364" priority="4">
      <formula>H23=1</formula>
    </cfRule>
  </conditionalFormatting>
  <conditionalFormatting sqref="E23:E43">
    <cfRule type="expression" dxfId="363" priority="3">
      <formula>H23=1</formula>
    </cfRule>
  </conditionalFormatting>
  <conditionalFormatting sqref="F11">
    <cfRule type="containsText" dxfId="362" priority="2" operator="containsText" text="FAIL">
      <formula>NOT(ISERROR(SEARCH("FAIL",F11)))</formula>
    </cfRule>
  </conditionalFormatting>
  <conditionalFormatting sqref="F11">
    <cfRule type="containsText" dxfId="361" priority="1" operator="containsText" text="GOOD">
      <formula>NOT(ISERROR(SEARCH("GOOD",F11)))</formula>
    </cfRule>
  </conditionalFormatting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100-000000000000}">
  <sheetPr codeName="Sheet99"/>
  <dimension ref="A2:O47"/>
  <sheetViews>
    <sheetView zoomScaleNormal="100" workbookViewId="0">
      <selection activeCell="K25" sqref="K25"/>
    </sheetView>
  </sheetViews>
  <sheetFormatPr defaultRowHeight="15" x14ac:dyDescent="0.25"/>
  <cols>
    <col min="1" max="2" width="4.42578125" customWidth="1"/>
    <col min="3" max="3" width="3" customWidth="1"/>
    <col min="4" max="4" width="24.85546875" customWidth="1"/>
    <col min="5" max="5" width="3" customWidth="1"/>
    <col min="6" max="6" width="15.7109375" customWidth="1"/>
    <col min="7" max="7" width="8.5703125" customWidth="1"/>
    <col min="8" max="8" width="5.85546875" customWidth="1"/>
    <col min="9" max="15" width="15.7109375" customWidth="1"/>
  </cols>
  <sheetData>
    <row r="2" spans="1:11" x14ac:dyDescent="0.25">
      <c r="C2" s="15" t="s">
        <v>32</v>
      </c>
      <c r="E2" s="15"/>
      <c r="F2" s="15"/>
      <c r="G2" s="15" t="s">
        <v>33</v>
      </c>
      <c r="H2" s="15"/>
      <c r="I2" s="15"/>
      <c r="J2" s="15"/>
      <c r="K2" s="15"/>
    </row>
    <row r="3" spans="1:11" ht="18.75" x14ac:dyDescent="0.3">
      <c r="C3" s="3" t="s">
        <v>26</v>
      </c>
      <c r="J3" s="8" t="s">
        <v>17</v>
      </c>
    </row>
    <row r="4" spans="1:11" x14ac:dyDescent="0.25">
      <c r="D4" s="2" t="s">
        <v>0</v>
      </c>
      <c r="E4" s="1"/>
      <c r="F4" t="s">
        <v>727</v>
      </c>
      <c r="I4" s="2" t="s">
        <v>4</v>
      </c>
      <c r="J4" t="s">
        <v>616</v>
      </c>
    </row>
    <row r="5" spans="1:11" x14ac:dyDescent="0.25">
      <c r="D5" s="2" t="s">
        <v>1</v>
      </c>
      <c r="F5" t="s">
        <v>728</v>
      </c>
    </row>
    <row r="6" spans="1:11" x14ac:dyDescent="0.25">
      <c r="D6" s="2" t="s">
        <v>2</v>
      </c>
      <c r="F6" s="6">
        <v>42606</v>
      </c>
      <c r="H6" s="11"/>
    </row>
    <row r="7" spans="1:11" x14ac:dyDescent="0.25">
      <c r="D7" s="2" t="s">
        <v>3</v>
      </c>
      <c r="F7" s="5">
        <v>230000</v>
      </c>
      <c r="G7" s="2" t="s">
        <v>693</v>
      </c>
      <c r="H7" s="11"/>
    </row>
    <row r="8" spans="1:11" x14ac:dyDescent="0.25">
      <c r="D8" s="2" t="s">
        <v>18</v>
      </c>
      <c r="F8" s="5">
        <f>MIN(I23:I43)</f>
        <v>274450</v>
      </c>
      <c r="H8" s="11"/>
    </row>
    <row r="9" spans="1:11" x14ac:dyDescent="0.25">
      <c r="D9" s="2" t="s">
        <v>67</v>
      </c>
      <c r="F9" s="4">
        <f>+F8-F7</f>
        <v>44450</v>
      </c>
      <c r="G9" s="16">
        <f>+F9/F7</f>
        <v>0.1932608695652174</v>
      </c>
      <c r="H9" s="12" t="s">
        <v>20</v>
      </c>
      <c r="I9" s="11" t="str">
        <f>(IF(G9&lt;-0.1,"FAIL",IF(G9&gt;0.05,"FAIL","GOOD")))</f>
        <v>FAIL</v>
      </c>
      <c r="J9" s="14" t="s">
        <v>72</v>
      </c>
    </row>
    <row r="10" spans="1:11" x14ac:dyDescent="0.25">
      <c r="D10" s="2" t="s">
        <v>68</v>
      </c>
      <c r="F10" s="4">
        <f>+F7-F12</f>
        <v>-132483.33333333331</v>
      </c>
      <c r="H10" s="11"/>
    </row>
    <row r="11" spans="1:11" x14ac:dyDescent="0.25">
      <c r="A11" s="52"/>
      <c r="D11" s="2" t="s">
        <v>71</v>
      </c>
      <c r="F11" s="11" t="str">
        <f>(IF(F7&lt;J12,"FAIL",IF(F7&gt;J13,"FAIL","GOOD")))</f>
        <v>FAIL</v>
      </c>
      <c r="H11" s="11"/>
    </row>
    <row r="12" spans="1:11" x14ac:dyDescent="0.25">
      <c r="D12" s="2" t="s">
        <v>28</v>
      </c>
      <c r="F12" s="4">
        <f>SUM(I23:I43)/H12</f>
        <v>362483.33333333331</v>
      </c>
      <c r="G12" s="14"/>
      <c r="H12" s="11">
        <f>COUNT(I23:I43)</f>
        <v>3</v>
      </c>
      <c r="I12" s="1" t="s">
        <v>31</v>
      </c>
      <c r="J12" s="4">
        <f>+F8*0.9</f>
        <v>247005</v>
      </c>
      <c r="K12" s="1" t="s">
        <v>69</v>
      </c>
    </row>
    <row r="13" spans="1:11" x14ac:dyDescent="0.25">
      <c r="D13" s="2" t="s">
        <v>29</v>
      </c>
      <c r="F13" s="4">
        <f>MAX(I23:I43)-MIN(I23:I43)</f>
        <v>143550</v>
      </c>
      <c r="G13" s="399">
        <f>MEDIAN(I23:I43)</f>
        <v>395000</v>
      </c>
      <c r="H13" s="400"/>
      <c r="I13" s="1" t="s">
        <v>30</v>
      </c>
      <c r="J13" s="4">
        <f>+F12*1.1</f>
        <v>398731.66666666669</v>
      </c>
      <c r="K13" s="1" t="s">
        <v>70</v>
      </c>
    </row>
    <row r="14" spans="1:11" x14ac:dyDescent="0.25">
      <c r="H14" s="11"/>
    </row>
    <row r="15" spans="1:11" x14ac:dyDescent="0.25">
      <c r="D15" s="2" t="s">
        <v>8</v>
      </c>
      <c r="F15" s="4"/>
      <c r="G15" s="1" t="s">
        <v>9</v>
      </c>
      <c r="H15" s="11"/>
      <c r="I15" t="s">
        <v>15</v>
      </c>
      <c r="J15" s="7" t="e">
        <f>+F16/F15</f>
        <v>#DIV/0!</v>
      </c>
    </row>
    <row r="16" spans="1:11" x14ac:dyDescent="0.25">
      <c r="F16" s="4"/>
      <c r="G16" s="1" t="s">
        <v>10</v>
      </c>
      <c r="H16" s="11"/>
      <c r="I16" t="s">
        <v>14</v>
      </c>
      <c r="J16" s="7" t="e">
        <f>+F17/F16</f>
        <v>#DIV/0!</v>
      </c>
    </row>
    <row r="17" spans="3:15" x14ac:dyDescent="0.25">
      <c r="F17" s="4"/>
      <c r="G17" s="1" t="s">
        <v>11</v>
      </c>
      <c r="H17" s="11"/>
      <c r="I17" t="s">
        <v>13</v>
      </c>
      <c r="J17" s="7" t="e">
        <f>+F18/F17</f>
        <v>#DIV/0!</v>
      </c>
      <c r="M17" s="21"/>
      <c r="N17" s="21"/>
      <c r="O17" s="21"/>
    </row>
    <row r="18" spans="3:15" x14ac:dyDescent="0.25">
      <c r="F18" s="4"/>
      <c r="G18" s="1" t="s">
        <v>12</v>
      </c>
      <c r="H18" s="11"/>
      <c r="I18" t="s">
        <v>16</v>
      </c>
      <c r="J18" s="7" t="e">
        <f>+F8/F18</f>
        <v>#DIV/0!</v>
      </c>
      <c r="M18" s="21"/>
      <c r="N18" s="21"/>
      <c r="O18" s="21"/>
    </row>
    <row r="19" spans="3:15" x14ac:dyDescent="0.25">
      <c r="F19" s="2" t="s">
        <v>51</v>
      </c>
      <c r="G19">
        <v>0</v>
      </c>
      <c r="H19" s="11" t="s">
        <v>52</v>
      </c>
      <c r="I19" t="s">
        <v>41</v>
      </c>
      <c r="J19" s="7" t="e">
        <f>+F8/F15</f>
        <v>#DIV/0!</v>
      </c>
      <c r="M19" s="21"/>
      <c r="N19" s="21"/>
      <c r="O19" s="21"/>
    </row>
    <row r="20" spans="3:15" x14ac:dyDescent="0.25">
      <c r="H20" s="11"/>
      <c r="M20" s="21"/>
      <c r="N20" s="21"/>
      <c r="O20" s="21"/>
    </row>
    <row r="21" spans="3:15" x14ac:dyDescent="0.25">
      <c r="C21" s="9"/>
      <c r="D21" s="13" t="s">
        <v>21</v>
      </c>
      <c r="E21" s="9"/>
      <c r="F21" s="9" t="s">
        <v>22</v>
      </c>
      <c r="G21" s="9" t="s">
        <v>23</v>
      </c>
      <c r="H21" s="13" t="s">
        <v>27</v>
      </c>
      <c r="I21" s="10" t="s">
        <v>24</v>
      </c>
      <c r="J21" s="9"/>
      <c r="K21" s="9"/>
      <c r="L21" s="9"/>
      <c r="M21" s="21"/>
      <c r="N21" s="21"/>
      <c r="O21" s="21"/>
    </row>
    <row r="22" spans="3:15" ht="6" customHeight="1" x14ac:dyDescent="0.25">
      <c r="M22" s="21"/>
      <c r="N22" s="21"/>
      <c r="O22" s="21"/>
    </row>
    <row r="23" spans="3:15" x14ac:dyDescent="0.25">
      <c r="C23" s="33" t="str">
        <f>IF(H23=1,"u","")</f>
        <v>u</v>
      </c>
      <c r="D23" s="11" t="s">
        <v>427</v>
      </c>
      <c r="E23" s="33"/>
      <c r="F23" t="s">
        <v>85</v>
      </c>
      <c r="G23" t="s">
        <v>25</v>
      </c>
      <c r="H23">
        <f>RANK(I23,I$23:I$43,1)</f>
        <v>1</v>
      </c>
      <c r="I23" s="4">
        <v>274450</v>
      </c>
      <c r="J23" s="4"/>
      <c r="K23" s="4"/>
      <c r="L23" s="4"/>
      <c r="M23" s="22"/>
      <c r="N23" s="22"/>
      <c r="O23" s="22"/>
    </row>
    <row r="24" spans="3:15" x14ac:dyDescent="0.25">
      <c r="C24" s="33" t="str">
        <f>IF(H24=1,"u","")</f>
        <v/>
      </c>
      <c r="D24" s="11" t="s">
        <v>729</v>
      </c>
      <c r="E24" s="33"/>
      <c r="F24" t="s">
        <v>730</v>
      </c>
      <c r="G24" t="s">
        <v>93</v>
      </c>
      <c r="H24">
        <f>RANK(I24,I$23:I$43,1)</f>
        <v>2</v>
      </c>
      <c r="I24" s="4">
        <v>395000</v>
      </c>
      <c r="J24" s="4"/>
      <c r="K24" s="4"/>
      <c r="L24" s="4"/>
      <c r="M24" s="22"/>
      <c r="N24" s="22"/>
      <c r="O24" s="22"/>
    </row>
    <row r="25" spans="3:15" x14ac:dyDescent="0.25">
      <c r="C25" s="33" t="str">
        <f>IF(H25=1,"u","")</f>
        <v/>
      </c>
      <c r="D25" s="11" t="s">
        <v>631</v>
      </c>
      <c r="E25" s="33"/>
      <c r="F25" t="s">
        <v>131</v>
      </c>
      <c r="G25" t="s">
        <v>25</v>
      </c>
      <c r="H25">
        <f>RANK(I25,I$23:I$43,1)</f>
        <v>3</v>
      </c>
      <c r="I25" s="4">
        <v>418000</v>
      </c>
      <c r="J25" s="4"/>
      <c r="K25" s="4"/>
      <c r="L25" s="4"/>
      <c r="M25" s="22"/>
      <c r="N25" s="22"/>
      <c r="O25" s="22"/>
    </row>
    <row r="26" spans="3:15" x14ac:dyDescent="0.25">
      <c r="C26" s="33" t="str">
        <f t="shared" ref="C26:C43" si="0">IF(H26=1,"u","")</f>
        <v/>
      </c>
      <c r="D26" s="11"/>
      <c r="E26" s="33"/>
      <c r="I26" s="4"/>
      <c r="J26" s="4"/>
      <c r="K26" s="4"/>
      <c r="L26" s="4"/>
      <c r="M26" s="22"/>
      <c r="N26" s="22"/>
      <c r="O26" s="22"/>
    </row>
    <row r="27" spans="3:15" x14ac:dyDescent="0.25">
      <c r="C27" s="33" t="str">
        <f t="shared" si="0"/>
        <v/>
      </c>
      <c r="D27" s="11"/>
      <c r="E27" s="33"/>
      <c r="I27" s="4"/>
      <c r="J27" s="4"/>
      <c r="K27" s="4"/>
      <c r="L27" s="4"/>
      <c r="M27" s="22"/>
      <c r="N27" s="22"/>
      <c r="O27" s="22"/>
    </row>
    <row r="28" spans="3:15" x14ac:dyDescent="0.25">
      <c r="C28" s="33" t="str">
        <f t="shared" si="0"/>
        <v/>
      </c>
      <c r="D28" s="11"/>
      <c r="E28" s="33"/>
      <c r="I28" s="4"/>
      <c r="J28" s="4"/>
      <c r="K28" s="4"/>
      <c r="L28" s="4"/>
      <c r="M28" s="22"/>
      <c r="N28" s="22"/>
      <c r="O28" s="22"/>
    </row>
    <row r="29" spans="3:15" x14ac:dyDescent="0.25">
      <c r="C29" s="33" t="str">
        <f t="shared" si="0"/>
        <v/>
      </c>
      <c r="D29" s="11"/>
      <c r="E29" s="33"/>
      <c r="I29" s="4"/>
      <c r="J29" s="4"/>
      <c r="K29" s="4"/>
      <c r="L29" s="4"/>
      <c r="M29" s="22"/>
      <c r="N29" s="22"/>
      <c r="O29" s="22"/>
    </row>
    <row r="30" spans="3:15" x14ac:dyDescent="0.25">
      <c r="C30" s="33" t="str">
        <f t="shared" si="0"/>
        <v/>
      </c>
      <c r="D30" s="11"/>
      <c r="E30" s="33"/>
      <c r="I30" s="4"/>
      <c r="J30" s="4"/>
      <c r="K30" s="4"/>
      <c r="L30" s="4"/>
      <c r="M30" s="22"/>
      <c r="N30" s="22"/>
      <c r="O30" s="22"/>
    </row>
    <row r="31" spans="3:15" x14ac:dyDescent="0.25">
      <c r="C31" s="33" t="str">
        <f t="shared" si="0"/>
        <v/>
      </c>
      <c r="D31" s="11"/>
      <c r="E31" s="33"/>
      <c r="I31" s="4"/>
      <c r="J31" s="4"/>
      <c r="K31" s="4"/>
      <c r="L31" s="4"/>
      <c r="M31" s="22"/>
      <c r="N31" s="22"/>
      <c r="O31" s="22"/>
    </row>
    <row r="32" spans="3:15" x14ac:dyDescent="0.25">
      <c r="C32" s="33" t="str">
        <f t="shared" si="0"/>
        <v/>
      </c>
      <c r="D32" s="11"/>
      <c r="E32" s="33"/>
      <c r="I32" s="4"/>
      <c r="J32" s="4"/>
      <c r="K32" s="4"/>
      <c r="L32" s="4"/>
      <c r="M32" s="22"/>
      <c r="N32" s="22"/>
      <c r="O32" s="22"/>
    </row>
    <row r="33" spans="3:15" x14ac:dyDescent="0.25">
      <c r="C33" s="33" t="str">
        <f t="shared" si="0"/>
        <v/>
      </c>
      <c r="D33" s="11"/>
      <c r="E33" s="33"/>
      <c r="I33" s="4"/>
      <c r="M33" s="21"/>
      <c r="N33" s="21"/>
      <c r="O33" s="21"/>
    </row>
    <row r="34" spans="3:15" x14ac:dyDescent="0.25">
      <c r="C34" s="33" t="str">
        <f t="shared" si="0"/>
        <v/>
      </c>
      <c r="D34" s="11"/>
      <c r="E34" s="33" t="str">
        <f t="shared" ref="E34:E43" si="1">IF(H34=1,"t","")</f>
        <v/>
      </c>
      <c r="M34" s="21"/>
      <c r="N34" s="21"/>
      <c r="O34" s="21"/>
    </row>
    <row r="35" spans="3:15" x14ac:dyDescent="0.25">
      <c r="C35" s="33" t="str">
        <f t="shared" si="0"/>
        <v/>
      </c>
      <c r="D35" s="11"/>
      <c r="E35" s="33" t="str">
        <f t="shared" si="1"/>
        <v/>
      </c>
      <c r="M35" s="21"/>
      <c r="N35" s="21"/>
      <c r="O35" s="21"/>
    </row>
    <row r="36" spans="3:15" x14ac:dyDescent="0.25">
      <c r="C36" s="33" t="str">
        <f t="shared" si="0"/>
        <v/>
      </c>
      <c r="D36" s="11"/>
      <c r="E36" s="33" t="str">
        <f t="shared" si="1"/>
        <v/>
      </c>
      <c r="M36" s="21"/>
      <c r="N36" s="21"/>
      <c r="O36" s="21"/>
    </row>
    <row r="37" spans="3:15" x14ac:dyDescent="0.25">
      <c r="C37" s="33" t="str">
        <f t="shared" si="0"/>
        <v/>
      </c>
      <c r="D37" s="11"/>
      <c r="E37" s="33" t="str">
        <f t="shared" si="1"/>
        <v/>
      </c>
      <c r="M37" s="21"/>
      <c r="N37" s="21"/>
      <c r="O37" s="21"/>
    </row>
    <row r="38" spans="3:15" x14ac:dyDescent="0.25">
      <c r="C38" s="33" t="str">
        <f t="shared" si="0"/>
        <v/>
      </c>
      <c r="D38" s="11"/>
      <c r="E38" s="33" t="str">
        <f t="shared" si="1"/>
        <v/>
      </c>
      <c r="M38" s="21"/>
      <c r="N38" s="21"/>
      <c r="O38" s="21"/>
    </row>
    <row r="39" spans="3:15" x14ac:dyDescent="0.25">
      <c r="C39" s="33" t="str">
        <f t="shared" si="0"/>
        <v/>
      </c>
      <c r="D39" s="11"/>
      <c r="E39" s="33" t="str">
        <f t="shared" si="1"/>
        <v/>
      </c>
      <c r="M39" s="21"/>
      <c r="N39" s="21"/>
      <c r="O39" s="21"/>
    </row>
    <row r="40" spans="3:15" x14ac:dyDescent="0.25">
      <c r="C40" s="33" t="str">
        <f t="shared" si="0"/>
        <v/>
      </c>
      <c r="D40" s="11"/>
      <c r="E40" s="33" t="str">
        <f t="shared" si="1"/>
        <v/>
      </c>
      <c r="M40" s="21"/>
      <c r="N40" s="21"/>
      <c r="O40" s="21"/>
    </row>
    <row r="41" spans="3:15" x14ac:dyDescent="0.25">
      <c r="C41" s="33" t="str">
        <f t="shared" si="0"/>
        <v/>
      </c>
      <c r="D41" s="11"/>
      <c r="E41" s="33" t="str">
        <f t="shared" si="1"/>
        <v/>
      </c>
      <c r="M41" s="21"/>
      <c r="N41" s="21"/>
      <c r="O41" s="21"/>
    </row>
    <row r="42" spans="3:15" x14ac:dyDescent="0.25">
      <c r="C42" s="33" t="str">
        <f t="shared" si="0"/>
        <v/>
      </c>
      <c r="D42" s="11"/>
      <c r="E42" s="33" t="str">
        <f t="shared" si="1"/>
        <v/>
      </c>
      <c r="M42" s="21"/>
      <c r="N42" s="21"/>
      <c r="O42" s="21"/>
    </row>
    <row r="43" spans="3:15" x14ac:dyDescent="0.25">
      <c r="C43" s="33" t="str">
        <f t="shared" si="0"/>
        <v/>
      </c>
      <c r="D43" s="11"/>
      <c r="E43" s="33" t="str">
        <f t="shared" si="1"/>
        <v/>
      </c>
      <c r="M43" s="21"/>
      <c r="N43" s="21"/>
      <c r="O43" s="21"/>
    </row>
    <row r="44" spans="3:15" ht="6" customHeight="1" x14ac:dyDescent="0.25">
      <c r="C44" s="9"/>
      <c r="D44" s="9"/>
      <c r="E44" s="9"/>
      <c r="F44" s="9"/>
      <c r="G44" s="9"/>
      <c r="H44" s="9"/>
      <c r="I44" s="9"/>
      <c r="J44" s="9"/>
      <c r="K44" s="9"/>
      <c r="L44" s="9"/>
      <c r="M44" s="21"/>
      <c r="N44" s="21"/>
      <c r="O44" s="21"/>
    </row>
    <row r="45" spans="3:15" ht="6" customHeight="1" x14ac:dyDescent="0.25">
      <c r="M45" s="21"/>
      <c r="N45" s="21"/>
      <c r="O45" s="21"/>
    </row>
    <row r="46" spans="3:15" x14ac:dyDescent="0.25">
      <c r="C46" s="15" t="s">
        <v>79</v>
      </c>
      <c r="M46" s="21"/>
      <c r="N46" s="21"/>
      <c r="O46" s="21"/>
    </row>
    <row r="47" spans="3:15" x14ac:dyDescent="0.25">
      <c r="C47" s="15" t="s">
        <v>78</v>
      </c>
    </row>
  </sheetData>
  <mergeCells count="1">
    <mergeCell ref="G13:H13"/>
  </mergeCells>
  <conditionalFormatting sqref="I9">
    <cfRule type="containsText" dxfId="933" priority="10" operator="containsText" text="FAIL">
      <formula>NOT(ISERROR(SEARCH("FAIL",I9)))</formula>
    </cfRule>
  </conditionalFormatting>
  <conditionalFormatting sqref="I9">
    <cfRule type="containsText" dxfId="932" priority="9" operator="containsText" text="GOOD">
      <formula>NOT(ISERROR(SEARCH("GOOD",I9)))</formula>
    </cfRule>
  </conditionalFormatting>
  <conditionalFormatting sqref="F11">
    <cfRule type="containsText" dxfId="931" priority="8" operator="containsText" text="FAIL">
      <formula>NOT(ISERROR(SEARCH("FAIL",F11)))</formula>
    </cfRule>
  </conditionalFormatting>
  <conditionalFormatting sqref="F11">
    <cfRule type="containsText" dxfId="930" priority="7" operator="containsText" text="GOOD">
      <formula>NOT(ISERROR(SEARCH("GOOD",F11)))</formula>
    </cfRule>
  </conditionalFormatting>
  <conditionalFormatting sqref="D25">
    <cfRule type="expression" dxfId="929" priority="6" stopIfTrue="1">
      <formula>IF($H$25=1,0)</formula>
    </cfRule>
  </conditionalFormatting>
  <conditionalFormatting sqref="D23:D43">
    <cfRule type="expression" dxfId="928" priority="5">
      <formula>H23=1</formula>
    </cfRule>
  </conditionalFormatting>
  <conditionalFormatting sqref="C23:C43">
    <cfRule type="expression" dxfId="927" priority="4">
      <formula>H23=1</formula>
    </cfRule>
  </conditionalFormatting>
  <conditionalFormatting sqref="E23:E43">
    <cfRule type="expression" dxfId="926" priority="3">
      <formula>H23=1</formula>
    </cfRule>
  </conditionalFormatting>
  <conditionalFormatting sqref="F11">
    <cfRule type="containsText" dxfId="925" priority="2" operator="containsText" text="FAIL">
      <formula>NOT(ISERROR(SEARCH("FAIL",F11)))</formula>
    </cfRule>
  </conditionalFormatting>
  <conditionalFormatting sqref="F11">
    <cfRule type="containsText" dxfId="924" priority="1" operator="containsText" text="GOOD">
      <formula>NOT(ISERROR(SEARCH("GOOD",F11)))</formula>
    </cfRule>
  </conditionalFormatting>
  <pageMargins left="0.7" right="0.7" top="0.75" bottom="0.75" header="0.3" footer="0.3"/>
  <pageSetup scale="68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sheetPr codeName="Sheet71"/>
  <dimension ref="A2:O47"/>
  <sheetViews>
    <sheetView topLeftCell="A7" zoomScaleNormal="100" workbookViewId="0">
      <selection activeCell="N24" sqref="N24"/>
    </sheetView>
  </sheetViews>
  <sheetFormatPr defaultRowHeight="15" x14ac:dyDescent="0.25"/>
  <cols>
    <col min="1" max="2" width="4.42578125" customWidth="1"/>
    <col min="3" max="3" width="3" customWidth="1"/>
    <col min="4" max="4" width="24.85546875" customWidth="1"/>
    <col min="5" max="5" width="3" customWidth="1"/>
    <col min="6" max="6" width="15.7109375" customWidth="1"/>
    <col min="7" max="7" width="8.5703125" customWidth="1"/>
    <col min="8" max="8" width="5.85546875" customWidth="1"/>
    <col min="9" max="15" width="15.7109375" customWidth="1"/>
  </cols>
  <sheetData>
    <row r="2" spans="1:11" x14ac:dyDescent="0.25">
      <c r="C2" s="15" t="s">
        <v>32</v>
      </c>
      <c r="E2" s="15"/>
      <c r="F2" s="15"/>
      <c r="G2" s="15" t="s">
        <v>33</v>
      </c>
      <c r="H2" s="15"/>
      <c r="I2" s="15"/>
      <c r="J2" s="15"/>
      <c r="K2" s="15"/>
    </row>
    <row r="3" spans="1:11" ht="18.75" x14ac:dyDescent="0.3">
      <c r="C3" s="3" t="s">
        <v>26</v>
      </c>
      <c r="J3" s="8" t="s">
        <v>17</v>
      </c>
    </row>
    <row r="4" spans="1:11" x14ac:dyDescent="0.25">
      <c r="D4" s="2" t="s">
        <v>0</v>
      </c>
      <c r="E4" s="1"/>
      <c r="F4" t="s">
        <v>901</v>
      </c>
      <c r="I4" s="2" t="s">
        <v>4</v>
      </c>
      <c r="J4" t="s">
        <v>616</v>
      </c>
    </row>
    <row r="5" spans="1:11" x14ac:dyDescent="0.25">
      <c r="D5" s="2" t="s">
        <v>1</v>
      </c>
      <c r="F5" t="s">
        <v>902</v>
      </c>
    </row>
    <row r="6" spans="1:11" x14ac:dyDescent="0.25">
      <c r="D6" s="2" t="s">
        <v>2</v>
      </c>
      <c r="F6" s="6">
        <v>42774</v>
      </c>
      <c r="H6" s="11"/>
    </row>
    <row r="7" spans="1:11" x14ac:dyDescent="0.25">
      <c r="D7" s="2" t="s">
        <v>3</v>
      </c>
      <c r="F7" s="5">
        <v>970000</v>
      </c>
      <c r="G7" s="2" t="s">
        <v>34</v>
      </c>
      <c r="H7" s="11"/>
    </row>
    <row r="8" spans="1:11" x14ac:dyDescent="0.25">
      <c r="D8" s="2" t="s">
        <v>18</v>
      </c>
      <c r="F8" s="5">
        <f>MIN(I23:I43)</f>
        <v>756482</v>
      </c>
      <c r="H8" s="11"/>
    </row>
    <row r="9" spans="1:11" x14ac:dyDescent="0.25">
      <c r="D9" s="2" t="s">
        <v>67</v>
      </c>
      <c r="F9" s="4">
        <f>+F8-F7</f>
        <v>-213518</v>
      </c>
      <c r="G9" s="16">
        <f>+F9/F7</f>
        <v>-0.22012164948453608</v>
      </c>
      <c r="H9" s="12" t="s">
        <v>20</v>
      </c>
      <c r="I9" s="11" t="str">
        <f>(IF(G9&lt;-0.1,"FAIL",IF(G9&gt;0.05,"FAIL","GOOD")))</f>
        <v>FAIL</v>
      </c>
      <c r="J9" s="14" t="s">
        <v>72</v>
      </c>
    </row>
    <row r="10" spans="1:11" x14ac:dyDescent="0.25">
      <c r="D10" s="2" t="s">
        <v>68</v>
      </c>
      <c r="F10" s="4">
        <f>+F7-F12</f>
        <v>2843.2222222222481</v>
      </c>
      <c r="H10" s="11"/>
    </row>
    <row r="11" spans="1:11" x14ac:dyDescent="0.25">
      <c r="A11" s="52"/>
      <c r="D11" s="2" t="s">
        <v>71</v>
      </c>
      <c r="F11" s="11" t="str">
        <f>(IF(F7&lt;J12,"FAIL",IF(F7&gt;J13,"FAIL","GOOD")))</f>
        <v>GOOD</v>
      </c>
      <c r="H11" s="11"/>
    </row>
    <row r="12" spans="1:11" x14ac:dyDescent="0.25">
      <c r="D12" s="2" t="s">
        <v>28</v>
      </c>
      <c r="F12" s="4">
        <f>SUM(I23:I43)/H12</f>
        <v>967156.77777777775</v>
      </c>
      <c r="G12" s="14"/>
      <c r="H12" s="11">
        <f>COUNT(I23:I43)</f>
        <v>9</v>
      </c>
      <c r="I12" s="1" t="s">
        <v>31</v>
      </c>
      <c r="J12" s="4">
        <f>+F8*0.9</f>
        <v>680833.8</v>
      </c>
      <c r="K12" s="1" t="s">
        <v>69</v>
      </c>
    </row>
    <row r="13" spans="1:11" x14ac:dyDescent="0.25">
      <c r="D13" s="2" t="s">
        <v>29</v>
      </c>
      <c r="F13" s="4">
        <f>MAX(I23:I43)-MIN(I23:I43)</f>
        <v>875697</v>
      </c>
      <c r="G13" s="399">
        <f>MEDIAN(I23:I43)</f>
        <v>879879</v>
      </c>
      <c r="H13" s="400"/>
      <c r="I13" s="1" t="s">
        <v>30</v>
      </c>
      <c r="J13" s="4">
        <f>+F12*1.1</f>
        <v>1063872.4555555556</v>
      </c>
      <c r="K13" s="1" t="s">
        <v>70</v>
      </c>
    </row>
    <row r="14" spans="1:11" x14ac:dyDescent="0.25">
      <c r="H14" s="11"/>
    </row>
    <row r="15" spans="1:11" x14ac:dyDescent="0.25">
      <c r="D15" s="2" t="s">
        <v>8</v>
      </c>
      <c r="F15" s="4"/>
      <c r="G15" s="1" t="s">
        <v>9</v>
      </c>
      <c r="H15" s="11"/>
      <c r="I15" t="s">
        <v>15</v>
      </c>
      <c r="J15" s="7" t="e">
        <f>+F16/F15</f>
        <v>#DIV/0!</v>
      </c>
    </row>
    <row r="16" spans="1:11" x14ac:dyDescent="0.25">
      <c r="F16" s="4"/>
      <c r="G16" s="1" t="s">
        <v>10</v>
      </c>
      <c r="H16" s="11"/>
      <c r="I16" t="s">
        <v>14</v>
      </c>
      <c r="J16" s="7" t="e">
        <f>+F17/F16</f>
        <v>#DIV/0!</v>
      </c>
    </row>
    <row r="17" spans="3:15" x14ac:dyDescent="0.25">
      <c r="F17" s="4"/>
      <c r="G17" s="1" t="s">
        <v>11</v>
      </c>
      <c r="H17" s="11"/>
      <c r="I17" t="s">
        <v>13</v>
      </c>
      <c r="J17" s="7" t="e">
        <f>+F18/F17</f>
        <v>#DIV/0!</v>
      </c>
      <c r="M17" s="21"/>
      <c r="N17" s="21"/>
      <c r="O17" s="21"/>
    </row>
    <row r="18" spans="3:15" x14ac:dyDescent="0.25">
      <c r="F18" s="4"/>
      <c r="G18" s="1" t="s">
        <v>12</v>
      </c>
      <c r="H18" s="11"/>
      <c r="I18" t="s">
        <v>16</v>
      </c>
      <c r="J18" s="7" t="e">
        <f>+F8/F18</f>
        <v>#DIV/0!</v>
      </c>
      <c r="M18" s="21"/>
      <c r="N18" s="21"/>
      <c r="O18" s="21"/>
    </row>
    <row r="19" spans="3:15" x14ac:dyDescent="0.25">
      <c r="F19" s="2" t="s">
        <v>51</v>
      </c>
      <c r="G19">
        <v>0</v>
      </c>
      <c r="H19" s="11" t="s">
        <v>52</v>
      </c>
      <c r="I19" t="s">
        <v>41</v>
      </c>
      <c r="J19" s="7" t="e">
        <f>+F8/F15</f>
        <v>#DIV/0!</v>
      </c>
      <c r="M19" s="21"/>
      <c r="N19" s="21"/>
      <c r="O19" s="21"/>
    </row>
    <row r="20" spans="3:15" x14ac:dyDescent="0.25">
      <c r="H20" s="11"/>
      <c r="M20" s="21"/>
      <c r="N20" s="21"/>
      <c r="O20" s="21"/>
    </row>
    <row r="21" spans="3:15" x14ac:dyDescent="0.25">
      <c r="C21" s="9"/>
      <c r="D21" s="13" t="s">
        <v>21</v>
      </c>
      <c r="E21" s="9"/>
      <c r="F21" s="9" t="s">
        <v>22</v>
      </c>
      <c r="G21" s="9" t="s">
        <v>23</v>
      </c>
      <c r="H21" s="13" t="s">
        <v>27</v>
      </c>
      <c r="I21" s="10" t="s">
        <v>24</v>
      </c>
      <c r="J21" s="9"/>
      <c r="K21" s="9"/>
      <c r="L21" s="9"/>
      <c r="M21" s="21"/>
      <c r="N21" s="21"/>
      <c r="O21" s="21"/>
    </row>
    <row r="22" spans="3:15" ht="6" customHeight="1" x14ac:dyDescent="0.25">
      <c r="M22" s="21"/>
      <c r="N22" s="21"/>
      <c r="O22" s="21"/>
    </row>
    <row r="23" spans="3:15" x14ac:dyDescent="0.25">
      <c r="C23" s="33" t="str">
        <f>IF(H23=1,"u","")</f>
        <v/>
      </c>
      <c r="D23" s="11" t="s">
        <v>903</v>
      </c>
      <c r="E23" s="33"/>
      <c r="F23" t="s">
        <v>305</v>
      </c>
      <c r="G23" t="s">
        <v>25</v>
      </c>
      <c r="H23">
        <f t="shared" ref="H23:H28" si="0">RANK(I23,I$23:I$43,1)</f>
        <v>2</v>
      </c>
      <c r="I23" s="4">
        <v>792963</v>
      </c>
      <c r="J23" s="4"/>
      <c r="K23" s="4"/>
      <c r="L23" s="4"/>
      <c r="M23" s="22"/>
      <c r="N23" s="22"/>
      <c r="O23" s="22"/>
    </row>
    <row r="24" spans="3:15" x14ac:dyDescent="0.25">
      <c r="C24" s="33" t="str">
        <f>IF(H24=1,"u","")</f>
        <v/>
      </c>
      <c r="D24" s="11" t="s">
        <v>904</v>
      </c>
      <c r="E24" s="33"/>
      <c r="F24" t="s">
        <v>905</v>
      </c>
      <c r="G24" t="s">
        <v>25</v>
      </c>
      <c r="H24">
        <f t="shared" si="0"/>
        <v>5</v>
      </c>
      <c r="I24" s="4">
        <v>879879</v>
      </c>
      <c r="J24" s="4"/>
      <c r="K24" s="4"/>
      <c r="L24" s="4"/>
      <c r="M24" s="22"/>
      <c r="N24" s="22"/>
      <c r="O24" s="22"/>
    </row>
    <row r="25" spans="3:15" x14ac:dyDescent="0.25">
      <c r="C25" s="33" t="str">
        <f>IF(H25=1,"u","")</f>
        <v/>
      </c>
      <c r="D25" s="11" t="s">
        <v>623</v>
      </c>
      <c r="E25" s="33"/>
      <c r="F25" t="s">
        <v>624</v>
      </c>
      <c r="G25" t="s">
        <v>25</v>
      </c>
      <c r="H25">
        <f t="shared" si="0"/>
        <v>9</v>
      </c>
      <c r="I25" s="4">
        <v>1632179</v>
      </c>
      <c r="J25" s="4"/>
      <c r="K25" s="4"/>
      <c r="L25" s="4"/>
      <c r="M25" s="22"/>
      <c r="N25" s="22"/>
      <c r="O25" s="22"/>
    </row>
    <row r="26" spans="3:15" x14ac:dyDescent="0.25">
      <c r="C26" s="33" t="str">
        <f t="shared" ref="C26:C43" si="1">IF(H26=1,"u","")</f>
        <v/>
      </c>
      <c r="D26" s="11" t="s">
        <v>906</v>
      </c>
      <c r="E26" s="33"/>
      <c r="F26" t="s">
        <v>95</v>
      </c>
      <c r="G26" t="s">
        <v>93</v>
      </c>
      <c r="H26">
        <f t="shared" si="0"/>
        <v>8</v>
      </c>
      <c r="I26" s="4">
        <v>1043352</v>
      </c>
      <c r="J26" s="4"/>
      <c r="K26" s="4"/>
      <c r="L26" s="4"/>
      <c r="M26" s="22"/>
      <c r="N26" s="22"/>
      <c r="O26" s="22"/>
    </row>
    <row r="27" spans="3:15" x14ac:dyDescent="0.25">
      <c r="C27" s="33" t="str">
        <f t="shared" si="1"/>
        <v/>
      </c>
      <c r="D27" s="11" t="s">
        <v>740</v>
      </c>
      <c r="E27" s="33"/>
      <c r="F27" t="s">
        <v>149</v>
      </c>
      <c r="G27" t="s">
        <v>25</v>
      </c>
      <c r="H27">
        <f t="shared" si="0"/>
        <v>3</v>
      </c>
      <c r="I27" s="4">
        <v>829406</v>
      </c>
      <c r="J27" s="4"/>
      <c r="K27" s="4"/>
      <c r="L27" s="4"/>
      <c r="M27" s="22"/>
      <c r="N27" s="22"/>
      <c r="O27" s="22"/>
    </row>
    <row r="28" spans="3:15" x14ac:dyDescent="0.25">
      <c r="C28" s="33" t="str">
        <f t="shared" si="1"/>
        <v>u</v>
      </c>
      <c r="D28" s="11" t="s">
        <v>907</v>
      </c>
      <c r="E28" s="33"/>
      <c r="F28" t="s">
        <v>312</v>
      </c>
      <c r="G28" t="s">
        <v>25</v>
      </c>
      <c r="H28">
        <f t="shared" si="0"/>
        <v>1</v>
      </c>
      <c r="I28" s="4">
        <v>756482</v>
      </c>
      <c r="J28" s="4"/>
      <c r="K28" s="4"/>
      <c r="L28" s="4"/>
      <c r="M28" s="22"/>
      <c r="N28" s="22"/>
      <c r="O28" s="22"/>
    </row>
    <row r="29" spans="3:15" x14ac:dyDescent="0.25">
      <c r="C29" s="33" t="str">
        <f>IF(H29=1,"u","")</f>
        <v/>
      </c>
      <c r="D29" s="11" t="s">
        <v>908</v>
      </c>
      <c r="E29" s="33"/>
      <c r="F29" t="s">
        <v>131</v>
      </c>
      <c r="G29" t="s">
        <v>25</v>
      </c>
      <c r="H29">
        <f>RANK(I29,I$23:I$43,1)</f>
        <v>6</v>
      </c>
      <c r="I29" s="4">
        <v>964350</v>
      </c>
      <c r="J29" s="4"/>
      <c r="K29" s="4"/>
      <c r="L29" s="4"/>
      <c r="M29" s="22"/>
      <c r="N29" s="22"/>
      <c r="O29" s="22"/>
    </row>
    <row r="30" spans="3:15" x14ac:dyDescent="0.25">
      <c r="C30" s="33" t="str">
        <f>IF(H30=1,"u","")</f>
        <v/>
      </c>
      <c r="D30" s="11" t="s">
        <v>909</v>
      </c>
      <c r="E30" s="33"/>
      <c r="F30" t="s">
        <v>215</v>
      </c>
      <c r="G30" t="s">
        <v>25</v>
      </c>
      <c r="H30">
        <f>RANK(I30,I$23:I$43,1)</f>
        <v>7</v>
      </c>
      <c r="I30" s="4">
        <v>968800</v>
      </c>
      <c r="J30" s="4"/>
      <c r="K30" s="4"/>
      <c r="L30" s="4"/>
      <c r="M30" s="22"/>
      <c r="N30" s="22"/>
      <c r="O30" s="22"/>
    </row>
    <row r="31" spans="3:15" x14ac:dyDescent="0.25">
      <c r="C31" s="33" t="str">
        <f>IF(H31=1,"u","")</f>
        <v/>
      </c>
      <c r="D31" s="11" t="s">
        <v>679</v>
      </c>
      <c r="E31" s="33"/>
      <c r="F31" t="s">
        <v>193</v>
      </c>
      <c r="G31" t="s">
        <v>25</v>
      </c>
      <c r="H31">
        <f>RANK(I31,I$23:I$43,1)</f>
        <v>4</v>
      </c>
      <c r="I31" s="4">
        <v>837000</v>
      </c>
      <c r="J31" s="4"/>
      <c r="K31" s="4"/>
      <c r="L31" s="4"/>
      <c r="M31" s="22"/>
      <c r="N31" s="22"/>
      <c r="O31" s="22"/>
    </row>
    <row r="32" spans="3:15" x14ac:dyDescent="0.25">
      <c r="C32" s="33" t="str">
        <f t="shared" si="1"/>
        <v/>
      </c>
      <c r="D32" s="11"/>
      <c r="E32" s="33"/>
      <c r="I32" s="4"/>
      <c r="J32" s="4"/>
      <c r="K32" s="4"/>
      <c r="L32" s="4"/>
      <c r="M32" s="22"/>
      <c r="N32" s="22"/>
      <c r="O32" s="22"/>
    </row>
    <row r="33" spans="3:15" x14ac:dyDescent="0.25">
      <c r="C33" s="33" t="str">
        <f t="shared" si="1"/>
        <v/>
      </c>
      <c r="D33" s="11"/>
      <c r="E33" s="33"/>
      <c r="I33" s="4"/>
      <c r="M33" s="21"/>
      <c r="N33" s="21"/>
      <c r="O33" s="21"/>
    </row>
    <row r="34" spans="3:15" x14ac:dyDescent="0.25">
      <c r="C34" s="33" t="str">
        <f t="shared" si="1"/>
        <v/>
      </c>
      <c r="D34" s="11"/>
      <c r="E34" s="33"/>
      <c r="I34" s="4"/>
      <c r="M34" s="21"/>
      <c r="N34" s="21"/>
      <c r="O34" s="21"/>
    </row>
    <row r="35" spans="3:15" x14ac:dyDescent="0.25">
      <c r="C35" s="33" t="str">
        <f t="shared" si="1"/>
        <v/>
      </c>
      <c r="D35" s="11"/>
      <c r="E35" s="33"/>
      <c r="I35" s="4"/>
      <c r="M35" s="21"/>
      <c r="N35" s="21"/>
      <c r="O35" s="21"/>
    </row>
    <row r="36" spans="3:15" x14ac:dyDescent="0.25">
      <c r="C36" s="33" t="str">
        <f t="shared" si="1"/>
        <v/>
      </c>
      <c r="D36" s="11"/>
      <c r="E36" s="33"/>
      <c r="I36" s="4"/>
      <c r="M36" s="21"/>
      <c r="N36" s="21"/>
      <c r="O36" s="21"/>
    </row>
    <row r="37" spans="3:15" x14ac:dyDescent="0.25">
      <c r="C37" s="33" t="str">
        <f t="shared" si="1"/>
        <v/>
      </c>
      <c r="D37" s="11"/>
      <c r="E37" s="33" t="str">
        <f t="shared" ref="E37:E43" si="2">IF(H37=1,"t","")</f>
        <v/>
      </c>
      <c r="M37" s="21"/>
      <c r="N37" s="21"/>
      <c r="O37" s="21"/>
    </row>
    <row r="38" spans="3:15" x14ac:dyDescent="0.25">
      <c r="C38" s="33" t="str">
        <f t="shared" si="1"/>
        <v/>
      </c>
      <c r="D38" s="11"/>
      <c r="E38" s="33" t="str">
        <f t="shared" si="2"/>
        <v/>
      </c>
      <c r="M38" s="21"/>
      <c r="N38" s="21"/>
      <c r="O38" s="21"/>
    </row>
    <row r="39" spans="3:15" x14ac:dyDescent="0.25">
      <c r="C39" s="33" t="str">
        <f t="shared" si="1"/>
        <v/>
      </c>
      <c r="D39" s="11"/>
      <c r="E39" s="33" t="str">
        <f t="shared" si="2"/>
        <v/>
      </c>
      <c r="M39" s="21"/>
      <c r="N39" s="21"/>
      <c r="O39" s="21"/>
    </row>
    <row r="40" spans="3:15" x14ac:dyDescent="0.25">
      <c r="C40" s="33" t="str">
        <f t="shared" si="1"/>
        <v/>
      </c>
      <c r="D40" s="11"/>
      <c r="E40" s="33" t="str">
        <f t="shared" si="2"/>
        <v/>
      </c>
      <c r="M40" s="21"/>
      <c r="N40" s="21"/>
      <c r="O40" s="21"/>
    </row>
    <row r="41" spans="3:15" x14ac:dyDescent="0.25">
      <c r="C41" s="33" t="str">
        <f t="shared" si="1"/>
        <v/>
      </c>
      <c r="D41" s="11"/>
      <c r="E41" s="33" t="str">
        <f t="shared" si="2"/>
        <v/>
      </c>
      <c r="M41" s="21"/>
      <c r="N41" s="21"/>
      <c r="O41" s="21"/>
    </row>
    <row r="42" spans="3:15" x14ac:dyDescent="0.25">
      <c r="C42" s="33" t="str">
        <f t="shared" si="1"/>
        <v/>
      </c>
      <c r="D42" s="11"/>
      <c r="E42" s="33" t="str">
        <f t="shared" si="2"/>
        <v/>
      </c>
      <c r="M42" s="21"/>
      <c r="N42" s="21"/>
      <c r="O42" s="21"/>
    </row>
    <row r="43" spans="3:15" x14ac:dyDescent="0.25">
      <c r="C43" s="33" t="str">
        <f t="shared" si="1"/>
        <v/>
      </c>
      <c r="D43" s="11"/>
      <c r="E43" s="33" t="str">
        <f t="shared" si="2"/>
        <v/>
      </c>
      <c r="M43" s="21"/>
      <c r="N43" s="21"/>
      <c r="O43" s="21"/>
    </row>
    <row r="44" spans="3:15" ht="6" customHeight="1" x14ac:dyDescent="0.25">
      <c r="C44" s="9"/>
      <c r="D44" s="9"/>
      <c r="E44" s="9"/>
      <c r="F44" s="9"/>
      <c r="G44" s="9"/>
      <c r="H44" s="9"/>
      <c r="I44" s="9"/>
      <c r="J44" s="9"/>
      <c r="K44" s="9"/>
      <c r="L44" s="9"/>
      <c r="M44" s="21"/>
      <c r="N44" s="21"/>
      <c r="O44" s="21"/>
    </row>
    <row r="45" spans="3:15" ht="6" customHeight="1" x14ac:dyDescent="0.25">
      <c r="M45" s="21"/>
      <c r="N45" s="21"/>
      <c r="O45" s="21"/>
    </row>
    <row r="46" spans="3:15" x14ac:dyDescent="0.25">
      <c r="C46" s="15" t="s">
        <v>79</v>
      </c>
      <c r="M46" s="21"/>
      <c r="N46" s="21"/>
      <c r="O46" s="21"/>
    </row>
    <row r="47" spans="3:15" x14ac:dyDescent="0.25">
      <c r="C47" s="15" t="s">
        <v>78</v>
      </c>
    </row>
  </sheetData>
  <mergeCells count="1">
    <mergeCell ref="G13:H13"/>
  </mergeCells>
  <conditionalFormatting sqref="I9">
    <cfRule type="containsText" dxfId="1338" priority="17" operator="containsText" text="FAIL">
      <formula>NOT(ISERROR(SEARCH("FAIL",I9)))</formula>
    </cfRule>
  </conditionalFormatting>
  <conditionalFormatting sqref="I9">
    <cfRule type="containsText" dxfId="1337" priority="16" operator="containsText" text="GOOD">
      <formula>NOT(ISERROR(SEARCH("GOOD",I9)))</formula>
    </cfRule>
  </conditionalFormatting>
  <conditionalFormatting sqref="F11">
    <cfRule type="containsText" dxfId="1336" priority="15" operator="containsText" text="FAIL">
      <formula>NOT(ISERROR(SEARCH("FAIL",F11)))</formula>
    </cfRule>
  </conditionalFormatting>
  <conditionalFormatting sqref="F11">
    <cfRule type="containsText" dxfId="1335" priority="14" operator="containsText" text="GOOD">
      <formula>NOT(ISERROR(SEARCH("GOOD",F11)))</formula>
    </cfRule>
  </conditionalFormatting>
  <conditionalFormatting sqref="D25">
    <cfRule type="expression" dxfId="1334" priority="13" stopIfTrue="1">
      <formula>IF($H$25=1,0)</formula>
    </cfRule>
  </conditionalFormatting>
  <conditionalFormatting sqref="D23:D25 D32:D43">
    <cfRule type="expression" dxfId="1333" priority="12">
      <formula>H23=1</formula>
    </cfRule>
  </conditionalFormatting>
  <conditionalFormatting sqref="C23:C26 C32:C43">
    <cfRule type="expression" dxfId="1332" priority="11">
      <formula>H23=1</formula>
    </cfRule>
  </conditionalFormatting>
  <conditionalFormatting sqref="E23:E26 E32:E43">
    <cfRule type="expression" dxfId="1331" priority="10">
      <formula>H23=1</formula>
    </cfRule>
  </conditionalFormatting>
  <conditionalFormatting sqref="F11">
    <cfRule type="containsText" dxfId="1330" priority="9" operator="containsText" text="FAIL">
      <formula>NOT(ISERROR(SEARCH("FAIL",F11)))</formula>
    </cfRule>
  </conditionalFormatting>
  <conditionalFormatting sqref="F11">
    <cfRule type="containsText" dxfId="1329" priority="8" operator="containsText" text="GOOD">
      <formula>NOT(ISERROR(SEARCH("GOOD",F11)))</formula>
    </cfRule>
  </conditionalFormatting>
  <conditionalFormatting sqref="D27:D28">
    <cfRule type="expression" dxfId="1328" priority="7">
      <formula>H27=1</formula>
    </cfRule>
  </conditionalFormatting>
  <conditionalFormatting sqref="C27:C28">
    <cfRule type="expression" dxfId="1327" priority="6">
      <formula>H27=1</formula>
    </cfRule>
  </conditionalFormatting>
  <conditionalFormatting sqref="E27:E28">
    <cfRule type="expression" dxfId="1326" priority="5">
      <formula>H27=1</formula>
    </cfRule>
  </conditionalFormatting>
  <conditionalFormatting sqref="D26">
    <cfRule type="expression" dxfId="1325" priority="4">
      <formula>H26=1</formula>
    </cfRule>
  </conditionalFormatting>
  <conditionalFormatting sqref="D29:D31">
    <cfRule type="expression" dxfId="1324" priority="3">
      <formula>H29=1</formula>
    </cfRule>
  </conditionalFormatting>
  <conditionalFormatting sqref="C29:C31">
    <cfRule type="expression" dxfId="1323" priority="2">
      <formula>H29=1</formula>
    </cfRule>
  </conditionalFormatting>
  <conditionalFormatting sqref="E29:E31">
    <cfRule type="expression" dxfId="1322" priority="1">
      <formula>H29=1</formula>
    </cfRule>
  </conditionalFormatting>
  <pageMargins left="0.7" right="0.7" top="0.75" bottom="0.75" header="0.3" footer="0.3"/>
  <pageSetup scale="68"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Sheet31"/>
  <dimension ref="A2:P47"/>
  <sheetViews>
    <sheetView zoomScaleNormal="100" workbookViewId="0">
      <selection activeCell="K28" sqref="K28"/>
    </sheetView>
  </sheetViews>
  <sheetFormatPr defaultRowHeight="15" x14ac:dyDescent="0.25"/>
  <cols>
    <col min="1" max="2" width="4.42578125" customWidth="1"/>
    <col min="3" max="3" width="3" customWidth="1"/>
    <col min="4" max="4" width="24.85546875" customWidth="1"/>
    <col min="5" max="5" width="3" customWidth="1"/>
    <col min="6" max="6" width="15.7109375" customWidth="1"/>
    <col min="7" max="7" width="8.5703125" customWidth="1"/>
    <col min="8" max="8" width="5.85546875" customWidth="1"/>
    <col min="9" max="15" width="15.7109375" customWidth="1"/>
  </cols>
  <sheetData>
    <row r="2" spans="1:16" x14ac:dyDescent="0.25">
      <c r="C2" s="15" t="s">
        <v>32</v>
      </c>
      <c r="E2" s="15"/>
      <c r="F2" s="15"/>
      <c r="G2" s="15" t="s">
        <v>33</v>
      </c>
      <c r="H2" s="15"/>
      <c r="I2" s="15"/>
      <c r="J2" s="15"/>
      <c r="K2" s="15"/>
    </row>
    <row r="3" spans="1:16" ht="18.75" x14ac:dyDescent="0.3">
      <c r="C3" s="3" t="s">
        <v>26</v>
      </c>
      <c r="J3" s="8" t="s">
        <v>17</v>
      </c>
      <c r="P3" s="100"/>
    </row>
    <row r="4" spans="1:16" x14ac:dyDescent="0.25">
      <c r="D4" s="2" t="s">
        <v>0</v>
      </c>
      <c r="E4" s="1"/>
      <c r="F4" t="s">
        <v>1093</v>
      </c>
      <c r="I4" s="2" t="s">
        <v>4</v>
      </c>
      <c r="J4" t="s">
        <v>616</v>
      </c>
    </row>
    <row r="5" spans="1:16" x14ac:dyDescent="0.25">
      <c r="D5" s="2" t="s">
        <v>1</v>
      </c>
      <c r="F5" t="s">
        <v>1094</v>
      </c>
    </row>
    <row r="6" spans="1:16" x14ac:dyDescent="0.25">
      <c r="D6" s="2" t="s">
        <v>2</v>
      </c>
      <c r="F6" s="6">
        <v>43013</v>
      </c>
      <c r="H6" s="11"/>
    </row>
    <row r="7" spans="1:16" x14ac:dyDescent="0.25">
      <c r="D7" s="2" t="s">
        <v>3</v>
      </c>
      <c r="F7" s="5">
        <v>970000</v>
      </c>
      <c r="G7" s="2" t="s">
        <v>34</v>
      </c>
      <c r="H7" s="11"/>
    </row>
    <row r="8" spans="1:16" x14ac:dyDescent="0.25">
      <c r="D8" s="2" t="s">
        <v>18</v>
      </c>
      <c r="F8" s="5">
        <f>MIN(I23:I43)</f>
        <v>1285000</v>
      </c>
      <c r="H8" s="11"/>
    </row>
    <row r="9" spans="1:16" x14ac:dyDescent="0.25">
      <c r="D9" s="2" t="s">
        <v>67</v>
      </c>
      <c r="F9" s="4">
        <f>+F8-F7</f>
        <v>315000</v>
      </c>
      <c r="G9" s="16">
        <f>+F9/F7</f>
        <v>0.32474226804123713</v>
      </c>
      <c r="H9" s="12" t="s">
        <v>20</v>
      </c>
      <c r="I9" s="11" t="str">
        <f>(IF(G9&lt;-0.1,"FAIL",IF(G9&gt;0.05,"FAIL","GOOD")))</f>
        <v>FAIL</v>
      </c>
      <c r="J9" s="14" t="s">
        <v>72</v>
      </c>
    </row>
    <row r="10" spans="1:16" x14ac:dyDescent="0.25">
      <c r="D10" s="2" t="s">
        <v>68</v>
      </c>
      <c r="F10" s="4">
        <f>+F7-F12</f>
        <v>-839866.66666666674</v>
      </c>
      <c r="H10" s="11"/>
    </row>
    <row r="11" spans="1:16" x14ac:dyDescent="0.25">
      <c r="A11" s="52"/>
      <c r="D11" s="2" t="s">
        <v>71</v>
      </c>
      <c r="F11" s="11" t="str">
        <f>(IF(F7&lt;J12,"FAIL",IF(F7&gt;J13,"FAIL","GOOD")))</f>
        <v>FAIL</v>
      </c>
      <c r="H11" s="11"/>
    </row>
    <row r="12" spans="1:16" x14ac:dyDescent="0.25">
      <c r="D12" s="2" t="s">
        <v>28</v>
      </c>
      <c r="F12" s="4">
        <f>SUM(I23:I43)/H12</f>
        <v>1809866.6666666667</v>
      </c>
      <c r="G12" s="14"/>
      <c r="H12" s="11">
        <f>COUNT(I23:I43)</f>
        <v>6</v>
      </c>
      <c r="I12" s="1" t="s">
        <v>31</v>
      </c>
      <c r="J12" s="4">
        <f>+F8*0.9</f>
        <v>1156500</v>
      </c>
      <c r="K12" s="1" t="s">
        <v>69</v>
      </c>
    </row>
    <row r="13" spans="1:16" x14ac:dyDescent="0.25">
      <c r="D13" s="2" t="s">
        <v>29</v>
      </c>
      <c r="F13" s="4">
        <f>MAX(I23:I43)-MIN(I23:I43)</f>
        <v>865000</v>
      </c>
      <c r="G13" s="399">
        <f>MEDIAN(I23:I43)</f>
        <v>1869850</v>
      </c>
      <c r="H13" s="400"/>
      <c r="I13" s="1" t="s">
        <v>30</v>
      </c>
      <c r="J13" s="4">
        <f>+F12*1.1</f>
        <v>1990853.3333333335</v>
      </c>
      <c r="K13" s="1" t="s">
        <v>70</v>
      </c>
    </row>
    <row r="14" spans="1:16" x14ac:dyDescent="0.25">
      <c r="H14" s="11"/>
    </row>
    <row r="15" spans="1:16" x14ac:dyDescent="0.25">
      <c r="D15" s="2" t="s">
        <v>8</v>
      </c>
      <c r="F15" s="4"/>
      <c r="G15" s="1" t="s">
        <v>9</v>
      </c>
      <c r="H15" s="11"/>
      <c r="I15" t="s">
        <v>15</v>
      </c>
      <c r="J15" s="7" t="e">
        <f>+F16/F15</f>
        <v>#DIV/0!</v>
      </c>
    </row>
    <row r="16" spans="1:16" x14ac:dyDescent="0.25">
      <c r="F16" s="4"/>
      <c r="G16" s="1" t="s">
        <v>10</v>
      </c>
      <c r="H16" s="11"/>
      <c r="I16" t="s">
        <v>14</v>
      </c>
      <c r="J16" s="7" t="e">
        <f>+F17/F16</f>
        <v>#DIV/0!</v>
      </c>
    </row>
    <row r="17" spans="3:15" x14ac:dyDescent="0.25">
      <c r="F17" s="4"/>
      <c r="G17" s="1" t="s">
        <v>11</v>
      </c>
      <c r="H17" s="11"/>
      <c r="I17" t="s">
        <v>13</v>
      </c>
      <c r="J17" s="7" t="e">
        <f>+F18/F17</f>
        <v>#DIV/0!</v>
      </c>
      <c r="M17" s="21"/>
      <c r="N17" s="21"/>
      <c r="O17" s="21"/>
    </row>
    <row r="18" spans="3:15" x14ac:dyDescent="0.25">
      <c r="F18" s="4"/>
      <c r="G18" s="1" t="s">
        <v>12</v>
      </c>
      <c r="H18" s="11"/>
      <c r="I18" t="s">
        <v>16</v>
      </c>
      <c r="J18" s="7" t="e">
        <f>+F8/F18</f>
        <v>#DIV/0!</v>
      </c>
      <c r="M18" s="21"/>
      <c r="N18" s="21"/>
      <c r="O18" s="21"/>
    </row>
    <row r="19" spans="3:15" x14ac:dyDescent="0.25">
      <c r="F19" s="2" t="s">
        <v>51</v>
      </c>
      <c r="G19">
        <v>0</v>
      </c>
      <c r="H19" s="11" t="s">
        <v>52</v>
      </c>
      <c r="I19" t="s">
        <v>41</v>
      </c>
      <c r="J19" s="7" t="e">
        <f>+F8/F15</f>
        <v>#DIV/0!</v>
      </c>
      <c r="M19" s="21"/>
      <c r="N19" s="21"/>
      <c r="O19" s="21"/>
    </row>
    <row r="20" spans="3:15" x14ac:dyDescent="0.25">
      <c r="H20" s="11"/>
      <c r="M20" s="21"/>
      <c r="N20" s="21"/>
      <c r="O20" s="21"/>
    </row>
    <row r="21" spans="3:15" x14ac:dyDescent="0.25">
      <c r="C21" s="9"/>
      <c r="D21" s="13" t="s">
        <v>21</v>
      </c>
      <c r="E21" s="9"/>
      <c r="F21" s="9" t="s">
        <v>22</v>
      </c>
      <c r="G21" s="9" t="s">
        <v>23</v>
      </c>
      <c r="H21" s="13" t="s">
        <v>27</v>
      </c>
      <c r="I21" s="10" t="s">
        <v>24</v>
      </c>
      <c r="J21" s="9"/>
      <c r="K21" s="9"/>
      <c r="L21" s="9"/>
      <c r="M21" s="21"/>
      <c r="N21" s="21"/>
      <c r="O21" s="21"/>
    </row>
    <row r="22" spans="3:15" ht="6" customHeight="1" x14ac:dyDescent="0.25">
      <c r="M22" s="21"/>
      <c r="N22" s="21"/>
      <c r="O22" s="21"/>
    </row>
    <row r="23" spans="3:15" x14ac:dyDescent="0.25">
      <c r="C23" s="33" t="str">
        <f>IF(H23=1,"u","")</f>
        <v/>
      </c>
      <c r="D23" s="11" t="s">
        <v>824</v>
      </c>
      <c r="E23" s="33"/>
      <c r="F23" t="s">
        <v>186</v>
      </c>
      <c r="G23" t="s">
        <v>25</v>
      </c>
      <c r="H23">
        <f t="shared" ref="H23:H28" si="0">RANK(I23,I$23:I$43,1)</f>
        <v>2</v>
      </c>
      <c r="I23" s="4">
        <v>1541500</v>
      </c>
      <c r="J23" s="4"/>
      <c r="K23" s="4"/>
      <c r="L23" s="4"/>
      <c r="M23" s="22"/>
      <c r="N23" s="22"/>
      <c r="O23" s="22"/>
    </row>
    <row r="24" spans="3:15" x14ac:dyDescent="0.25">
      <c r="C24" s="33" t="str">
        <f>IF(H24=1,"u","")</f>
        <v>u</v>
      </c>
      <c r="D24" s="11" t="s">
        <v>1095</v>
      </c>
      <c r="E24" s="33"/>
      <c r="F24" t="s">
        <v>1096</v>
      </c>
      <c r="G24" t="s">
        <v>25</v>
      </c>
      <c r="H24">
        <f t="shared" si="0"/>
        <v>1</v>
      </c>
      <c r="I24" s="4">
        <v>1285000</v>
      </c>
      <c r="J24" s="4"/>
      <c r="K24" s="4"/>
      <c r="L24" s="4"/>
      <c r="M24" s="22"/>
      <c r="N24" s="22"/>
      <c r="O24" s="22"/>
    </row>
    <row r="25" spans="3:15" x14ac:dyDescent="0.25">
      <c r="C25" s="33" t="str">
        <f>IF(H25=1,"u","")</f>
        <v/>
      </c>
      <c r="D25" s="11" t="s">
        <v>722</v>
      </c>
      <c r="E25" s="33"/>
      <c r="F25" t="s">
        <v>179</v>
      </c>
      <c r="G25" t="s">
        <v>25</v>
      </c>
      <c r="H25">
        <f t="shared" si="0"/>
        <v>4</v>
      </c>
      <c r="I25" s="4">
        <v>2091700</v>
      </c>
      <c r="J25" s="4"/>
      <c r="K25" s="4"/>
      <c r="L25" s="4"/>
      <c r="M25" s="22"/>
      <c r="N25" s="22"/>
      <c r="O25" s="22"/>
    </row>
    <row r="26" spans="3:15" x14ac:dyDescent="0.25">
      <c r="C26" s="33"/>
      <c r="D26" s="11" t="s">
        <v>1097</v>
      </c>
      <c r="E26" s="33"/>
      <c r="F26" t="s">
        <v>131</v>
      </c>
      <c r="G26" t="s">
        <v>25</v>
      </c>
      <c r="H26">
        <f t="shared" si="0"/>
        <v>6</v>
      </c>
      <c r="I26" s="4">
        <v>2150000</v>
      </c>
      <c r="J26" s="4"/>
      <c r="K26" s="4"/>
      <c r="L26" s="4"/>
      <c r="M26" s="22"/>
      <c r="N26" s="22"/>
      <c r="O26" s="22"/>
    </row>
    <row r="27" spans="3:15" x14ac:dyDescent="0.25">
      <c r="C27" s="33"/>
      <c r="D27" s="11" t="s">
        <v>882</v>
      </c>
      <c r="E27" s="33"/>
      <c r="F27" t="s">
        <v>95</v>
      </c>
      <c r="G27" t="s">
        <v>93</v>
      </c>
      <c r="H27">
        <f t="shared" si="0"/>
        <v>3</v>
      </c>
      <c r="I27" s="4">
        <v>1648000</v>
      </c>
      <c r="J27" s="4"/>
      <c r="K27" s="4"/>
      <c r="L27" s="4"/>
      <c r="M27" s="22"/>
      <c r="N27" s="22"/>
      <c r="O27" s="22"/>
    </row>
    <row r="28" spans="3:15" x14ac:dyDescent="0.25">
      <c r="C28" s="33"/>
      <c r="D28" s="11" t="s">
        <v>1098</v>
      </c>
      <c r="E28" s="33"/>
      <c r="F28" t="s">
        <v>95</v>
      </c>
      <c r="G28" t="s">
        <v>93</v>
      </c>
      <c r="H28">
        <f t="shared" si="0"/>
        <v>5</v>
      </c>
      <c r="I28" s="4">
        <v>2143000</v>
      </c>
      <c r="J28" s="4"/>
      <c r="K28" s="4"/>
      <c r="L28" s="4"/>
      <c r="M28" s="22"/>
      <c r="N28" s="22"/>
      <c r="O28" s="22"/>
    </row>
    <row r="29" spans="3:15" x14ac:dyDescent="0.25">
      <c r="C29" s="33" t="str">
        <f t="shared" ref="C29:C43" si="1">IF(H29=1,"u","")</f>
        <v/>
      </c>
      <c r="D29" s="11"/>
      <c r="E29" s="33"/>
      <c r="I29" s="4"/>
      <c r="J29" s="4"/>
      <c r="K29" s="4"/>
      <c r="L29" s="4"/>
      <c r="M29" s="22"/>
      <c r="N29" s="22"/>
      <c r="O29" s="22"/>
    </row>
    <row r="30" spans="3:15" x14ac:dyDescent="0.25">
      <c r="C30" s="33" t="str">
        <f t="shared" si="1"/>
        <v/>
      </c>
      <c r="D30" s="11"/>
      <c r="E30" s="33"/>
      <c r="I30" s="4"/>
      <c r="J30" s="4"/>
      <c r="K30" s="4"/>
      <c r="L30" s="4"/>
      <c r="M30" s="22"/>
      <c r="N30" s="22"/>
      <c r="O30" s="22"/>
    </row>
    <row r="31" spans="3:15" x14ac:dyDescent="0.25">
      <c r="C31" s="33" t="str">
        <f t="shared" si="1"/>
        <v/>
      </c>
      <c r="D31" s="11"/>
      <c r="E31" s="33"/>
      <c r="I31" s="4"/>
      <c r="J31" s="4"/>
      <c r="K31" s="4"/>
      <c r="L31" s="4"/>
      <c r="M31" s="22"/>
      <c r="N31" s="22"/>
      <c r="O31" s="22"/>
    </row>
    <row r="32" spans="3:15" x14ac:dyDescent="0.25">
      <c r="C32" s="33" t="str">
        <f t="shared" si="1"/>
        <v/>
      </c>
      <c r="D32" s="11"/>
      <c r="E32" s="33"/>
      <c r="I32" s="4"/>
      <c r="J32" s="4"/>
      <c r="K32" s="4"/>
      <c r="L32" s="4"/>
      <c r="M32" s="22"/>
      <c r="N32" s="22"/>
      <c r="O32" s="22"/>
    </row>
    <row r="33" spans="3:15" x14ac:dyDescent="0.25">
      <c r="C33" s="33" t="str">
        <f t="shared" si="1"/>
        <v/>
      </c>
      <c r="D33" s="11"/>
      <c r="E33" s="33"/>
      <c r="I33" s="4"/>
      <c r="M33" s="21"/>
      <c r="N33" s="21"/>
      <c r="O33" s="21"/>
    </row>
    <row r="34" spans="3:15" x14ac:dyDescent="0.25">
      <c r="C34" s="33" t="str">
        <f t="shared" si="1"/>
        <v/>
      </c>
      <c r="D34" s="11"/>
      <c r="E34" s="33"/>
      <c r="I34" s="4"/>
      <c r="M34" s="21"/>
      <c r="N34" s="21"/>
      <c r="O34" s="21"/>
    </row>
    <row r="35" spans="3:15" x14ac:dyDescent="0.25">
      <c r="C35" s="33" t="str">
        <f t="shared" si="1"/>
        <v/>
      </c>
      <c r="D35" s="11"/>
      <c r="E35" s="33"/>
      <c r="I35" s="4"/>
      <c r="M35" s="21"/>
      <c r="N35" s="21"/>
      <c r="O35" s="21"/>
    </row>
    <row r="36" spans="3:15" x14ac:dyDescent="0.25">
      <c r="C36" s="33" t="str">
        <f t="shared" si="1"/>
        <v/>
      </c>
      <c r="D36" s="11"/>
      <c r="E36" s="33" t="str">
        <f t="shared" ref="E36:E43" si="2">IF(H36=1,"t","")</f>
        <v/>
      </c>
      <c r="M36" s="21"/>
      <c r="N36" s="21"/>
      <c r="O36" s="21"/>
    </row>
    <row r="37" spans="3:15" x14ac:dyDescent="0.25">
      <c r="C37" s="33" t="str">
        <f t="shared" si="1"/>
        <v/>
      </c>
      <c r="D37" s="11"/>
      <c r="E37" s="33" t="str">
        <f t="shared" si="2"/>
        <v/>
      </c>
      <c r="M37" s="21"/>
      <c r="N37" s="21"/>
      <c r="O37" s="21"/>
    </row>
    <row r="38" spans="3:15" x14ac:dyDescent="0.25">
      <c r="C38" s="33" t="str">
        <f t="shared" si="1"/>
        <v/>
      </c>
      <c r="D38" s="11"/>
      <c r="E38" s="33" t="str">
        <f t="shared" si="2"/>
        <v/>
      </c>
      <c r="M38" s="21"/>
      <c r="N38" s="21"/>
      <c r="O38" s="21"/>
    </row>
    <row r="39" spans="3:15" x14ac:dyDescent="0.25">
      <c r="C39" s="33" t="str">
        <f t="shared" si="1"/>
        <v/>
      </c>
      <c r="D39" s="11"/>
      <c r="E39" s="33" t="str">
        <f t="shared" si="2"/>
        <v/>
      </c>
      <c r="M39" s="21"/>
      <c r="N39" s="21"/>
      <c r="O39" s="21"/>
    </row>
    <row r="40" spans="3:15" x14ac:dyDescent="0.25">
      <c r="C40" s="33" t="str">
        <f t="shared" si="1"/>
        <v/>
      </c>
      <c r="D40" s="11"/>
      <c r="E40" s="33" t="str">
        <f t="shared" si="2"/>
        <v/>
      </c>
      <c r="M40" s="21"/>
      <c r="N40" s="21"/>
      <c r="O40" s="21"/>
    </row>
    <row r="41" spans="3:15" x14ac:dyDescent="0.25">
      <c r="C41" s="33" t="str">
        <f t="shared" si="1"/>
        <v/>
      </c>
      <c r="D41" s="11"/>
      <c r="E41" s="33" t="str">
        <f t="shared" si="2"/>
        <v/>
      </c>
      <c r="M41" s="21"/>
      <c r="N41" s="21"/>
      <c r="O41" s="21"/>
    </row>
    <row r="42" spans="3:15" x14ac:dyDescent="0.25">
      <c r="C42" s="33" t="str">
        <f t="shared" si="1"/>
        <v/>
      </c>
      <c r="D42" s="11"/>
      <c r="E42" s="33" t="str">
        <f t="shared" si="2"/>
        <v/>
      </c>
      <c r="M42" s="21"/>
      <c r="N42" s="21"/>
      <c r="O42" s="21"/>
    </row>
    <row r="43" spans="3:15" x14ac:dyDescent="0.25">
      <c r="C43" s="33" t="str">
        <f t="shared" si="1"/>
        <v/>
      </c>
      <c r="D43" s="11"/>
      <c r="E43" s="33" t="str">
        <f t="shared" si="2"/>
        <v/>
      </c>
      <c r="M43" s="21"/>
      <c r="N43" s="21"/>
      <c r="O43" s="21"/>
    </row>
    <row r="44" spans="3:15" ht="6" customHeight="1" x14ac:dyDescent="0.25">
      <c r="C44" s="9"/>
      <c r="D44" s="9"/>
      <c r="E44" s="9"/>
      <c r="F44" s="9"/>
      <c r="G44" s="9"/>
      <c r="H44" s="9"/>
      <c r="I44" s="9"/>
      <c r="J44" s="9"/>
      <c r="K44" s="9"/>
      <c r="L44" s="9"/>
      <c r="M44" s="21"/>
      <c r="N44" s="21"/>
      <c r="O44" s="21"/>
    </row>
    <row r="45" spans="3:15" ht="6" customHeight="1" x14ac:dyDescent="0.25">
      <c r="M45" s="21"/>
      <c r="N45" s="21"/>
      <c r="O45" s="21"/>
    </row>
    <row r="46" spans="3:15" x14ac:dyDescent="0.25">
      <c r="C46" s="15" t="s">
        <v>79</v>
      </c>
      <c r="M46" s="21"/>
      <c r="N46" s="21"/>
      <c r="O46" s="21"/>
    </row>
    <row r="47" spans="3:15" x14ac:dyDescent="0.25">
      <c r="C47" s="15" t="s">
        <v>78</v>
      </c>
    </row>
  </sheetData>
  <mergeCells count="1">
    <mergeCell ref="G13:H13"/>
  </mergeCells>
  <conditionalFormatting sqref="I9">
    <cfRule type="containsText" dxfId="2093" priority="18" operator="containsText" text="FAIL">
      <formula>NOT(ISERROR(SEARCH("FAIL",I9)))</formula>
    </cfRule>
  </conditionalFormatting>
  <conditionalFormatting sqref="I9">
    <cfRule type="containsText" dxfId="2092" priority="17" operator="containsText" text="GOOD">
      <formula>NOT(ISERROR(SEARCH("GOOD",I9)))</formula>
    </cfRule>
  </conditionalFormatting>
  <conditionalFormatting sqref="F11">
    <cfRule type="containsText" dxfId="2091" priority="16" operator="containsText" text="FAIL">
      <formula>NOT(ISERROR(SEARCH("FAIL",F11)))</formula>
    </cfRule>
  </conditionalFormatting>
  <conditionalFormatting sqref="F11">
    <cfRule type="containsText" dxfId="2090" priority="15" operator="containsText" text="GOOD">
      <formula>NOT(ISERROR(SEARCH("GOOD",F11)))</formula>
    </cfRule>
  </conditionalFormatting>
  <conditionalFormatting sqref="D25">
    <cfRule type="expression" dxfId="2089" priority="14" stopIfTrue="1">
      <formula>IF($H$25=1,0)</formula>
    </cfRule>
  </conditionalFormatting>
  <conditionalFormatting sqref="D23 D29:D43 D25">
    <cfRule type="expression" dxfId="2088" priority="13">
      <formula>H23=1</formula>
    </cfRule>
  </conditionalFormatting>
  <conditionalFormatting sqref="C23:C26 C29:C43">
    <cfRule type="expression" dxfId="2087" priority="12">
      <formula>H23=1</formula>
    </cfRule>
  </conditionalFormatting>
  <conditionalFormatting sqref="E23 E29:E43 E25">
    <cfRule type="expression" dxfId="2086" priority="11">
      <formula>H23=1</formula>
    </cfRule>
  </conditionalFormatting>
  <conditionalFormatting sqref="F11">
    <cfRule type="containsText" dxfId="2085" priority="10" operator="containsText" text="FAIL">
      <formula>NOT(ISERROR(SEARCH("FAIL",F11)))</formula>
    </cfRule>
  </conditionalFormatting>
  <conditionalFormatting sqref="F11">
    <cfRule type="containsText" dxfId="2084" priority="9" operator="containsText" text="GOOD">
      <formula>NOT(ISERROR(SEARCH("GOOD",F11)))</formula>
    </cfRule>
  </conditionalFormatting>
  <conditionalFormatting sqref="D27:D28">
    <cfRule type="expression" dxfId="2083" priority="8">
      <formula>H27=1</formula>
    </cfRule>
  </conditionalFormatting>
  <conditionalFormatting sqref="C27:C28">
    <cfRule type="expression" dxfId="2082" priority="7">
      <formula>H27=1</formula>
    </cfRule>
  </conditionalFormatting>
  <conditionalFormatting sqref="E27:E28">
    <cfRule type="expression" dxfId="2081" priority="6">
      <formula>H27=1</formula>
    </cfRule>
  </conditionalFormatting>
  <conditionalFormatting sqref="D24">
    <cfRule type="expression" dxfId="2080" priority="5" stopIfTrue="1">
      <formula>IF($H$25=1,0)</formula>
    </cfRule>
  </conditionalFormatting>
  <conditionalFormatting sqref="D24">
    <cfRule type="expression" dxfId="2079" priority="4">
      <formula>H24=1</formula>
    </cfRule>
  </conditionalFormatting>
  <conditionalFormatting sqref="E24">
    <cfRule type="expression" dxfId="2078" priority="3">
      <formula>H24=1</formula>
    </cfRule>
  </conditionalFormatting>
  <conditionalFormatting sqref="D26">
    <cfRule type="expression" dxfId="2077" priority="2">
      <formula>H26=1</formula>
    </cfRule>
  </conditionalFormatting>
  <conditionalFormatting sqref="E26">
    <cfRule type="expression" dxfId="2076" priority="1">
      <formula>H26=1</formula>
    </cfRule>
  </conditionalFormatting>
  <pageMargins left="0.7" right="0.7" top="0.75" bottom="0.75" header="0.3" footer="0.3"/>
  <pageSetup scale="68"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Sheet34"/>
  <dimension ref="A2:P47"/>
  <sheetViews>
    <sheetView zoomScaleNormal="100" workbookViewId="0">
      <selection activeCell="M25" sqref="M25"/>
    </sheetView>
  </sheetViews>
  <sheetFormatPr defaultRowHeight="15" x14ac:dyDescent="0.25"/>
  <cols>
    <col min="1" max="2" width="4.42578125" customWidth="1"/>
    <col min="3" max="3" width="2.7109375" customWidth="1"/>
    <col min="4" max="4" width="24.7109375" customWidth="1"/>
    <col min="5" max="5" width="2.7109375" customWidth="1"/>
    <col min="6" max="6" width="15.7109375" customWidth="1"/>
    <col min="7" max="7" width="8.5703125" customWidth="1"/>
    <col min="8" max="8" width="5.85546875" customWidth="1"/>
    <col min="9" max="16" width="15.7109375" customWidth="1"/>
  </cols>
  <sheetData>
    <row r="2" spans="1:15" x14ac:dyDescent="0.25">
      <c r="C2" s="15" t="s">
        <v>32</v>
      </c>
      <c r="E2" s="15"/>
      <c r="F2" s="15"/>
      <c r="G2" s="15" t="s">
        <v>33</v>
      </c>
      <c r="H2" s="15"/>
      <c r="I2" s="15"/>
      <c r="J2" s="15"/>
      <c r="K2" s="15"/>
      <c r="L2" s="15"/>
    </row>
    <row r="3" spans="1:15" ht="18.75" x14ac:dyDescent="0.3">
      <c r="C3" s="3" t="s">
        <v>26</v>
      </c>
      <c r="J3" s="8" t="s">
        <v>48</v>
      </c>
    </row>
    <row r="4" spans="1:15" x14ac:dyDescent="0.25">
      <c r="C4" s="1"/>
      <c r="D4" s="2" t="s">
        <v>0</v>
      </c>
      <c r="E4" s="1"/>
      <c r="F4" t="s">
        <v>1084</v>
      </c>
      <c r="I4" s="2" t="s">
        <v>4</v>
      </c>
      <c r="J4" t="s">
        <v>816</v>
      </c>
    </row>
    <row r="5" spans="1:15" x14ac:dyDescent="0.25">
      <c r="D5" s="2" t="s">
        <v>1</v>
      </c>
      <c r="F5" t="s">
        <v>1085</v>
      </c>
    </row>
    <row r="6" spans="1:15" x14ac:dyDescent="0.25">
      <c r="D6" s="2" t="s">
        <v>2</v>
      </c>
      <c r="F6" s="6">
        <v>43004</v>
      </c>
      <c r="H6" s="11"/>
    </row>
    <row r="7" spans="1:15" x14ac:dyDescent="0.25">
      <c r="D7" s="2" t="s">
        <v>3</v>
      </c>
      <c r="F7" s="5">
        <f>+L7+K7+J7+I7+(M7*K7)</f>
        <v>189900000</v>
      </c>
      <c r="G7" s="2" t="s">
        <v>190</v>
      </c>
      <c r="H7" s="11"/>
      <c r="I7" s="19">
        <v>5247251</v>
      </c>
      <c r="J7" s="19">
        <v>158456850</v>
      </c>
      <c r="K7" s="19">
        <v>21000000</v>
      </c>
      <c r="L7" s="19">
        <v>995899</v>
      </c>
      <c r="M7" s="20">
        <v>0.2</v>
      </c>
    </row>
    <row r="8" spans="1:15" x14ac:dyDescent="0.25">
      <c r="D8" s="2" t="s">
        <v>18</v>
      </c>
      <c r="F8" s="5">
        <f>MIN(M23:M43)</f>
        <v>154487000</v>
      </c>
      <c r="H8" s="11"/>
      <c r="I8" s="18" t="s">
        <v>43</v>
      </c>
      <c r="J8" s="18" t="s">
        <v>44</v>
      </c>
      <c r="K8" s="18" t="s">
        <v>49</v>
      </c>
      <c r="L8" s="18" t="s">
        <v>934</v>
      </c>
      <c r="M8" s="18" t="s">
        <v>50</v>
      </c>
    </row>
    <row r="9" spans="1:15" x14ac:dyDescent="0.25">
      <c r="D9" s="2" t="s">
        <v>19</v>
      </c>
      <c r="F9" s="4">
        <f>+F8-F7</f>
        <v>-35413000</v>
      </c>
      <c r="G9" s="16">
        <f>+F9/F7</f>
        <v>-0.18648235913638758</v>
      </c>
      <c r="H9" s="12" t="s">
        <v>20</v>
      </c>
      <c r="I9" s="11" t="str">
        <f>(IF(G9&lt;-0.1,"FAIL",IF(G9&gt;0.05,"FAIL","GOOD")))</f>
        <v>FAIL</v>
      </c>
      <c r="J9" s="14" t="s">
        <v>72</v>
      </c>
    </row>
    <row r="10" spans="1:15" x14ac:dyDescent="0.25">
      <c r="D10" s="2" t="s">
        <v>68</v>
      </c>
      <c r="F10" s="4">
        <f>+F7-F12</f>
        <v>8663262.1999999881</v>
      </c>
      <c r="H10" s="11"/>
      <c r="K10" s="31"/>
      <c r="L10" s="31"/>
      <c r="O10" t="e">
        <f>LOOKUP(1,D23:D43)</f>
        <v>#N/A</v>
      </c>
    </row>
    <row r="11" spans="1:15" x14ac:dyDescent="0.25">
      <c r="A11" s="30"/>
      <c r="D11" s="2" t="s">
        <v>71</v>
      </c>
      <c r="F11" s="11" t="str">
        <f>(IF(F7&lt;J12,"FAIL",IF(F7&gt;J13,"FAIL","GOOD")))</f>
        <v>GOOD</v>
      </c>
      <c r="H11" s="11"/>
      <c r="M11" s="31"/>
      <c r="O11" t="e">
        <f>MATCH(1,D23:H43,0)</f>
        <v>#N/A</v>
      </c>
    </row>
    <row r="12" spans="1:15" x14ac:dyDescent="0.25">
      <c r="D12" s="2" t="s">
        <v>28</v>
      </c>
      <c r="F12" s="4">
        <f>SUM(M23:M43)/H12</f>
        <v>181236737.80000001</v>
      </c>
      <c r="G12" s="14"/>
      <c r="H12" s="11">
        <f>COUNT(M23:M43)</f>
        <v>5</v>
      </c>
      <c r="I12" s="1" t="s">
        <v>31</v>
      </c>
      <c r="J12" s="4">
        <f>+F8*0.9</f>
        <v>139038300</v>
      </c>
      <c r="K12" s="1" t="s">
        <v>69</v>
      </c>
      <c r="L12" s="1"/>
      <c r="O12" t="str">
        <f>INDEX(D23:D43,MATCH(1,H23:H43,0))</f>
        <v>El Sol</v>
      </c>
    </row>
    <row r="13" spans="1:15" x14ac:dyDescent="0.25">
      <c r="D13" s="2" t="s">
        <v>29</v>
      </c>
      <c r="F13" s="4">
        <f>MAX(M23:M43)-MIN(M23:M43)</f>
        <v>44159775</v>
      </c>
      <c r="G13" s="399">
        <f>MEDIAN(M23:M43)</f>
        <v>186782100</v>
      </c>
      <c r="H13" s="400"/>
      <c r="I13" s="1" t="s">
        <v>30</v>
      </c>
      <c r="J13" s="4">
        <f>+F12*1.1</f>
        <v>199360411.58000004</v>
      </c>
      <c r="K13" s="1" t="s">
        <v>70</v>
      </c>
      <c r="L13" s="1"/>
    </row>
    <row r="14" spans="1:15" x14ac:dyDescent="0.25">
      <c r="H14" s="11"/>
    </row>
    <row r="15" spans="1:15" x14ac:dyDescent="0.25">
      <c r="D15" s="2" t="s">
        <v>8</v>
      </c>
      <c r="F15" s="4"/>
      <c r="G15" s="1" t="s">
        <v>9</v>
      </c>
      <c r="H15" s="11"/>
      <c r="I15" t="s">
        <v>15</v>
      </c>
      <c r="J15" s="7" t="e">
        <f>+F16/F15</f>
        <v>#DIV/0!</v>
      </c>
    </row>
    <row r="16" spans="1:15" x14ac:dyDescent="0.25">
      <c r="F16" s="4"/>
      <c r="G16" s="1" t="s">
        <v>10</v>
      </c>
      <c r="H16" s="11"/>
      <c r="I16" t="s">
        <v>14</v>
      </c>
      <c r="J16" s="7" t="e">
        <f>+F17/F16</f>
        <v>#DIV/0!</v>
      </c>
    </row>
    <row r="17" spans="3:16" x14ac:dyDescent="0.25">
      <c r="F17" s="4"/>
      <c r="G17" s="1" t="s">
        <v>11</v>
      </c>
      <c r="H17" s="11"/>
      <c r="I17" t="s">
        <v>13</v>
      </c>
      <c r="J17" s="7" t="e">
        <f>+F18/F17</f>
        <v>#DIV/0!</v>
      </c>
    </row>
    <row r="18" spans="3:16" x14ac:dyDescent="0.25">
      <c r="F18" s="4"/>
      <c r="G18" s="1" t="s">
        <v>12</v>
      </c>
      <c r="H18" s="11"/>
      <c r="I18" t="s">
        <v>16</v>
      </c>
      <c r="J18" s="7" t="e">
        <f>+F8/F18</f>
        <v>#DIV/0!</v>
      </c>
    </row>
    <row r="19" spans="3:16" x14ac:dyDescent="0.25">
      <c r="F19" s="2" t="s">
        <v>51</v>
      </c>
      <c r="G19">
        <v>0</v>
      </c>
      <c r="H19" s="11" t="s">
        <v>52</v>
      </c>
      <c r="I19" t="s">
        <v>41</v>
      </c>
      <c r="J19" s="7" t="e">
        <f>+F8/F15</f>
        <v>#DIV/0!</v>
      </c>
    </row>
    <row r="20" spans="3:16" x14ac:dyDescent="0.25">
      <c r="H20" s="11"/>
    </row>
    <row r="21" spans="3:16" x14ac:dyDescent="0.25">
      <c r="C21" s="9"/>
      <c r="D21" s="13" t="s">
        <v>21</v>
      </c>
      <c r="E21" s="9"/>
      <c r="F21" s="9" t="s">
        <v>22</v>
      </c>
      <c r="G21" s="9" t="s">
        <v>23</v>
      </c>
      <c r="H21" s="13" t="s">
        <v>27</v>
      </c>
      <c r="I21" s="10" t="s">
        <v>38</v>
      </c>
      <c r="J21" s="10" t="s">
        <v>37</v>
      </c>
      <c r="K21" s="17" t="s">
        <v>795</v>
      </c>
      <c r="L21" s="17" t="s">
        <v>42</v>
      </c>
      <c r="M21" s="10" t="s">
        <v>39</v>
      </c>
      <c r="N21" s="21"/>
      <c r="O21" s="21"/>
      <c r="P21" s="21"/>
    </row>
    <row r="22" spans="3:16" ht="6" customHeight="1" x14ac:dyDescent="0.25">
      <c r="N22" s="21"/>
      <c r="O22" s="21"/>
      <c r="P22" s="21"/>
    </row>
    <row r="23" spans="3:16" x14ac:dyDescent="0.25">
      <c r="C23" s="33" t="str">
        <f>IF(H23=1,"u","")</f>
        <v/>
      </c>
      <c r="D23" s="11" t="s">
        <v>511</v>
      </c>
      <c r="E23" s="33"/>
      <c r="F23" t="s">
        <v>512</v>
      </c>
      <c r="G23" t="s">
        <v>25</v>
      </c>
      <c r="H23">
        <f>RANK(M23,M$23:M$43,1)</f>
        <v>4</v>
      </c>
      <c r="I23" s="4">
        <v>4779579</v>
      </c>
      <c r="J23" s="4">
        <v>163950000</v>
      </c>
      <c r="K23" s="4">
        <v>120000</v>
      </c>
      <c r="L23" s="7">
        <v>0.03</v>
      </c>
      <c r="M23" s="4">
        <f>+K23+I23+J23+(L23*K$7)+$K$7</f>
        <v>190479579</v>
      </c>
      <c r="N23" s="22"/>
      <c r="O23" s="22">
        <f>+L23*$K$7</f>
        <v>630000</v>
      </c>
      <c r="P23" s="22"/>
    </row>
    <row r="24" spans="3:16" x14ac:dyDescent="0.25">
      <c r="C24" s="33" t="str">
        <f>IF(H24=1,"u","")</f>
        <v/>
      </c>
      <c r="D24" s="11" t="s">
        <v>508</v>
      </c>
      <c r="E24" s="33"/>
      <c r="F24" t="s">
        <v>181</v>
      </c>
      <c r="G24" t="s">
        <v>93</v>
      </c>
      <c r="H24">
        <f>RANK(M24,M$23:M$43,1)</f>
        <v>3</v>
      </c>
      <c r="I24" s="4">
        <v>7542100</v>
      </c>
      <c r="J24" s="4">
        <v>155600000</v>
      </c>
      <c r="K24" s="4">
        <v>120000</v>
      </c>
      <c r="L24" s="7">
        <v>0.12</v>
      </c>
      <c r="M24" s="4">
        <f>+K24+I24+J24+(L24*K$7)+$K$7</f>
        <v>186782100</v>
      </c>
      <c r="N24" s="22"/>
      <c r="O24" s="22">
        <f>+L24*$K$7</f>
        <v>2520000</v>
      </c>
      <c r="P24" s="22"/>
    </row>
    <row r="25" spans="3:16" x14ac:dyDescent="0.25">
      <c r="C25" s="33" t="str">
        <f>IF(H25=1,"u","")</f>
        <v>u</v>
      </c>
      <c r="D25" s="11" t="s">
        <v>1086</v>
      </c>
      <c r="E25" s="33"/>
      <c r="F25" t="s">
        <v>407</v>
      </c>
      <c r="G25" t="s">
        <v>93</v>
      </c>
      <c r="H25">
        <f>RANK(M25,M$23:M$43,1)</f>
        <v>1</v>
      </c>
      <c r="I25" s="4">
        <v>5318150</v>
      </c>
      <c r="J25" s="4">
        <v>126998850</v>
      </c>
      <c r="K25" s="4">
        <v>120000</v>
      </c>
      <c r="L25" s="7">
        <v>0.05</v>
      </c>
      <c r="M25" s="4">
        <f>+K25+I25+J25+(L25*K$7)+$K$7</f>
        <v>154487000</v>
      </c>
      <c r="N25" s="22"/>
      <c r="O25" s="22">
        <f>+L25*$K$7</f>
        <v>1050000</v>
      </c>
      <c r="P25" s="22"/>
    </row>
    <row r="26" spans="3:16" x14ac:dyDescent="0.25">
      <c r="C26" s="33" t="str">
        <f t="shared" ref="C26:C43" si="0">IF(H26=1,"u","")</f>
        <v/>
      </c>
      <c r="D26" s="11" t="s">
        <v>1087</v>
      </c>
      <c r="E26" s="33"/>
      <c r="F26" t="s">
        <v>208</v>
      </c>
      <c r="G26" t="s">
        <v>93</v>
      </c>
      <c r="H26">
        <f>RANK(M26,M$23:M$43,1)</f>
        <v>2</v>
      </c>
      <c r="I26" s="4">
        <v>5007575</v>
      </c>
      <c r="J26" s="4">
        <v>148682660</v>
      </c>
      <c r="K26" s="4">
        <v>48000</v>
      </c>
      <c r="L26" s="7">
        <v>0.05</v>
      </c>
      <c r="M26" s="4">
        <f>+K26+I26+J26+(L26*K$7)+$K$7</f>
        <v>175788235</v>
      </c>
      <c r="N26" s="22"/>
      <c r="O26" s="22">
        <f>+L26*$K$7</f>
        <v>1050000</v>
      </c>
      <c r="P26" s="22"/>
    </row>
    <row r="27" spans="3:16" x14ac:dyDescent="0.25">
      <c r="C27" s="33" t="str">
        <f t="shared" si="0"/>
        <v/>
      </c>
      <c r="D27" s="11" t="s">
        <v>1088</v>
      </c>
      <c r="E27" s="33"/>
      <c r="F27" t="s">
        <v>159</v>
      </c>
      <c r="G27" t="s">
        <v>93</v>
      </c>
      <c r="H27">
        <f>RANK(M27,M$23:M$43,1)</f>
        <v>5</v>
      </c>
      <c r="I27" s="4">
        <v>9816775</v>
      </c>
      <c r="J27" s="4">
        <v>166700000</v>
      </c>
      <c r="K27" s="4">
        <v>80000</v>
      </c>
      <c r="L27" s="7">
        <v>0.05</v>
      </c>
      <c r="M27" s="4">
        <f>+K27+I27+J27+(L27*K$7)+$K$7</f>
        <v>198646775</v>
      </c>
      <c r="N27" s="22"/>
      <c r="O27" s="22">
        <f>+L27*$K$7</f>
        <v>1050000</v>
      </c>
      <c r="P27" s="22"/>
    </row>
    <row r="28" spans="3:16" x14ac:dyDescent="0.25">
      <c r="C28" s="33"/>
      <c r="D28" s="11"/>
      <c r="E28" s="33"/>
      <c r="I28" s="4"/>
      <c r="J28" s="4"/>
      <c r="K28" s="7"/>
      <c r="L28" s="7"/>
      <c r="M28" s="4"/>
      <c r="N28" s="22"/>
      <c r="O28" s="22"/>
      <c r="P28" s="22"/>
    </row>
    <row r="29" spans="3:16" x14ac:dyDescent="0.25">
      <c r="C29" s="33"/>
      <c r="D29" s="11"/>
      <c r="E29" s="33"/>
      <c r="I29" s="4"/>
      <c r="J29" s="4"/>
      <c r="K29" s="7"/>
      <c r="L29" s="7"/>
      <c r="M29" s="4"/>
      <c r="N29" s="22"/>
      <c r="O29" s="22"/>
      <c r="P29" s="22"/>
    </row>
    <row r="30" spans="3:16" x14ac:dyDescent="0.25">
      <c r="C30" s="33" t="str">
        <f t="shared" si="0"/>
        <v/>
      </c>
      <c r="D30" s="11"/>
      <c r="E30" s="33" t="str">
        <f t="shared" ref="E30:E43" si="1">IF(H30=1,"t","")</f>
        <v/>
      </c>
      <c r="I30" s="4"/>
      <c r="J30" s="4"/>
      <c r="K30" s="7"/>
      <c r="L30" s="7"/>
      <c r="M30" s="4"/>
      <c r="N30" s="22"/>
      <c r="O30" s="22"/>
      <c r="P30" s="22"/>
    </row>
    <row r="31" spans="3:16" x14ac:dyDescent="0.25">
      <c r="C31" s="33" t="str">
        <f t="shared" si="0"/>
        <v/>
      </c>
      <c r="D31" s="11"/>
      <c r="E31" s="33" t="str">
        <f t="shared" si="1"/>
        <v/>
      </c>
      <c r="I31" s="4"/>
      <c r="J31" s="4"/>
      <c r="K31" s="7"/>
      <c r="L31" s="7"/>
      <c r="M31" s="4"/>
      <c r="N31" s="22"/>
      <c r="O31" s="22"/>
      <c r="P31" s="22"/>
    </row>
    <row r="32" spans="3:16" x14ac:dyDescent="0.25">
      <c r="C32" s="33" t="str">
        <f t="shared" si="0"/>
        <v/>
      </c>
      <c r="D32" s="11"/>
      <c r="E32" s="33" t="str">
        <f t="shared" si="1"/>
        <v/>
      </c>
      <c r="I32" s="4"/>
      <c r="J32" s="4"/>
      <c r="K32" s="7"/>
      <c r="L32" s="7"/>
      <c r="M32" s="4"/>
      <c r="N32" s="22"/>
      <c r="O32" s="22"/>
      <c r="P32" s="22"/>
    </row>
    <row r="33" spans="3:16" x14ac:dyDescent="0.25">
      <c r="C33" s="33" t="str">
        <f t="shared" si="0"/>
        <v/>
      </c>
      <c r="D33" s="11"/>
      <c r="E33" s="33" t="str">
        <f t="shared" si="1"/>
        <v/>
      </c>
      <c r="I33" s="4"/>
      <c r="J33" s="4"/>
      <c r="K33" s="7"/>
      <c r="L33" s="7"/>
      <c r="M33" s="4"/>
      <c r="N33" s="21"/>
      <c r="O33" s="21"/>
      <c r="P33" s="21"/>
    </row>
    <row r="34" spans="3:16" x14ac:dyDescent="0.25">
      <c r="C34" s="33" t="str">
        <f t="shared" si="0"/>
        <v/>
      </c>
      <c r="D34" s="11"/>
      <c r="E34" s="33" t="str">
        <f t="shared" si="1"/>
        <v/>
      </c>
      <c r="K34" s="7"/>
      <c r="L34" s="7"/>
      <c r="N34" s="21"/>
      <c r="O34" s="21"/>
      <c r="P34" s="21"/>
    </row>
    <row r="35" spans="3:16" x14ac:dyDescent="0.25">
      <c r="C35" s="33" t="str">
        <f t="shared" si="0"/>
        <v/>
      </c>
      <c r="D35" s="11"/>
      <c r="E35" s="33" t="str">
        <f t="shared" si="1"/>
        <v/>
      </c>
      <c r="K35" s="7"/>
      <c r="L35" s="7"/>
      <c r="N35" s="21"/>
      <c r="O35" s="21"/>
      <c r="P35" s="21"/>
    </row>
    <row r="36" spans="3:16" x14ac:dyDescent="0.25">
      <c r="C36" s="33" t="str">
        <f t="shared" si="0"/>
        <v/>
      </c>
      <c r="D36" s="11"/>
      <c r="E36" s="33" t="str">
        <f t="shared" si="1"/>
        <v/>
      </c>
      <c r="K36" s="7"/>
      <c r="L36" s="7"/>
      <c r="N36" s="21"/>
      <c r="O36" s="21"/>
      <c r="P36" s="21"/>
    </row>
    <row r="37" spans="3:16" x14ac:dyDescent="0.25">
      <c r="C37" s="33" t="str">
        <f t="shared" si="0"/>
        <v/>
      </c>
      <c r="D37" s="11"/>
      <c r="E37" s="33" t="str">
        <f t="shared" si="1"/>
        <v/>
      </c>
      <c r="K37" s="7"/>
      <c r="L37" s="7"/>
      <c r="N37" s="21"/>
      <c r="O37" s="21"/>
      <c r="P37" s="21"/>
    </row>
    <row r="38" spans="3:16" x14ac:dyDescent="0.25">
      <c r="C38" s="33" t="str">
        <f t="shared" si="0"/>
        <v/>
      </c>
      <c r="D38" s="11"/>
      <c r="E38" s="33" t="str">
        <f t="shared" si="1"/>
        <v/>
      </c>
      <c r="K38" s="7"/>
      <c r="L38" s="7"/>
      <c r="N38" s="21"/>
      <c r="O38" s="21"/>
      <c r="P38" s="21"/>
    </row>
    <row r="39" spans="3:16" x14ac:dyDescent="0.25">
      <c r="C39" s="33" t="str">
        <f t="shared" si="0"/>
        <v/>
      </c>
      <c r="D39" s="11"/>
      <c r="E39" s="33" t="str">
        <f t="shared" si="1"/>
        <v/>
      </c>
      <c r="K39" s="7"/>
      <c r="L39" s="7"/>
      <c r="N39" s="21"/>
      <c r="O39" s="21"/>
      <c r="P39" s="21"/>
    </row>
    <row r="40" spans="3:16" x14ac:dyDescent="0.25">
      <c r="C40" s="33" t="str">
        <f t="shared" si="0"/>
        <v/>
      </c>
      <c r="D40" s="11"/>
      <c r="E40" s="33" t="str">
        <f t="shared" si="1"/>
        <v/>
      </c>
      <c r="K40" s="7"/>
      <c r="L40" s="7"/>
      <c r="N40" s="21"/>
      <c r="O40" s="21"/>
      <c r="P40" s="21"/>
    </row>
    <row r="41" spans="3:16" x14ac:dyDescent="0.25">
      <c r="C41" s="33" t="str">
        <f t="shared" si="0"/>
        <v/>
      </c>
      <c r="D41" s="11"/>
      <c r="E41" s="33" t="str">
        <f t="shared" si="1"/>
        <v/>
      </c>
      <c r="K41" s="7"/>
      <c r="L41" s="7"/>
      <c r="N41" s="21"/>
      <c r="O41" s="21"/>
      <c r="P41" s="21"/>
    </row>
    <row r="42" spans="3:16" x14ac:dyDescent="0.25">
      <c r="C42" s="33" t="str">
        <f t="shared" si="0"/>
        <v/>
      </c>
      <c r="D42" s="11"/>
      <c r="E42" s="33" t="str">
        <f t="shared" si="1"/>
        <v/>
      </c>
      <c r="K42" s="7"/>
      <c r="L42" s="7"/>
      <c r="N42" s="21"/>
      <c r="O42" s="21"/>
      <c r="P42" s="21"/>
    </row>
    <row r="43" spans="3:16" x14ac:dyDescent="0.25">
      <c r="C43" s="33" t="str">
        <f t="shared" si="0"/>
        <v/>
      </c>
      <c r="D43" s="11"/>
      <c r="E43" s="33" t="str">
        <f t="shared" si="1"/>
        <v/>
      </c>
      <c r="K43" s="7"/>
      <c r="L43" s="7"/>
      <c r="N43" s="21"/>
      <c r="O43" s="21"/>
      <c r="P43" s="21"/>
    </row>
    <row r="44" spans="3:16" ht="6" customHeight="1" x14ac:dyDescent="0.25"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21"/>
      <c r="O44" s="21"/>
      <c r="P44" s="21"/>
    </row>
    <row r="45" spans="3:16" ht="6" customHeight="1" x14ac:dyDescent="0.25">
      <c r="N45" s="21"/>
      <c r="O45" s="21"/>
      <c r="P45" s="21"/>
    </row>
    <row r="46" spans="3:16" x14ac:dyDescent="0.25">
      <c r="C46" s="15" t="s">
        <v>79</v>
      </c>
      <c r="N46" s="21"/>
      <c r="O46" s="21"/>
      <c r="P46" s="21"/>
    </row>
    <row r="47" spans="3:16" x14ac:dyDescent="0.25">
      <c r="C47" s="15" t="s">
        <v>78</v>
      </c>
      <c r="N47" s="21"/>
      <c r="O47" s="21"/>
      <c r="P47" s="21"/>
    </row>
  </sheetData>
  <mergeCells count="1">
    <mergeCell ref="G13:H13"/>
  </mergeCells>
  <conditionalFormatting sqref="I9 F11">
    <cfRule type="containsText" dxfId="2039" priority="8" operator="containsText" text="FAIL">
      <formula>NOT(ISERROR(SEARCH("FAIL",F9)))</formula>
    </cfRule>
  </conditionalFormatting>
  <conditionalFormatting sqref="I9 F11">
    <cfRule type="containsText" dxfId="2038" priority="7" operator="containsText" text="GOOD">
      <formula>NOT(ISERROR(SEARCH("GOOD",F9)))</formula>
    </cfRule>
  </conditionalFormatting>
  <conditionalFormatting sqref="I9">
    <cfRule type="containsText" dxfId="2037" priority="6" operator="containsText" text="FAIL">
      <formula>NOT(ISERROR(SEARCH("FAIL",I9)))</formula>
    </cfRule>
  </conditionalFormatting>
  <conditionalFormatting sqref="I9">
    <cfRule type="containsText" dxfId="2036" priority="5" operator="containsText" text="GOOD">
      <formula>NOT(ISERROR(SEARCH("GOOD",I9)))</formula>
    </cfRule>
  </conditionalFormatting>
  <conditionalFormatting sqref="D25">
    <cfRule type="expression" dxfId="2035" priority="4" stopIfTrue="1">
      <formula>IF($H$25=1,0)</formula>
    </cfRule>
  </conditionalFormatting>
  <conditionalFormatting sqref="D23:D43">
    <cfRule type="expression" dxfId="2034" priority="3">
      <formula>H23=1</formula>
    </cfRule>
  </conditionalFormatting>
  <conditionalFormatting sqref="C23:C43">
    <cfRule type="expression" dxfId="2033" priority="2">
      <formula>H23=1</formula>
    </cfRule>
  </conditionalFormatting>
  <conditionalFormatting sqref="E23:E43">
    <cfRule type="expression" dxfId="2032" priority="1">
      <formula>H23=1</formula>
    </cfRule>
  </conditionalFormatting>
  <pageMargins left="0.7" right="0.7" top="0.75" bottom="0.75" header="0.3" footer="0.3"/>
  <pageSetup scale="77" orientation="landscape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sheetPr codeName="Sheet68"/>
  <dimension ref="A2:P47"/>
  <sheetViews>
    <sheetView zoomScaleNormal="100" workbookViewId="0">
      <selection activeCell="I32" sqref="I32"/>
    </sheetView>
  </sheetViews>
  <sheetFormatPr defaultRowHeight="15" x14ac:dyDescent="0.25"/>
  <cols>
    <col min="1" max="2" width="4.42578125" customWidth="1"/>
    <col min="3" max="3" width="2.7109375" customWidth="1"/>
    <col min="4" max="4" width="24.7109375" customWidth="1"/>
    <col min="5" max="5" width="2.7109375" customWidth="1"/>
    <col min="6" max="6" width="15.7109375" customWidth="1"/>
    <col min="7" max="7" width="8.5703125" customWidth="1"/>
    <col min="8" max="8" width="5.85546875" customWidth="1"/>
    <col min="9" max="16" width="15.7109375" customWidth="1"/>
  </cols>
  <sheetData>
    <row r="2" spans="1:15" x14ac:dyDescent="0.25">
      <c r="C2" s="15" t="s">
        <v>32</v>
      </c>
      <c r="E2" s="15"/>
      <c r="F2" s="15"/>
      <c r="G2" s="15" t="s">
        <v>33</v>
      </c>
      <c r="H2" s="15"/>
      <c r="I2" s="15"/>
      <c r="J2" s="15"/>
      <c r="K2" s="15"/>
      <c r="L2" s="15"/>
    </row>
    <row r="3" spans="1:15" ht="18.75" x14ac:dyDescent="0.3">
      <c r="C3" s="3" t="s">
        <v>26</v>
      </c>
      <c r="J3" s="8" t="s">
        <v>48</v>
      </c>
    </row>
    <row r="4" spans="1:15" x14ac:dyDescent="0.25">
      <c r="C4" s="1"/>
      <c r="D4" s="2" t="s">
        <v>0</v>
      </c>
      <c r="E4" s="1"/>
      <c r="F4" t="s">
        <v>912</v>
      </c>
      <c r="I4" s="2" t="s">
        <v>4</v>
      </c>
      <c r="J4" t="s">
        <v>630</v>
      </c>
    </row>
    <row r="5" spans="1:15" x14ac:dyDescent="0.25">
      <c r="D5" s="2" t="s">
        <v>1</v>
      </c>
      <c r="F5" t="s">
        <v>935</v>
      </c>
    </row>
    <row r="6" spans="1:15" x14ac:dyDescent="0.25">
      <c r="D6" s="2" t="s">
        <v>2</v>
      </c>
      <c r="F6" s="6">
        <v>42789</v>
      </c>
      <c r="H6" s="11"/>
    </row>
    <row r="7" spans="1:15" x14ac:dyDescent="0.25">
      <c r="D7" s="2" t="s">
        <v>3</v>
      </c>
      <c r="F7" s="5">
        <f>+L7+K7+J7+I7+(M7*K7)</f>
        <v>479900000</v>
      </c>
      <c r="G7" s="2" t="s">
        <v>190</v>
      </c>
      <c r="H7" s="11"/>
      <c r="I7" s="19">
        <v>9500000</v>
      </c>
      <c r="J7" s="19">
        <f>442500000</f>
        <v>442500000</v>
      </c>
      <c r="K7" s="19">
        <v>22000000</v>
      </c>
      <c r="L7" s="19">
        <v>2600000</v>
      </c>
      <c r="M7" s="20">
        <v>0.15</v>
      </c>
    </row>
    <row r="8" spans="1:15" x14ac:dyDescent="0.25">
      <c r="D8" s="2" t="s">
        <v>18</v>
      </c>
      <c r="F8" s="5">
        <f>MIN(M23:M43)</f>
        <v>451841280</v>
      </c>
      <c r="H8" s="11"/>
      <c r="I8" s="18" t="s">
        <v>43</v>
      </c>
      <c r="J8" s="18" t="s">
        <v>44</v>
      </c>
      <c r="K8" s="18" t="s">
        <v>49</v>
      </c>
      <c r="L8" s="18" t="s">
        <v>934</v>
      </c>
      <c r="M8" s="18" t="s">
        <v>50</v>
      </c>
    </row>
    <row r="9" spans="1:15" x14ac:dyDescent="0.25">
      <c r="D9" s="2" t="s">
        <v>19</v>
      </c>
      <c r="F9" s="4">
        <f>+F8-F7</f>
        <v>-28058720</v>
      </c>
      <c r="G9" s="16">
        <f>+F9/F7</f>
        <v>-5.8467847468222547E-2</v>
      </c>
      <c r="H9" s="12" t="s">
        <v>20</v>
      </c>
      <c r="I9" s="11" t="str">
        <f>(IF(G9&lt;-0.1,"FAIL",IF(G9&gt;0.05,"FAIL","GOOD")))</f>
        <v>GOOD</v>
      </c>
      <c r="J9" s="14" t="s">
        <v>72</v>
      </c>
    </row>
    <row r="10" spans="1:15" x14ac:dyDescent="0.25">
      <c r="D10" s="2" t="s">
        <v>68</v>
      </c>
      <c r="F10" s="4">
        <f>+F7-F12</f>
        <v>-41995915.399999976</v>
      </c>
      <c r="H10" s="11"/>
      <c r="K10" s="31"/>
      <c r="L10" s="31"/>
      <c r="O10" t="e">
        <f>LOOKUP(1,D23:D43)</f>
        <v>#N/A</v>
      </c>
    </row>
    <row r="11" spans="1:15" x14ac:dyDescent="0.25">
      <c r="A11" s="30"/>
      <c r="D11" s="2" t="s">
        <v>71</v>
      </c>
      <c r="F11" s="11" t="str">
        <f>(IF(F7&lt;J12,"FAIL",IF(F7&gt;J13,"FAIL","GOOD")))</f>
        <v>GOOD</v>
      </c>
      <c r="H11" s="11"/>
      <c r="M11" s="31"/>
      <c r="O11" t="e">
        <f>MATCH(1,D23:H43,0)</f>
        <v>#N/A</v>
      </c>
    </row>
    <row r="12" spans="1:15" x14ac:dyDescent="0.25">
      <c r="D12" s="2" t="s">
        <v>28</v>
      </c>
      <c r="F12" s="4">
        <f>SUM(M23:M43)/H12</f>
        <v>521895915.39999998</v>
      </c>
      <c r="G12" s="14"/>
      <c r="H12" s="11">
        <f>COUNT(M23:M43)</f>
        <v>5</v>
      </c>
      <c r="I12" s="1" t="s">
        <v>31</v>
      </c>
      <c r="J12" s="4">
        <f>+F8*0.9</f>
        <v>406657152</v>
      </c>
      <c r="K12" s="1" t="s">
        <v>69</v>
      </c>
      <c r="L12" s="1"/>
      <c r="O12" t="str">
        <f>INDEX(D23:D43,MATCH(1,H23:H43,0))</f>
        <v>Skanska Koch</v>
      </c>
    </row>
    <row r="13" spans="1:15" x14ac:dyDescent="0.25">
      <c r="D13" s="2" t="s">
        <v>29</v>
      </c>
      <c r="F13" s="4">
        <f>MAX(M23:M43)-MIN(M23:M43)</f>
        <v>202277720</v>
      </c>
      <c r="G13" s="399">
        <f>MEDIAN(M23:M43)</f>
        <v>493677000</v>
      </c>
      <c r="H13" s="400"/>
      <c r="I13" s="1" t="s">
        <v>30</v>
      </c>
      <c r="J13" s="4">
        <f>+F12*1.1</f>
        <v>574085506.94000006</v>
      </c>
      <c r="K13" s="1" t="s">
        <v>70</v>
      </c>
      <c r="L13" s="1"/>
    </row>
    <row r="14" spans="1:15" x14ac:dyDescent="0.25">
      <c r="H14" s="11"/>
    </row>
    <row r="15" spans="1:15" x14ac:dyDescent="0.25">
      <c r="D15" s="2" t="s">
        <v>8</v>
      </c>
      <c r="F15" s="4">
        <v>5000000</v>
      </c>
      <c r="G15" s="1" t="s">
        <v>9</v>
      </c>
      <c r="H15" s="11"/>
      <c r="I15" t="s">
        <v>15</v>
      </c>
      <c r="J15" s="7">
        <f>+F16/F15</f>
        <v>1.2</v>
      </c>
    </row>
    <row r="16" spans="1:15" x14ac:dyDescent="0.25">
      <c r="F16" s="4">
        <v>6000000</v>
      </c>
      <c r="G16" s="1" t="s">
        <v>10</v>
      </c>
      <c r="H16" s="11"/>
      <c r="I16" t="s">
        <v>14</v>
      </c>
      <c r="J16" s="7">
        <f>+F17/F16</f>
        <v>1.0833333333333333</v>
      </c>
    </row>
    <row r="17" spans="3:16" x14ac:dyDescent="0.25">
      <c r="F17" s="4">
        <v>6500000</v>
      </c>
      <c r="G17" s="1" t="s">
        <v>11</v>
      </c>
      <c r="H17" s="11"/>
      <c r="I17" t="s">
        <v>13</v>
      </c>
      <c r="J17" s="7">
        <f>+F18/F17</f>
        <v>73.830769230769235</v>
      </c>
    </row>
    <row r="18" spans="3:16" x14ac:dyDescent="0.25">
      <c r="F18" s="4">
        <f>+F7</f>
        <v>479900000</v>
      </c>
      <c r="G18" s="1" t="s">
        <v>12</v>
      </c>
      <c r="H18" s="11"/>
      <c r="I18" t="s">
        <v>16</v>
      </c>
      <c r="J18" s="7">
        <f>+F8/F18</f>
        <v>0.94153215253177747</v>
      </c>
    </row>
    <row r="19" spans="3:16" x14ac:dyDescent="0.25">
      <c r="F19" s="2" t="s">
        <v>51</v>
      </c>
      <c r="G19">
        <v>0</v>
      </c>
      <c r="H19" s="11" t="s">
        <v>52</v>
      </c>
      <c r="I19" t="s">
        <v>41</v>
      </c>
      <c r="J19" s="7">
        <f>+F8/F15</f>
        <v>90.368256000000002</v>
      </c>
    </row>
    <row r="20" spans="3:16" x14ac:dyDescent="0.25">
      <c r="H20" s="11"/>
    </row>
    <row r="21" spans="3:16" x14ac:dyDescent="0.25">
      <c r="C21" s="9"/>
      <c r="D21" s="13" t="s">
        <v>21</v>
      </c>
      <c r="E21" s="9"/>
      <c r="F21" s="9" t="s">
        <v>22</v>
      </c>
      <c r="G21" s="9" t="s">
        <v>23</v>
      </c>
      <c r="H21" s="13" t="s">
        <v>27</v>
      </c>
      <c r="I21" s="10" t="s">
        <v>38</v>
      </c>
      <c r="J21" s="10" t="s">
        <v>37</v>
      </c>
      <c r="K21" s="17" t="s">
        <v>795</v>
      </c>
      <c r="L21" s="17" t="s">
        <v>42</v>
      </c>
      <c r="M21" s="10" t="s">
        <v>39</v>
      </c>
      <c r="N21" s="21"/>
      <c r="O21" s="21"/>
      <c r="P21" s="21"/>
    </row>
    <row r="22" spans="3:16" ht="6" customHeight="1" x14ac:dyDescent="0.25">
      <c r="N22" s="21"/>
      <c r="O22" s="21"/>
      <c r="P22" s="21"/>
    </row>
    <row r="23" spans="3:16" x14ac:dyDescent="0.25">
      <c r="C23" s="33" t="str">
        <f>IF(H23=1,"u","")</f>
        <v>u</v>
      </c>
      <c r="D23" s="11" t="s">
        <v>506</v>
      </c>
      <c r="E23" s="33"/>
      <c r="F23" t="s">
        <v>40</v>
      </c>
      <c r="G23" t="s">
        <v>25</v>
      </c>
      <c r="H23">
        <f>RANK(M23,M$23:M$43,1)</f>
        <v>1</v>
      </c>
      <c r="I23" s="4">
        <v>5069900</v>
      </c>
      <c r="J23" s="4">
        <v>417393236</v>
      </c>
      <c r="K23" s="4">
        <v>2538144</v>
      </c>
      <c r="L23" s="7">
        <v>0.22</v>
      </c>
      <c r="M23" s="4">
        <f>+K23+I23+J23+(L23*K$7)+$K$7</f>
        <v>451841280</v>
      </c>
      <c r="N23" s="22"/>
      <c r="O23" s="22"/>
      <c r="P23" s="22"/>
    </row>
    <row r="24" spans="3:16" x14ac:dyDescent="0.25">
      <c r="C24" s="33" t="str">
        <f>IF(H24=1,"u","")</f>
        <v/>
      </c>
      <c r="D24" s="11" t="s">
        <v>947</v>
      </c>
      <c r="E24" s="33"/>
      <c r="F24" t="s">
        <v>145</v>
      </c>
      <c r="G24" t="s">
        <v>25</v>
      </c>
      <c r="H24">
        <f>RANK(M24,M$23:M$43,1)</f>
        <v>4</v>
      </c>
      <c r="I24" s="4">
        <v>5362974</v>
      </c>
      <c r="J24" s="4">
        <v>494680941</v>
      </c>
      <c r="K24" s="4">
        <v>7053382</v>
      </c>
      <c r="L24" s="7">
        <v>0.05</v>
      </c>
      <c r="M24" s="4">
        <f>+K24+I24+J24+(L24*K$7)+$K$7</f>
        <v>530197297</v>
      </c>
      <c r="N24" s="22"/>
      <c r="O24" s="22"/>
      <c r="P24" s="22"/>
    </row>
    <row r="25" spans="3:16" x14ac:dyDescent="0.25">
      <c r="C25" s="33" t="str">
        <f>IF(H25=1,"u","")</f>
        <v/>
      </c>
      <c r="D25" s="11" t="s">
        <v>913</v>
      </c>
      <c r="E25" s="33"/>
      <c r="F25" t="s">
        <v>937</v>
      </c>
      <c r="G25" t="s">
        <v>25</v>
      </c>
      <c r="H25">
        <f>RANK(M25,M$23:M$43,1)</f>
        <v>2</v>
      </c>
      <c r="I25" s="4">
        <v>3749620</v>
      </c>
      <c r="J25" s="4">
        <v>445395380</v>
      </c>
      <c r="K25" s="4">
        <v>3000000</v>
      </c>
      <c r="L25" s="7">
        <v>0.25</v>
      </c>
      <c r="M25" s="4">
        <f>+K25+I25+J25+(L25*K$7)+$K$7</f>
        <v>479645000</v>
      </c>
      <c r="N25" s="22"/>
      <c r="O25" s="22"/>
      <c r="P25" s="22"/>
    </row>
    <row r="26" spans="3:16" x14ac:dyDescent="0.25">
      <c r="C26" s="33" t="str">
        <f t="shared" ref="C26:C43" si="0">IF(H26=1,"u","")</f>
        <v/>
      </c>
      <c r="D26" s="11" t="s">
        <v>939</v>
      </c>
      <c r="E26" s="33"/>
      <c r="F26" t="s">
        <v>295</v>
      </c>
      <c r="G26" t="s">
        <v>25</v>
      </c>
      <c r="H26">
        <f>RANK(M26,M$23:M$43,1)</f>
        <v>5</v>
      </c>
      <c r="I26" s="4">
        <v>3045300</v>
      </c>
      <c r="J26" s="4">
        <v>622309700</v>
      </c>
      <c r="K26" s="4">
        <v>2364000</v>
      </c>
      <c r="L26" s="7">
        <v>0.2</v>
      </c>
      <c r="M26" s="4">
        <f>+K26+I26+J26+(L26*K$7)+$K$7</f>
        <v>654119000</v>
      </c>
      <c r="N26" s="22"/>
      <c r="O26" s="22"/>
      <c r="P26" s="22"/>
    </row>
    <row r="27" spans="3:16" x14ac:dyDescent="0.25">
      <c r="C27" s="33" t="str">
        <f t="shared" si="0"/>
        <v/>
      </c>
      <c r="D27" s="11" t="s">
        <v>938</v>
      </c>
      <c r="E27" s="33"/>
      <c r="F27" t="s">
        <v>100</v>
      </c>
      <c r="G27" t="s">
        <v>93</v>
      </c>
      <c r="H27">
        <f>RANK(M27,M$23:M$43,1)</f>
        <v>3</v>
      </c>
      <c r="I27" s="4">
        <v>3123680</v>
      </c>
      <c r="J27" s="4">
        <v>459273320</v>
      </c>
      <c r="K27" s="4">
        <v>3780000</v>
      </c>
      <c r="L27" s="7">
        <v>0.25</v>
      </c>
      <c r="M27" s="4">
        <f>+K27+I27+J27+(L27*K$7)+$K$7</f>
        <v>493677000</v>
      </c>
      <c r="N27" s="22"/>
      <c r="O27" s="22"/>
      <c r="P27" s="22"/>
    </row>
    <row r="28" spans="3:16" x14ac:dyDescent="0.25">
      <c r="C28" s="33"/>
      <c r="D28" s="11"/>
      <c r="E28" s="33"/>
      <c r="I28" s="4"/>
      <c r="J28" s="4"/>
      <c r="K28" s="7"/>
      <c r="L28" s="7"/>
      <c r="M28" s="4"/>
      <c r="N28" s="22"/>
      <c r="O28" s="22"/>
      <c r="P28" s="22"/>
    </row>
    <row r="29" spans="3:16" x14ac:dyDescent="0.25">
      <c r="C29" s="33"/>
      <c r="D29" s="11"/>
      <c r="E29" s="33"/>
      <c r="I29" s="4"/>
      <c r="J29" s="4"/>
      <c r="K29" s="7"/>
      <c r="L29" s="7"/>
      <c r="M29" s="4"/>
      <c r="N29" s="22"/>
      <c r="O29" s="22"/>
      <c r="P29" s="22"/>
    </row>
    <row r="30" spans="3:16" x14ac:dyDescent="0.25">
      <c r="C30" s="33" t="str">
        <f t="shared" si="0"/>
        <v/>
      </c>
      <c r="D30" s="11"/>
      <c r="E30" s="33" t="str">
        <f t="shared" ref="E30:E43" si="1">IF(H30=1,"t","")</f>
        <v/>
      </c>
      <c r="I30" s="4"/>
      <c r="J30" s="4"/>
      <c r="K30" s="7"/>
      <c r="L30" s="7"/>
      <c r="M30" s="4"/>
      <c r="N30" s="22"/>
      <c r="O30" s="22"/>
      <c r="P30" s="22"/>
    </row>
    <row r="31" spans="3:16" x14ac:dyDescent="0.25">
      <c r="C31" s="33" t="str">
        <f t="shared" si="0"/>
        <v/>
      </c>
      <c r="D31" s="11"/>
      <c r="E31" s="33" t="str">
        <f t="shared" si="1"/>
        <v/>
      </c>
      <c r="I31" s="4"/>
      <c r="J31" s="4"/>
      <c r="K31" s="7"/>
      <c r="L31" s="7"/>
      <c r="M31" s="4"/>
      <c r="N31" s="22"/>
      <c r="O31" s="22"/>
      <c r="P31" s="22"/>
    </row>
    <row r="32" spans="3:16" x14ac:dyDescent="0.25">
      <c r="C32" s="33" t="str">
        <f t="shared" si="0"/>
        <v/>
      </c>
      <c r="D32" s="11"/>
      <c r="E32" s="33" t="str">
        <f t="shared" si="1"/>
        <v/>
      </c>
      <c r="I32" s="4"/>
      <c r="J32" s="4"/>
      <c r="K32" s="7"/>
      <c r="L32" s="7"/>
      <c r="M32" s="4"/>
      <c r="N32" s="22"/>
      <c r="O32" s="22"/>
      <c r="P32" s="22"/>
    </row>
    <row r="33" spans="3:16" x14ac:dyDescent="0.25">
      <c r="C33" s="33" t="str">
        <f t="shared" si="0"/>
        <v/>
      </c>
      <c r="D33" s="11"/>
      <c r="E33" s="33" t="str">
        <f t="shared" si="1"/>
        <v/>
      </c>
      <c r="I33" s="4"/>
      <c r="J33" s="4"/>
      <c r="K33" s="7"/>
      <c r="L33" s="7"/>
      <c r="M33" s="4"/>
      <c r="N33" s="21"/>
      <c r="O33" s="21"/>
      <c r="P33" s="21"/>
    </row>
    <row r="34" spans="3:16" x14ac:dyDescent="0.25">
      <c r="C34" s="33" t="str">
        <f t="shared" si="0"/>
        <v/>
      </c>
      <c r="D34" s="11"/>
      <c r="E34" s="33" t="str">
        <f t="shared" si="1"/>
        <v/>
      </c>
      <c r="K34" s="7"/>
      <c r="L34" s="7"/>
      <c r="N34" s="21"/>
      <c r="O34" s="21"/>
      <c r="P34" s="21"/>
    </row>
    <row r="35" spans="3:16" x14ac:dyDescent="0.25">
      <c r="C35" s="33" t="str">
        <f t="shared" si="0"/>
        <v/>
      </c>
      <c r="D35" s="11"/>
      <c r="E35" s="33" t="str">
        <f t="shared" si="1"/>
        <v/>
      </c>
      <c r="K35" s="7"/>
      <c r="L35" s="7"/>
      <c r="N35" s="21"/>
      <c r="O35" s="21"/>
      <c r="P35" s="21"/>
    </row>
    <row r="36" spans="3:16" x14ac:dyDescent="0.25">
      <c r="C36" s="33" t="str">
        <f t="shared" si="0"/>
        <v/>
      </c>
      <c r="D36" s="11"/>
      <c r="E36" s="33" t="str">
        <f t="shared" si="1"/>
        <v/>
      </c>
      <c r="K36" s="7"/>
      <c r="L36" s="7"/>
      <c r="N36" s="21"/>
      <c r="O36" s="21"/>
      <c r="P36" s="21"/>
    </row>
    <row r="37" spans="3:16" x14ac:dyDescent="0.25">
      <c r="C37" s="33" t="str">
        <f t="shared" si="0"/>
        <v/>
      </c>
      <c r="D37" s="11"/>
      <c r="E37" s="33" t="str">
        <f t="shared" si="1"/>
        <v/>
      </c>
      <c r="K37" s="7"/>
      <c r="L37" s="7"/>
      <c r="N37" s="21"/>
      <c r="O37" s="21"/>
      <c r="P37" s="21"/>
    </row>
    <row r="38" spans="3:16" x14ac:dyDescent="0.25">
      <c r="C38" s="33" t="str">
        <f t="shared" si="0"/>
        <v/>
      </c>
      <c r="D38" s="11"/>
      <c r="E38" s="33" t="str">
        <f t="shared" si="1"/>
        <v/>
      </c>
      <c r="K38" s="7"/>
      <c r="L38" s="7"/>
      <c r="N38" s="21"/>
      <c r="O38" s="21"/>
      <c r="P38" s="21"/>
    </row>
    <row r="39" spans="3:16" x14ac:dyDescent="0.25">
      <c r="C39" s="33" t="str">
        <f t="shared" si="0"/>
        <v/>
      </c>
      <c r="D39" s="11"/>
      <c r="E39" s="33" t="str">
        <f t="shared" si="1"/>
        <v/>
      </c>
      <c r="K39" s="7"/>
      <c r="L39" s="7"/>
      <c r="N39" s="21"/>
      <c r="O39" s="21"/>
      <c r="P39" s="21"/>
    </row>
    <row r="40" spans="3:16" x14ac:dyDescent="0.25">
      <c r="C40" s="33" t="str">
        <f t="shared" si="0"/>
        <v/>
      </c>
      <c r="D40" s="11"/>
      <c r="E40" s="33" t="str">
        <f t="shared" si="1"/>
        <v/>
      </c>
      <c r="K40" s="7"/>
      <c r="L40" s="7"/>
      <c r="N40" s="21"/>
      <c r="O40" s="21"/>
      <c r="P40" s="21"/>
    </row>
    <row r="41" spans="3:16" x14ac:dyDescent="0.25">
      <c r="C41" s="33" t="str">
        <f t="shared" si="0"/>
        <v/>
      </c>
      <c r="D41" s="11"/>
      <c r="E41" s="33" t="str">
        <f t="shared" si="1"/>
        <v/>
      </c>
      <c r="K41" s="7"/>
      <c r="L41" s="7"/>
      <c r="N41" s="21"/>
      <c r="O41" s="21"/>
      <c r="P41" s="21"/>
    </row>
    <row r="42" spans="3:16" x14ac:dyDescent="0.25">
      <c r="C42" s="33" t="str">
        <f t="shared" si="0"/>
        <v/>
      </c>
      <c r="D42" s="11"/>
      <c r="E42" s="33" t="str">
        <f t="shared" si="1"/>
        <v/>
      </c>
      <c r="K42" s="7"/>
      <c r="L42" s="7"/>
      <c r="N42" s="21"/>
      <c r="O42" s="21"/>
      <c r="P42" s="21"/>
    </row>
    <row r="43" spans="3:16" x14ac:dyDescent="0.25">
      <c r="C43" s="33" t="str">
        <f t="shared" si="0"/>
        <v/>
      </c>
      <c r="D43" s="11"/>
      <c r="E43" s="33" t="str">
        <f t="shared" si="1"/>
        <v/>
      </c>
      <c r="K43" s="7"/>
      <c r="L43" s="7"/>
      <c r="N43" s="21"/>
      <c r="O43" s="21"/>
      <c r="P43" s="21"/>
    </row>
    <row r="44" spans="3:16" ht="6" customHeight="1" x14ac:dyDescent="0.25"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21"/>
      <c r="O44" s="21"/>
      <c r="P44" s="21"/>
    </row>
    <row r="45" spans="3:16" ht="6" customHeight="1" x14ac:dyDescent="0.25">
      <c r="N45" s="21"/>
      <c r="O45" s="21"/>
      <c r="P45" s="21"/>
    </row>
    <row r="46" spans="3:16" x14ac:dyDescent="0.25">
      <c r="C46" s="15" t="s">
        <v>79</v>
      </c>
      <c r="N46" s="21"/>
      <c r="O46" s="21"/>
      <c r="P46" s="21"/>
    </row>
    <row r="47" spans="3:16" x14ac:dyDescent="0.25">
      <c r="C47" s="15" t="s">
        <v>78</v>
      </c>
      <c r="N47" s="21"/>
      <c r="O47" s="21"/>
      <c r="P47" s="21"/>
    </row>
  </sheetData>
  <mergeCells count="1">
    <mergeCell ref="G13:H13"/>
  </mergeCells>
  <conditionalFormatting sqref="I9 F11">
    <cfRule type="containsText" dxfId="1400" priority="8" operator="containsText" text="FAIL">
      <formula>NOT(ISERROR(SEARCH("FAIL",F9)))</formula>
    </cfRule>
  </conditionalFormatting>
  <conditionalFormatting sqref="I9 F11">
    <cfRule type="containsText" dxfId="1399" priority="7" operator="containsText" text="GOOD">
      <formula>NOT(ISERROR(SEARCH("GOOD",F9)))</formula>
    </cfRule>
  </conditionalFormatting>
  <conditionalFormatting sqref="I9">
    <cfRule type="containsText" dxfId="1398" priority="6" operator="containsText" text="FAIL">
      <formula>NOT(ISERROR(SEARCH("FAIL",I9)))</formula>
    </cfRule>
  </conditionalFormatting>
  <conditionalFormatting sqref="I9">
    <cfRule type="containsText" dxfId="1397" priority="5" operator="containsText" text="GOOD">
      <formula>NOT(ISERROR(SEARCH("GOOD",I9)))</formula>
    </cfRule>
  </conditionalFormatting>
  <conditionalFormatting sqref="D25">
    <cfRule type="expression" dxfId="1396" priority="4" stopIfTrue="1">
      <formula>IF($H$25=1,0)</formula>
    </cfRule>
  </conditionalFormatting>
  <conditionalFormatting sqref="D23:D43">
    <cfRule type="expression" dxfId="1395" priority="3">
      <formula>H23=1</formula>
    </cfRule>
  </conditionalFormatting>
  <conditionalFormatting sqref="C23:C43">
    <cfRule type="expression" dxfId="1394" priority="2">
      <formula>H23=1</formula>
    </cfRule>
  </conditionalFormatting>
  <conditionalFormatting sqref="E23:E43">
    <cfRule type="expression" dxfId="1393" priority="1">
      <formula>H23=1</formula>
    </cfRule>
  </conditionalFormatting>
  <pageMargins left="0.7" right="0.7" top="0.75" bottom="0.75" header="0.3" footer="0.3"/>
  <pageSetup scale="77" orientation="landscape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800-000000000000}">
  <sheetPr codeName="Sheet122"/>
  <dimension ref="A2:O55"/>
  <sheetViews>
    <sheetView topLeftCell="A4" zoomScaleNormal="100" workbookViewId="0">
      <selection activeCell="J7" sqref="J7"/>
    </sheetView>
  </sheetViews>
  <sheetFormatPr defaultRowHeight="15" x14ac:dyDescent="0.25"/>
  <cols>
    <col min="1" max="2" width="4.42578125" customWidth="1"/>
    <col min="3" max="3" width="2.7109375" customWidth="1"/>
    <col min="4" max="4" width="24.7109375" customWidth="1"/>
    <col min="5" max="5" width="2.7109375" customWidth="1"/>
    <col min="6" max="6" width="15.7109375" customWidth="1"/>
    <col min="7" max="7" width="8.5703125" customWidth="1"/>
    <col min="8" max="8" width="5.85546875" customWidth="1"/>
    <col min="9" max="15" width="15.7109375" customWidth="1"/>
  </cols>
  <sheetData>
    <row r="2" spans="1:14" x14ac:dyDescent="0.25">
      <c r="C2" s="15" t="s">
        <v>32</v>
      </c>
      <c r="E2" s="15"/>
      <c r="F2" s="15"/>
      <c r="G2" s="15" t="s">
        <v>33</v>
      </c>
      <c r="H2" s="15"/>
      <c r="I2" s="15"/>
      <c r="J2" s="15"/>
      <c r="K2" s="15"/>
    </row>
    <row r="3" spans="1:14" ht="18.75" x14ac:dyDescent="0.3">
      <c r="C3" s="3" t="s">
        <v>26</v>
      </c>
      <c r="J3" s="8" t="s">
        <v>48</v>
      </c>
    </row>
    <row r="4" spans="1:14" x14ac:dyDescent="0.25">
      <c r="C4" s="1"/>
      <c r="D4" s="2" t="s">
        <v>0</v>
      </c>
      <c r="E4" s="1"/>
      <c r="F4" t="s">
        <v>503</v>
      </c>
      <c r="I4" s="2" t="s">
        <v>4</v>
      </c>
      <c r="J4" t="s">
        <v>504</v>
      </c>
    </row>
    <row r="5" spans="1:14" x14ac:dyDescent="0.25">
      <c r="D5" s="2" t="s">
        <v>1</v>
      </c>
      <c r="F5" t="s">
        <v>518</v>
      </c>
    </row>
    <row r="6" spans="1:14" x14ac:dyDescent="0.25">
      <c r="D6" s="2" t="s">
        <v>2</v>
      </c>
      <c r="F6" s="6">
        <v>42411</v>
      </c>
      <c r="H6" s="11"/>
    </row>
    <row r="7" spans="1:14" x14ac:dyDescent="0.25">
      <c r="D7" s="2" t="s">
        <v>3</v>
      </c>
      <c r="F7" s="5">
        <f>+K7+J7+I7</f>
        <v>69865000</v>
      </c>
      <c r="G7" s="2" t="s">
        <v>34</v>
      </c>
      <c r="H7" s="11"/>
      <c r="I7" s="19">
        <v>6420000</v>
      </c>
      <c r="J7" s="19">
        <f>55580000+1005000+160000</f>
        <v>56745000</v>
      </c>
      <c r="K7" s="19">
        <f>6700000</f>
        <v>6700000</v>
      </c>
      <c r="L7" s="20">
        <v>0.1</v>
      </c>
    </row>
    <row r="8" spans="1:14" x14ac:dyDescent="0.25">
      <c r="D8" s="2" t="s">
        <v>18</v>
      </c>
      <c r="F8" s="5">
        <f>MIN(L23:L43)</f>
        <v>57000000</v>
      </c>
      <c r="H8" s="11"/>
      <c r="I8" s="18" t="s">
        <v>43</v>
      </c>
      <c r="J8" s="18" t="s">
        <v>44</v>
      </c>
      <c r="K8" s="18" t="s">
        <v>49</v>
      </c>
      <c r="L8" s="18" t="s">
        <v>50</v>
      </c>
    </row>
    <row r="9" spans="1:14" x14ac:dyDescent="0.25">
      <c r="D9" s="2" t="s">
        <v>19</v>
      </c>
      <c r="F9" s="4">
        <f>+F8-F7</f>
        <v>-12865000</v>
      </c>
      <c r="G9" s="16">
        <f>+F9/F7</f>
        <v>-0.18414084305446218</v>
      </c>
      <c r="H9" s="12" t="s">
        <v>20</v>
      </c>
      <c r="I9" s="11" t="str">
        <f>(IF(G9&lt;-0.1,"FAIL",IF(G9&gt;0.05,"FAIL","GOOD")))</f>
        <v>FAIL</v>
      </c>
      <c r="J9" s="14" t="s">
        <v>72</v>
      </c>
    </row>
    <row r="10" spans="1:14" x14ac:dyDescent="0.25">
      <c r="D10" s="2" t="s">
        <v>68</v>
      </c>
      <c r="F10" s="4">
        <f>+F7-F12</f>
        <v>-2882881.4545454532</v>
      </c>
      <c r="H10" s="11"/>
      <c r="K10" s="31"/>
      <c r="N10" t="e">
        <f>LOOKUP(1,D23:D43)</f>
        <v>#N/A</v>
      </c>
    </row>
    <row r="11" spans="1:14" x14ac:dyDescent="0.25">
      <c r="A11" s="30"/>
      <c r="D11" s="2" t="s">
        <v>71</v>
      </c>
      <c r="F11" s="11" t="str">
        <f>(IF(F7&lt;J12,"FAIL",IF(F7&gt;J13,"FAIL","GOOD")))</f>
        <v>GOOD</v>
      </c>
      <c r="H11" s="11"/>
      <c r="L11" s="31"/>
      <c r="N11" t="e">
        <f>MATCH(1,D23:H43,0)</f>
        <v>#N/A</v>
      </c>
    </row>
    <row r="12" spans="1:14" x14ac:dyDescent="0.25">
      <c r="D12" s="2" t="s">
        <v>28</v>
      </c>
      <c r="F12" s="4">
        <f>SUM(L23:L43)/H12</f>
        <v>72747881.454545453</v>
      </c>
      <c r="G12" s="14"/>
      <c r="H12" s="11">
        <f>COUNT(L23:L43)</f>
        <v>11</v>
      </c>
      <c r="I12" s="1" t="s">
        <v>31</v>
      </c>
      <c r="J12" s="4">
        <f>+F8*0.9</f>
        <v>51300000</v>
      </c>
      <c r="K12" s="1" t="s">
        <v>69</v>
      </c>
      <c r="N12" t="str">
        <f>INDEX(D23:D43,MATCH(1,H23:H43,0))</f>
        <v>Judlau</v>
      </c>
    </row>
    <row r="13" spans="1:14" x14ac:dyDescent="0.25">
      <c r="D13" s="2" t="s">
        <v>29</v>
      </c>
      <c r="F13" s="4">
        <f>MAX(L23:L43)-MIN(L23:L43)</f>
        <v>29369256</v>
      </c>
      <c r="G13" s="399">
        <f>MEDIAN(L23:L43)</f>
        <v>73387740</v>
      </c>
      <c r="H13" s="400"/>
      <c r="I13" s="1" t="s">
        <v>30</v>
      </c>
      <c r="J13" s="4">
        <f>+F12*1.1</f>
        <v>80022669.600000009</v>
      </c>
      <c r="K13" s="1" t="s">
        <v>70</v>
      </c>
    </row>
    <row r="14" spans="1:14" x14ac:dyDescent="0.25">
      <c r="H14" s="11"/>
    </row>
    <row r="15" spans="1:14" x14ac:dyDescent="0.25">
      <c r="D15" s="2" t="s">
        <v>8</v>
      </c>
      <c r="F15" s="4"/>
      <c r="G15" s="1" t="s">
        <v>9</v>
      </c>
      <c r="H15" s="11"/>
      <c r="I15" t="s">
        <v>15</v>
      </c>
      <c r="J15" s="7" t="e">
        <f>+F16/F15</f>
        <v>#DIV/0!</v>
      </c>
    </row>
    <row r="16" spans="1:14" x14ac:dyDescent="0.25">
      <c r="F16" s="4"/>
      <c r="G16" s="1" t="s">
        <v>10</v>
      </c>
      <c r="H16" s="11"/>
      <c r="I16" t="s">
        <v>14</v>
      </c>
      <c r="J16" s="7" t="e">
        <f>+F17/F16</f>
        <v>#DIV/0!</v>
      </c>
    </row>
    <row r="17" spans="3:15" x14ac:dyDescent="0.25">
      <c r="F17" s="4"/>
      <c r="G17" s="1" t="s">
        <v>11</v>
      </c>
      <c r="H17" s="11"/>
      <c r="I17" t="s">
        <v>13</v>
      </c>
      <c r="J17" s="7" t="e">
        <f>+F18/F17</f>
        <v>#DIV/0!</v>
      </c>
    </row>
    <row r="18" spans="3:15" x14ac:dyDescent="0.25">
      <c r="F18" s="4"/>
      <c r="G18" s="1" t="s">
        <v>12</v>
      </c>
      <c r="H18" s="11"/>
      <c r="I18" t="s">
        <v>16</v>
      </c>
      <c r="J18" s="7" t="e">
        <f>+F8/F18</f>
        <v>#DIV/0!</v>
      </c>
    </row>
    <row r="19" spans="3:15" x14ac:dyDescent="0.25">
      <c r="F19" s="2" t="s">
        <v>51</v>
      </c>
      <c r="G19">
        <v>0</v>
      </c>
      <c r="H19" s="11" t="s">
        <v>52</v>
      </c>
      <c r="I19" t="s">
        <v>41</v>
      </c>
      <c r="J19" s="7" t="e">
        <f>+F8/F15</f>
        <v>#DIV/0!</v>
      </c>
    </row>
    <row r="20" spans="3:15" x14ac:dyDescent="0.25">
      <c r="H20" s="11"/>
    </row>
    <row r="21" spans="3:15" x14ac:dyDescent="0.25">
      <c r="C21" s="9"/>
      <c r="D21" s="13" t="s">
        <v>21</v>
      </c>
      <c r="E21" s="9"/>
      <c r="F21" s="9" t="s">
        <v>22</v>
      </c>
      <c r="G21" s="9" t="s">
        <v>23</v>
      </c>
      <c r="H21" s="13" t="s">
        <v>27</v>
      </c>
      <c r="I21" s="10" t="s">
        <v>38</v>
      </c>
      <c r="J21" s="10" t="s">
        <v>37</v>
      </c>
      <c r="K21" s="17" t="s">
        <v>42</v>
      </c>
      <c r="L21" s="10" t="s">
        <v>39</v>
      </c>
      <c r="M21" s="21"/>
      <c r="N21" s="21"/>
      <c r="O21" s="21"/>
    </row>
    <row r="22" spans="3:15" ht="6" customHeight="1" x14ac:dyDescent="0.25">
      <c r="M22" s="21"/>
      <c r="N22" s="21"/>
      <c r="O22" s="21"/>
    </row>
    <row r="23" spans="3:15" x14ac:dyDescent="0.25">
      <c r="C23" s="33" t="str">
        <f>IF(H23=1,"u","")</f>
        <v/>
      </c>
      <c r="D23" s="11" t="s">
        <v>505</v>
      </c>
      <c r="E23" s="33"/>
      <c r="F23" t="s">
        <v>289</v>
      </c>
      <c r="G23" t="s">
        <v>93</v>
      </c>
      <c r="H23">
        <f>RANK(L23,L$23:L$43,1)</f>
        <v>5</v>
      </c>
      <c r="I23" s="4">
        <v>4676450</v>
      </c>
      <c r="J23" s="4">
        <f>55660550+204000</f>
        <v>55864550</v>
      </c>
      <c r="K23" s="7">
        <v>0.1</v>
      </c>
      <c r="L23" s="4">
        <f>+I23+J23+(K23*K$7)+$K$7</f>
        <v>67911000</v>
      </c>
      <c r="M23" s="22"/>
      <c r="N23" s="22"/>
      <c r="O23" s="22"/>
    </row>
    <row r="24" spans="3:15" x14ac:dyDescent="0.25">
      <c r="C24" s="33" t="str">
        <f>IF(H24=1,"u","")</f>
        <v/>
      </c>
      <c r="D24" s="11" t="s">
        <v>506</v>
      </c>
      <c r="E24" s="33"/>
      <c r="F24" t="s">
        <v>40</v>
      </c>
      <c r="G24" t="s">
        <v>25</v>
      </c>
      <c r="H24">
        <f t="shared" ref="H24:H29" si="0">RANK(L24,L$23:L$43,1)</f>
        <v>7</v>
      </c>
      <c r="I24" s="4">
        <v>5482450</v>
      </c>
      <c r="J24" s="4">
        <f>66357550+200000</f>
        <v>66557550</v>
      </c>
      <c r="K24" s="7">
        <v>0.15</v>
      </c>
      <c r="L24" s="4">
        <f t="shared" ref="L24:L29" si="1">+I24+J24+(K24*K$7)+$K$7</f>
        <v>79745000</v>
      </c>
      <c r="M24" s="22"/>
      <c r="N24" s="22"/>
      <c r="O24" s="22"/>
    </row>
    <row r="25" spans="3:15" x14ac:dyDescent="0.25">
      <c r="C25" s="33" t="str">
        <f>IF(H25=1,"u","")</f>
        <v/>
      </c>
      <c r="D25" s="11" t="s">
        <v>507</v>
      </c>
      <c r="E25" s="33"/>
      <c r="F25" t="s">
        <v>137</v>
      </c>
      <c r="G25" t="s">
        <v>25</v>
      </c>
      <c r="H25">
        <f t="shared" si="0"/>
        <v>2</v>
      </c>
      <c r="I25" s="4">
        <v>4838950</v>
      </c>
      <c r="J25" s="4">
        <f>46283250+124800</f>
        <v>46408050</v>
      </c>
      <c r="K25" s="7">
        <v>0.1</v>
      </c>
      <c r="L25" s="4">
        <f t="shared" si="1"/>
        <v>58617000</v>
      </c>
      <c r="M25" s="22"/>
      <c r="N25" s="22"/>
      <c r="O25" s="22"/>
    </row>
    <row r="26" spans="3:15" x14ac:dyDescent="0.25">
      <c r="C26" s="33" t="str">
        <f t="shared" ref="C26:C43" si="2">IF(H26=1,"u","")</f>
        <v/>
      </c>
      <c r="D26" s="11" t="s">
        <v>508</v>
      </c>
      <c r="E26" s="33"/>
      <c r="F26" t="s">
        <v>509</v>
      </c>
      <c r="G26" t="s">
        <v>93</v>
      </c>
      <c r="H26">
        <f t="shared" si="0"/>
        <v>3</v>
      </c>
      <c r="I26" s="4">
        <v>4209150</v>
      </c>
      <c r="J26" s="4">
        <f>49750000+144000</f>
        <v>49894000</v>
      </c>
      <c r="K26" s="7">
        <v>0.05</v>
      </c>
      <c r="L26" s="4">
        <f t="shared" si="1"/>
        <v>61138150</v>
      </c>
      <c r="M26" s="22"/>
      <c r="N26" s="22"/>
      <c r="O26" s="22"/>
    </row>
    <row r="27" spans="3:15" x14ac:dyDescent="0.25">
      <c r="C27" s="33" t="str">
        <f t="shared" si="2"/>
        <v/>
      </c>
      <c r="D27" s="11" t="s">
        <v>510</v>
      </c>
      <c r="E27" s="33"/>
      <c r="F27" t="s">
        <v>486</v>
      </c>
      <c r="G27" t="s">
        <v>25</v>
      </c>
      <c r="H27">
        <f t="shared" si="0"/>
        <v>6</v>
      </c>
      <c r="I27" s="4">
        <v>5147800</v>
      </c>
      <c r="J27" s="4">
        <f>60576940+159000</f>
        <v>60735940</v>
      </c>
      <c r="K27" s="7">
        <v>0.12</v>
      </c>
      <c r="L27" s="4">
        <f t="shared" si="1"/>
        <v>73387740</v>
      </c>
      <c r="M27" s="22"/>
      <c r="N27" s="22"/>
      <c r="O27" s="22"/>
    </row>
    <row r="28" spans="3:15" x14ac:dyDescent="0.25">
      <c r="C28" s="33" t="str">
        <f t="shared" si="2"/>
        <v/>
      </c>
      <c r="D28" s="11" t="s">
        <v>511</v>
      </c>
      <c r="E28" s="33"/>
      <c r="F28" t="s">
        <v>512</v>
      </c>
      <c r="G28" t="s">
        <v>25</v>
      </c>
      <c r="H28">
        <f t="shared" si="0"/>
        <v>8</v>
      </c>
      <c r="I28" s="4">
        <v>5832100</v>
      </c>
      <c r="J28" s="4">
        <f>66981900+84000</f>
        <v>67065900</v>
      </c>
      <c r="K28" s="7">
        <v>0.1</v>
      </c>
      <c r="L28" s="4">
        <f t="shared" si="1"/>
        <v>80268000</v>
      </c>
      <c r="M28" s="22"/>
      <c r="N28" s="22"/>
      <c r="O28" s="22"/>
    </row>
    <row r="29" spans="3:15" x14ac:dyDescent="0.25">
      <c r="C29" s="33" t="str">
        <f t="shared" si="2"/>
        <v/>
      </c>
      <c r="D29" s="11" t="s">
        <v>513</v>
      </c>
      <c r="E29" s="33"/>
      <c r="F29" t="s">
        <v>397</v>
      </c>
      <c r="G29" t="s">
        <v>25</v>
      </c>
      <c r="H29">
        <f t="shared" si="0"/>
        <v>11</v>
      </c>
      <c r="I29" s="4">
        <v>7092700</v>
      </c>
      <c r="J29" s="4">
        <f>71116556+120000</f>
        <v>71236556</v>
      </c>
      <c r="K29" s="7">
        <v>0.2</v>
      </c>
      <c r="L29" s="4">
        <f t="shared" si="1"/>
        <v>86369256</v>
      </c>
      <c r="M29" s="22"/>
      <c r="N29" s="22"/>
      <c r="O29" s="22"/>
    </row>
    <row r="30" spans="3:15" x14ac:dyDescent="0.25">
      <c r="C30" s="33" t="str">
        <f>IF(H30=1,"u","")</f>
        <v/>
      </c>
      <c r="D30" s="11" t="s">
        <v>514</v>
      </c>
      <c r="E30" s="33"/>
      <c r="F30" t="s">
        <v>131</v>
      </c>
      <c r="G30" t="s">
        <v>25</v>
      </c>
      <c r="H30">
        <f>RANK(L30,L$23:L$43,1)</f>
        <v>10</v>
      </c>
      <c r="I30" s="4">
        <v>3452550</v>
      </c>
      <c r="J30" s="4">
        <f>74400000+144000</f>
        <v>74544000</v>
      </c>
      <c r="K30" s="7">
        <v>0.15</v>
      </c>
      <c r="L30" s="4">
        <f>+I30+J30+(K30*K$7)+$K$7</f>
        <v>85701550</v>
      </c>
      <c r="M30" s="22"/>
      <c r="N30" s="22" t="s">
        <v>519</v>
      </c>
      <c r="O30" s="22"/>
    </row>
    <row r="31" spans="3:15" x14ac:dyDescent="0.25">
      <c r="C31" s="33" t="str">
        <f>IF(H31=1,"u","")</f>
        <v>u</v>
      </c>
      <c r="D31" s="11" t="s">
        <v>515</v>
      </c>
      <c r="E31" s="33"/>
      <c r="F31" t="s">
        <v>92</v>
      </c>
      <c r="G31" t="s">
        <v>93</v>
      </c>
      <c r="H31">
        <f>RANK(L31,L$23:L$43,1)</f>
        <v>1</v>
      </c>
      <c r="I31" s="4">
        <v>5318700</v>
      </c>
      <c r="J31" s="4">
        <f>44724180+123120</f>
        <v>44847300</v>
      </c>
      <c r="K31" s="7">
        <v>0.02</v>
      </c>
      <c r="L31" s="4">
        <f>+I31+J31+(K31*K$7)+$K$7</f>
        <v>57000000</v>
      </c>
      <c r="M31" s="22"/>
      <c r="N31" s="22"/>
      <c r="O31" s="22"/>
    </row>
    <row r="32" spans="3:15" x14ac:dyDescent="0.25">
      <c r="C32" s="33" t="str">
        <f>IF(H32=1,"u","")</f>
        <v/>
      </c>
      <c r="D32" s="11" t="s">
        <v>516</v>
      </c>
      <c r="E32" s="33"/>
      <c r="F32" t="s">
        <v>145</v>
      </c>
      <c r="G32" t="s">
        <v>25</v>
      </c>
      <c r="H32">
        <f>RANK(L32,L$23:L$43,1)</f>
        <v>4</v>
      </c>
      <c r="I32" s="4">
        <v>2780600</v>
      </c>
      <c r="J32" s="4">
        <f>54978000+110400</f>
        <v>55088400</v>
      </c>
      <c r="K32" s="7">
        <v>0</v>
      </c>
      <c r="L32" s="4">
        <f>+I32+J32+(K32*K$7)+$K$7</f>
        <v>64569000</v>
      </c>
      <c r="M32" s="22"/>
      <c r="N32" s="22"/>
      <c r="O32" s="22"/>
    </row>
    <row r="33" spans="3:15" x14ac:dyDescent="0.25">
      <c r="C33" s="33" t="str">
        <f>IF(H33=1,"u","")</f>
        <v/>
      </c>
      <c r="D33" s="11" t="s">
        <v>517</v>
      </c>
      <c r="E33" s="33"/>
      <c r="F33" t="s">
        <v>170</v>
      </c>
      <c r="G33" t="s">
        <v>93</v>
      </c>
      <c r="H33">
        <f>RANK(L33,L$23:L$43,1)</f>
        <v>9</v>
      </c>
      <c r="I33" s="4">
        <v>8199900</v>
      </c>
      <c r="J33" s="4">
        <f>69040100+240000</f>
        <v>69280100</v>
      </c>
      <c r="K33" s="7">
        <v>0.2</v>
      </c>
      <c r="L33" s="4">
        <f>+I33+J33+(K33*K$7)+$K$7</f>
        <v>85520000</v>
      </c>
      <c r="M33" s="22"/>
      <c r="N33" s="22"/>
      <c r="O33" s="22"/>
    </row>
    <row r="34" spans="3:15" x14ac:dyDescent="0.25">
      <c r="C34" s="33"/>
      <c r="D34" s="11"/>
      <c r="E34" s="33"/>
      <c r="I34" s="4"/>
      <c r="J34" s="4"/>
      <c r="K34" s="7"/>
      <c r="L34" s="4"/>
      <c r="M34" s="22"/>
      <c r="N34" s="22"/>
      <c r="O34" s="22"/>
    </row>
    <row r="35" spans="3:15" x14ac:dyDescent="0.25">
      <c r="C35" s="33" t="str">
        <f t="shared" si="2"/>
        <v/>
      </c>
      <c r="D35" s="11"/>
      <c r="E35" s="33" t="str">
        <f t="shared" ref="E35:E43" si="3">IF(H35=1,"t","")</f>
        <v/>
      </c>
      <c r="K35" s="7"/>
      <c r="M35" s="21"/>
      <c r="N35" s="21"/>
      <c r="O35" s="21"/>
    </row>
    <row r="36" spans="3:15" x14ac:dyDescent="0.25">
      <c r="C36" s="33" t="str">
        <f t="shared" si="2"/>
        <v/>
      </c>
      <c r="D36" s="11"/>
      <c r="E36" s="33" t="str">
        <f t="shared" si="3"/>
        <v/>
      </c>
      <c r="K36" s="7"/>
      <c r="M36" s="21"/>
      <c r="N36" s="21"/>
      <c r="O36" s="21"/>
    </row>
    <row r="37" spans="3:15" x14ac:dyDescent="0.25">
      <c r="C37" s="33" t="str">
        <f t="shared" si="2"/>
        <v/>
      </c>
      <c r="D37" s="11"/>
      <c r="E37" s="33" t="str">
        <f t="shared" si="3"/>
        <v/>
      </c>
      <c r="K37" s="7"/>
      <c r="M37" s="21"/>
      <c r="N37" s="21"/>
      <c r="O37" s="21"/>
    </row>
    <row r="38" spans="3:15" x14ac:dyDescent="0.25">
      <c r="C38" s="33" t="str">
        <f t="shared" si="2"/>
        <v/>
      </c>
      <c r="D38" s="11"/>
      <c r="E38" s="33" t="str">
        <f t="shared" si="3"/>
        <v/>
      </c>
      <c r="K38" s="7"/>
      <c r="M38" s="21"/>
      <c r="N38" s="21"/>
      <c r="O38" s="21"/>
    </row>
    <row r="39" spans="3:15" x14ac:dyDescent="0.25">
      <c r="C39" s="33" t="str">
        <f t="shared" si="2"/>
        <v/>
      </c>
      <c r="D39" s="11"/>
      <c r="E39" s="33" t="str">
        <f t="shared" si="3"/>
        <v/>
      </c>
      <c r="K39" s="7"/>
      <c r="M39" s="21"/>
      <c r="N39" s="21"/>
      <c r="O39" s="21"/>
    </row>
    <row r="40" spans="3:15" x14ac:dyDescent="0.25">
      <c r="C40" s="33" t="str">
        <f t="shared" si="2"/>
        <v/>
      </c>
      <c r="D40" s="11"/>
      <c r="E40" s="33" t="str">
        <f t="shared" si="3"/>
        <v/>
      </c>
      <c r="K40" s="7"/>
      <c r="M40" s="21"/>
      <c r="N40" s="21"/>
      <c r="O40" s="21"/>
    </row>
    <row r="41" spans="3:15" x14ac:dyDescent="0.25">
      <c r="C41" s="33" t="str">
        <f t="shared" si="2"/>
        <v/>
      </c>
      <c r="D41" s="11"/>
      <c r="E41" s="33" t="str">
        <f t="shared" si="3"/>
        <v/>
      </c>
      <c r="K41" s="7"/>
      <c r="M41" s="21"/>
      <c r="N41" s="21"/>
      <c r="O41" s="21"/>
    </row>
    <row r="42" spans="3:15" x14ac:dyDescent="0.25">
      <c r="C42" s="33" t="str">
        <f t="shared" si="2"/>
        <v/>
      </c>
      <c r="D42" s="11"/>
      <c r="E42" s="33" t="str">
        <f t="shared" si="3"/>
        <v/>
      </c>
      <c r="K42" s="7"/>
      <c r="M42" s="21"/>
      <c r="N42" s="21"/>
      <c r="O42" s="21"/>
    </row>
    <row r="43" spans="3:15" x14ac:dyDescent="0.25">
      <c r="C43" s="33" t="str">
        <f t="shared" si="2"/>
        <v/>
      </c>
      <c r="D43" s="11"/>
      <c r="E43" s="33" t="str">
        <f t="shared" si="3"/>
        <v/>
      </c>
      <c r="K43" s="7"/>
      <c r="M43" s="21"/>
      <c r="N43" s="21"/>
      <c r="O43" s="21"/>
    </row>
    <row r="44" spans="3:15" ht="6" customHeight="1" x14ac:dyDescent="0.25">
      <c r="C44" s="9"/>
      <c r="D44" s="9"/>
      <c r="E44" s="9"/>
      <c r="F44" s="9"/>
      <c r="G44" s="9"/>
      <c r="H44" s="9"/>
      <c r="I44" s="9"/>
      <c r="J44" s="9"/>
      <c r="K44" s="9"/>
      <c r="L44" s="9"/>
      <c r="M44" s="21"/>
      <c r="N44" s="21"/>
      <c r="O44" s="21"/>
    </row>
    <row r="45" spans="3:15" ht="6" customHeight="1" x14ac:dyDescent="0.25">
      <c r="M45" s="21"/>
      <c r="N45" s="21"/>
      <c r="O45" s="21"/>
    </row>
    <row r="46" spans="3:15" x14ac:dyDescent="0.25">
      <c r="C46" s="15" t="s">
        <v>79</v>
      </c>
      <c r="M46" s="21"/>
      <c r="N46" s="21"/>
      <c r="O46" s="21"/>
    </row>
    <row r="47" spans="3:15" x14ac:dyDescent="0.25">
      <c r="C47" s="15" t="s">
        <v>78</v>
      </c>
      <c r="M47" s="21"/>
      <c r="N47" s="21"/>
      <c r="O47" s="21"/>
    </row>
    <row r="49" spans="3:12" ht="18.75" x14ac:dyDescent="0.3">
      <c r="C49" s="3" t="s">
        <v>534</v>
      </c>
      <c r="I49" s="2" t="s">
        <v>535</v>
      </c>
      <c r="J49" t="s">
        <v>536</v>
      </c>
      <c r="K49" s="2" t="s">
        <v>537</v>
      </c>
      <c r="L49" s="6">
        <v>42424</v>
      </c>
    </row>
    <row r="50" spans="3:12" x14ac:dyDescent="0.25">
      <c r="C50" s="1"/>
      <c r="D50" s="2" t="str">
        <f>+D4</f>
        <v>Project # :</v>
      </c>
      <c r="E50" s="1"/>
      <c r="F50" t="str">
        <f>+F4</f>
        <v>GWB-244.150</v>
      </c>
      <c r="I50" s="2" t="str">
        <f>+I4</f>
        <v>Est Prepared By :</v>
      </c>
      <c r="J50" t="str">
        <f>+J4</f>
        <v>Reddy Gunda and Henry Yu</v>
      </c>
    </row>
    <row r="51" spans="3:12" x14ac:dyDescent="0.25">
      <c r="D51" s="2" t="str">
        <f>+D5</f>
        <v>Project Name :</v>
      </c>
      <c r="F51" t="str">
        <f>+F5</f>
        <v>GWB - Replacement of PIP Helix, et. al.</v>
      </c>
    </row>
    <row r="52" spans="3:12" x14ac:dyDescent="0.25">
      <c r="D52" s="2" t="str">
        <f>+D6</f>
        <v>Bid Date :</v>
      </c>
      <c r="F52" s="6">
        <f>+F6</f>
        <v>42411</v>
      </c>
      <c r="H52" s="2"/>
      <c r="I52" s="6"/>
    </row>
    <row r="53" spans="3:12" x14ac:dyDescent="0.25">
      <c r="D53" s="2" t="str">
        <f t="shared" ref="D53:L53" si="4">+D7</f>
        <v>PANYNJ Engr's Estimate:</v>
      </c>
      <c r="F53" s="5">
        <f t="shared" si="4"/>
        <v>69865000</v>
      </c>
      <c r="G53" s="2" t="str">
        <f t="shared" si="4"/>
        <v>Public</v>
      </c>
      <c r="H53" s="11"/>
      <c r="I53" s="19">
        <f t="shared" si="4"/>
        <v>6420000</v>
      </c>
      <c r="J53" s="19">
        <f t="shared" si="4"/>
        <v>56745000</v>
      </c>
      <c r="K53" s="19">
        <f t="shared" si="4"/>
        <v>6700000</v>
      </c>
      <c r="L53" s="20">
        <f t="shared" si="4"/>
        <v>0.1</v>
      </c>
    </row>
    <row r="54" spans="3:12" x14ac:dyDescent="0.25">
      <c r="D54" s="2" t="str">
        <f>+D8</f>
        <v>Low Bidder :</v>
      </c>
      <c r="F54" s="5">
        <f>+F8</f>
        <v>57000000</v>
      </c>
      <c r="H54" s="11"/>
      <c r="I54" s="18" t="str">
        <f>+I8</f>
        <v>^^ Classified ^^</v>
      </c>
      <c r="J54" s="18" t="str">
        <f>+J8</f>
        <v>^^Unclassified^^</v>
      </c>
      <c r="K54" s="18" t="str">
        <f>+K8</f>
        <v>^^  Net Cost  ^^</v>
      </c>
      <c r="L54" s="18" t="str">
        <f>+L8</f>
        <v>^^  % on Net  ^^</v>
      </c>
    </row>
    <row r="55" spans="3:12" x14ac:dyDescent="0.25">
      <c r="D55" s="2" t="str">
        <f>+D9</f>
        <v>Variance :</v>
      </c>
      <c r="F55" s="5">
        <f>+F9</f>
        <v>-12865000</v>
      </c>
      <c r="G55" s="16"/>
      <c r="H55" s="12"/>
      <c r="I55" s="11"/>
      <c r="J55" s="14"/>
    </row>
  </sheetData>
  <mergeCells count="1">
    <mergeCell ref="G13:H13"/>
  </mergeCells>
  <conditionalFormatting sqref="I9 F11">
    <cfRule type="containsText" dxfId="630" priority="15" operator="containsText" text="FAIL">
      <formula>NOT(ISERROR(SEARCH("FAIL",F9)))</formula>
    </cfRule>
  </conditionalFormatting>
  <conditionalFormatting sqref="I9 F11">
    <cfRule type="containsText" dxfId="629" priority="14" operator="containsText" text="GOOD">
      <formula>NOT(ISERROR(SEARCH("GOOD",F9)))</formula>
    </cfRule>
  </conditionalFormatting>
  <conditionalFormatting sqref="I9">
    <cfRule type="containsText" dxfId="628" priority="13" operator="containsText" text="FAIL">
      <formula>NOT(ISERROR(SEARCH("FAIL",I9)))</formula>
    </cfRule>
  </conditionalFormatting>
  <conditionalFormatting sqref="I9">
    <cfRule type="containsText" dxfId="627" priority="12" operator="containsText" text="GOOD">
      <formula>NOT(ISERROR(SEARCH("GOOD",I9)))</formula>
    </cfRule>
  </conditionalFormatting>
  <conditionalFormatting sqref="D25">
    <cfRule type="expression" dxfId="626" priority="11" stopIfTrue="1">
      <formula>IF($H$25=1,0)</formula>
    </cfRule>
  </conditionalFormatting>
  <conditionalFormatting sqref="D23:D29 D35:D43">
    <cfRule type="expression" dxfId="625" priority="10">
      <formula>H23=1</formula>
    </cfRule>
  </conditionalFormatting>
  <conditionalFormatting sqref="C23:C29 C35:C43">
    <cfRule type="expression" dxfId="624" priority="9">
      <formula>H23=1</formula>
    </cfRule>
  </conditionalFormatting>
  <conditionalFormatting sqref="E23:E29 E35:E43">
    <cfRule type="expression" dxfId="623" priority="8">
      <formula>H23=1</formula>
    </cfRule>
  </conditionalFormatting>
  <conditionalFormatting sqref="E30:E34">
    <cfRule type="expression" dxfId="622" priority="5">
      <formula>H30=1</formula>
    </cfRule>
  </conditionalFormatting>
  <conditionalFormatting sqref="D30:D34">
    <cfRule type="expression" dxfId="621" priority="7">
      <formula>H30=1</formula>
    </cfRule>
  </conditionalFormatting>
  <conditionalFormatting sqref="C30:C34">
    <cfRule type="expression" dxfId="620" priority="6">
      <formula>H30=1</formula>
    </cfRule>
  </conditionalFormatting>
  <conditionalFormatting sqref="I55">
    <cfRule type="containsText" dxfId="619" priority="4" operator="containsText" text="FAIL">
      <formula>NOT(ISERROR(SEARCH("FAIL",I55)))</formula>
    </cfRule>
  </conditionalFormatting>
  <conditionalFormatting sqref="I55">
    <cfRule type="containsText" dxfId="618" priority="3" operator="containsText" text="GOOD">
      <formula>NOT(ISERROR(SEARCH("GOOD",I55)))</formula>
    </cfRule>
  </conditionalFormatting>
  <conditionalFormatting sqref="I55">
    <cfRule type="containsText" dxfId="617" priority="2" operator="containsText" text="FAIL">
      <formula>NOT(ISERROR(SEARCH("FAIL",I55)))</formula>
    </cfRule>
  </conditionalFormatting>
  <conditionalFormatting sqref="I55">
    <cfRule type="containsText" dxfId="616" priority="1" operator="containsText" text="GOOD">
      <formula>NOT(ISERROR(SEARCH("GOOD",I55)))</formula>
    </cfRule>
  </conditionalFormatting>
  <pageMargins left="0.7" right="0.7" top="0.75" bottom="0.75" header="0.3" footer="0.3"/>
  <pageSetup scale="73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9">
    <tabColor rgb="FF7030A0"/>
  </sheetPr>
  <dimension ref="C2:AB557"/>
  <sheetViews>
    <sheetView zoomScaleNormal="100" workbookViewId="0">
      <pane ySplit="5" topLeftCell="A234" activePane="bottomLeft" state="frozen"/>
      <selection pane="bottomLeft" activeCell="A248" sqref="A248:XFD254"/>
    </sheetView>
  </sheetViews>
  <sheetFormatPr defaultRowHeight="15" x14ac:dyDescent="0.25"/>
  <cols>
    <col min="1" max="1" width="3.140625" customWidth="1"/>
    <col min="2" max="2" width="2.85546875" customWidth="1"/>
    <col min="3" max="3" width="5.28515625" customWidth="1"/>
    <col min="4" max="4" width="13.42578125" customWidth="1"/>
    <col min="5" max="5" width="41.140625" customWidth="1"/>
    <col min="6" max="6" width="9.5703125" bestFit="1" customWidth="1"/>
    <col min="7" max="7" width="9.42578125" customWidth="1"/>
    <col min="8" max="10" width="13.7109375" customWidth="1"/>
    <col min="11" max="11" width="9.5703125" customWidth="1"/>
    <col min="12" max="12" width="7" customWidth="1"/>
    <col min="13" max="13" width="6.42578125" customWidth="1"/>
    <col min="14" max="14" width="5.7109375" style="11" customWidth="1"/>
    <col min="15" max="15" width="3.42578125" customWidth="1"/>
    <col min="16" max="16" width="6.140625" customWidth="1"/>
    <col min="17" max="17" width="3.42578125" customWidth="1"/>
    <col min="18" max="18" width="44.7109375" customWidth="1"/>
    <col min="19" max="19" width="27" customWidth="1"/>
    <col min="22" max="22" width="11.140625" bestFit="1" customWidth="1"/>
    <col min="23" max="23" width="12.42578125" bestFit="1" customWidth="1"/>
    <col min="24" max="24" width="12" bestFit="1" customWidth="1"/>
    <col min="26" max="27" width="12.140625" bestFit="1" customWidth="1"/>
  </cols>
  <sheetData>
    <row r="2" spans="3:24" ht="27.75" customHeight="1" x14ac:dyDescent="0.25">
      <c r="D2" s="21"/>
      <c r="E2" s="15"/>
      <c r="F2" s="15" t="s">
        <v>32</v>
      </c>
      <c r="I2" s="15"/>
      <c r="J2" s="15"/>
      <c r="L2" s="15" t="s">
        <v>33</v>
      </c>
    </row>
    <row r="3" spans="3:24" ht="18.75" x14ac:dyDescent="0.3">
      <c r="D3" s="3"/>
      <c r="F3" s="3" t="s">
        <v>53</v>
      </c>
      <c r="K3" s="36" t="s">
        <v>54</v>
      </c>
      <c r="L3" s="37">
        <v>2016</v>
      </c>
    </row>
    <row r="5" spans="3:24" x14ac:dyDescent="0.25">
      <c r="C5" s="40" t="s">
        <v>423</v>
      </c>
      <c r="D5" s="49" t="s">
        <v>55</v>
      </c>
      <c r="E5" s="49" t="s">
        <v>56</v>
      </c>
      <c r="F5" s="49" t="s">
        <v>57</v>
      </c>
      <c r="G5" s="50" t="s">
        <v>424</v>
      </c>
      <c r="H5" s="47" t="s">
        <v>58</v>
      </c>
      <c r="I5" s="47" t="s">
        <v>59</v>
      </c>
      <c r="J5" s="42" t="s">
        <v>456</v>
      </c>
      <c r="K5" s="47" t="s">
        <v>60</v>
      </c>
      <c r="L5" s="48" t="s">
        <v>61</v>
      </c>
      <c r="M5" s="47" t="s">
        <v>62</v>
      </c>
      <c r="N5" s="43" t="s">
        <v>225</v>
      </c>
      <c r="O5" s="43" t="s">
        <v>422</v>
      </c>
      <c r="P5" s="43" t="s">
        <v>454</v>
      </c>
      <c r="Q5" s="43"/>
      <c r="R5" s="41" t="s">
        <v>63</v>
      </c>
      <c r="S5" s="9" t="s">
        <v>551</v>
      </c>
      <c r="T5" s="9"/>
      <c r="U5" s="9"/>
      <c r="V5" s="9"/>
    </row>
    <row r="6" spans="3:24" ht="7.5" customHeight="1" x14ac:dyDescent="0.25">
      <c r="C6" s="39"/>
      <c r="G6" s="45"/>
    </row>
    <row r="7" spans="3:24" x14ac:dyDescent="0.25">
      <c r="C7" s="39">
        <v>2016</v>
      </c>
      <c r="D7" s="62" t="str">
        <f>+'PAT-084.039'!$F$4</f>
        <v>PAT-084.039</v>
      </c>
      <c r="E7" s="63" t="str">
        <f>+'PAT-084.039'!$F$5</f>
        <v>Event Detection Systems for Tunnels E and F</v>
      </c>
      <c r="F7" s="64">
        <f>+'PAT-084.039'!$F$6</f>
        <v>42731</v>
      </c>
      <c r="G7" s="65" t="str">
        <f>+'PAT-084.039'!$G$7</f>
        <v>PQL</v>
      </c>
      <c r="H7" s="27">
        <f>+'PAT-084.039'!$F$7</f>
        <v>18500000</v>
      </c>
      <c r="I7" s="27">
        <f>+'PAT-084.039'!$F$8</f>
        <v>15978000</v>
      </c>
      <c r="J7" s="27"/>
      <c r="K7" s="26">
        <f>+'PAT-084.039'!$G$9</f>
        <v>-0.13632432432432431</v>
      </c>
      <c r="L7" s="11" t="str">
        <f>+'PAT-084.039'!$F$11</f>
        <v>GOOD</v>
      </c>
      <c r="M7" s="15">
        <f>+'PAT-084.039'!$H$12</f>
        <v>2</v>
      </c>
      <c r="N7" s="35" t="s">
        <v>226</v>
      </c>
      <c r="O7" s="15">
        <v>4</v>
      </c>
      <c r="P7" s="35" t="s">
        <v>459</v>
      </c>
      <c r="Q7" s="15"/>
      <c r="R7" s="24"/>
      <c r="S7" s="62" t="str">
        <f>+'PAT-084.039'!$J$4</f>
        <v>Nathan Demaisip</v>
      </c>
      <c r="T7" s="15"/>
      <c r="U7" s="15"/>
      <c r="V7" s="54">
        <f t="shared" ref="V7:W12" si="0">+H7</f>
        <v>18500000</v>
      </c>
      <c r="W7" s="54">
        <f t="shared" si="0"/>
        <v>15978000</v>
      </c>
      <c r="X7" s="54">
        <f t="shared" ref="X7:X12" si="1">+V7-W7</f>
        <v>2522000</v>
      </c>
    </row>
    <row r="8" spans="3:24" x14ac:dyDescent="0.25">
      <c r="C8" s="39">
        <v>2016</v>
      </c>
      <c r="D8" s="62" t="str">
        <f>+'EWR-924.288'!$F$4</f>
        <v>EWR-924.288</v>
      </c>
      <c r="E8" s="63" t="str">
        <f>+'EWR-924.288'!$F$5</f>
        <v>Fuel Farm Roadway Drainage Improvements</v>
      </c>
      <c r="F8" s="64">
        <f>+'EWR-924.288'!$F$6</f>
        <v>42725</v>
      </c>
      <c r="G8" s="65" t="str">
        <f>+'EWR-924.288'!$G$7</f>
        <v>MWBE</v>
      </c>
      <c r="H8" s="27">
        <f>+'EWR-924.288'!$F$7</f>
        <v>600000</v>
      </c>
      <c r="I8" s="27">
        <f>+'EWR-924.288'!$F$8</f>
        <v>421111</v>
      </c>
      <c r="J8" s="27"/>
      <c r="K8" s="26">
        <f>+'EWR-924.288'!$G$9</f>
        <v>-0.29814833333333335</v>
      </c>
      <c r="L8" s="11" t="str">
        <f>+'EWR-924.288'!$F$11</f>
        <v>GOOD</v>
      </c>
      <c r="M8" s="15">
        <f>+'EWR-924.288'!$H$12</f>
        <v>8</v>
      </c>
      <c r="N8" s="35" t="s">
        <v>25</v>
      </c>
      <c r="O8" s="15">
        <v>4</v>
      </c>
      <c r="P8" s="35" t="s">
        <v>458</v>
      </c>
      <c r="Q8" s="15"/>
      <c r="R8" s="24"/>
      <c r="S8" s="62" t="str">
        <f>+'EWR-924.288'!$J$4</f>
        <v>Henry Yu</v>
      </c>
      <c r="T8" s="15"/>
      <c r="U8" s="15"/>
      <c r="V8" s="54">
        <f t="shared" si="0"/>
        <v>600000</v>
      </c>
      <c r="W8" s="54">
        <f t="shared" si="0"/>
        <v>421111</v>
      </c>
      <c r="X8" s="54">
        <f t="shared" si="1"/>
        <v>178889</v>
      </c>
    </row>
    <row r="9" spans="3:24" x14ac:dyDescent="0.25">
      <c r="C9" s="39">
        <v>2016</v>
      </c>
      <c r="D9" s="62" t="str">
        <f>+'PAT-534.316 Void'!$F$4</f>
        <v>PAT-534.316</v>
      </c>
      <c r="E9" s="63" t="str">
        <f>+'PAT-534.316 Void'!$F$5</f>
        <v>Journal Square Transport Center - Hardening phase 2</v>
      </c>
      <c r="F9" s="64">
        <f>+'PAT-534.316 Void'!$F$6</f>
        <v>42719</v>
      </c>
      <c r="G9" s="65" t="str">
        <f>+'PAT-534.316 Void'!$G$7</f>
        <v>VVP</v>
      </c>
      <c r="H9" s="27">
        <f>+'PAT-534.316 Void'!$F$7</f>
        <v>2212000</v>
      </c>
      <c r="I9" s="27">
        <f>+'PAT-534.316 Void'!$F$8</f>
        <v>3028000</v>
      </c>
      <c r="J9" s="27"/>
      <c r="K9" s="26">
        <f>+'PAT-534.316 Void'!$G$9</f>
        <v>0.36889692585895117</v>
      </c>
      <c r="L9" s="11" t="str">
        <f>+'PAT-534.316 Void'!$F$11</f>
        <v>FAIL</v>
      </c>
      <c r="M9" s="15">
        <f>+'PAT-534.316 Void'!$H$12</f>
        <v>1</v>
      </c>
      <c r="N9" s="35" t="s">
        <v>25</v>
      </c>
      <c r="O9" s="15">
        <v>4</v>
      </c>
      <c r="P9" s="35" t="s">
        <v>459</v>
      </c>
      <c r="Q9" s="15"/>
      <c r="R9" s="24" t="s">
        <v>782</v>
      </c>
      <c r="S9" s="62" t="str">
        <f>+'PAT-534.316 Void'!$J$4</f>
        <v>Nathan Demaisip</v>
      </c>
      <c r="T9" s="15"/>
      <c r="U9" s="15"/>
      <c r="V9" s="54">
        <f t="shared" si="0"/>
        <v>2212000</v>
      </c>
      <c r="W9" s="54">
        <f t="shared" si="0"/>
        <v>3028000</v>
      </c>
      <c r="X9" s="54">
        <f t="shared" si="1"/>
        <v>-816000</v>
      </c>
    </row>
    <row r="10" spans="3:24" x14ac:dyDescent="0.25">
      <c r="C10" s="39">
        <v>2016</v>
      </c>
      <c r="D10" s="62" t="str">
        <f>+'PN-654.551'!$F$4</f>
        <v>PN-654.551</v>
      </c>
      <c r="E10" s="63" t="str">
        <f>+'PN-654.551'!$F$5</f>
        <v>Tyler Street Pavement Rehab</v>
      </c>
      <c r="F10" s="64">
        <f>+'PN-654.551'!$F$6</f>
        <v>42719</v>
      </c>
      <c r="G10" s="65" t="str">
        <f>+'PN-654.551'!$G$7</f>
        <v>MWBE</v>
      </c>
      <c r="H10" s="27">
        <f>+'PN-654.551'!$F$7</f>
        <v>1460000</v>
      </c>
      <c r="I10" s="27">
        <f>+'PN-654.551'!$F$8</f>
        <v>1457020</v>
      </c>
      <c r="J10" s="27"/>
      <c r="K10" s="26">
        <f>+'PN-654.551'!$G$9</f>
        <v>-2.0410958904109591E-3</v>
      </c>
      <c r="L10" s="11" t="str">
        <f>+'PN-654.551'!$F$11</f>
        <v>GOOD</v>
      </c>
      <c r="M10" s="15">
        <f>+'PN-654.551'!$H$12</f>
        <v>7</v>
      </c>
      <c r="N10" s="35" t="s">
        <v>25</v>
      </c>
      <c r="O10" s="15">
        <v>4</v>
      </c>
      <c r="P10" s="35" t="s">
        <v>492</v>
      </c>
      <c r="Q10" s="15"/>
      <c r="R10" s="24"/>
      <c r="S10" s="62" t="str">
        <f>+'PN-654.551'!$J$4</f>
        <v>Ed Minall</v>
      </c>
      <c r="T10" s="15"/>
      <c r="U10" s="15"/>
      <c r="V10" s="54">
        <f t="shared" si="0"/>
        <v>1460000</v>
      </c>
      <c r="W10" s="54">
        <f t="shared" si="0"/>
        <v>1457020</v>
      </c>
      <c r="X10" s="54">
        <f t="shared" si="1"/>
        <v>2980</v>
      </c>
    </row>
    <row r="11" spans="3:24" x14ac:dyDescent="0.25">
      <c r="C11" s="39">
        <v>2016</v>
      </c>
      <c r="D11" s="62" t="str">
        <f>+'PJ-664.503'!$F$4</f>
        <v>PJ-664.503</v>
      </c>
      <c r="E11" s="63" t="str">
        <f>+'PJ-664.503'!$F$5</f>
        <v>Greenville Yard Phase 1</v>
      </c>
      <c r="F11" s="64">
        <f>+'PJ-664.503'!$F$6</f>
        <v>42718</v>
      </c>
      <c r="G11" s="65" t="str">
        <f>+'PJ-664.503'!$G$7</f>
        <v>Public</v>
      </c>
      <c r="H11" s="27">
        <f>+'PJ-664.503'!$F$7</f>
        <v>61900000</v>
      </c>
      <c r="I11" s="27">
        <f>+'PJ-664.503'!$F$8</f>
        <v>47681062</v>
      </c>
      <c r="J11" s="27"/>
      <c r="K11" s="26">
        <f>+'PJ-664.503'!$G$9</f>
        <v>-0.22970820678513731</v>
      </c>
      <c r="L11" s="11" t="str">
        <f>+'PJ-664.503'!$F$11</f>
        <v>GOOD</v>
      </c>
      <c r="M11" s="15">
        <f>+'PJ-664.503'!$H$12</f>
        <v>7</v>
      </c>
      <c r="N11" s="35" t="s">
        <v>25</v>
      </c>
      <c r="O11" s="15">
        <v>4</v>
      </c>
      <c r="P11" s="35" t="s">
        <v>492</v>
      </c>
      <c r="Q11" s="15"/>
      <c r="R11" s="24"/>
      <c r="S11" s="62" t="str">
        <f>+'PJ-664.503'!$J$4</f>
        <v>Wen Chang</v>
      </c>
      <c r="T11" s="15"/>
      <c r="U11" s="15"/>
      <c r="V11" s="54">
        <f t="shared" si="0"/>
        <v>61900000</v>
      </c>
      <c r="W11" s="54">
        <f t="shared" si="0"/>
        <v>47681062</v>
      </c>
      <c r="X11" s="54">
        <f t="shared" si="1"/>
        <v>14218938</v>
      </c>
    </row>
    <row r="12" spans="3:24" x14ac:dyDescent="0.25">
      <c r="C12" s="39">
        <v>2016</v>
      </c>
      <c r="D12" s="62" t="str">
        <f>+'LGA-124.236'!$F$4</f>
        <v>LGA-124.236</v>
      </c>
      <c r="E12" s="63" t="str">
        <f>+'LGA-124.236'!$F$5</f>
        <v>Wetland Mitigation at Westchester Creek</v>
      </c>
      <c r="F12" s="64">
        <f>+'LGA-124.236'!$F$6</f>
        <v>42712</v>
      </c>
      <c r="G12" s="65" t="str">
        <f>+'LGA-124.236'!$G$7</f>
        <v>Public</v>
      </c>
      <c r="H12" s="27">
        <f>+'LGA-124.236'!$F$7</f>
        <v>2170000</v>
      </c>
      <c r="I12" s="27">
        <f>+'LGA-124.236'!$F$8</f>
        <v>1903225</v>
      </c>
      <c r="J12" s="27"/>
      <c r="K12" s="26">
        <f>+'LGA-124.236'!$G$9</f>
        <v>-0.12293778801843318</v>
      </c>
      <c r="L12" s="11" t="str">
        <f>+'LGA-124.236'!$F$11</f>
        <v>GOOD</v>
      </c>
      <c r="M12" s="15">
        <f>+'LGA-124.236'!$H$12</f>
        <v>5</v>
      </c>
      <c r="N12" s="35" t="s">
        <v>93</v>
      </c>
      <c r="O12" s="15">
        <v>4</v>
      </c>
      <c r="P12" s="35" t="s">
        <v>458</v>
      </c>
      <c r="Q12" s="15"/>
      <c r="R12" s="24"/>
      <c r="S12" s="62" t="str">
        <f>+'LGA-124.236'!$J$4</f>
        <v>Henry Yu</v>
      </c>
      <c r="T12" s="15"/>
      <c r="U12" s="15"/>
      <c r="V12" s="54">
        <f t="shared" si="0"/>
        <v>2170000</v>
      </c>
      <c r="W12" s="54">
        <f t="shared" si="0"/>
        <v>1903225</v>
      </c>
      <c r="X12" s="54">
        <f t="shared" si="1"/>
        <v>266775</v>
      </c>
    </row>
    <row r="13" spans="3:24" x14ac:dyDescent="0.25">
      <c r="C13" s="39">
        <v>2016</v>
      </c>
      <c r="D13" s="62" t="str">
        <f>+'SWF-017'!$F$4</f>
        <v>SWF-017</v>
      </c>
      <c r="E13" s="63" t="str">
        <f>+'SWF-017'!$F$5</f>
        <v>Asphalt and Concrete Repairs via Work Order</v>
      </c>
      <c r="F13" s="64">
        <f>+'SWF-017'!$F$6</f>
        <v>42703</v>
      </c>
      <c r="G13" s="65" t="str">
        <f>+'SWF-017'!$G$7</f>
        <v>Public</v>
      </c>
      <c r="H13" s="27">
        <f>+'SWF-017'!$F$7</f>
        <v>1763000</v>
      </c>
      <c r="I13" s="27">
        <f>+'SWF-017'!$F$8</f>
        <v>2233850</v>
      </c>
      <c r="J13" s="27"/>
      <c r="K13" s="26">
        <f>+'SWF-017'!$G$9</f>
        <v>0.26707317073170733</v>
      </c>
      <c r="L13" s="11" t="str">
        <f>+'SWF-017'!$F$11</f>
        <v>FAIL</v>
      </c>
      <c r="M13" s="15">
        <f>+'SWF-017'!$H$12</f>
        <v>2</v>
      </c>
      <c r="N13" s="35" t="s">
        <v>93</v>
      </c>
      <c r="O13" s="15">
        <v>4</v>
      </c>
      <c r="P13" s="35" t="s">
        <v>458</v>
      </c>
      <c r="Q13" s="15"/>
      <c r="R13" s="24"/>
      <c r="S13" s="62" t="str">
        <f>+'SWF-017'!$J$4</f>
        <v>Joe Lucin</v>
      </c>
      <c r="T13" s="15"/>
      <c r="U13" s="15"/>
      <c r="V13" s="54">
        <f t="shared" ref="V13:W20" si="2">+H13</f>
        <v>1763000</v>
      </c>
      <c r="W13" s="54">
        <f t="shared" si="2"/>
        <v>2233850</v>
      </c>
      <c r="X13" s="54">
        <f t="shared" ref="X13:X20" si="3">+V13-W13</f>
        <v>-470850</v>
      </c>
    </row>
    <row r="14" spans="3:24" x14ac:dyDescent="0.25">
      <c r="C14" s="39">
        <v>2016</v>
      </c>
      <c r="D14" s="62" t="str">
        <f>+'GWB-924.159A Void'!$F$4</f>
        <v>GWB-924.159A</v>
      </c>
      <c r="E14" s="63" t="str">
        <f>+'GWB-924.159A Void'!$F$5</f>
        <v>NJ Admin Building Heating Hot Water &amp; Chilled Water Piping Replacement</v>
      </c>
      <c r="F14" s="64">
        <f>+'GWB-924.159A Void'!$F$6</f>
        <v>42691</v>
      </c>
      <c r="G14" s="65"/>
      <c r="H14" s="27"/>
      <c r="I14" s="27"/>
      <c r="J14" s="27"/>
      <c r="K14" s="26"/>
      <c r="L14" s="11"/>
      <c r="M14" s="15"/>
      <c r="N14" s="35"/>
      <c r="O14" s="15"/>
      <c r="P14" s="35"/>
      <c r="Q14" s="15"/>
      <c r="R14" s="24" t="s">
        <v>820</v>
      </c>
      <c r="S14" s="62" t="str">
        <f>+'GWB-924.159A Void'!$J$4</f>
        <v>Reddy Gunda</v>
      </c>
      <c r="T14" s="15"/>
      <c r="U14" s="15"/>
      <c r="V14" s="54">
        <f t="shared" si="2"/>
        <v>0</v>
      </c>
      <c r="W14" s="54">
        <f t="shared" si="2"/>
        <v>0</v>
      </c>
      <c r="X14" s="54">
        <f t="shared" si="3"/>
        <v>0</v>
      </c>
    </row>
    <row r="15" spans="3:24" x14ac:dyDescent="0.25">
      <c r="C15" s="39">
        <v>2016</v>
      </c>
      <c r="D15" s="62" t="str">
        <f>+'GWB-563'!$F$4</f>
        <v>GWB-563</v>
      </c>
      <c r="E15" s="63" t="str">
        <f>+'GWB-563'!$F$5</f>
        <v>Sanitary Sewer Rehab at NJ Admin Bldg Lower Parking Lot</v>
      </c>
      <c r="F15" s="64">
        <f>+'GWB-563'!$F$6</f>
        <v>42681</v>
      </c>
      <c r="G15" s="65" t="str">
        <f>+'GWB-563'!$G$7</f>
        <v>PQL</v>
      </c>
      <c r="H15" s="27">
        <f>+'GWB-563'!$F$7</f>
        <v>850000</v>
      </c>
      <c r="I15" s="27">
        <f>+'GWB-563'!$F$8</f>
        <v>651800</v>
      </c>
      <c r="J15" s="27"/>
      <c r="K15" s="26">
        <f>+'GWB-563'!$G$9</f>
        <v>-0.23317647058823529</v>
      </c>
      <c r="L15" s="11" t="str">
        <f>+'GWB-563'!$F$11</f>
        <v>GOOD</v>
      </c>
      <c r="M15" s="15">
        <f>+'GWB-563'!$H$12</f>
        <v>9</v>
      </c>
      <c r="N15" s="35" t="s">
        <v>25</v>
      </c>
      <c r="O15" s="15">
        <v>4</v>
      </c>
      <c r="P15" s="35" t="s">
        <v>457</v>
      </c>
      <c r="Q15" s="15"/>
      <c r="R15" s="24"/>
      <c r="S15" s="62" t="str">
        <f>+'GWB-563'!$J$4</f>
        <v>Reddy Gunda</v>
      </c>
      <c r="T15" s="15"/>
      <c r="U15" s="15"/>
      <c r="V15" s="54">
        <f t="shared" si="2"/>
        <v>850000</v>
      </c>
      <c r="W15" s="54">
        <f t="shared" si="2"/>
        <v>651800</v>
      </c>
      <c r="X15" s="54">
        <f t="shared" si="3"/>
        <v>198200</v>
      </c>
    </row>
    <row r="16" spans="3:24" x14ac:dyDescent="0.25">
      <c r="C16" s="39">
        <v>2016</v>
      </c>
      <c r="D16" s="62" t="str">
        <f>+'HT-924.097'!$F$4</f>
        <v>HT-924.097</v>
      </c>
      <c r="E16" s="63" t="str">
        <f>+'HT-924.097'!$F$5</f>
        <v>Ventilation Bldg Evac Stack Inspection Structures</v>
      </c>
      <c r="F16" s="64">
        <f>+'HT-924.097'!$F$6</f>
        <v>42677</v>
      </c>
      <c r="G16" s="65" t="str">
        <f>+'HT-924.097'!$G$7</f>
        <v>MWBE</v>
      </c>
      <c r="H16" s="27">
        <f>+'HT-924.097'!$F$7</f>
        <v>480000</v>
      </c>
      <c r="I16" s="27">
        <f>+'HT-924.097'!$F$8</f>
        <v>770000</v>
      </c>
      <c r="J16" s="27"/>
      <c r="K16" s="26">
        <f>+'HT-924.097'!$G$9</f>
        <v>0.60416666666666663</v>
      </c>
      <c r="L16" s="11" t="str">
        <f>+'HT-924.097'!$F$11</f>
        <v>FAIL</v>
      </c>
      <c r="M16" s="15">
        <f>+'HT-924.097'!$H$12</f>
        <v>4</v>
      </c>
      <c r="N16" s="35" t="s">
        <v>226</v>
      </c>
      <c r="O16" s="15">
        <v>4</v>
      </c>
      <c r="P16" s="35" t="s">
        <v>457</v>
      </c>
      <c r="Q16" s="15"/>
      <c r="R16" s="24"/>
      <c r="S16" s="62" t="str">
        <f>+'HT-924.097'!$J$4</f>
        <v>Reddy Gunda</v>
      </c>
      <c r="T16" s="15"/>
      <c r="U16" s="15"/>
      <c r="V16" s="54">
        <f t="shared" si="2"/>
        <v>480000</v>
      </c>
      <c r="W16" s="54">
        <f t="shared" si="2"/>
        <v>770000</v>
      </c>
      <c r="X16" s="54">
        <f t="shared" si="3"/>
        <v>-290000</v>
      </c>
    </row>
    <row r="17" spans="3:24" x14ac:dyDescent="0.25">
      <c r="C17" s="39">
        <v>2016</v>
      </c>
      <c r="D17" s="62" t="str">
        <f>+'AKO-924.054'!$F$4</f>
        <v>AKO-924.054</v>
      </c>
      <c r="E17" s="63" t="str">
        <f>+'AKO-924.054'!$F$5</f>
        <v>OBX - Structural Rehabilitation</v>
      </c>
      <c r="F17" s="64">
        <f>+'AKO-924.054'!$F$6</f>
        <v>42670</v>
      </c>
      <c r="G17" s="65" t="str">
        <f>+'AKO-924.054'!$G$7</f>
        <v>Public</v>
      </c>
      <c r="H17" s="27">
        <f>+'AKO-924.054'!$F$7</f>
        <v>2150000</v>
      </c>
      <c r="I17" s="27">
        <f>+'AKO-924.054'!$F$8</f>
        <v>1654320</v>
      </c>
      <c r="J17" s="27"/>
      <c r="K17" s="26">
        <f>+'AKO-924.054'!$G$9</f>
        <v>-0.23054883720930233</v>
      </c>
      <c r="L17" s="11" t="str">
        <f>+'AKO-924.054'!$F$11</f>
        <v>FAIL</v>
      </c>
      <c r="M17" s="15">
        <f>+'AKO-924.054'!$H$12</f>
        <v>1</v>
      </c>
      <c r="N17" s="35" t="s">
        <v>226</v>
      </c>
      <c r="O17" s="15">
        <v>4</v>
      </c>
      <c r="P17" s="35" t="s">
        <v>457</v>
      </c>
      <c r="Q17" s="15"/>
      <c r="R17" s="24" t="s">
        <v>782</v>
      </c>
      <c r="S17" s="62" t="str">
        <f>+'AKO-924.054'!$J$4</f>
        <v>Reddy Gunda</v>
      </c>
      <c r="T17" s="15"/>
      <c r="U17" s="15"/>
      <c r="V17" s="54">
        <f t="shared" si="2"/>
        <v>2150000</v>
      </c>
      <c r="W17" s="54">
        <f t="shared" si="2"/>
        <v>1654320</v>
      </c>
      <c r="X17" s="54">
        <f t="shared" si="3"/>
        <v>495680</v>
      </c>
    </row>
    <row r="18" spans="3:24" x14ac:dyDescent="0.25">
      <c r="C18" s="39">
        <v>2016</v>
      </c>
      <c r="D18" s="62" t="str">
        <f>+'HT-224.127'!$F$4</f>
        <v>HT-224.127</v>
      </c>
      <c r="E18" s="63" t="str">
        <f>+'HT-224.127'!$F$5</f>
        <v>Replacement of Piers 9 and 204 Phase II</v>
      </c>
      <c r="F18" s="64">
        <f>+'HT-224.127'!$F$6</f>
        <v>42668</v>
      </c>
      <c r="G18" s="65" t="str">
        <f>+'HT-224.127'!$G$7</f>
        <v>Public</v>
      </c>
      <c r="H18" s="27">
        <f>+'HT-224.127'!$F$7</f>
        <v>67636000</v>
      </c>
      <c r="I18" s="27">
        <f>+'HT-224.127'!$F$8</f>
        <v>49942700</v>
      </c>
      <c r="J18" s="27"/>
      <c r="K18" s="26">
        <f>+'HT-224.127'!$G$9</f>
        <v>-0.26159589567685848</v>
      </c>
      <c r="L18" s="11" t="str">
        <f>+'HT-224.127'!$F$11</f>
        <v>FAIL</v>
      </c>
      <c r="M18" s="15">
        <f>+'HT-224.127'!$H$12</f>
        <v>7</v>
      </c>
      <c r="N18" s="35" t="s">
        <v>25</v>
      </c>
      <c r="O18" s="15">
        <v>4</v>
      </c>
      <c r="P18" s="35" t="s">
        <v>457</v>
      </c>
      <c r="Q18" s="15"/>
      <c r="R18" s="24"/>
      <c r="S18" s="62" t="str">
        <f>+'HT-224.127'!$J$4</f>
        <v>Reddy Gunda</v>
      </c>
      <c r="T18" s="15"/>
      <c r="U18" s="15"/>
      <c r="V18" s="54">
        <f t="shared" si="2"/>
        <v>67636000</v>
      </c>
      <c r="W18" s="54">
        <f t="shared" si="2"/>
        <v>49942700</v>
      </c>
      <c r="X18" s="54">
        <f t="shared" si="3"/>
        <v>17693300</v>
      </c>
    </row>
    <row r="19" spans="3:24" x14ac:dyDescent="0.25">
      <c r="C19" s="39">
        <v>2016</v>
      </c>
      <c r="D19" s="62" t="str">
        <f>+'PAT-024.069A'!$F$4</f>
        <v>PAT-024.069A</v>
      </c>
      <c r="E19" s="63" t="str">
        <f>+'PAT-024.069A'!$F$5</f>
        <v>30th Street Mezzanine Rehab</v>
      </c>
      <c r="F19" s="64">
        <f>+'PAT-024.069A'!$F$6</f>
        <v>42667</v>
      </c>
      <c r="G19" s="65" t="str">
        <f>+'PAT-024.069A'!$G$7</f>
        <v>Public</v>
      </c>
      <c r="H19" s="27">
        <f>+'PAT-024.069A'!$F$7</f>
        <v>2400000</v>
      </c>
      <c r="I19" s="27">
        <f>+'PAT-024.069A'!$F$8</f>
        <v>3617000</v>
      </c>
      <c r="J19" s="27"/>
      <c r="K19" s="26">
        <f>+'PAT-024.069A'!$G$9</f>
        <v>0.50708333333333333</v>
      </c>
      <c r="L19" s="11" t="str">
        <f>+'PAT-024.069A'!$F$11</f>
        <v>FAIL</v>
      </c>
      <c r="M19" s="15">
        <f>+'PAT-024.069A'!$H$12</f>
        <v>2</v>
      </c>
      <c r="N19" s="35" t="s">
        <v>93</v>
      </c>
      <c r="O19" s="15">
        <v>4</v>
      </c>
      <c r="P19" s="35" t="s">
        <v>459</v>
      </c>
      <c r="Q19" s="15"/>
      <c r="R19" s="24"/>
      <c r="S19" s="62" t="str">
        <f>+'PAT-024.069A'!$J$4</f>
        <v>Nathan Demaisip</v>
      </c>
      <c r="T19" s="15"/>
      <c r="U19" s="15"/>
      <c r="V19" s="54">
        <f t="shared" si="2"/>
        <v>2400000</v>
      </c>
      <c r="W19" s="54">
        <f t="shared" si="2"/>
        <v>3617000</v>
      </c>
      <c r="X19" s="54">
        <f t="shared" si="3"/>
        <v>-1217000</v>
      </c>
    </row>
    <row r="20" spans="3:24" x14ac:dyDescent="0.25">
      <c r="C20" s="39">
        <v>2016</v>
      </c>
      <c r="D20" s="62" t="str">
        <f>+'PJ-664.527'!$F$4</f>
        <v>PJ-664.527</v>
      </c>
      <c r="E20" s="63" t="str">
        <f>+'PJ-664.527'!$F$5</f>
        <v>Bldg 108 Switchgear Replacement</v>
      </c>
      <c r="F20" s="64">
        <f>+'PJ-664.527'!$F$6</f>
        <v>42648</v>
      </c>
      <c r="G20" s="65" t="str">
        <f>+'PJ-664.527'!$G$7</f>
        <v>Public</v>
      </c>
      <c r="H20" s="27">
        <f>+'PJ-664.527'!$F$7</f>
        <v>3120000</v>
      </c>
      <c r="I20" s="27">
        <f>+'PJ-664.527'!$F$8</f>
        <v>2147100</v>
      </c>
      <c r="J20" s="27"/>
      <c r="K20" s="26">
        <f>+'PJ-664.527'!$G$9</f>
        <v>-0.31182692307692306</v>
      </c>
      <c r="L20" s="11" t="str">
        <f>+'PJ-664.527'!$F$11</f>
        <v>GOOD</v>
      </c>
      <c r="M20" s="15">
        <f>+'PJ-664.527'!$H$12</f>
        <v>7</v>
      </c>
      <c r="N20" s="35" t="s">
        <v>25</v>
      </c>
      <c r="O20" s="15">
        <v>4</v>
      </c>
      <c r="P20" s="35" t="s">
        <v>492</v>
      </c>
      <c r="Q20" s="15"/>
      <c r="R20" s="24"/>
      <c r="S20" s="62" t="str">
        <f>+'PJ-664.527'!$J$4</f>
        <v>Ramani Sundaram and Ed Minall</v>
      </c>
      <c r="T20" s="15"/>
      <c r="U20" s="15"/>
      <c r="V20" s="54">
        <f t="shared" si="2"/>
        <v>3120000</v>
      </c>
      <c r="W20" s="54">
        <f t="shared" si="2"/>
        <v>2147100</v>
      </c>
      <c r="X20" s="54">
        <f t="shared" si="3"/>
        <v>972900</v>
      </c>
    </row>
    <row r="21" spans="3:24" ht="7.5" customHeight="1" x14ac:dyDescent="0.25">
      <c r="C21" s="39"/>
      <c r="G21" s="45"/>
      <c r="P21" s="11"/>
      <c r="S21" s="15"/>
      <c r="V21" s="54"/>
      <c r="W21" s="54"/>
      <c r="X21" s="54"/>
    </row>
    <row r="22" spans="3:24" x14ac:dyDescent="0.25">
      <c r="C22" s="39">
        <v>2016</v>
      </c>
      <c r="D22" s="62" t="str">
        <f>+'JFK-144.019'!$F$4</f>
        <v>JFK-144.019</v>
      </c>
      <c r="E22" s="63" t="str">
        <f>+'JFK-144.019'!$F$5</f>
        <v>Rehab Runway4R-22L and Associated Taxiways</v>
      </c>
      <c r="F22" s="64">
        <f>+'JFK-144.019'!$F$6</f>
        <v>42626</v>
      </c>
      <c r="G22" s="65" t="str">
        <f>+'JFK-144.019'!$G$7</f>
        <v>PQL</v>
      </c>
      <c r="H22" s="27">
        <f>+'JFK-144.019'!$F$7</f>
        <v>73640000</v>
      </c>
      <c r="I22" s="27">
        <f>+'JFK-144.019'!$F$8</f>
        <v>68462700</v>
      </c>
      <c r="J22" s="27"/>
      <c r="K22" s="26">
        <f>+'JFK-144.019'!$G$9</f>
        <v>-7.0305540467137426E-2</v>
      </c>
      <c r="L22" s="11" t="str">
        <f>+'JFK-144.019'!$F$11</f>
        <v>GOOD</v>
      </c>
      <c r="M22" s="15">
        <f>+'JFK-144.019'!$H$12</f>
        <v>2</v>
      </c>
      <c r="N22" s="35" t="s">
        <v>93</v>
      </c>
      <c r="O22" s="15">
        <v>3</v>
      </c>
      <c r="P22" s="35" t="s">
        <v>458</v>
      </c>
      <c r="Q22" s="15"/>
      <c r="R22" s="24"/>
      <c r="S22" s="62" t="str">
        <f>+'JFK-144.019'!$J$4</f>
        <v>Wen Chang</v>
      </c>
      <c r="T22" s="15"/>
      <c r="U22" s="15"/>
      <c r="V22" s="54">
        <f t="shared" ref="V22:W30" si="4">+H22</f>
        <v>73640000</v>
      </c>
      <c r="W22" s="54">
        <f t="shared" si="4"/>
        <v>68462700</v>
      </c>
      <c r="X22" s="54">
        <f t="shared" ref="X22:X30" si="5">+V22-W22</f>
        <v>5177300</v>
      </c>
    </row>
    <row r="23" spans="3:24" x14ac:dyDescent="0.25">
      <c r="C23" s="39">
        <v>2016</v>
      </c>
      <c r="D23" s="62" t="str">
        <f>+'PN-654.042A'!$F$4</f>
        <v>PN-654.042A</v>
      </c>
      <c r="E23" s="63" t="str">
        <f>+'PN-654.042A'!$F$5</f>
        <v>Demo Buildings 269 and 270</v>
      </c>
      <c r="F23" s="64">
        <f>+'PN-654.042A'!$F$6</f>
        <v>42612</v>
      </c>
      <c r="G23" s="65" t="str">
        <f>+'PN-654.042A'!$G$7</f>
        <v>Public</v>
      </c>
      <c r="H23" s="27">
        <f>+'PN-654.042A'!$F$7</f>
        <v>2000000</v>
      </c>
      <c r="I23" s="27">
        <f>+'PN-654.042A'!$F$8</f>
        <v>1460000</v>
      </c>
      <c r="J23" s="27"/>
      <c r="K23" s="26">
        <f>+'PN-654.042A'!$G$9</f>
        <v>-0.27</v>
      </c>
      <c r="L23" s="11" t="str">
        <f>+'PN-654.042A'!$F$11</f>
        <v>GOOD</v>
      </c>
      <c r="M23" s="15">
        <f>+'PN-654.042A'!$H$12</f>
        <v>10</v>
      </c>
      <c r="N23" s="35" t="s">
        <v>25</v>
      </c>
      <c r="O23" s="15">
        <v>3</v>
      </c>
      <c r="P23" s="35" t="s">
        <v>492</v>
      </c>
      <c r="Q23" s="15"/>
      <c r="R23" s="24"/>
      <c r="S23" s="62" t="str">
        <f>+'PN-654.042A'!$J$4</f>
        <v>Wen Chang</v>
      </c>
      <c r="T23" s="15"/>
      <c r="U23" s="15"/>
      <c r="V23" s="54">
        <f t="shared" si="4"/>
        <v>2000000</v>
      </c>
      <c r="W23" s="54">
        <f t="shared" si="4"/>
        <v>1460000</v>
      </c>
      <c r="X23" s="54">
        <f t="shared" si="5"/>
        <v>540000</v>
      </c>
    </row>
    <row r="24" spans="3:24" x14ac:dyDescent="0.25">
      <c r="C24" s="39">
        <v>2016</v>
      </c>
      <c r="D24" s="62" t="str">
        <f>+'EWR-924.366'!$F$4</f>
        <v>EWR-924.366</v>
      </c>
      <c r="E24" s="63" t="str">
        <f>+'EWR-924.366'!$F$5</f>
        <v>Bridge N5 Flooding Mitigation</v>
      </c>
      <c r="F24" s="64">
        <f>+'EWR-924.366'!$F$6</f>
        <v>42606</v>
      </c>
      <c r="G24" s="65" t="str">
        <f>+'EWR-924.366'!$G$7</f>
        <v>MWBE</v>
      </c>
      <c r="H24" s="27">
        <f>+'EWR-924.366'!$F$7</f>
        <v>230000</v>
      </c>
      <c r="I24" s="27">
        <f>+'EWR-924.366'!$F$8</f>
        <v>274450</v>
      </c>
      <c r="J24" s="27"/>
      <c r="K24" s="26">
        <f>+'EWR-924.366'!$G$9</f>
        <v>0.1932608695652174</v>
      </c>
      <c r="L24" s="11" t="str">
        <f>+'EWR-924.366'!$F$11</f>
        <v>FAIL</v>
      </c>
      <c r="M24" s="15">
        <f>+'EWR-924.366'!$H$12</f>
        <v>3</v>
      </c>
      <c r="N24" s="35" t="s">
        <v>25</v>
      </c>
      <c r="O24" s="15">
        <v>3</v>
      </c>
      <c r="P24" s="35" t="s">
        <v>458</v>
      </c>
      <c r="Q24" s="15"/>
      <c r="R24" s="24"/>
      <c r="S24" s="62" t="str">
        <f>+'EWR-924.366'!$J$4</f>
        <v>Henry Yu</v>
      </c>
      <c r="T24" s="15"/>
      <c r="U24" s="15"/>
      <c r="V24" s="54">
        <f t="shared" si="4"/>
        <v>230000</v>
      </c>
      <c r="W24" s="54">
        <f t="shared" si="4"/>
        <v>274450</v>
      </c>
      <c r="X24" s="54">
        <f t="shared" si="5"/>
        <v>-44450</v>
      </c>
    </row>
    <row r="25" spans="3:24" x14ac:dyDescent="0.25">
      <c r="C25" s="39">
        <v>2016</v>
      </c>
      <c r="D25" s="62" t="str">
        <f>+'PAT-784.164'!$F$4</f>
        <v>PAT-784.164</v>
      </c>
      <c r="E25" s="63" t="str">
        <f>+'PAT-784.164'!$F$5</f>
        <v>Replace Roof - MacMillian-Bloedel Building</v>
      </c>
      <c r="F25" s="64">
        <f>+'PAT-784.164'!$F$6</f>
        <v>42601</v>
      </c>
      <c r="G25" s="65" t="str">
        <f>+'PAT-784.164'!$G$7</f>
        <v>Public</v>
      </c>
      <c r="H25" s="27">
        <f>+'PAT-784.164'!$F$7</f>
        <v>6120000</v>
      </c>
      <c r="I25" s="27">
        <f>+'PAT-784.164'!$F$8</f>
        <v>4674300</v>
      </c>
      <c r="J25" s="27">
        <v>4753054</v>
      </c>
      <c r="K25" s="26">
        <f>+'PAT-784.164'!$G$9</f>
        <v>-0.23622549019607844</v>
      </c>
      <c r="L25" s="11" t="str">
        <f>+'PAT-784.164'!$F$11</f>
        <v>GOOD</v>
      </c>
      <c r="M25" s="15">
        <f>+'PAT-784.164'!$H$12</f>
        <v>6</v>
      </c>
      <c r="N25" s="35" t="s">
        <v>25</v>
      </c>
      <c r="O25" s="15">
        <v>3</v>
      </c>
      <c r="P25" s="35" t="s">
        <v>459</v>
      </c>
      <c r="Q25" s="15"/>
      <c r="R25" s="24" t="s">
        <v>726</v>
      </c>
      <c r="S25" s="62" t="str">
        <f>+'PAT-784.164'!$J$4</f>
        <v>Nathan Demaisip</v>
      </c>
      <c r="T25" s="15"/>
      <c r="U25" s="15"/>
      <c r="V25" s="54">
        <f t="shared" si="4"/>
        <v>6120000</v>
      </c>
      <c r="W25" s="54">
        <f t="shared" si="4"/>
        <v>4674300</v>
      </c>
      <c r="X25" s="54">
        <f t="shared" si="5"/>
        <v>1445700</v>
      </c>
    </row>
    <row r="26" spans="3:24" x14ac:dyDescent="0.25">
      <c r="C26" s="39">
        <v>2016</v>
      </c>
      <c r="D26" s="62" t="str">
        <f>+'LT-534'!$F$4</f>
        <v>LT-534</v>
      </c>
      <c r="E26" s="63" t="str">
        <f>+'LT-534'!$F$5</f>
        <v>Maintenance Pavement Repairs via Work Order</v>
      </c>
      <c r="F26" s="64">
        <f>+'LT-534'!$F$6</f>
        <v>42593</v>
      </c>
      <c r="G26" s="65" t="str">
        <f>+'LT-534'!$G$7</f>
        <v>Public</v>
      </c>
      <c r="H26" s="27">
        <f>+'LT-534'!$F$7</f>
        <v>1450000</v>
      </c>
      <c r="I26" s="27">
        <f>+'LT-534'!$F$8</f>
        <v>763000</v>
      </c>
      <c r="J26" s="27"/>
      <c r="K26" s="26">
        <f>+'LT-534'!$G$9</f>
        <v>-0.47379310344827585</v>
      </c>
      <c r="L26" s="11" t="str">
        <f>+'LT-534'!$F$11</f>
        <v>GOOD</v>
      </c>
      <c r="M26" s="15">
        <f>+'LT-534'!$H$12</f>
        <v>6</v>
      </c>
      <c r="N26" s="35" t="s">
        <v>93</v>
      </c>
      <c r="O26" s="15">
        <v>3</v>
      </c>
      <c r="P26" s="35" t="s">
        <v>457</v>
      </c>
      <c r="Q26" s="15"/>
      <c r="R26" s="24"/>
      <c r="S26" s="62" t="str">
        <f>+'LT-534'!$J$4</f>
        <v>Reddy Gunda</v>
      </c>
      <c r="T26" s="15"/>
      <c r="U26" s="15"/>
      <c r="V26" s="54">
        <f t="shared" si="4"/>
        <v>1450000</v>
      </c>
      <c r="W26" s="54">
        <f t="shared" si="4"/>
        <v>763000</v>
      </c>
      <c r="X26" s="54">
        <f t="shared" si="5"/>
        <v>687000</v>
      </c>
    </row>
    <row r="27" spans="3:24" x14ac:dyDescent="0.25">
      <c r="C27" s="39">
        <v>2016</v>
      </c>
      <c r="D27" s="62" t="str">
        <f>+'LT-944.096 Void'!$F$4</f>
        <v>LT-944.096</v>
      </c>
      <c r="E27" s="63" t="str">
        <f>+'LT-944.096 Void'!$F$5</f>
        <v>Replacement of Aboveground Storage Tanks</v>
      </c>
      <c r="F27" s="64">
        <f>+'LT-944.096 Void'!$F$6</f>
        <v>42587</v>
      </c>
      <c r="G27" s="65"/>
      <c r="H27" s="27"/>
      <c r="I27" s="27"/>
      <c r="J27" s="27"/>
      <c r="K27" s="26"/>
      <c r="L27" s="11"/>
      <c r="M27" s="15">
        <f>+'LT-944.096 Void'!$H$12</f>
        <v>4</v>
      </c>
      <c r="N27" s="35" t="s">
        <v>93</v>
      </c>
      <c r="O27" s="15">
        <v>3</v>
      </c>
      <c r="P27" s="35" t="s">
        <v>457</v>
      </c>
      <c r="Q27" s="15"/>
      <c r="R27" s="24" t="s">
        <v>753</v>
      </c>
      <c r="S27" s="62" t="str">
        <f>+'LT-944.096 Void'!$J$4</f>
        <v>Reddy Gunda</v>
      </c>
      <c r="T27" s="15"/>
      <c r="U27" s="15"/>
      <c r="V27" s="54">
        <f t="shared" si="4"/>
        <v>0</v>
      </c>
      <c r="W27" s="54">
        <f t="shared" si="4"/>
        <v>0</v>
      </c>
      <c r="X27" s="54">
        <f t="shared" si="5"/>
        <v>0</v>
      </c>
    </row>
    <row r="28" spans="3:24" x14ac:dyDescent="0.25">
      <c r="C28" s="39">
        <v>2016</v>
      </c>
      <c r="D28" s="62" t="str">
        <f>+'LT-934.027'!$F$4</f>
        <v>LT-934.027</v>
      </c>
      <c r="E28" s="63" t="str">
        <f>+'LT-934.027'!$F$5</f>
        <v>NJ Admin Bldg - Emergency Power Modifications</v>
      </c>
      <c r="F28" s="64">
        <f>+'LT-934.027'!$F$6</f>
        <v>42586</v>
      </c>
      <c r="G28" s="65" t="str">
        <f>+'LT-934.027'!$G$7</f>
        <v>MWBE</v>
      </c>
      <c r="H28" s="27">
        <f>+'LT-934.027'!$F$7</f>
        <v>800000</v>
      </c>
      <c r="I28" s="27">
        <f>+'LT-934.027'!$F$8</f>
        <v>485250</v>
      </c>
      <c r="J28" s="27"/>
      <c r="K28" s="26">
        <f>+'LT-934.027'!$G$9</f>
        <v>-0.3934375</v>
      </c>
      <c r="L28" s="11" t="str">
        <f>+'LT-934.027'!$F$11</f>
        <v>GOOD</v>
      </c>
      <c r="M28" s="15">
        <f>+'LT-934.027'!$H$12</f>
        <v>4</v>
      </c>
      <c r="N28" s="35" t="s">
        <v>25</v>
      </c>
      <c r="O28" s="15">
        <v>3</v>
      </c>
      <c r="P28" s="35" t="s">
        <v>457</v>
      </c>
      <c r="Q28" s="15"/>
      <c r="R28" s="24"/>
      <c r="S28" s="62" t="str">
        <f>+'LT-934.027'!$J$4</f>
        <v>Reddy Gunda</v>
      </c>
      <c r="T28" s="15"/>
      <c r="U28" s="15"/>
      <c r="V28" s="54">
        <f t="shared" si="4"/>
        <v>800000</v>
      </c>
      <c r="W28" s="54">
        <f t="shared" si="4"/>
        <v>485250</v>
      </c>
      <c r="X28" s="54">
        <f t="shared" si="5"/>
        <v>314750</v>
      </c>
    </row>
    <row r="29" spans="3:24" x14ac:dyDescent="0.25">
      <c r="C29" s="39">
        <v>2016</v>
      </c>
      <c r="D29" s="62" t="str">
        <f>+'JFK-1064'!$F$4</f>
        <v>JFK-1064</v>
      </c>
      <c r="E29" s="63" t="str">
        <f>+'JFK-1064'!$F$5</f>
        <v>Bulk Fuel Farm West End &amp; Satellite Remediation Upgrades</v>
      </c>
      <c r="F29" s="64">
        <f>+'JFK-1064'!$F$6</f>
        <v>42584</v>
      </c>
      <c r="G29" s="65" t="str">
        <f>+'JFK-1064'!$G$7</f>
        <v>Public</v>
      </c>
      <c r="H29" s="27">
        <f>+'JFK-1064'!$F$7</f>
        <v>1750000</v>
      </c>
      <c r="I29" s="27">
        <f>+'JFK-1064'!$F$8</f>
        <v>1930000</v>
      </c>
      <c r="J29" s="27">
        <v>1930000</v>
      </c>
      <c r="K29" s="26">
        <f>+'JFK-1064'!$G$9</f>
        <v>0.10285714285714286</v>
      </c>
      <c r="L29" s="11" t="str">
        <f>+'JFK-1064'!$F$11</f>
        <v>GOOD</v>
      </c>
      <c r="M29" s="15">
        <f>+'JFK-1064'!$H$12</f>
        <v>9</v>
      </c>
      <c r="N29" s="35" t="s">
        <v>93</v>
      </c>
      <c r="O29" s="15">
        <v>3</v>
      </c>
      <c r="P29" s="35" t="s">
        <v>458</v>
      </c>
      <c r="Q29" s="15"/>
      <c r="R29" s="24"/>
      <c r="S29" s="62" t="str">
        <f>+'JFK-1064'!$J$4</f>
        <v>Wen Chang</v>
      </c>
      <c r="T29" s="15"/>
      <c r="U29" s="15"/>
      <c r="V29" s="54">
        <f t="shared" si="4"/>
        <v>1750000</v>
      </c>
      <c r="W29" s="54">
        <f t="shared" si="4"/>
        <v>1930000</v>
      </c>
      <c r="X29" s="54">
        <f t="shared" si="5"/>
        <v>-180000</v>
      </c>
    </row>
    <row r="30" spans="3:24" x14ac:dyDescent="0.25">
      <c r="C30" s="39">
        <v>2016</v>
      </c>
      <c r="D30" s="62" t="str">
        <f>+'LT-800.382'!$F$4</f>
        <v>LT-800.382</v>
      </c>
      <c r="E30" s="63" t="str">
        <f>+'LT-800.382'!$F$5</f>
        <v>North Tube Pump Discharge Line</v>
      </c>
      <c r="F30" s="64">
        <f>+'LT-800.382'!$F$6</f>
        <v>42579</v>
      </c>
      <c r="G30" s="65" t="str">
        <f>+'LT-800.382'!$G$7</f>
        <v>MWBE</v>
      </c>
      <c r="H30" s="27">
        <f>+'LT-800.382'!$F$7</f>
        <v>1636000</v>
      </c>
      <c r="I30" s="27">
        <f>+'LT-800.382'!$F$8</f>
        <v>1365000</v>
      </c>
      <c r="J30" s="27"/>
      <c r="K30" s="26">
        <f>+'LT-800.382'!$G$9</f>
        <v>-0.1656479217603912</v>
      </c>
      <c r="L30" s="11" t="str">
        <f>+'LT-800.382'!$F$11</f>
        <v>GOOD</v>
      </c>
      <c r="M30" s="15">
        <f>+'LT-800.382'!$H$12</f>
        <v>3</v>
      </c>
      <c r="N30" s="35" t="s">
        <v>93</v>
      </c>
      <c r="O30" s="15">
        <v>3</v>
      </c>
      <c r="P30" s="35" t="s">
        <v>457</v>
      </c>
      <c r="Q30" s="15"/>
      <c r="R30" s="24"/>
      <c r="S30" s="62" t="str">
        <f>+'LT-800.382'!$J$4</f>
        <v>Reddy Gunda</v>
      </c>
      <c r="T30" s="15"/>
      <c r="U30" s="15"/>
      <c r="V30" s="54">
        <f t="shared" si="4"/>
        <v>1636000</v>
      </c>
      <c r="W30" s="54">
        <f t="shared" si="4"/>
        <v>1365000</v>
      </c>
      <c r="X30" s="54">
        <f t="shared" si="5"/>
        <v>271000</v>
      </c>
    </row>
    <row r="31" spans="3:24" ht="7.5" customHeight="1" x14ac:dyDescent="0.25">
      <c r="C31" s="39"/>
      <c r="G31" s="45"/>
      <c r="P31" s="11"/>
      <c r="S31" s="15"/>
      <c r="V31" s="54"/>
      <c r="W31" s="54"/>
      <c r="X31" s="54"/>
    </row>
    <row r="32" spans="3:24" x14ac:dyDescent="0.25">
      <c r="C32" s="39">
        <v>2016</v>
      </c>
      <c r="D32" s="62" t="str">
        <f>+'LT-924.028'!$F$4</f>
        <v>LT-924.028</v>
      </c>
      <c r="E32" s="63" t="str">
        <f>+'LT-924.028'!$F$5</f>
        <v>Priority Repairs on NY Approach Retaining Walls (Dyer Ave.)</v>
      </c>
      <c r="F32" s="64">
        <f>+'LT-924.028'!$F$6</f>
        <v>42538</v>
      </c>
      <c r="G32" s="65" t="str">
        <f>+'LT-924.028'!$G$7</f>
        <v>Public</v>
      </c>
      <c r="H32" s="27">
        <f>+'LT-924.028'!$F$7</f>
        <v>1800000</v>
      </c>
      <c r="I32" s="27">
        <f>+'LT-924.028'!$F$8</f>
        <v>1628370</v>
      </c>
      <c r="J32" s="27">
        <v>1628370</v>
      </c>
      <c r="K32" s="26">
        <f>+'LT-924.028'!$G$9</f>
        <v>-9.5350000000000004E-2</v>
      </c>
      <c r="L32" s="11" t="str">
        <f>+'LT-924.028'!$F$11</f>
        <v>GOOD</v>
      </c>
      <c r="M32" s="15">
        <f>+'LT-924.028'!$H$12</f>
        <v>13</v>
      </c>
      <c r="N32" s="35" t="s">
        <v>93</v>
      </c>
      <c r="O32" s="15">
        <v>2</v>
      </c>
      <c r="P32" s="35" t="s">
        <v>457</v>
      </c>
      <c r="Q32" s="15"/>
      <c r="R32" s="24"/>
      <c r="S32" s="62" t="str">
        <f>+'LT-924.028'!$J$4</f>
        <v>Reddy Gunda</v>
      </c>
      <c r="T32" s="15"/>
      <c r="U32" s="15"/>
      <c r="V32" s="54">
        <f t="shared" ref="V32:W44" si="6">+H32</f>
        <v>1800000</v>
      </c>
      <c r="W32" s="54">
        <f t="shared" si="6"/>
        <v>1628370</v>
      </c>
      <c r="X32" s="54">
        <f t="shared" ref="X32:X44" si="7">+V32-W32</f>
        <v>171630</v>
      </c>
    </row>
    <row r="33" spans="3:28" x14ac:dyDescent="0.25">
      <c r="C33" s="39">
        <v>2016</v>
      </c>
      <c r="D33" s="62" t="str">
        <f>+'PN-654.038'!$F$4</f>
        <v>PN-654.038</v>
      </c>
      <c r="E33" s="63" t="str">
        <f>+'PN-654.038'!$F$5</f>
        <v>Expressrail Port Newark Administration Building</v>
      </c>
      <c r="F33" s="64">
        <f>+'PN-654.038'!$F$6</f>
        <v>42523</v>
      </c>
      <c r="G33" s="65" t="str">
        <f>+'PN-654.038'!$G$7</f>
        <v>D-B</v>
      </c>
      <c r="H33" s="27">
        <f>+'PN-654.038'!$F$7</f>
        <v>2253000</v>
      </c>
      <c r="I33" s="27">
        <f>+'PN-654.038'!$F$8</f>
        <v>2665637</v>
      </c>
      <c r="J33" s="27"/>
      <c r="K33" s="26">
        <f>+'PN-654.038'!$G$9</f>
        <v>0.18315002219263204</v>
      </c>
      <c r="L33" s="11" t="str">
        <f>+'PN-654.038'!$F$11</f>
        <v>FAIL</v>
      </c>
      <c r="M33" s="15">
        <f>+'PN-654.038'!$H$12</f>
        <v>4</v>
      </c>
      <c r="N33" s="35" t="s">
        <v>25</v>
      </c>
      <c r="O33" s="15">
        <v>2</v>
      </c>
      <c r="P33" s="35" t="s">
        <v>492</v>
      </c>
      <c r="Q33" s="15"/>
      <c r="R33" s="24"/>
      <c r="S33" s="62" t="str">
        <f>+'PN-654.038'!$J$4</f>
        <v>Ramani Sundaram</v>
      </c>
      <c r="T33" s="15"/>
      <c r="U33" s="15"/>
      <c r="V33" s="54">
        <f t="shared" si="6"/>
        <v>2253000</v>
      </c>
      <c r="W33" s="54">
        <f t="shared" si="6"/>
        <v>2665637</v>
      </c>
      <c r="X33" s="54">
        <f t="shared" si="7"/>
        <v>-412637</v>
      </c>
    </row>
    <row r="34" spans="3:28" x14ac:dyDescent="0.25">
      <c r="C34" s="39">
        <v>2016</v>
      </c>
      <c r="D34" s="62" t="str">
        <f>+'HT-469'!$F$4</f>
        <v>HT-469</v>
      </c>
      <c r="E34" s="63" t="str">
        <f>+'HT-469'!$F$5</f>
        <v>Mitigate Water Leakage at Ventilation Ducts and Mid-River Pump Room</v>
      </c>
      <c r="F34" s="64">
        <f>+'HT-469'!$F$6</f>
        <v>42517</v>
      </c>
      <c r="G34" s="65" t="str">
        <f>+'HT-469'!$G$7</f>
        <v>Public</v>
      </c>
      <c r="H34" s="27">
        <f>+'HT-469'!$F$7</f>
        <v>2800000</v>
      </c>
      <c r="I34" s="27">
        <f>+'HT-469'!$F$8</f>
        <v>3295274</v>
      </c>
      <c r="J34" s="27"/>
      <c r="K34" s="26">
        <f>+'HT-469'!$G$9</f>
        <v>0.17688357142857142</v>
      </c>
      <c r="L34" s="11" t="str">
        <f>+'HT-469'!$F$11</f>
        <v>FAIL</v>
      </c>
      <c r="M34" s="15">
        <f>+'HT-469'!$H$12</f>
        <v>6</v>
      </c>
      <c r="N34" s="35" t="s">
        <v>226</v>
      </c>
      <c r="O34" s="15">
        <v>2</v>
      </c>
      <c r="P34" s="35" t="s">
        <v>457</v>
      </c>
      <c r="Q34" s="15"/>
      <c r="R34" s="24"/>
      <c r="S34" s="62" t="str">
        <f>+'HT-469'!$J$4</f>
        <v>Reddy Gunda</v>
      </c>
      <c r="T34" s="15"/>
      <c r="U34" s="15"/>
      <c r="V34" s="54">
        <f t="shared" si="6"/>
        <v>2800000</v>
      </c>
      <c r="W34" s="54">
        <f t="shared" si="6"/>
        <v>3295274</v>
      </c>
      <c r="X34" s="54">
        <f t="shared" si="7"/>
        <v>-495274</v>
      </c>
    </row>
    <row r="35" spans="3:28" x14ac:dyDescent="0.25">
      <c r="C35" s="39">
        <v>2016</v>
      </c>
      <c r="D35" s="62" t="str">
        <f>+'LGA-124.086'!$F$4</f>
        <v>LGA-124.086</v>
      </c>
      <c r="E35" s="63" t="str">
        <f>+'LGA-124.086'!$F$5</f>
        <v>Rehab of Runway 22 Deck Wearing Course</v>
      </c>
      <c r="F35" s="64">
        <f>+'LGA-124.086'!$F$6</f>
        <v>42514</v>
      </c>
      <c r="G35" s="65" t="str">
        <f>+'LGA-124.086'!$G$7</f>
        <v>PQL</v>
      </c>
      <c r="H35" s="27">
        <f>+'LGA-124.086'!$F$7</f>
        <v>1930000</v>
      </c>
      <c r="I35" s="27">
        <f>+'LGA-124.086'!$F$8</f>
        <v>2277000</v>
      </c>
      <c r="J35" s="27"/>
      <c r="K35" s="26">
        <f>+'LGA-124.086'!$G$9</f>
        <v>0.17979274611398963</v>
      </c>
      <c r="L35" s="11" t="str">
        <f>+'LGA-124.086'!$F$11</f>
        <v>FAIL</v>
      </c>
      <c r="M35" s="15">
        <f>+'LGA-124.086'!$H$12</f>
        <v>4</v>
      </c>
      <c r="N35" s="35" t="s">
        <v>93</v>
      </c>
      <c r="O35" s="15">
        <v>2</v>
      </c>
      <c r="P35" s="35" t="s">
        <v>458</v>
      </c>
      <c r="Q35" s="15"/>
      <c r="R35" s="24" t="s">
        <v>667</v>
      </c>
      <c r="S35" s="62" t="str">
        <f>+'LGA-124.086'!$J$4</f>
        <v>Lucita Mendoza and Nathan Demaisip</v>
      </c>
      <c r="T35" s="15"/>
      <c r="U35" s="15"/>
      <c r="V35" s="54">
        <f t="shared" si="6"/>
        <v>1930000</v>
      </c>
      <c r="W35" s="54">
        <f t="shared" si="6"/>
        <v>2277000</v>
      </c>
      <c r="X35" s="54">
        <f t="shared" si="7"/>
        <v>-347000</v>
      </c>
    </row>
    <row r="36" spans="3:28" x14ac:dyDescent="0.25">
      <c r="C36" s="39">
        <v>2016</v>
      </c>
      <c r="D36" s="62" t="str">
        <f>+'NYNJRR-644.537'!$F$4</f>
        <v>NYNJRR-644.537</v>
      </c>
      <c r="E36" s="63" t="str">
        <f>+'NYNJRR-644.537'!$F$5</f>
        <v>Repl Barge Mooring Structures at Greenville Yard</v>
      </c>
      <c r="F36" s="64">
        <f>+'NYNJRR-644.537'!$F$6</f>
        <v>42500</v>
      </c>
      <c r="G36" s="65" t="str">
        <f>+'NYNJRR-644.537'!$G$7</f>
        <v>Public</v>
      </c>
      <c r="H36" s="27">
        <f>+'NYNJRR-644.537'!$F$7</f>
        <v>4000000</v>
      </c>
      <c r="I36" s="27">
        <f>+'NYNJRR-644.537'!$F$8</f>
        <v>3838287</v>
      </c>
      <c r="J36" s="27"/>
      <c r="K36" s="26">
        <f>+'NYNJRR-644.537'!$G$9</f>
        <v>-4.0428249999999999E-2</v>
      </c>
      <c r="L36" s="11" t="str">
        <f>+'NYNJRR-644.537'!$F$11</f>
        <v>GOOD</v>
      </c>
      <c r="M36" s="15">
        <f>+'NYNJRR-644.537'!$H$12</f>
        <v>11</v>
      </c>
      <c r="N36" s="35" t="s">
        <v>25</v>
      </c>
      <c r="O36" s="15">
        <v>2</v>
      </c>
      <c r="P36" s="35" t="s">
        <v>492</v>
      </c>
      <c r="Q36" s="15"/>
      <c r="R36" s="24"/>
      <c r="S36" s="62" t="str">
        <f>+'NYNJRR-644.537'!$J$4</f>
        <v>Wen Chang</v>
      </c>
      <c r="T36" s="15"/>
      <c r="U36" s="15"/>
      <c r="V36" s="54">
        <f t="shared" si="6"/>
        <v>4000000</v>
      </c>
      <c r="W36" s="54">
        <f t="shared" si="6"/>
        <v>3838287</v>
      </c>
      <c r="X36" s="54">
        <f t="shared" si="7"/>
        <v>161713</v>
      </c>
    </row>
    <row r="37" spans="3:28" x14ac:dyDescent="0.25">
      <c r="C37" s="39">
        <v>2016</v>
      </c>
      <c r="D37" s="62" t="str">
        <f>+'HT-473A Void'!$F$4</f>
        <v>HT-473A</v>
      </c>
      <c r="E37" s="63" t="str">
        <f>+'HT-473A Void'!$F$5</f>
        <v>Emerg Gen Infrastructure at NY &amp; NJ Ventilation Bldgs</v>
      </c>
      <c r="F37" s="64">
        <f>+'HT-473A Void'!$F$6</f>
        <v>42496</v>
      </c>
      <c r="G37" s="65" t="str">
        <f>+'HT-473A Void'!$G$7</f>
        <v>Public</v>
      </c>
      <c r="H37" s="27"/>
      <c r="I37" s="27"/>
      <c r="J37" s="27"/>
      <c r="K37" s="26"/>
      <c r="L37" s="11"/>
      <c r="M37" s="15">
        <f>+'HT-473A Void'!$H$12</f>
        <v>9</v>
      </c>
      <c r="N37" s="35" t="s">
        <v>226</v>
      </c>
      <c r="O37" s="15">
        <v>2</v>
      </c>
      <c r="P37" s="35" t="s">
        <v>457</v>
      </c>
      <c r="Q37" s="15"/>
      <c r="R37" s="24" t="s">
        <v>690</v>
      </c>
      <c r="S37" s="62" t="str">
        <f>+'GWB-244.246'!$J$4</f>
        <v>Reddy Gunda</v>
      </c>
      <c r="T37" s="15"/>
      <c r="U37" s="15"/>
      <c r="V37" s="54">
        <f t="shared" si="6"/>
        <v>0</v>
      </c>
      <c r="W37" s="54">
        <f t="shared" si="6"/>
        <v>0</v>
      </c>
      <c r="X37" s="54">
        <f t="shared" si="7"/>
        <v>0</v>
      </c>
    </row>
    <row r="38" spans="3:28" x14ac:dyDescent="0.25">
      <c r="C38" s="39">
        <v>2016</v>
      </c>
      <c r="D38" s="62" t="str">
        <f>+'LT-924.014A'!$F$4</f>
        <v>LT-924.014A</v>
      </c>
      <c r="E38" s="63" t="str">
        <f>+'LT-924.014A'!$F$5</f>
        <v>Water Line Leak Repairs</v>
      </c>
      <c r="F38" s="64">
        <f>+'LT-924.014A'!$F$6</f>
        <v>42496</v>
      </c>
      <c r="G38" s="65" t="str">
        <f>+'LT-924.014A'!$G$7</f>
        <v>Public</v>
      </c>
      <c r="H38" s="27">
        <f>+'LT-924.014A'!$F$7</f>
        <v>2000000</v>
      </c>
      <c r="I38" s="27">
        <f>+'LT-924.014A'!$F$8</f>
        <v>2059960</v>
      </c>
      <c r="J38" s="27">
        <v>2059960</v>
      </c>
      <c r="K38" s="26">
        <f>+'LT-924.014A'!$G$9</f>
        <v>2.998E-2</v>
      </c>
      <c r="L38" s="11" t="str">
        <f>+'LT-924.014A'!$F$11</f>
        <v>GOOD</v>
      </c>
      <c r="M38" s="15">
        <f>+'LT-924.014A'!$H$12</f>
        <v>2</v>
      </c>
      <c r="N38" s="35" t="s">
        <v>25</v>
      </c>
      <c r="O38" s="15">
        <v>2</v>
      </c>
      <c r="P38" s="35" t="s">
        <v>457</v>
      </c>
      <c r="Q38" s="15"/>
      <c r="R38" s="24"/>
      <c r="S38" s="62" t="str">
        <f>+'GWB-244.246'!$J$4</f>
        <v>Reddy Gunda</v>
      </c>
      <c r="T38" s="15"/>
      <c r="U38" s="15"/>
      <c r="V38" s="54">
        <f t="shared" si="6"/>
        <v>2000000</v>
      </c>
      <c r="W38" s="54">
        <f t="shared" si="6"/>
        <v>2059960</v>
      </c>
      <c r="X38" s="54">
        <f t="shared" si="7"/>
        <v>-59960</v>
      </c>
    </row>
    <row r="39" spans="3:28" x14ac:dyDescent="0.25">
      <c r="C39" s="39">
        <v>2016</v>
      </c>
      <c r="D39" s="62" t="str">
        <f>+'GWB-244.246'!$F$4</f>
        <v>GWB-244.246</v>
      </c>
      <c r="E39" s="63" t="str">
        <f>+'GWB-244.246'!$F$5</f>
        <v>Access Ramp Crash Barrier</v>
      </c>
      <c r="F39" s="64">
        <f>+'GWB-244.246'!$F$6</f>
        <v>42488</v>
      </c>
      <c r="G39" s="65" t="str">
        <f>+'GWB-244.246'!$G$7</f>
        <v>PQL</v>
      </c>
      <c r="H39" s="27">
        <f>+'GWB-244.246'!$F$7</f>
        <v>1700000</v>
      </c>
      <c r="I39" s="27">
        <f>+'GWB-244.246'!$F$8</f>
        <v>815000</v>
      </c>
      <c r="J39" s="27">
        <v>815000</v>
      </c>
      <c r="K39" s="26">
        <f>+'GWB-244.246'!$G$9</f>
        <v>-0.52058823529411768</v>
      </c>
      <c r="L39" s="11" t="str">
        <f>+'GWB-244.246'!$F$11</f>
        <v>FAIL</v>
      </c>
      <c r="M39" s="15">
        <f>+'GWB-244.246'!$H$12</f>
        <v>7</v>
      </c>
      <c r="N39" s="35" t="s">
        <v>25</v>
      </c>
      <c r="O39" s="15">
        <v>2</v>
      </c>
      <c r="P39" s="35" t="s">
        <v>457</v>
      </c>
      <c r="Q39" s="15"/>
      <c r="R39" s="24" t="s">
        <v>662</v>
      </c>
      <c r="S39" s="62" t="str">
        <f>+'GWB-244.246'!$J$4</f>
        <v>Reddy Gunda</v>
      </c>
      <c r="T39" s="15"/>
      <c r="U39" s="15"/>
      <c r="V39" s="54">
        <f t="shared" si="6"/>
        <v>1700000</v>
      </c>
      <c r="W39" s="54">
        <f t="shared" si="6"/>
        <v>815000</v>
      </c>
      <c r="X39" s="54">
        <f t="shared" si="7"/>
        <v>885000</v>
      </c>
    </row>
    <row r="40" spans="3:28" x14ac:dyDescent="0.25">
      <c r="C40" s="39">
        <v>2016</v>
      </c>
      <c r="D40" s="62" t="str">
        <f>+'HT-224.117'!$F$4</f>
        <v>HT-224.117</v>
      </c>
      <c r="E40" s="63" t="str">
        <f>+'HT-224.117'!$F$5</f>
        <v>Waterside Buffer Zone Protection</v>
      </c>
      <c r="F40" s="64">
        <f>+'HT-224.117'!$F$6</f>
        <v>42486</v>
      </c>
      <c r="G40" s="65" t="str">
        <f>+'HT-224.117'!$G$7</f>
        <v>Public</v>
      </c>
      <c r="H40" s="27">
        <f>+'HT-224.117'!$F$7</f>
        <v>600000</v>
      </c>
      <c r="I40" s="27">
        <f>+'HT-224.117'!$F$8</f>
        <v>675000</v>
      </c>
      <c r="J40" s="27">
        <v>675000</v>
      </c>
      <c r="K40" s="26">
        <f>+'HT-224.117'!$G$9</f>
        <v>0.125</v>
      </c>
      <c r="L40" s="11" t="str">
        <f>+'HT-224.117'!$F$11</f>
        <v>FAIL</v>
      </c>
      <c r="M40" s="15">
        <f>+'HT-224.117'!$H$12</f>
        <v>3</v>
      </c>
      <c r="N40" s="35" t="s">
        <v>93</v>
      </c>
      <c r="O40" s="15">
        <v>2</v>
      </c>
      <c r="P40" s="35" t="s">
        <v>457</v>
      </c>
      <c r="Q40" s="15"/>
      <c r="R40" s="24"/>
      <c r="S40" s="62" t="str">
        <f>+'HT-224.117'!$J$4</f>
        <v>Nathan Demaisip</v>
      </c>
      <c r="T40" s="15"/>
      <c r="U40" s="15"/>
      <c r="V40" s="54">
        <f t="shared" si="6"/>
        <v>600000</v>
      </c>
      <c r="W40" s="54">
        <f t="shared" si="6"/>
        <v>675000</v>
      </c>
      <c r="X40" s="54">
        <f t="shared" si="7"/>
        <v>-75000</v>
      </c>
    </row>
    <row r="41" spans="3:28" x14ac:dyDescent="0.25">
      <c r="C41" s="39">
        <v>2016</v>
      </c>
      <c r="D41" s="62" t="str">
        <f>+'EWR-924.281'!$F$4</f>
        <v>EWR-924.281</v>
      </c>
      <c r="E41" s="63" t="str">
        <f>+'EWR-924.281'!$F$5</f>
        <v>Peripheral Ditch Tide Gate Valve Repairs</v>
      </c>
      <c r="F41" s="64">
        <f>+'EWR-924.281'!$F$6</f>
        <v>42479</v>
      </c>
      <c r="G41" s="65" t="str">
        <f>+'EWR-924.281'!$G$7</f>
        <v>Public</v>
      </c>
      <c r="H41" s="27">
        <f>+'EWR-924.281'!$F$7</f>
        <v>670000</v>
      </c>
      <c r="I41" s="27">
        <f>+'EWR-924.281'!$F$8</f>
        <v>897950</v>
      </c>
      <c r="J41" s="27"/>
      <c r="K41" s="26">
        <f>+'EWR-924.281'!$G$9</f>
        <v>0.34022388059701492</v>
      </c>
      <c r="L41" s="11" t="str">
        <f>+'EWR-924.281'!$F$11</f>
        <v>FAIL</v>
      </c>
      <c r="M41" s="15">
        <f>+'EWR-924.281'!$H$12</f>
        <v>5</v>
      </c>
      <c r="N41" s="35" t="s">
        <v>25</v>
      </c>
      <c r="O41" s="15">
        <v>2</v>
      </c>
      <c r="P41" s="35" t="s">
        <v>458</v>
      </c>
      <c r="Q41" s="15"/>
      <c r="R41" s="24"/>
      <c r="S41" s="62" t="str">
        <f>+'EWR-924.281'!$J$4</f>
        <v>Henry Yu</v>
      </c>
      <c r="T41" s="15"/>
      <c r="U41" s="15"/>
      <c r="V41" s="54">
        <f t="shared" si="6"/>
        <v>670000</v>
      </c>
      <c r="W41" s="54">
        <f t="shared" si="6"/>
        <v>897950</v>
      </c>
      <c r="X41" s="54">
        <f t="shared" si="7"/>
        <v>-227950</v>
      </c>
    </row>
    <row r="42" spans="3:28" x14ac:dyDescent="0.25">
      <c r="C42" s="39">
        <v>2016</v>
      </c>
      <c r="D42" s="62" t="str">
        <f>+'EP-684.509A'!$F$4</f>
        <v>EP-684.509A</v>
      </c>
      <c r="E42" s="63" t="str">
        <f>+'EP-684.509A'!$F$5</f>
        <v>Bldg 1400 Upgrade of Fire Supression System</v>
      </c>
      <c r="F42" s="64">
        <f>+'EP-684.509A'!$F$6</f>
        <v>42474</v>
      </c>
      <c r="G42" s="65" t="str">
        <f>+'PAT-784.163'!$G$7</f>
        <v>Public</v>
      </c>
      <c r="H42" s="27">
        <f>+'EP-684.509A'!$F$7</f>
        <v>700000</v>
      </c>
      <c r="I42" s="27">
        <f>+'EP-684.509A'!$F$8</f>
        <v>442247</v>
      </c>
      <c r="J42" s="27"/>
      <c r="K42" s="26">
        <f>+'EP-684.509A'!$G$9</f>
        <v>-0.36821857142857145</v>
      </c>
      <c r="L42" s="11" t="str">
        <f>+'EP-684.509A'!$F$11</f>
        <v>GOOD</v>
      </c>
      <c r="M42" s="15">
        <f>+'EP-684.509A'!$H$12</f>
        <v>6</v>
      </c>
      <c r="N42" s="35" t="s">
        <v>25</v>
      </c>
      <c r="O42" s="15">
        <v>2</v>
      </c>
      <c r="P42" s="35" t="s">
        <v>492</v>
      </c>
      <c r="Q42" s="15"/>
      <c r="R42" s="24"/>
      <c r="S42" s="62" t="str">
        <f>+'EP-684.509A'!$J$4</f>
        <v>Wen Chang</v>
      </c>
      <c r="T42" s="15"/>
      <c r="U42" s="15"/>
      <c r="V42" s="54">
        <f t="shared" si="6"/>
        <v>700000</v>
      </c>
      <c r="W42" s="54">
        <f t="shared" si="6"/>
        <v>442247</v>
      </c>
      <c r="X42" s="54">
        <f t="shared" si="7"/>
        <v>257753</v>
      </c>
    </row>
    <row r="43" spans="3:28" x14ac:dyDescent="0.25">
      <c r="C43" s="39">
        <v>2016</v>
      </c>
      <c r="D43" s="62" t="str">
        <f>+'PAT-784.163'!$F$4</f>
        <v>PAT-784.163</v>
      </c>
      <c r="E43" s="63" t="str">
        <f>+'PAT-784.163'!$F$5</f>
        <v>PATH - Infrastructure for Standby Generators</v>
      </c>
      <c r="F43" s="64">
        <f>+'PAT-784.163'!$F$6</f>
        <v>42473</v>
      </c>
      <c r="G43" s="65" t="str">
        <f>+'PAT-784.163'!$G$7</f>
        <v>Public</v>
      </c>
      <c r="H43" s="27">
        <f>+'PAT-784.163'!$F$7</f>
        <v>1900000</v>
      </c>
      <c r="I43" s="27">
        <f>+'PAT-784.163'!$F$8</f>
        <v>1348800</v>
      </c>
      <c r="J43" s="27">
        <v>1348800</v>
      </c>
      <c r="K43" s="26">
        <f>+'PAT-784.163'!$G$9</f>
        <v>-0.29010526315789475</v>
      </c>
      <c r="L43" s="11" t="str">
        <f>+'PAT-784.163'!$F$11</f>
        <v>GOOD</v>
      </c>
      <c r="M43" s="15">
        <f>+'PAT-784.163'!$H$12</f>
        <v>11</v>
      </c>
      <c r="N43" s="35" t="s">
        <v>25</v>
      </c>
      <c r="O43" s="15">
        <v>2</v>
      </c>
      <c r="P43" s="35" t="s">
        <v>459</v>
      </c>
      <c r="Q43" s="15"/>
      <c r="R43" s="24" t="s">
        <v>608</v>
      </c>
      <c r="S43" s="62" t="str">
        <f>+'PAT-784.163'!$J$4</f>
        <v>Nathan Demaisip</v>
      </c>
      <c r="T43" s="15"/>
      <c r="U43" s="15"/>
      <c r="V43" s="54">
        <f t="shared" si="6"/>
        <v>1900000</v>
      </c>
      <c r="W43" s="54">
        <f t="shared" si="6"/>
        <v>1348800</v>
      </c>
      <c r="X43" s="54">
        <f t="shared" si="7"/>
        <v>551200</v>
      </c>
    </row>
    <row r="44" spans="3:28" x14ac:dyDescent="0.25">
      <c r="C44" s="39">
        <v>2016</v>
      </c>
      <c r="D44" s="62" t="str">
        <f>+'SWF-164.054'!$F$4</f>
        <v>SWF-164.054</v>
      </c>
      <c r="E44" s="63" t="str">
        <f>+'SWF-164.054'!$F$5</f>
        <v>Stewart Airport - Backflow Prevention and Sump Pumps</v>
      </c>
      <c r="F44" s="64">
        <f>+'SWF-164.054'!$F$6</f>
        <v>42465</v>
      </c>
      <c r="G44" s="65" t="str">
        <f>+'SWF-164.054'!$G$7</f>
        <v>Public</v>
      </c>
      <c r="H44" s="27">
        <f>+'SWF-164.054'!$F$7</f>
        <v>1300000</v>
      </c>
      <c r="I44" s="27">
        <f>+'SWF-164.054'!$F$8</f>
        <v>1334000</v>
      </c>
      <c r="J44" s="27"/>
      <c r="K44" s="26">
        <f>+'SWF-164.054'!$G$9</f>
        <v>2.6153846153846153E-2</v>
      </c>
      <c r="L44" s="11" t="str">
        <f>+'SWF-164.054'!$F$11</f>
        <v>GOOD</v>
      </c>
      <c r="M44" s="15">
        <f>+'SWF-164.054'!$H$12</f>
        <v>6</v>
      </c>
      <c r="N44" s="35" t="s">
        <v>93</v>
      </c>
      <c r="O44" s="15">
        <v>2</v>
      </c>
      <c r="P44" s="35" t="s">
        <v>458</v>
      </c>
      <c r="Q44" s="15"/>
      <c r="R44" s="24"/>
      <c r="S44" s="62" t="str">
        <f>+'SWF-164.054'!$J$4</f>
        <v>Lucita Mendoza</v>
      </c>
      <c r="T44" s="15"/>
      <c r="U44" s="15"/>
      <c r="V44" s="54">
        <f t="shared" si="6"/>
        <v>1300000</v>
      </c>
      <c r="W44" s="54">
        <f t="shared" si="6"/>
        <v>1334000</v>
      </c>
      <c r="X44" s="54">
        <f t="shared" si="7"/>
        <v>-34000</v>
      </c>
    </row>
    <row r="45" spans="3:28" ht="7.5" customHeight="1" x14ac:dyDescent="0.25">
      <c r="C45" s="39"/>
      <c r="G45" s="45"/>
      <c r="P45" s="11"/>
      <c r="S45" s="15"/>
      <c r="V45" s="54"/>
      <c r="W45" s="54"/>
      <c r="X45" s="54"/>
    </row>
    <row r="46" spans="3:28" x14ac:dyDescent="0.25">
      <c r="C46" s="39">
        <v>2016</v>
      </c>
      <c r="D46" s="15" t="str">
        <f>+'MFP-924.638'!$F$4</f>
        <v>MFP-924.638</v>
      </c>
      <c r="E46" s="24" t="str">
        <f>+'MFP-924.638'!$F$5</f>
        <v>NJ Marine Terminals - Dredging via Work Order</v>
      </c>
      <c r="F46" s="25">
        <f>+'MFP-924.638'!$F$6</f>
        <v>42450</v>
      </c>
      <c r="G46" s="46" t="str">
        <f>+'MFP-924.638'!$G$7</f>
        <v>PQL</v>
      </c>
      <c r="H46" s="27">
        <f>+'MFP-924.638'!$F$7</f>
        <v>13100000</v>
      </c>
      <c r="I46" s="27">
        <f>+'MFP-924.638'!$F$8</f>
        <v>14145813</v>
      </c>
      <c r="J46" s="27"/>
      <c r="K46" s="26">
        <f>+'MFP-924.638'!$G$9</f>
        <v>7.9833053435114501E-2</v>
      </c>
      <c r="L46" s="11" t="str">
        <f>+'MFP-924.638'!$F$11</f>
        <v>GOOD</v>
      </c>
      <c r="M46" s="15">
        <f>+'MFP-924.638'!$H$12</f>
        <v>5</v>
      </c>
      <c r="N46" s="35" t="s">
        <v>25</v>
      </c>
      <c r="O46" s="15">
        <v>1</v>
      </c>
      <c r="P46" s="35" t="s">
        <v>492</v>
      </c>
      <c r="Q46" s="15"/>
      <c r="R46" s="24"/>
      <c r="S46" s="15" t="str">
        <f>+'MFP-924.638'!$J$4</f>
        <v>Wen Chang</v>
      </c>
      <c r="T46" s="15"/>
      <c r="U46" s="15"/>
      <c r="V46" s="54">
        <f>+H46</f>
        <v>13100000</v>
      </c>
      <c r="W46" s="54">
        <f>+I46</f>
        <v>14145813</v>
      </c>
      <c r="X46" s="54">
        <f>+V46-W46</f>
        <v>-1045813</v>
      </c>
      <c r="Z46" s="4">
        <f>SUM(V46:V56)</f>
        <v>142801000</v>
      </c>
      <c r="AA46" s="4">
        <f>SUM(W46:W56)</f>
        <v>116652275</v>
      </c>
      <c r="AB46" s="7">
        <f>+Z46/AA46</f>
        <v>1.2241595802567931</v>
      </c>
    </row>
    <row r="47" spans="3:28" x14ac:dyDescent="0.25">
      <c r="C47" s="39">
        <v>2016</v>
      </c>
      <c r="D47" s="15" t="str">
        <f>+'EWR-154.197'!$F$4</f>
        <v>EWR-154.197</v>
      </c>
      <c r="E47" s="24" t="str">
        <f>+'EWR-154.197'!$F$5</f>
        <v>Newark - Infrastructure Renewal, Electrical</v>
      </c>
      <c r="F47" s="25">
        <f>+'EWR-154.197'!$F$6</f>
        <v>42438</v>
      </c>
      <c r="G47" s="46" t="str">
        <f>+'EWR-154.197'!$G$7</f>
        <v>Public</v>
      </c>
      <c r="H47" s="27">
        <f>+'EWR-154.197'!$F$7</f>
        <v>25210000</v>
      </c>
      <c r="I47" s="27">
        <f>+'EWR-154.197'!$F$8</f>
        <v>17827873</v>
      </c>
      <c r="J47" s="27"/>
      <c r="K47" s="26">
        <f>+'EWR-154.197'!$G$9</f>
        <v>-0.29282534708449026</v>
      </c>
      <c r="L47" s="11" t="str">
        <f>+'EWR-154.197'!$F$11</f>
        <v>FAIL</v>
      </c>
      <c r="M47" s="15">
        <f>+'EWR-154.197'!$H$12</f>
        <v>13</v>
      </c>
      <c r="N47" s="35" t="s">
        <v>25</v>
      </c>
      <c r="O47" s="15">
        <v>1</v>
      </c>
      <c r="P47" s="35" t="s">
        <v>458</v>
      </c>
      <c r="Q47" s="15"/>
      <c r="R47" s="24"/>
      <c r="S47" s="15" t="str">
        <f>+'EWR-154.197'!$J$4</f>
        <v>Nathan Demaisip</v>
      </c>
      <c r="T47" s="15"/>
      <c r="U47" s="15"/>
      <c r="V47" s="54">
        <f t="shared" ref="V47:W56" si="8">+H47</f>
        <v>25210000</v>
      </c>
      <c r="W47" s="54">
        <f t="shared" si="8"/>
        <v>17827873</v>
      </c>
      <c r="X47" s="54">
        <f t="shared" ref="X47:X56" si="9">+V47-W47</f>
        <v>7382127</v>
      </c>
    </row>
    <row r="48" spans="3:28" x14ac:dyDescent="0.25">
      <c r="C48" s="39">
        <v>2016</v>
      </c>
      <c r="D48" s="15" t="str">
        <f>+'LGA-774.133B'!$F$4</f>
        <v>LGA-774.133B</v>
      </c>
      <c r="E48" s="24" t="str">
        <f>+'LGA-774.133B'!$F$5</f>
        <v>LGA - Emergency Storm Drainage Outfalls</v>
      </c>
      <c r="F48" s="25">
        <f>+'LGA-774.133B'!$F$6</f>
        <v>42418</v>
      </c>
      <c r="G48" s="46" t="str">
        <f>+'LGA-774.133B'!$G$7</f>
        <v>Public</v>
      </c>
      <c r="H48" s="27">
        <f>+'LGA-774.133B'!$F$7</f>
        <v>3250000</v>
      </c>
      <c r="I48" s="27">
        <f>+'LGA-774.133B'!$F$8</f>
        <v>2849549</v>
      </c>
      <c r="J48" s="27"/>
      <c r="K48" s="26">
        <f>+'LGA-774.133B'!$G$9</f>
        <v>-0.1232156923076923</v>
      </c>
      <c r="L48" s="11" t="str">
        <f>+'GWB-244.150'!$F$11</f>
        <v>GOOD</v>
      </c>
      <c r="M48" s="15">
        <f>+'LGA-774.133B'!$H$12</f>
        <v>12</v>
      </c>
      <c r="N48" s="35" t="s">
        <v>93</v>
      </c>
      <c r="O48" s="15">
        <v>1</v>
      </c>
      <c r="P48" s="35" t="s">
        <v>458</v>
      </c>
      <c r="Q48" s="15"/>
      <c r="R48" s="24"/>
      <c r="S48" s="15" t="str">
        <f>+'LGA-774.133B'!$J$4</f>
        <v>Lucita Mendoza</v>
      </c>
      <c r="T48" s="15"/>
      <c r="U48" s="15"/>
      <c r="V48" s="54">
        <f t="shared" si="8"/>
        <v>3250000</v>
      </c>
      <c r="W48" s="54">
        <f t="shared" si="8"/>
        <v>2849549</v>
      </c>
      <c r="X48" s="54">
        <f t="shared" si="9"/>
        <v>400451</v>
      </c>
    </row>
    <row r="49" spans="3:24" x14ac:dyDescent="0.25">
      <c r="C49" s="39">
        <v>2016</v>
      </c>
      <c r="D49" s="15" t="str">
        <f>+'GWB-244.150'!$F$4</f>
        <v>GWB-244.150</v>
      </c>
      <c r="E49" s="24" t="str">
        <f>+'GWB-244.150'!$F$5</f>
        <v>GWB - Replacement of PIP Helix, et. al.</v>
      </c>
      <c r="F49" s="25">
        <f>+'GWB-244.150'!$F$6</f>
        <v>42411</v>
      </c>
      <c r="G49" s="46" t="str">
        <f>+'GWB-244.150'!$G$7</f>
        <v>Public</v>
      </c>
      <c r="H49" s="27">
        <f>+'GWB-244.150'!$F$7</f>
        <v>69865000</v>
      </c>
      <c r="I49" s="27">
        <f>+'GWB-244.150'!$F$8</f>
        <v>57000000</v>
      </c>
      <c r="J49" s="27"/>
      <c r="K49" s="26">
        <f>+'GWB-244.150'!$G$9</f>
        <v>-0.18414084305446218</v>
      </c>
      <c r="L49" s="11" t="str">
        <f>+'GWB-244.150'!$F$11</f>
        <v>GOOD</v>
      </c>
      <c r="M49" s="15">
        <f>+'GWB-244.150'!$H$12</f>
        <v>11</v>
      </c>
      <c r="N49" s="35" t="s">
        <v>25</v>
      </c>
      <c r="O49" s="15">
        <v>1</v>
      </c>
      <c r="P49" s="35" t="s">
        <v>457</v>
      </c>
      <c r="Q49" s="15"/>
      <c r="R49" s="24"/>
      <c r="S49" s="15" t="str">
        <f>+'GWB-244.150'!$J$4</f>
        <v>Reddy Gunda and Henry Yu</v>
      </c>
      <c r="T49" s="15"/>
      <c r="U49" s="15"/>
      <c r="V49" s="54">
        <f t="shared" si="8"/>
        <v>69865000</v>
      </c>
      <c r="W49" s="54">
        <f t="shared" si="8"/>
        <v>57000000</v>
      </c>
      <c r="X49" s="54">
        <f t="shared" si="9"/>
        <v>12865000</v>
      </c>
    </row>
    <row r="50" spans="3:24" x14ac:dyDescent="0.25">
      <c r="C50" s="39">
        <v>2016</v>
      </c>
      <c r="D50" s="15" t="str">
        <f>+'LGA-124.240'!$F$4</f>
        <v>LGA-124.240</v>
      </c>
      <c r="E50" s="24" t="str">
        <f>+'LGA-124.240'!$F$5</f>
        <v>LGA - Rehab Taxiway B between G and CY</v>
      </c>
      <c r="F50" s="25">
        <f>+'LGA-124.240'!$F$6</f>
        <v>42404</v>
      </c>
      <c r="G50" s="46" t="str">
        <f>+'LGA-124.240'!$G$7</f>
        <v>Public</v>
      </c>
      <c r="H50" s="27">
        <f>+'LGA-124.240'!$F$7</f>
        <v>4072000</v>
      </c>
      <c r="I50" s="27">
        <f>+'LGA-124.240'!$F$8</f>
        <v>2733000</v>
      </c>
      <c r="J50" s="27"/>
      <c r="K50" s="26">
        <f>+'LGA-124.240'!$G$9</f>
        <v>-0.3288310412573674</v>
      </c>
      <c r="L50" s="11" t="str">
        <f>+'LGA-124.240'!$F$11</f>
        <v>FAIL</v>
      </c>
      <c r="M50" s="15">
        <f>+'LGA-124.240'!$H$12</f>
        <v>3</v>
      </c>
      <c r="N50" s="35" t="s">
        <v>93</v>
      </c>
      <c r="O50" s="15">
        <v>1</v>
      </c>
      <c r="P50" s="35" t="s">
        <v>458</v>
      </c>
      <c r="Q50" s="15"/>
      <c r="R50" s="24"/>
      <c r="S50" s="15" t="str">
        <f>+'LGA-124.240'!$J$4</f>
        <v>Lucita Mendoza</v>
      </c>
      <c r="T50" s="15"/>
      <c r="U50" s="15"/>
      <c r="V50" s="54">
        <f t="shared" si="8"/>
        <v>4072000</v>
      </c>
      <c r="W50" s="54">
        <f t="shared" si="8"/>
        <v>2733000</v>
      </c>
      <c r="X50" s="54">
        <f t="shared" si="9"/>
        <v>1339000</v>
      </c>
    </row>
    <row r="51" spans="3:24" x14ac:dyDescent="0.25">
      <c r="C51" s="39">
        <v>2016</v>
      </c>
      <c r="D51" s="15" t="str">
        <f>+'LGA-103.014'!$F$4</f>
        <v>LGA-103.014</v>
      </c>
      <c r="E51" s="24" t="str">
        <f>+'LGA-103.014'!$F$5</f>
        <v>LGA - Pump Houses 2 and 3 Rehabilitation</v>
      </c>
      <c r="F51" s="25">
        <f>+'LGA-103.014'!$F$6</f>
        <v>42394</v>
      </c>
      <c r="G51" s="46" t="str">
        <f>+'LGA-103.014'!$G$7</f>
        <v>Public</v>
      </c>
      <c r="H51" s="27">
        <f>+'LGA-103.014'!$F$7</f>
        <v>2530000</v>
      </c>
      <c r="I51" s="27">
        <f>+'LGA-103.014'!$F$8</f>
        <v>1836000</v>
      </c>
      <c r="J51" s="27"/>
      <c r="K51" s="26">
        <f>+'LGA-103.014'!$G$9</f>
        <v>-0.27430830039525694</v>
      </c>
      <c r="L51" s="11" t="str">
        <f>+'LGA-103.014'!$F$11</f>
        <v>GOOD</v>
      </c>
      <c r="M51" s="15">
        <f>+'LGA-103.014'!$H$12</f>
        <v>7</v>
      </c>
      <c r="N51" s="35" t="s">
        <v>93</v>
      </c>
      <c r="O51" s="15">
        <v>1</v>
      </c>
      <c r="P51" s="35" t="s">
        <v>458</v>
      </c>
      <c r="Q51" s="15"/>
      <c r="R51" s="24"/>
      <c r="S51" s="15" t="str">
        <f>+'LGA-103.014'!$J$4</f>
        <v>Lucita Mendoza</v>
      </c>
      <c r="T51" s="15"/>
      <c r="U51" s="15"/>
      <c r="V51" s="54">
        <f t="shared" si="8"/>
        <v>2530000</v>
      </c>
      <c r="W51" s="54">
        <f t="shared" si="8"/>
        <v>1836000</v>
      </c>
      <c r="X51" s="54">
        <f t="shared" si="9"/>
        <v>694000</v>
      </c>
    </row>
    <row r="52" spans="3:24" x14ac:dyDescent="0.25">
      <c r="C52" s="39">
        <v>2016</v>
      </c>
      <c r="D52" s="15" t="str">
        <f>+'PAT-774.154'!$F$4</f>
        <v>PAT-774.154</v>
      </c>
      <c r="E52" s="24" t="str">
        <f>+'PAT-774.154'!$F$5</f>
        <v>PATH - Hoboken Station Under-Platform Fan Replacement</v>
      </c>
      <c r="F52" s="25">
        <f>+'PAT-774.154'!$F$6</f>
        <v>42391</v>
      </c>
      <c r="G52" s="46" t="str">
        <f>+'PAT-774.154'!$G$7</f>
        <v>Public</v>
      </c>
      <c r="H52" s="27">
        <f>+'PAT-774.154'!$F$7</f>
        <v>4574000</v>
      </c>
      <c r="I52" s="27">
        <f>+'PAT-774.154'!$F$8</f>
        <v>3774000</v>
      </c>
      <c r="J52" s="27">
        <v>3774000</v>
      </c>
      <c r="K52" s="26">
        <f>+'PAT-774.154'!$G$9</f>
        <v>-0.17490161783996502</v>
      </c>
      <c r="L52" s="11" t="str">
        <f>+'PAT-774.154'!$F$11</f>
        <v>GOOD</v>
      </c>
      <c r="M52" s="15">
        <f>+'PAT-774.154'!$H$12</f>
        <v>4</v>
      </c>
      <c r="N52" s="35" t="s">
        <v>25</v>
      </c>
      <c r="O52" s="15">
        <v>1</v>
      </c>
      <c r="P52" s="35" t="s">
        <v>459</v>
      </c>
      <c r="Q52" s="15"/>
      <c r="R52" s="24"/>
      <c r="S52" s="15" t="str">
        <f>+'PAT-774.154'!$J$4</f>
        <v>Nathan Demaisip</v>
      </c>
      <c r="T52" s="15"/>
      <c r="U52" s="15"/>
      <c r="V52" s="54">
        <f t="shared" si="8"/>
        <v>4574000</v>
      </c>
      <c r="W52" s="54">
        <f t="shared" si="8"/>
        <v>3774000</v>
      </c>
      <c r="X52" s="54">
        <f t="shared" si="9"/>
        <v>800000</v>
      </c>
    </row>
    <row r="53" spans="3:24" x14ac:dyDescent="0.25">
      <c r="C53" s="39">
        <v>2016</v>
      </c>
      <c r="D53" s="15" t="str">
        <f>+'PN-654.544'!$F$4</f>
        <v>PN-654.544</v>
      </c>
      <c r="E53" s="24" t="str">
        <f>+'PN-654.544'!$F$5</f>
        <v>Port Newark - Install Intelligent Transport Devices and Traffic Signals</v>
      </c>
      <c r="F53" s="25">
        <f>+'PN-654.544'!$F$6</f>
        <v>42389</v>
      </c>
      <c r="G53" s="46" t="str">
        <f>+'PN-654.544'!$G$7</f>
        <v>Public</v>
      </c>
      <c r="H53" s="27">
        <f>+'PN-654.544'!$F$7</f>
        <v>10000000</v>
      </c>
      <c r="I53" s="27">
        <f>+'PN-654.544'!$F$8</f>
        <v>6499990</v>
      </c>
      <c r="J53" s="27"/>
      <c r="K53" s="26">
        <f>+'PN-654.544'!$G$9</f>
        <v>-0.35000100000000001</v>
      </c>
      <c r="L53" s="11" t="str">
        <f>+'PN-654.544'!$F$11</f>
        <v>FAIL</v>
      </c>
      <c r="M53" s="15">
        <f>+'PN-654.544'!$H$12</f>
        <v>6</v>
      </c>
      <c r="N53" s="35" t="s">
        <v>25</v>
      </c>
      <c r="O53" s="15">
        <v>1</v>
      </c>
      <c r="P53" s="35" t="s">
        <v>492</v>
      </c>
      <c r="Q53" s="15"/>
      <c r="R53" s="24"/>
      <c r="S53" s="15" t="str">
        <f>+'PN-654.544'!$J$4</f>
        <v>Wen Chang</v>
      </c>
      <c r="T53" s="15"/>
      <c r="U53" s="15"/>
      <c r="V53" s="54">
        <f t="shared" si="8"/>
        <v>10000000</v>
      </c>
      <c r="W53" s="54">
        <f t="shared" si="8"/>
        <v>6499990</v>
      </c>
      <c r="X53" s="54">
        <f t="shared" si="9"/>
        <v>3500010</v>
      </c>
    </row>
    <row r="54" spans="3:24" x14ac:dyDescent="0.25">
      <c r="C54" s="39">
        <v>2016</v>
      </c>
      <c r="D54" s="15" t="str">
        <f>+'WTC-222.004'!$F$4</f>
        <v>WTC-222.004</v>
      </c>
      <c r="E54" s="24" t="str">
        <f>+'WTC-222.004'!$F$5</f>
        <v>WTC - Tower One Public Safety Radio Room</v>
      </c>
      <c r="F54" s="25">
        <f>+'WTC-222.004'!$F$6</f>
        <v>42388</v>
      </c>
      <c r="G54" s="46" t="str">
        <f>+'WTC-222.004'!$G$7</f>
        <v>PQL</v>
      </c>
      <c r="H54" s="27">
        <f>+'WTC-222.004'!$F$7</f>
        <v>9000000</v>
      </c>
      <c r="I54" s="27">
        <f>+'WTC-222.004'!$F$8</f>
        <v>8936000</v>
      </c>
      <c r="J54" s="27"/>
      <c r="K54" s="26">
        <f>+'WTC-222.004'!$G$9</f>
        <v>-7.1111111111111115E-3</v>
      </c>
      <c r="L54" s="11" t="str">
        <f>+'WTC-222.004'!$F$11</f>
        <v>GOOD</v>
      </c>
      <c r="M54" s="15">
        <f>+'WTC-222.004'!$H$12</f>
        <v>3</v>
      </c>
      <c r="N54" s="35" t="s">
        <v>93</v>
      </c>
      <c r="O54" s="15">
        <v>1</v>
      </c>
      <c r="P54" s="35" t="s">
        <v>455</v>
      </c>
      <c r="Q54" s="15"/>
      <c r="R54" s="24"/>
      <c r="S54" s="15" t="str">
        <f>+'WTC-222.004'!$J$4</f>
        <v>Nathan Demaisip</v>
      </c>
      <c r="T54" s="15"/>
      <c r="U54" s="15"/>
      <c r="V54" s="54">
        <f t="shared" si="8"/>
        <v>9000000</v>
      </c>
      <c r="W54" s="54">
        <f t="shared" si="8"/>
        <v>8936000</v>
      </c>
      <c r="X54" s="54">
        <f t="shared" si="9"/>
        <v>64000</v>
      </c>
    </row>
    <row r="55" spans="3:24" x14ac:dyDescent="0.25">
      <c r="C55" s="39">
        <v>2016</v>
      </c>
      <c r="D55" s="15" t="str">
        <f>+'PN-654.041'!$F$4</f>
        <v>PN-654.041</v>
      </c>
      <c r="E55" s="24" t="str">
        <f>+'PN-654.041'!$F$5</f>
        <v>Port Newark - Davit Street Extension</v>
      </c>
      <c r="F55" s="25">
        <f>+'PN-654.041'!$F$6</f>
        <v>42383</v>
      </c>
      <c r="G55" s="46" t="str">
        <f>+'PN-654.041'!$G$7</f>
        <v>M/WBE</v>
      </c>
      <c r="H55" s="27">
        <f>+'PN-654.041'!$F$7</f>
        <v>1200000</v>
      </c>
      <c r="I55" s="27">
        <f>+'PN-654.041'!$F$8</f>
        <v>1050050</v>
      </c>
      <c r="J55" s="27"/>
      <c r="K55" s="26">
        <f>+'PN-654.041'!$G$9</f>
        <v>-0.12495833333333334</v>
      </c>
      <c r="L55" s="11" t="str">
        <f>+'PN-654.041'!$F$11</f>
        <v>GOOD</v>
      </c>
      <c r="M55" s="15">
        <f>+'PN-654.041'!$H$12</f>
        <v>6</v>
      </c>
      <c r="N55" s="35" t="s">
        <v>25</v>
      </c>
      <c r="O55" s="15">
        <v>1</v>
      </c>
      <c r="P55" s="35" t="s">
        <v>492</v>
      </c>
      <c r="Q55" s="15"/>
      <c r="R55" s="24"/>
      <c r="S55" s="15" t="str">
        <f>+'PN-654.041'!$J$4</f>
        <v>Wen Chang</v>
      </c>
      <c r="T55" s="15"/>
      <c r="U55" s="15"/>
      <c r="V55" s="54">
        <f t="shared" si="8"/>
        <v>1200000</v>
      </c>
      <c r="W55" s="54">
        <f t="shared" si="8"/>
        <v>1050050</v>
      </c>
      <c r="X55" s="54">
        <f t="shared" si="9"/>
        <v>149950</v>
      </c>
    </row>
    <row r="56" spans="3:24" x14ac:dyDescent="0.25">
      <c r="C56" s="39">
        <v>2016</v>
      </c>
      <c r="D56" s="15" t="str">
        <f>+'WTC-222.004 Void'!$F$4</f>
        <v>WTC-222.004</v>
      </c>
      <c r="E56" s="24" t="str">
        <f>+'WTC-222.004 Void'!$F$5</f>
        <v>WTC - Tower One Public Safety Radio Room</v>
      </c>
      <c r="F56" s="25">
        <f>+'WTC-222.004 Void'!$F$6</f>
        <v>42374</v>
      </c>
      <c r="G56" s="46" t="str">
        <f>+'WTC-222.004 Void'!$G$7</f>
        <v>PQL</v>
      </c>
      <c r="H56" s="27"/>
      <c r="I56" s="27"/>
      <c r="J56" s="27"/>
      <c r="K56" s="26"/>
      <c r="L56" s="11"/>
      <c r="M56" s="15">
        <f>+'WTC-222.004 Void'!$H$12</f>
        <v>3</v>
      </c>
      <c r="N56" s="35" t="s">
        <v>93</v>
      </c>
      <c r="O56" s="15">
        <v>1</v>
      </c>
      <c r="P56" s="35" t="s">
        <v>455</v>
      </c>
      <c r="Q56" s="15"/>
      <c r="R56" s="24" t="s">
        <v>472</v>
      </c>
      <c r="S56" s="15" t="str">
        <f>+'WTC-222.004 Void'!$J$4</f>
        <v>Nathan Demaisip</v>
      </c>
      <c r="T56" s="15"/>
      <c r="U56" s="15"/>
      <c r="V56" s="54">
        <f t="shared" si="8"/>
        <v>0</v>
      </c>
      <c r="W56" s="54">
        <f t="shared" si="8"/>
        <v>0</v>
      </c>
      <c r="X56" s="54">
        <f t="shared" si="9"/>
        <v>0</v>
      </c>
    </row>
    <row r="57" spans="3:24" ht="7.5" customHeight="1" x14ac:dyDescent="0.25">
      <c r="C57" s="39"/>
      <c r="G57" s="45"/>
      <c r="P57" s="11"/>
      <c r="S57" s="15"/>
      <c r="V57" s="54"/>
      <c r="W57" s="54"/>
      <c r="X57" s="54"/>
    </row>
    <row r="58" spans="3:24" x14ac:dyDescent="0.25">
      <c r="C58" s="39"/>
      <c r="D58" s="15"/>
      <c r="E58" s="24"/>
      <c r="F58" s="25"/>
      <c r="G58" s="46"/>
      <c r="H58" s="27"/>
      <c r="I58" s="27"/>
      <c r="J58" s="27"/>
      <c r="K58" s="26"/>
      <c r="L58" s="11"/>
      <c r="M58" s="15"/>
      <c r="P58" s="11"/>
      <c r="V58" s="54"/>
      <c r="W58" s="54"/>
      <c r="X58" s="54"/>
    </row>
    <row r="59" spans="3:24" x14ac:dyDescent="0.25">
      <c r="C59" s="39"/>
      <c r="D59" s="15"/>
      <c r="E59" s="24"/>
      <c r="F59" s="25"/>
      <c r="G59" s="46"/>
      <c r="H59" s="27"/>
      <c r="I59" s="27"/>
      <c r="J59" s="27"/>
      <c r="K59" s="26"/>
      <c r="L59" s="11"/>
      <c r="M59" s="15"/>
      <c r="P59" s="11"/>
      <c r="V59" s="54"/>
      <c r="W59" s="54"/>
      <c r="X59" s="54"/>
    </row>
    <row r="60" spans="3:24" x14ac:dyDescent="0.25">
      <c r="C60" s="39"/>
      <c r="G60" s="46"/>
      <c r="H60" s="68">
        <v>7</v>
      </c>
      <c r="I60" t="s">
        <v>791</v>
      </c>
      <c r="L60">
        <f>COUNTA(L6:L58)</f>
        <v>43</v>
      </c>
      <c r="P60" s="11"/>
      <c r="V60" s="54"/>
      <c r="W60" s="54"/>
      <c r="X60" s="54"/>
    </row>
    <row r="61" spans="3:24" x14ac:dyDescent="0.25">
      <c r="C61" s="39"/>
      <c r="G61" s="45"/>
      <c r="H61" s="69">
        <v>3</v>
      </c>
      <c r="I61" t="s">
        <v>789</v>
      </c>
      <c r="L61">
        <v>16</v>
      </c>
      <c r="M61" t="s">
        <v>789</v>
      </c>
      <c r="N61" s="76" t="s">
        <v>819</v>
      </c>
      <c r="P61" s="11"/>
      <c r="V61" s="54"/>
      <c r="W61" s="54"/>
      <c r="X61" s="54"/>
    </row>
    <row r="62" spans="3:24" x14ac:dyDescent="0.25">
      <c r="C62" s="39"/>
      <c r="G62" s="45"/>
      <c r="H62" s="69">
        <v>4</v>
      </c>
      <c r="I62" t="s">
        <v>790</v>
      </c>
      <c r="L62">
        <f>+L60-L61</f>
        <v>27</v>
      </c>
      <c r="M62" t="s">
        <v>790</v>
      </c>
      <c r="P62" s="11"/>
      <c r="V62" s="54"/>
      <c r="W62" s="54"/>
      <c r="X62" s="54"/>
    </row>
    <row r="63" spans="3:24" x14ac:dyDescent="0.25">
      <c r="C63" s="39"/>
      <c r="G63" s="45"/>
      <c r="H63" s="67">
        <f>+H62/H60</f>
        <v>0.5714285714285714</v>
      </c>
      <c r="L63">
        <f>+L62/L60</f>
        <v>0.62790697674418605</v>
      </c>
      <c r="P63" s="11"/>
    </row>
    <row r="64" spans="3:24" x14ac:dyDescent="0.25">
      <c r="C64" s="39"/>
      <c r="G64" s="45"/>
      <c r="P64" s="11"/>
    </row>
    <row r="65" spans="3:16" x14ac:dyDescent="0.25">
      <c r="C65" s="39"/>
      <c r="G65" s="45"/>
      <c r="H65">
        <f>SUM(H6:H57)</f>
        <v>417321000</v>
      </c>
      <c r="I65">
        <f>SUM(I6:I57)</f>
        <v>348829688</v>
      </c>
      <c r="J65">
        <f>+I65/H65</f>
        <v>0.83587858746624299</v>
      </c>
      <c r="L65" s="4">
        <f>COUNTA(L6:L58)-H60</f>
        <v>36</v>
      </c>
      <c r="P65" s="11"/>
    </row>
    <row r="66" spans="3:16" x14ac:dyDescent="0.25">
      <c r="C66" s="39"/>
      <c r="G66" s="45"/>
      <c r="L66">
        <f>+L61-H61</f>
        <v>13</v>
      </c>
      <c r="M66" t="s">
        <v>789</v>
      </c>
      <c r="P66" s="11"/>
    </row>
    <row r="67" spans="3:16" x14ac:dyDescent="0.25">
      <c r="C67" s="39"/>
      <c r="G67" s="45"/>
      <c r="L67">
        <f>+L62-H62</f>
        <v>23</v>
      </c>
      <c r="M67" t="s">
        <v>790</v>
      </c>
      <c r="P67" s="11"/>
    </row>
    <row r="68" spans="3:16" x14ac:dyDescent="0.25">
      <c r="C68" s="39"/>
      <c r="G68" s="45"/>
      <c r="L68">
        <f>+L67/L65</f>
        <v>0.63888888888888884</v>
      </c>
      <c r="P68" s="11"/>
    </row>
    <row r="69" spans="3:16" x14ac:dyDescent="0.25">
      <c r="C69" s="39"/>
      <c r="G69" s="45"/>
      <c r="P69" s="11"/>
    </row>
    <row r="70" spans="3:16" x14ac:dyDescent="0.25">
      <c r="C70" s="39"/>
      <c r="G70" s="45"/>
      <c r="P70" s="11"/>
    </row>
    <row r="71" spans="3:16" x14ac:dyDescent="0.25">
      <c r="C71" s="39"/>
      <c r="E71" s="73"/>
      <c r="F71" s="70" t="str">
        <f>"'15 final"</f>
        <v>'15 final</v>
      </c>
      <c r="G71" s="70" t="str">
        <f>"'16 final"</f>
        <v>'16 final</v>
      </c>
      <c r="P71" s="11"/>
    </row>
    <row r="72" spans="3:16" x14ac:dyDescent="0.25">
      <c r="C72" s="39"/>
      <c r="E72" s="71" t="s">
        <v>800</v>
      </c>
      <c r="F72" s="11">
        <v>36</v>
      </c>
      <c r="G72" s="11">
        <f>+L60</f>
        <v>43</v>
      </c>
      <c r="P72" s="11"/>
    </row>
    <row r="73" spans="3:16" x14ac:dyDescent="0.25">
      <c r="C73" s="39"/>
      <c r="E73" s="72" t="s">
        <v>801</v>
      </c>
      <c r="F73" s="11">
        <f>+F72-F74</f>
        <v>24</v>
      </c>
      <c r="G73" s="11">
        <f>+G72-G74</f>
        <v>36</v>
      </c>
      <c r="P73" s="11"/>
    </row>
    <row r="74" spans="3:16" x14ac:dyDescent="0.25">
      <c r="C74" s="39"/>
      <c r="E74" s="72" t="s">
        <v>802</v>
      </c>
      <c r="F74" s="11">
        <v>12</v>
      </c>
      <c r="G74" s="11">
        <v>7</v>
      </c>
      <c r="P74" s="11"/>
    </row>
    <row r="75" spans="3:16" x14ac:dyDescent="0.25">
      <c r="C75" s="39"/>
      <c r="E75" s="72"/>
      <c r="F75" s="11"/>
      <c r="G75" s="11"/>
      <c r="P75" s="11"/>
    </row>
    <row r="76" spans="3:16" x14ac:dyDescent="0.25">
      <c r="C76" s="39"/>
      <c r="E76" s="72" t="s">
        <v>808</v>
      </c>
      <c r="F76" s="78">
        <v>170</v>
      </c>
      <c r="G76" s="78">
        <f>SUM(I6:I57)/1000000</f>
        <v>348.82968799999998</v>
      </c>
      <c r="P76" s="11"/>
    </row>
    <row r="77" spans="3:16" x14ac:dyDescent="0.25">
      <c r="C77" s="39"/>
      <c r="E77" s="72" t="s">
        <v>806</v>
      </c>
      <c r="F77" s="75">
        <f>231/F72</f>
        <v>6.416666666666667</v>
      </c>
      <c r="G77" s="75">
        <f>(SUM(M6:M57)-M27-M37-M56)/G72</f>
        <v>5.8837209302325579</v>
      </c>
      <c r="P77" s="11"/>
    </row>
    <row r="78" spans="3:16" x14ac:dyDescent="0.25">
      <c r="C78" s="39"/>
      <c r="E78" s="72" t="s">
        <v>807</v>
      </c>
      <c r="F78" s="74">
        <v>1.024</v>
      </c>
      <c r="G78" s="74">
        <f>SUM(I6:I57)/SUM(H6:H57)</f>
        <v>0.83587858746624299</v>
      </c>
      <c r="P78" s="11"/>
    </row>
    <row r="79" spans="3:16" x14ac:dyDescent="0.25">
      <c r="C79" s="39"/>
      <c r="E79" s="72"/>
      <c r="F79" s="11"/>
      <c r="G79" s="11"/>
      <c r="P79" s="11"/>
    </row>
    <row r="80" spans="3:16" x14ac:dyDescent="0.25">
      <c r="C80" s="39"/>
      <c r="E80" s="72" t="s">
        <v>803</v>
      </c>
      <c r="F80" s="74">
        <v>0.55500000000000005</v>
      </c>
      <c r="G80" s="74">
        <f>+L63</f>
        <v>0.62790697674418605</v>
      </c>
      <c r="P80" s="11"/>
    </row>
    <row r="81" spans="3:24" x14ac:dyDescent="0.25">
      <c r="C81" s="39"/>
      <c r="E81" s="72" t="s">
        <v>804</v>
      </c>
      <c r="F81" s="74">
        <v>0.5</v>
      </c>
      <c r="G81" s="74">
        <f>+L68</f>
        <v>0.63888888888888884</v>
      </c>
      <c r="P81" s="11"/>
    </row>
    <row r="82" spans="3:24" x14ac:dyDescent="0.25">
      <c r="C82" s="39"/>
      <c r="E82" s="72" t="s">
        <v>805</v>
      </c>
      <c r="F82" s="74">
        <v>0.66700000000000004</v>
      </c>
      <c r="G82" s="74">
        <f>+H63</f>
        <v>0.5714285714285714</v>
      </c>
      <c r="P82" s="11"/>
    </row>
    <row r="83" spans="3:24" x14ac:dyDescent="0.25">
      <c r="C83" s="39"/>
      <c r="E83" s="72"/>
      <c r="F83" s="11"/>
      <c r="G83" s="11"/>
      <c r="P83" s="11"/>
    </row>
    <row r="84" spans="3:24" x14ac:dyDescent="0.25">
      <c r="C84" s="39"/>
      <c r="E84" s="72"/>
      <c r="F84" s="11"/>
      <c r="G84" s="11"/>
    </row>
    <row r="85" spans="3:24" x14ac:dyDescent="0.25">
      <c r="C85" s="79"/>
      <c r="D85" s="80"/>
      <c r="E85" s="81"/>
      <c r="F85" s="82"/>
      <c r="G85" s="82"/>
      <c r="H85" s="80"/>
      <c r="I85" s="80"/>
      <c r="J85" s="80"/>
      <c r="K85" s="80"/>
      <c r="L85" s="80"/>
      <c r="M85" s="80"/>
      <c r="N85" s="82"/>
      <c r="O85" s="80"/>
      <c r="P85" s="80"/>
      <c r="Q85" s="80"/>
      <c r="R85" s="80"/>
      <c r="S85" s="80"/>
    </row>
    <row r="86" spans="3:24" x14ac:dyDescent="0.25">
      <c r="C86" s="39"/>
      <c r="E86" s="36"/>
      <c r="G86" s="45"/>
    </row>
    <row r="87" spans="3:24" x14ac:dyDescent="0.25">
      <c r="C87" s="39"/>
      <c r="G87" s="45"/>
    </row>
    <row r="88" spans="3:24" x14ac:dyDescent="0.25">
      <c r="C88" s="39"/>
      <c r="D88" s="31" t="s">
        <v>837</v>
      </c>
      <c r="G88" s="45"/>
    </row>
    <row r="89" spans="3:24" x14ac:dyDescent="0.25">
      <c r="C89" s="39">
        <v>2016</v>
      </c>
      <c r="D89" s="62" t="s">
        <v>821</v>
      </c>
      <c r="E89" s="63" t="s">
        <v>822</v>
      </c>
      <c r="F89" s="64">
        <v>42725</v>
      </c>
      <c r="G89" s="65" t="s">
        <v>693</v>
      </c>
      <c r="H89" s="27">
        <v>600000</v>
      </c>
      <c r="I89" s="27">
        <v>421111</v>
      </c>
      <c r="J89" s="27"/>
      <c r="K89" s="26">
        <v>-0.29814833333333335</v>
      </c>
      <c r="L89" s="11" t="s">
        <v>464</v>
      </c>
      <c r="M89" s="15">
        <v>8</v>
      </c>
      <c r="N89" s="35" t="s">
        <v>25</v>
      </c>
      <c r="O89" s="15">
        <v>4</v>
      </c>
      <c r="P89" s="35" t="s">
        <v>458</v>
      </c>
      <c r="Q89" s="15"/>
      <c r="R89" s="24"/>
      <c r="S89" s="62" t="s">
        <v>616</v>
      </c>
      <c r="T89" s="15"/>
      <c r="U89" s="15">
        <v>1</v>
      </c>
      <c r="V89" s="54"/>
      <c r="W89" s="54"/>
      <c r="X89" s="54"/>
    </row>
    <row r="90" spans="3:24" x14ac:dyDescent="0.25">
      <c r="C90" s="39">
        <v>2016</v>
      </c>
      <c r="D90" s="62" t="s">
        <v>817</v>
      </c>
      <c r="E90" s="63" t="s">
        <v>818</v>
      </c>
      <c r="F90" s="64">
        <v>42719</v>
      </c>
      <c r="G90" s="65" t="s">
        <v>756</v>
      </c>
      <c r="H90" s="27">
        <v>2212000</v>
      </c>
      <c r="I90" s="27">
        <v>3028000</v>
      </c>
      <c r="J90" s="27"/>
      <c r="K90" s="26">
        <v>0.36889692585895117</v>
      </c>
      <c r="L90" s="11" t="s">
        <v>465</v>
      </c>
      <c r="M90" s="15">
        <v>1</v>
      </c>
      <c r="N90" s="35" t="s">
        <v>25</v>
      </c>
      <c r="O90" s="15">
        <v>4</v>
      </c>
      <c r="P90" s="35" t="s">
        <v>459</v>
      </c>
      <c r="Q90" s="15"/>
      <c r="R90" s="24" t="s">
        <v>782</v>
      </c>
      <c r="S90" s="62" t="s">
        <v>447</v>
      </c>
      <c r="T90" s="15"/>
      <c r="U90" s="15">
        <v>0</v>
      </c>
      <c r="V90" s="54"/>
      <c r="W90" s="54"/>
      <c r="X90" s="54"/>
    </row>
    <row r="91" spans="3:24" x14ac:dyDescent="0.25">
      <c r="C91" s="39">
        <v>2016</v>
      </c>
      <c r="D91" s="62" t="s">
        <v>812</v>
      </c>
      <c r="E91" s="63" t="s">
        <v>813</v>
      </c>
      <c r="F91" s="64">
        <v>42719</v>
      </c>
      <c r="G91" s="65" t="s">
        <v>693</v>
      </c>
      <c r="H91" s="27">
        <v>1460000</v>
      </c>
      <c r="I91" s="27">
        <v>1457020</v>
      </c>
      <c r="J91" s="27"/>
      <c r="K91" s="26">
        <v>-2.0410958904109591E-3</v>
      </c>
      <c r="L91" s="11" t="s">
        <v>464</v>
      </c>
      <c r="M91" s="15">
        <v>7</v>
      </c>
      <c r="N91" s="35" t="s">
        <v>25</v>
      </c>
      <c r="O91" s="15">
        <v>4</v>
      </c>
      <c r="P91" s="35" t="s">
        <v>492</v>
      </c>
      <c r="Q91" s="15"/>
      <c r="R91" s="24"/>
      <c r="S91" s="62" t="s">
        <v>816</v>
      </c>
      <c r="T91" s="15"/>
      <c r="U91" s="15">
        <v>1</v>
      </c>
      <c r="V91" s="54"/>
      <c r="W91" s="54"/>
      <c r="X91" s="54"/>
    </row>
    <row r="92" spans="3:24" x14ac:dyDescent="0.25">
      <c r="C92" s="39">
        <v>2016</v>
      </c>
      <c r="D92" s="62" t="s">
        <v>809</v>
      </c>
      <c r="E92" s="63" t="s">
        <v>810</v>
      </c>
      <c r="F92" s="64">
        <v>42718</v>
      </c>
      <c r="G92" s="65" t="s">
        <v>34</v>
      </c>
      <c r="H92" s="27">
        <v>61900000</v>
      </c>
      <c r="I92" s="27">
        <v>47681062</v>
      </c>
      <c r="J92" s="27"/>
      <c r="K92" s="26">
        <v>-0.22970820678513731</v>
      </c>
      <c r="L92" s="11" t="s">
        <v>464</v>
      </c>
      <c r="M92" s="15">
        <v>7</v>
      </c>
      <c r="N92" s="35" t="s">
        <v>25</v>
      </c>
      <c r="O92" s="15">
        <v>4</v>
      </c>
      <c r="P92" s="35" t="s">
        <v>492</v>
      </c>
      <c r="Q92" s="15"/>
      <c r="R92" s="24"/>
      <c r="S92" s="62" t="s">
        <v>442</v>
      </c>
      <c r="T92" s="15"/>
      <c r="U92" s="15">
        <v>1</v>
      </c>
      <c r="V92" s="54"/>
      <c r="W92" s="54"/>
      <c r="X92" s="54"/>
    </row>
    <row r="93" spans="3:24" x14ac:dyDescent="0.25">
      <c r="C93" s="39">
        <v>2016</v>
      </c>
      <c r="D93" s="62" t="s">
        <v>770</v>
      </c>
      <c r="E93" s="63" t="s">
        <v>771</v>
      </c>
      <c r="F93" s="64">
        <v>42681</v>
      </c>
      <c r="G93" s="65" t="s">
        <v>190</v>
      </c>
      <c r="H93" s="27">
        <v>850000</v>
      </c>
      <c r="I93" s="27">
        <v>651800</v>
      </c>
      <c r="J93" s="27"/>
      <c r="K93" s="26">
        <v>-0.23317647058823529</v>
      </c>
      <c r="L93" s="11" t="s">
        <v>464</v>
      </c>
      <c r="M93" s="15">
        <v>9</v>
      </c>
      <c r="N93" s="35" t="s">
        <v>25</v>
      </c>
      <c r="O93" s="15">
        <v>4</v>
      </c>
      <c r="P93" s="35" t="s">
        <v>457</v>
      </c>
      <c r="Q93" s="15"/>
      <c r="R93" s="24"/>
      <c r="S93" s="62" t="s">
        <v>630</v>
      </c>
      <c r="T93" s="15"/>
      <c r="U93" s="15">
        <v>1</v>
      </c>
      <c r="V93" s="54"/>
      <c r="W93" s="54"/>
      <c r="X93" s="54"/>
    </row>
    <row r="94" spans="3:24" x14ac:dyDescent="0.25">
      <c r="C94" s="39">
        <v>2016</v>
      </c>
      <c r="D94" s="62" t="s">
        <v>767</v>
      </c>
      <c r="E94" s="63" t="s">
        <v>768</v>
      </c>
      <c r="F94" s="64">
        <v>42668</v>
      </c>
      <c r="G94" s="65" t="s">
        <v>34</v>
      </c>
      <c r="H94" s="27">
        <v>67636000</v>
      </c>
      <c r="I94" s="27">
        <v>49942700</v>
      </c>
      <c r="J94" s="27"/>
      <c r="K94" s="26">
        <v>-0.26159589567685848</v>
      </c>
      <c r="L94" s="11" t="s">
        <v>465</v>
      </c>
      <c r="M94" s="15">
        <v>7</v>
      </c>
      <c r="N94" s="35" t="s">
        <v>25</v>
      </c>
      <c r="O94" s="15">
        <v>4</v>
      </c>
      <c r="P94" s="35" t="s">
        <v>457</v>
      </c>
      <c r="Q94" s="15"/>
      <c r="R94" s="24"/>
      <c r="S94" s="62" t="s">
        <v>630</v>
      </c>
      <c r="T94" s="15"/>
      <c r="U94" s="15">
        <v>0</v>
      </c>
      <c r="V94" s="54"/>
      <c r="W94" s="54"/>
      <c r="X94" s="54"/>
    </row>
    <row r="95" spans="3:24" x14ac:dyDescent="0.25">
      <c r="C95" s="39">
        <v>2016</v>
      </c>
      <c r="D95" s="62" t="s">
        <v>746</v>
      </c>
      <c r="E95" s="63" t="s">
        <v>747</v>
      </c>
      <c r="F95" s="64">
        <v>42648</v>
      </c>
      <c r="G95" s="65" t="s">
        <v>34</v>
      </c>
      <c r="H95" s="27">
        <v>3120000</v>
      </c>
      <c r="I95" s="27">
        <v>2147100</v>
      </c>
      <c r="J95" s="27"/>
      <c r="K95" s="26">
        <v>-0.31182692307692306</v>
      </c>
      <c r="L95" s="11" t="s">
        <v>464</v>
      </c>
      <c r="M95" s="15">
        <v>7</v>
      </c>
      <c r="N95" s="35" t="s">
        <v>25</v>
      </c>
      <c r="O95" s="15">
        <v>4</v>
      </c>
      <c r="P95" s="35" t="s">
        <v>492</v>
      </c>
      <c r="Q95" s="15"/>
      <c r="R95" s="24"/>
      <c r="S95" s="62" t="s">
        <v>752</v>
      </c>
      <c r="T95" s="15"/>
      <c r="U95" s="15">
        <v>1</v>
      </c>
      <c r="V95" s="54"/>
      <c r="W95" s="54"/>
      <c r="X95" s="54"/>
    </row>
    <row r="96" spans="3:24" x14ac:dyDescent="0.25">
      <c r="C96" s="39">
        <v>2016</v>
      </c>
      <c r="D96" s="62" t="s">
        <v>731</v>
      </c>
      <c r="E96" s="63" t="s">
        <v>732</v>
      </c>
      <c r="F96" s="64">
        <v>42612</v>
      </c>
      <c r="G96" s="65" t="s">
        <v>34</v>
      </c>
      <c r="H96" s="27">
        <v>2000000</v>
      </c>
      <c r="I96" s="27">
        <v>1460000</v>
      </c>
      <c r="J96" s="27"/>
      <c r="K96" s="26">
        <v>-0.27</v>
      </c>
      <c r="L96" s="11" t="s">
        <v>464</v>
      </c>
      <c r="M96" s="15">
        <v>10</v>
      </c>
      <c r="N96" s="35" t="s">
        <v>25</v>
      </c>
      <c r="O96" s="15">
        <v>3</v>
      </c>
      <c r="P96" s="35" t="s">
        <v>492</v>
      </c>
      <c r="Q96" s="15"/>
      <c r="R96" s="24"/>
      <c r="S96" s="62" t="s">
        <v>442</v>
      </c>
      <c r="T96" s="15"/>
      <c r="U96" s="15">
        <v>1</v>
      </c>
      <c r="V96" s="54"/>
      <c r="W96" s="54"/>
      <c r="X96" s="54"/>
    </row>
    <row r="97" spans="3:28" x14ac:dyDescent="0.25">
      <c r="C97" s="39">
        <v>2016</v>
      </c>
      <c r="D97" s="62" t="s">
        <v>727</v>
      </c>
      <c r="E97" s="63" t="s">
        <v>728</v>
      </c>
      <c r="F97" s="64">
        <v>42606</v>
      </c>
      <c r="G97" s="65" t="s">
        <v>693</v>
      </c>
      <c r="H97" s="27">
        <v>230000</v>
      </c>
      <c r="I97" s="27">
        <v>274450</v>
      </c>
      <c r="J97" s="27"/>
      <c r="K97" s="26">
        <v>0.1932608695652174</v>
      </c>
      <c r="L97" s="11" t="s">
        <v>465</v>
      </c>
      <c r="M97" s="15">
        <v>3</v>
      </c>
      <c r="N97" s="35" t="s">
        <v>25</v>
      </c>
      <c r="O97" s="15">
        <v>3</v>
      </c>
      <c r="P97" s="35" t="s">
        <v>458</v>
      </c>
      <c r="Q97" s="15"/>
      <c r="R97" s="24"/>
      <c r="S97" s="62" t="s">
        <v>616</v>
      </c>
      <c r="T97" s="15"/>
      <c r="U97" s="15">
        <v>0</v>
      </c>
      <c r="V97" s="54"/>
      <c r="W97" s="54"/>
      <c r="X97" s="54"/>
    </row>
    <row r="98" spans="3:28" x14ac:dyDescent="0.25">
      <c r="C98" s="39">
        <v>2016</v>
      </c>
      <c r="D98" s="62" t="s">
        <v>719</v>
      </c>
      <c r="E98" s="63" t="s">
        <v>720</v>
      </c>
      <c r="F98" s="64">
        <v>42601</v>
      </c>
      <c r="G98" s="65" t="s">
        <v>34</v>
      </c>
      <c r="H98" s="27">
        <v>6120000</v>
      </c>
      <c r="I98" s="27">
        <v>4674300</v>
      </c>
      <c r="J98" s="27">
        <v>4753054</v>
      </c>
      <c r="K98" s="26">
        <v>-0.23622549019607844</v>
      </c>
      <c r="L98" s="11" t="s">
        <v>464</v>
      </c>
      <c r="M98" s="15">
        <v>6</v>
      </c>
      <c r="N98" s="35" t="s">
        <v>25</v>
      </c>
      <c r="O98" s="15">
        <v>3</v>
      </c>
      <c r="P98" s="35" t="s">
        <v>459</v>
      </c>
      <c r="Q98" s="15"/>
      <c r="R98" s="24" t="s">
        <v>726</v>
      </c>
      <c r="S98" s="62" t="s">
        <v>447</v>
      </c>
      <c r="T98" s="15"/>
      <c r="U98" s="15">
        <v>1</v>
      </c>
      <c r="V98" s="54"/>
      <c r="W98" s="54"/>
      <c r="X98" s="54"/>
    </row>
    <row r="99" spans="3:28" x14ac:dyDescent="0.25">
      <c r="C99" s="39">
        <v>2016</v>
      </c>
      <c r="D99" s="62" t="s">
        <v>705</v>
      </c>
      <c r="E99" s="63" t="s">
        <v>706</v>
      </c>
      <c r="F99" s="64">
        <v>42586</v>
      </c>
      <c r="G99" s="65" t="s">
        <v>693</v>
      </c>
      <c r="H99" s="27">
        <v>800000</v>
      </c>
      <c r="I99" s="27">
        <v>485250</v>
      </c>
      <c r="J99" s="27"/>
      <c r="K99" s="26">
        <v>-0.3934375</v>
      </c>
      <c r="L99" s="11" t="s">
        <v>464</v>
      </c>
      <c r="M99" s="15">
        <v>4</v>
      </c>
      <c r="N99" s="35" t="s">
        <v>25</v>
      </c>
      <c r="O99" s="15">
        <v>3</v>
      </c>
      <c r="P99" s="35" t="s">
        <v>457</v>
      </c>
      <c r="Q99" s="15"/>
      <c r="R99" s="24"/>
      <c r="S99" s="62" t="s">
        <v>630</v>
      </c>
      <c r="T99" s="15"/>
      <c r="U99" s="15">
        <v>1</v>
      </c>
      <c r="V99" s="54"/>
      <c r="W99" s="54"/>
      <c r="X99" s="54"/>
    </row>
    <row r="100" spans="3:28" x14ac:dyDescent="0.25">
      <c r="C100" s="39">
        <v>2016</v>
      </c>
      <c r="D100" s="62" t="s">
        <v>682</v>
      </c>
      <c r="E100" s="63" t="s">
        <v>688</v>
      </c>
      <c r="F100" s="64">
        <v>42523</v>
      </c>
      <c r="G100" s="65" t="s">
        <v>689</v>
      </c>
      <c r="H100" s="27">
        <v>2253000</v>
      </c>
      <c r="I100" s="27">
        <v>2665637</v>
      </c>
      <c r="J100" s="27"/>
      <c r="K100" s="26">
        <v>0.18315002219263204</v>
      </c>
      <c r="L100" s="11" t="s">
        <v>465</v>
      </c>
      <c r="M100" s="15">
        <v>4</v>
      </c>
      <c r="N100" s="35" t="s">
        <v>25</v>
      </c>
      <c r="O100" s="15">
        <v>2</v>
      </c>
      <c r="P100" s="35" t="s">
        <v>492</v>
      </c>
      <c r="Q100" s="15"/>
      <c r="R100" s="24"/>
      <c r="S100" s="62" t="s">
        <v>634</v>
      </c>
      <c r="T100" s="15"/>
      <c r="U100" s="15">
        <v>0</v>
      </c>
      <c r="V100" s="54"/>
      <c r="W100" s="54"/>
      <c r="X100" s="54"/>
    </row>
    <row r="101" spans="3:28" x14ac:dyDescent="0.25">
      <c r="C101" s="39">
        <v>2016</v>
      </c>
      <c r="D101" s="62" t="s">
        <v>648</v>
      </c>
      <c r="E101" s="63" t="s">
        <v>649</v>
      </c>
      <c r="F101" s="64">
        <v>42500</v>
      </c>
      <c r="G101" s="65" t="s">
        <v>34</v>
      </c>
      <c r="H101" s="27">
        <v>4000000</v>
      </c>
      <c r="I101" s="27">
        <v>3838287</v>
      </c>
      <c r="J101" s="27"/>
      <c r="K101" s="26">
        <v>-4.0428249999999999E-2</v>
      </c>
      <c r="L101" s="11" t="s">
        <v>464</v>
      </c>
      <c r="M101" s="15">
        <v>11</v>
      </c>
      <c r="N101" s="35" t="s">
        <v>25</v>
      </c>
      <c r="O101" s="15">
        <v>2</v>
      </c>
      <c r="P101" s="35" t="s">
        <v>492</v>
      </c>
      <c r="Q101" s="15"/>
      <c r="R101" s="24"/>
      <c r="S101" s="62" t="s">
        <v>442</v>
      </c>
      <c r="T101" s="15"/>
      <c r="U101" s="15">
        <v>1</v>
      </c>
      <c r="V101" s="54"/>
      <c r="W101" s="54"/>
      <c r="X101" s="54"/>
    </row>
    <row r="102" spans="3:28" x14ac:dyDescent="0.25">
      <c r="C102" s="39">
        <v>2016</v>
      </c>
      <c r="D102" s="62" t="s">
        <v>635</v>
      </c>
      <c r="E102" s="63" t="s">
        <v>636</v>
      </c>
      <c r="F102" s="64">
        <v>42496</v>
      </c>
      <c r="G102" s="65" t="s">
        <v>34</v>
      </c>
      <c r="H102" s="27">
        <v>2000000</v>
      </c>
      <c r="I102" s="27">
        <v>2059960</v>
      </c>
      <c r="J102" s="27">
        <v>2059960</v>
      </c>
      <c r="K102" s="26">
        <v>2.998E-2</v>
      </c>
      <c r="L102" s="11" t="s">
        <v>464</v>
      </c>
      <c r="M102" s="15">
        <v>2</v>
      </c>
      <c r="N102" s="35" t="s">
        <v>25</v>
      </c>
      <c r="O102" s="15">
        <v>2</v>
      </c>
      <c r="P102" s="35" t="s">
        <v>457</v>
      </c>
      <c r="Q102" s="15"/>
      <c r="R102" s="24"/>
      <c r="S102" s="62" t="s">
        <v>630</v>
      </c>
      <c r="T102" s="15"/>
      <c r="U102" s="15">
        <v>1</v>
      </c>
      <c r="V102" s="54"/>
      <c r="W102" s="54"/>
      <c r="X102" s="54"/>
    </row>
    <row r="103" spans="3:28" x14ac:dyDescent="0.25">
      <c r="C103" s="39">
        <v>2016</v>
      </c>
      <c r="D103" s="62" t="s">
        <v>629</v>
      </c>
      <c r="E103" s="63" t="s">
        <v>633</v>
      </c>
      <c r="F103" s="64">
        <v>42488</v>
      </c>
      <c r="G103" s="65" t="s">
        <v>190</v>
      </c>
      <c r="H103" s="27">
        <v>1700000</v>
      </c>
      <c r="I103" s="27">
        <v>815000</v>
      </c>
      <c r="J103" s="27">
        <v>815000</v>
      </c>
      <c r="K103" s="26">
        <v>-0.52058823529411768</v>
      </c>
      <c r="L103" s="11" t="s">
        <v>465</v>
      </c>
      <c r="M103" s="15">
        <v>7</v>
      </c>
      <c r="N103" s="35" t="s">
        <v>25</v>
      </c>
      <c r="O103" s="15">
        <v>2</v>
      </c>
      <c r="P103" s="35" t="s">
        <v>457</v>
      </c>
      <c r="Q103" s="15"/>
      <c r="R103" s="24" t="s">
        <v>662</v>
      </c>
      <c r="S103" s="62" t="s">
        <v>630</v>
      </c>
      <c r="T103" s="15"/>
      <c r="U103" s="15">
        <v>0</v>
      </c>
      <c r="V103" s="54"/>
      <c r="W103" s="54"/>
      <c r="X103" s="54"/>
    </row>
    <row r="104" spans="3:28" x14ac:dyDescent="0.25">
      <c r="C104" s="39">
        <v>2016</v>
      </c>
      <c r="D104" s="62" t="s">
        <v>614</v>
      </c>
      <c r="E104" s="63" t="s">
        <v>615</v>
      </c>
      <c r="F104" s="64">
        <v>42479</v>
      </c>
      <c r="G104" s="65" t="s">
        <v>34</v>
      </c>
      <c r="H104" s="27">
        <v>670000</v>
      </c>
      <c r="I104" s="27">
        <v>897950</v>
      </c>
      <c r="J104" s="27"/>
      <c r="K104" s="26">
        <v>0.34022388059701492</v>
      </c>
      <c r="L104" s="11" t="s">
        <v>465</v>
      </c>
      <c r="M104" s="15">
        <v>5</v>
      </c>
      <c r="N104" s="35" t="s">
        <v>25</v>
      </c>
      <c r="O104" s="15">
        <v>2</v>
      </c>
      <c r="P104" s="35" t="s">
        <v>458</v>
      </c>
      <c r="Q104" s="15"/>
      <c r="R104" s="24"/>
      <c r="S104" s="62" t="s">
        <v>616</v>
      </c>
      <c r="T104" s="15"/>
      <c r="U104" s="15">
        <v>0</v>
      </c>
      <c r="V104" s="54"/>
      <c r="W104" s="54"/>
      <c r="X104" s="54"/>
    </row>
    <row r="105" spans="3:28" x14ac:dyDescent="0.25">
      <c r="C105" s="39">
        <v>2016</v>
      </c>
      <c r="D105" s="62" t="s">
        <v>609</v>
      </c>
      <c r="E105" s="63" t="s">
        <v>443</v>
      </c>
      <c r="F105" s="64">
        <v>42474</v>
      </c>
      <c r="G105" s="65" t="s">
        <v>34</v>
      </c>
      <c r="H105" s="27">
        <v>700000</v>
      </c>
      <c r="I105" s="27">
        <v>442247</v>
      </c>
      <c r="J105" s="27"/>
      <c r="K105" s="26">
        <v>-0.36821857142857145</v>
      </c>
      <c r="L105" s="11" t="s">
        <v>464</v>
      </c>
      <c r="M105" s="15">
        <v>6</v>
      </c>
      <c r="N105" s="35" t="s">
        <v>25</v>
      </c>
      <c r="O105" s="15">
        <v>2</v>
      </c>
      <c r="P105" s="35" t="s">
        <v>492</v>
      </c>
      <c r="Q105" s="15"/>
      <c r="R105" s="24"/>
      <c r="S105" s="62" t="s">
        <v>442</v>
      </c>
      <c r="T105" s="15"/>
      <c r="U105" s="15">
        <v>1</v>
      </c>
      <c r="V105" s="54"/>
      <c r="W105" s="54"/>
      <c r="X105" s="54"/>
    </row>
    <row r="106" spans="3:28" x14ac:dyDescent="0.25">
      <c r="C106" s="39">
        <v>2016</v>
      </c>
      <c r="D106" s="62" t="s">
        <v>599</v>
      </c>
      <c r="E106" s="63" t="s">
        <v>600</v>
      </c>
      <c r="F106" s="64">
        <v>42473</v>
      </c>
      <c r="G106" s="65" t="s">
        <v>34</v>
      </c>
      <c r="H106" s="27">
        <v>1900000</v>
      </c>
      <c r="I106" s="27">
        <v>1348800</v>
      </c>
      <c r="J106" s="27">
        <v>1348800</v>
      </c>
      <c r="K106" s="26">
        <v>-0.29010526315789475</v>
      </c>
      <c r="L106" s="11" t="s">
        <v>464</v>
      </c>
      <c r="M106" s="15">
        <v>11</v>
      </c>
      <c r="N106" s="35" t="s">
        <v>25</v>
      </c>
      <c r="O106" s="15">
        <v>2</v>
      </c>
      <c r="P106" s="35" t="s">
        <v>459</v>
      </c>
      <c r="Q106" s="15"/>
      <c r="R106" s="24" t="s">
        <v>608</v>
      </c>
      <c r="S106" s="62" t="s">
        <v>447</v>
      </c>
      <c r="T106" s="15"/>
      <c r="U106" s="15">
        <v>1</v>
      </c>
      <c r="V106" s="54"/>
      <c r="W106" s="54"/>
      <c r="X106" s="54"/>
    </row>
    <row r="107" spans="3:28" x14ac:dyDescent="0.25">
      <c r="C107" s="39">
        <v>2016</v>
      </c>
      <c r="D107" s="15" t="s">
        <v>565</v>
      </c>
      <c r="E107" s="24" t="s">
        <v>566</v>
      </c>
      <c r="F107" s="25">
        <v>42450</v>
      </c>
      <c r="G107" s="46" t="s">
        <v>190</v>
      </c>
      <c r="H107" s="27">
        <v>13100000</v>
      </c>
      <c r="I107" s="27">
        <v>14145813</v>
      </c>
      <c r="J107" s="27"/>
      <c r="K107" s="26">
        <v>7.9833053435114501E-2</v>
      </c>
      <c r="L107" s="11" t="s">
        <v>464</v>
      </c>
      <c r="M107" s="15">
        <v>5</v>
      </c>
      <c r="N107" s="35" t="s">
        <v>25</v>
      </c>
      <c r="O107" s="15">
        <v>1</v>
      </c>
      <c r="P107" s="35" t="s">
        <v>492</v>
      </c>
      <c r="Q107" s="15"/>
      <c r="R107" s="24"/>
      <c r="S107" s="15" t="s">
        <v>442</v>
      </c>
      <c r="T107" s="15"/>
      <c r="U107" s="15">
        <v>1</v>
      </c>
      <c r="V107" s="54"/>
      <c r="W107" s="54"/>
      <c r="X107" s="54"/>
      <c r="Z107" s="4"/>
      <c r="AA107" s="4">
        <v>116652275</v>
      </c>
      <c r="AB107" s="7">
        <v>1.2241595802567931</v>
      </c>
    </row>
    <row r="108" spans="3:28" x14ac:dyDescent="0.25">
      <c r="C108" s="39">
        <v>2016</v>
      </c>
      <c r="D108" s="15" t="s">
        <v>552</v>
      </c>
      <c r="E108" s="24" t="s">
        <v>553</v>
      </c>
      <c r="F108" s="25">
        <v>42438</v>
      </c>
      <c r="G108" s="46" t="s">
        <v>34</v>
      </c>
      <c r="H108" s="27">
        <v>25210000</v>
      </c>
      <c r="I108" s="27">
        <v>17827873</v>
      </c>
      <c r="J108" s="27"/>
      <c r="K108" s="26">
        <v>-0.29282534708449026</v>
      </c>
      <c r="L108" s="11" t="s">
        <v>465</v>
      </c>
      <c r="M108" s="15">
        <v>13</v>
      </c>
      <c r="N108" s="35" t="s">
        <v>25</v>
      </c>
      <c r="O108" s="15">
        <v>1</v>
      </c>
      <c r="P108" s="35" t="s">
        <v>458</v>
      </c>
      <c r="Q108" s="15"/>
      <c r="R108" s="24"/>
      <c r="S108" s="15" t="s">
        <v>447</v>
      </c>
      <c r="T108" s="15"/>
      <c r="U108" s="15">
        <v>0</v>
      </c>
      <c r="V108" s="54"/>
      <c r="W108" s="54"/>
      <c r="X108" s="54"/>
    </row>
    <row r="109" spans="3:28" x14ac:dyDescent="0.25">
      <c r="C109" s="39">
        <v>2016</v>
      </c>
      <c r="D109" s="15" t="s">
        <v>503</v>
      </c>
      <c r="E109" s="24" t="s">
        <v>518</v>
      </c>
      <c r="F109" s="25">
        <v>42411</v>
      </c>
      <c r="G109" s="46" t="s">
        <v>34</v>
      </c>
      <c r="H109" s="27">
        <v>69865000</v>
      </c>
      <c r="I109" s="27">
        <v>57000000</v>
      </c>
      <c r="J109" s="27"/>
      <c r="K109" s="26">
        <v>-0.18414084305446218</v>
      </c>
      <c r="L109" s="11" t="s">
        <v>464</v>
      </c>
      <c r="M109" s="15">
        <v>11</v>
      </c>
      <c r="N109" s="35" t="s">
        <v>25</v>
      </c>
      <c r="O109" s="15">
        <v>1</v>
      </c>
      <c r="P109" s="35" t="s">
        <v>457</v>
      </c>
      <c r="Q109" s="15"/>
      <c r="R109" s="24"/>
      <c r="S109" s="15" t="s">
        <v>840</v>
      </c>
      <c r="T109" s="15"/>
      <c r="U109" s="15">
        <v>1</v>
      </c>
      <c r="V109" s="54"/>
      <c r="W109" s="54"/>
      <c r="X109" s="54"/>
    </row>
    <row r="110" spans="3:28" x14ac:dyDescent="0.25">
      <c r="C110" s="39">
        <v>2016</v>
      </c>
      <c r="D110" s="15" t="s">
        <v>543</v>
      </c>
      <c r="E110" s="24" t="s">
        <v>544</v>
      </c>
      <c r="F110" s="25">
        <v>42391</v>
      </c>
      <c r="G110" s="46" t="s">
        <v>34</v>
      </c>
      <c r="H110" s="27">
        <v>4574000</v>
      </c>
      <c r="I110" s="27">
        <v>3774000</v>
      </c>
      <c r="J110" s="27">
        <v>3774000</v>
      </c>
      <c r="K110" s="26">
        <v>-0.17490161783996502</v>
      </c>
      <c r="L110" s="11" t="s">
        <v>464</v>
      </c>
      <c r="M110" s="15">
        <v>4</v>
      </c>
      <c r="N110" s="35" t="s">
        <v>25</v>
      </c>
      <c r="O110" s="15">
        <v>1</v>
      </c>
      <c r="P110" s="35" t="s">
        <v>459</v>
      </c>
      <c r="Q110" s="15"/>
      <c r="R110" s="24"/>
      <c r="S110" s="15" t="s">
        <v>447</v>
      </c>
      <c r="T110" s="15"/>
      <c r="U110" s="15">
        <v>1</v>
      </c>
      <c r="V110" s="54"/>
      <c r="W110" s="54"/>
      <c r="X110" s="54"/>
    </row>
    <row r="111" spans="3:28" x14ac:dyDescent="0.25">
      <c r="C111" s="39">
        <v>2016</v>
      </c>
      <c r="D111" s="15" t="s">
        <v>481</v>
      </c>
      <c r="E111" s="24" t="s">
        <v>482</v>
      </c>
      <c r="F111" s="25">
        <v>42389</v>
      </c>
      <c r="G111" s="46" t="s">
        <v>34</v>
      </c>
      <c r="H111" s="27">
        <v>10000000</v>
      </c>
      <c r="I111" s="27">
        <v>6499990</v>
      </c>
      <c r="J111" s="27"/>
      <c r="K111" s="26">
        <v>-0.35000100000000001</v>
      </c>
      <c r="L111" s="11" t="s">
        <v>465</v>
      </c>
      <c r="M111" s="15">
        <v>6</v>
      </c>
      <c r="N111" s="35" t="s">
        <v>25</v>
      </c>
      <c r="O111" s="15">
        <v>1</v>
      </c>
      <c r="P111" s="35" t="s">
        <v>492</v>
      </c>
      <c r="Q111" s="15"/>
      <c r="R111" s="24"/>
      <c r="S111" s="15" t="s">
        <v>442</v>
      </c>
      <c r="T111" s="15"/>
      <c r="U111" s="15">
        <v>0</v>
      </c>
      <c r="V111" s="54"/>
      <c r="W111" s="54"/>
      <c r="X111" s="54"/>
    </row>
    <row r="112" spans="3:28" x14ac:dyDescent="0.25">
      <c r="C112" s="39">
        <v>2016</v>
      </c>
      <c r="D112" s="15" t="s">
        <v>467</v>
      </c>
      <c r="E112" s="24" t="s">
        <v>468</v>
      </c>
      <c r="F112" s="25">
        <v>42383</v>
      </c>
      <c r="G112" s="46" t="s">
        <v>177</v>
      </c>
      <c r="H112" s="27">
        <v>1200000</v>
      </c>
      <c r="I112" s="27">
        <v>1050050</v>
      </c>
      <c r="J112" s="27"/>
      <c r="K112" s="26">
        <v>-0.12495833333333334</v>
      </c>
      <c r="L112" s="11" t="s">
        <v>464</v>
      </c>
      <c r="M112" s="15">
        <v>6</v>
      </c>
      <c r="N112" s="35" t="s">
        <v>25</v>
      </c>
      <c r="O112" s="15">
        <v>1</v>
      </c>
      <c r="P112" s="35" t="s">
        <v>492</v>
      </c>
      <c r="Q112" s="15"/>
      <c r="R112" s="24"/>
      <c r="S112" s="15" t="s">
        <v>442</v>
      </c>
      <c r="T112" s="15"/>
      <c r="U112" s="15">
        <v>1</v>
      </c>
      <c r="V112" s="54"/>
      <c r="W112" s="54"/>
      <c r="X112" s="54"/>
    </row>
    <row r="113" spans="3:24" x14ac:dyDescent="0.25">
      <c r="C113" s="39"/>
      <c r="E113" s="85"/>
      <c r="F113" s="85"/>
      <c r="G113" s="85"/>
      <c r="H113" s="86">
        <f>SUM(H89:H112)</f>
        <v>284100000</v>
      </c>
      <c r="I113" s="86">
        <f>SUM(I89:I112)</f>
        <v>224588400</v>
      </c>
      <c r="J113" s="85"/>
      <c r="K113" s="87">
        <f>+I113/H113</f>
        <v>0.79052587117212247</v>
      </c>
      <c r="L113" s="85">
        <f>COUNTA(L88:L112)</f>
        <v>24</v>
      </c>
      <c r="M113" s="88">
        <f>SUM(M89:M112)/L113</f>
        <v>6.666666666666667</v>
      </c>
      <c r="N113" s="89">
        <v>0.67</v>
      </c>
      <c r="O113" s="85"/>
      <c r="P113" s="85"/>
      <c r="Q113" s="85"/>
    </row>
    <row r="114" spans="3:24" x14ac:dyDescent="0.25">
      <c r="C114" s="39"/>
      <c r="G114" s="45"/>
    </row>
    <row r="115" spans="3:24" x14ac:dyDescent="0.25">
      <c r="C115" s="39"/>
      <c r="D115" s="83" t="s">
        <v>838</v>
      </c>
      <c r="G115" s="45"/>
    </row>
    <row r="116" spans="3:24" x14ac:dyDescent="0.25">
      <c r="C116" s="39">
        <v>2016</v>
      </c>
      <c r="D116" s="62" t="s">
        <v>796</v>
      </c>
      <c r="E116" s="63" t="s">
        <v>797</v>
      </c>
      <c r="F116" s="64">
        <v>42712</v>
      </c>
      <c r="G116" s="65" t="s">
        <v>34</v>
      </c>
      <c r="H116" s="27">
        <v>2170000</v>
      </c>
      <c r="I116" s="27">
        <v>1903225</v>
      </c>
      <c r="J116" s="27"/>
      <c r="K116" s="26">
        <v>-0.12293778801843318</v>
      </c>
      <c r="L116" s="11" t="s">
        <v>464</v>
      </c>
      <c r="M116" s="15">
        <v>5</v>
      </c>
      <c r="N116" s="35" t="s">
        <v>93</v>
      </c>
      <c r="O116" s="15">
        <v>4</v>
      </c>
      <c r="P116" s="35" t="s">
        <v>458</v>
      </c>
      <c r="Q116" s="15"/>
      <c r="R116" s="24"/>
      <c r="S116" s="62" t="s">
        <v>616</v>
      </c>
      <c r="T116" s="15"/>
      <c r="U116" s="15">
        <v>1</v>
      </c>
      <c r="V116" s="54"/>
      <c r="W116" s="54"/>
      <c r="X116" s="54"/>
    </row>
    <row r="117" spans="3:24" x14ac:dyDescent="0.25">
      <c r="C117" s="39">
        <v>2016</v>
      </c>
      <c r="D117" s="62" t="s">
        <v>783</v>
      </c>
      <c r="E117" s="63" t="s">
        <v>785</v>
      </c>
      <c r="F117" s="64">
        <v>42703</v>
      </c>
      <c r="G117" s="65" t="s">
        <v>34</v>
      </c>
      <c r="H117" s="27">
        <v>1763000</v>
      </c>
      <c r="I117" s="27">
        <v>2233850</v>
      </c>
      <c r="J117" s="27"/>
      <c r="K117" s="26">
        <v>0.26707317073170733</v>
      </c>
      <c r="L117" s="11" t="s">
        <v>465</v>
      </c>
      <c r="M117" s="15">
        <v>2</v>
      </c>
      <c r="N117" s="35" t="s">
        <v>93</v>
      </c>
      <c r="O117" s="15">
        <v>4</v>
      </c>
      <c r="P117" s="35" t="s">
        <v>458</v>
      </c>
      <c r="Q117" s="15"/>
      <c r="R117" s="24"/>
      <c r="S117" s="62" t="s">
        <v>784</v>
      </c>
      <c r="T117" s="15"/>
      <c r="U117" s="15">
        <v>0</v>
      </c>
      <c r="V117" s="54"/>
      <c r="W117" s="54"/>
      <c r="X117" s="54"/>
    </row>
    <row r="118" spans="3:24" x14ac:dyDescent="0.25">
      <c r="C118" s="39">
        <v>2016</v>
      </c>
      <c r="D118" s="62" t="s">
        <v>758</v>
      </c>
      <c r="E118" s="63" t="s">
        <v>759</v>
      </c>
      <c r="F118" s="64">
        <v>42667</v>
      </c>
      <c r="G118" s="65" t="s">
        <v>34</v>
      </c>
      <c r="H118" s="27">
        <v>2400000</v>
      </c>
      <c r="I118" s="27">
        <v>3617000</v>
      </c>
      <c r="J118" s="27"/>
      <c r="K118" s="26">
        <v>0.50708333333333333</v>
      </c>
      <c r="L118" s="11" t="s">
        <v>465</v>
      </c>
      <c r="M118" s="15">
        <v>2</v>
      </c>
      <c r="N118" s="35" t="s">
        <v>93</v>
      </c>
      <c r="O118" s="15">
        <v>4</v>
      </c>
      <c r="P118" s="35" t="s">
        <v>459</v>
      </c>
      <c r="Q118" s="15"/>
      <c r="R118" s="24"/>
      <c r="S118" s="62" t="s">
        <v>447</v>
      </c>
      <c r="T118" s="15"/>
      <c r="U118" s="15">
        <v>0</v>
      </c>
      <c r="V118" s="54"/>
      <c r="W118" s="54"/>
      <c r="X118" s="54"/>
    </row>
    <row r="119" spans="3:24" x14ac:dyDescent="0.25">
      <c r="C119" s="39">
        <v>2016</v>
      </c>
      <c r="D119" s="62" t="s">
        <v>743</v>
      </c>
      <c r="E119" s="63" t="s">
        <v>744</v>
      </c>
      <c r="F119" s="64">
        <v>42626</v>
      </c>
      <c r="G119" s="65" t="s">
        <v>190</v>
      </c>
      <c r="H119" s="27">
        <v>73640000</v>
      </c>
      <c r="I119" s="27">
        <v>68462700</v>
      </c>
      <c r="J119" s="27"/>
      <c r="K119" s="26">
        <v>-7.0305540467137426E-2</v>
      </c>
      <c r="L119" s="11" t="s">
        <v>464</v>
      </c>
      <c r="M119" s="15">
        <v>2</v>
      </c>
      <c r="N119" s="35" t="s">
        <v>93</v>
      </c>
      <c r="O119" s="15">
        <v>3</v>
      </c>
      <c r="P119" s="35" t="s">
        <v>458</v>
      </c>
      <c r="Q119" s="15"/>
      <c r="R119" s="24"/>
      <c r="S119" s="62" t="s">
        <v>442</v>
      </c>
      <c r="T119" s="15"/>
      <c r="U119" s="15">
        <v>1</v>
      </c>
      <c r="V119" s="54"/>
      <c r="W119" s="54"/>
      <c r="X119" s="54"/>
    </row>
    <row r="120" spans="3:24" x14ac:dyDescent="0.25">
      <c r="C120" s="39">
        <v>2016</v>
      </c>
      <c r="D120" s="62" t="s">
        <v>716</v>
      </c>
      <c r="E120" s="63" t="s">
        <v>717</v>
      </c>
      <c r="F120" s="64">
        <v>42593</v>
      </c>
      <c r="G120" s="65" t="s">
        <v>34</v>
      </c>
      <c r="H120" s="27">
        <v>1450000</v>
      </c>
      <c r="I120" s="27">
        <v>763000</v>
      </c>
      <c r="J120" s="27"/>
      <c r="K120" s="26">
        <v>-0.47379310344827585</v>
      </c>
      <c r="L120" s="11" t="s">
        <v>464</v>
      </c>
      <c r="M120" s="15">
        <v>6</v>
      </c>
      <c r="N120" s="35" t="s">
        <v>93</v>
      </c>
      <c r="O120" s="15">
        <v>3</v>
      </c>
      <c r="P120" s="35" t="s">
        <v>457</v>
      </c>
      <c r="Q120" s="15"/>
      <c r="R120" s="24"/>
      <c r="S120" s="62" t="s">
        <v>630</v>
      </c>
      <c r="T120" s="15"/>
      <c r="U120" s="15">
        <v>1</v>
      </c>
      <c r="V120" s="54"/>
      <c r="W120" s="54"/>
      <c r="X120" s="54"/>
    </row>
    <row r="121" spans="3:24" x14ac:dyDescent="0.25">
      <c r="C121" s="39">
        <v>2016</v>
      </c>
      <c r="D121" s="62" t="s">
        <v>711</v>
      </c>
      <c r="E121" s="63" t="s">
        <v>712</v>
      </c>
      <c r="F121" s="64">
        <v>42587</v>
      </c>
      <c r="G121" s="65"/>
      <c r="H121" s="27"/>
      <c r="I121" s="27"/>
      <c r="J121" s="27"/>
      <c r="K121" s="26"/>
      <c r="L121" s="11"/>
      <c r="M121" s="15">
        <v>4</v>
      </c>
      <c r="N121" s="35" t="s">
        <v>93</v>
      </c>
      <c r="O121" s="15">
        <v>3</v>
      </c>
      <c r="P121" s="35" t="s">
        <v>457</v>
      </c>
      <c r="Q121" s="15"/>
      <c r="R121" s="24" t="s">
        <v>753</v>
      </c>
      <c r="S121" s="62" t="s">
        <v>630</v>
      </c>
      <c r="T121" s="15"/>
      <c r="U121" s="15"/>
      <c r="V121" s="54"/>
      <c r="W121" s="54"/>
      <c r="X121" s="54"/>
    </row>
    <row r="122" spans="3:24" x14ac:dyDescent="0.25">
      <c r="C122" s="39">
        <v>2016</v>
      </c>
      <c r="D122" s="62" t="s">
        <v>694</v>
      </c>
      <c r="E122" s="63" t="s">
        <v>695</v>
      </c>
      <c r="F122" s="64">
        <v>42584</v>
      </c>
      <c r="G122" s="65" t="s">
        <v>34</v>
      </c>
      <c r="H122" s="27">
        <v>1750000</v>
      </c>
      <c r="I122" s="27">
        <v>1930000</v>
      </c>
      <c r="J122" s="27">
        <v>1930000</v>
      </c>
      <c r="K122" s="26">
        <v>0.10285714285714286</v>
      </c>
      <c r="L122" s="11" t="s">
        <v>464</v>
      </c>
      <c r="M122" s="15">
        <v>9</v>
      </c>
      <c r="N122" s="35" t="s">
        <v>93</v>
      </c>
      <c r="O122" s="15">
        <v>3</v>
      </c>
      <c r="P122" s="35" t="s">
        <v>458</v>
      </c>
      <c r="Q122" s="15"/>
      <c r="R122" s="24"/>
      <c r="S122" s="62" t="s">
        <v>442</v>
      </c>
      <c r="T122" s="15"/>
      <c r="U122" s="15">
        <v>1</v>
      </c>
      <c r="V122" s="54"/>
      <c r="W122" s="54"/>
      <c r="X122" s="54"/>
    </row>
    <row r="123" spans="3:24" x14ac:dyDescent="0.25">
      <c r="C123" s="39">
        <v>2016</v>
      </c>
      <c r="D123" s="62" t="s">
        <v>691</v>
      </c>
      <c r="E123" s="63" t="s">
        <v>692</v>
      </c>
      <c r="F123" s="64">
        <v>42579</v>
      </c>
      <c r="G123" s="65" t="s">
        <v>693</v>
      </c>
      <c r="H123" s="27">
        <v>1636000</v>
      </c>
      <c r="I123" s="27">
        <v>1365000</v>
      </c>
      <c r="J123" s="27"/>
      <c r="K123" s="26">
        <v>-0.1656479217603912</v>
      </c>
      <c r="L123" s="11" t="s">
        <v>464</v>
      </c>
      <c r="M123" s="15">
        <v>3</v>
      </c>
      <c r="N123" s="35" t="s">
        <v>93</v>
      </c>
      <c r="O123" s="15">
        <v>3</v>
      </c>
      <c r="P123" s="35" t="s">
        <v>457</v>
      </c>
      <c r="Q123" s="15"/>
      <c r="R123" s="24"/>
      <c r="S123" s="62" t="s">
        <v>630</v>
      </c>
      <c r="T123" s="15"/>
      <c r="U123" s="15">
        <v>1</v>
      </c>
      <c r="V123" s="54"/>
      <c r="W123" s="54"/>
      <c r="X123" s="54"/>
    </row>
    <row r="124" spans="3:24" x14ac:dyDescent="0.25">
      <c r="C124" s="39">
        <v>2016</v>
      </c>
      <c r="D124" s="62" t="s">
        <v>670</v>
      </c>
      <c r="E124" s="63" t="s">
        <v>671</v>
      </c>
      <c r="F124" s="64">
        <v>42538</v>
      </c>
      <c r="G124" s="65" t="s">
        <v>34</v>
      </c>
      <c r="H124" s="27">
        <v>1800000</v>
      </c>
      <c r="I124" s="27">
        <v>1628370</v>
      </c>
      <c r="J124" s="27">
        <v>1628370</v>
      </c>
      <c r="K124" s="26">
        <v>-9.5350000000000004E-2</v>
      </c>
      <c r="L124" s="11" t="s">
        <v>464</v>
      </c>
      <c r="M124" s="15">
        <v>13</v>
      </c>
      <c r="N124" s="35" t="s">
        <v>93</v>
      </c>
      <c r="O124" s="15">
        <v>2</v>
      </c>
      <c r="P124" s="35" t="s">
        <v>457</v>
      </c>
      <c r="Q124" s="15"/>
      <c r="R124" s="24"/>
      <c r="S124" s="62" t="s">
        <v>630</v>
      </c>
      <c r="T124" s="15"/>
      <c r="U124" s="15">
        <v>1</v>
      </c>
      <c r="V124" s="54"/>
      <c r="W124" s="54"/>
      <c r="X124" s="54"/>
    </row>
    <row r="125" spans="3:24" x14ac:dyDescent="0.25">
      <c r="C125" s="39">
        <v>2016</v>
      </c>
      <c r="D125" s="62" t="s">
        <v>663</v>
      </c>
      <c r="E125" s="63" t="s">
        <v>664</v>
      </c>
      <c r="F125" s="64">
        <v>42514</v>
      </c>
      <c r="G125" s="65" t="s">
        <v>190</v>
      </c>
      <c r="H125" s="27">
        <v>1930000</v>
      </c>
      <c r="I125" s="27">
        <v>2277000</v>
      </c>
      <c r="J125" s="27"/>
      <c r="K125" s="26">
        <v>0.17979274611398963</v>
      </c>
      <c r="L125" s="11" t="s">
        <v>465</v>
      </c>
      <c r="M125" s="15">
        <v>4</v>
      </c>
      <c r="N125" s="35" t="s">
        <v>93</v>
      </c>
      <c r="O125" s="15">
        <v>2</v>
      </c>
      <c r="P125" s="35" t="s">
        <v>458</v>
      </c>
      <c r="Q125" s="15"/>
      <c r="R125" s="24" t="s">
        <v>667</v>
      </c>
      <c r="S125" s="62" t="s">
        <v>841</v>
      </c>
      <c r="T125" s="15"/>
      <c r="U125" s="15">
        <v>0</v>
      </c>
      <c r="V125" s="54"/>
      <c r="W125" s="54"/>
      <c r="X125" s="54"/>
    </row>
    <row r="126" spans="3:24" x14ac:dyDescent="0.25">
      <c r="C126" s="39">
        <v>2016</v>
      </c>
      <c r="D126" s="62" t="s">
        <v>625</v>
      </c>
      <c r="E126" s="63" t="s">
        <v>632</v>
      </c>
      <c r="F126" s="64">
        <v>42486</v>
      </c>
      <c r="G126" s="65" t="s">
        <v>34</v>
      </c>
      <c r="H126" s="27">
        <v>600000</v>
      </c>
      <c r="I126" s="27">
        <v>675000</v>
      </c>
      <c r="J126" s="27">
        <v>675000</v>
      </c>
      <c r="K126" s="26">
        <v>0.125</v>
      </c>
      <c r="L126" s="11" t="s">
        <v>465</v>
      </c>
      <c r="M126" s="15">
        <v>3</v>
      </c>
      <c r="N126" s="35" t="s">
        <v>93</v>
      </c>
      <c r="O126" s="15">
        <v>2</v>
      </c>
      <c r="P126" s="35" t="s">
        <v>457</v>
      </c>
      <c r="Q126" s="15"/>
      <c r="R126" s="24"/>
      <c r="S126" s="62" t="s">
        <v>447</v>
      </c>
      <c r="T126" s="15"/>
      <c r="U126" s="15">
        <v>0</v>
      </c>
      <c r="V126" s="54"/>
      <c r="W126" s="54"/>
      <c r="X126" s="54"/>
    </row>
    <row r="127" spans="3:24" x14ac:dyDescent="0.25">
      <c r="C127" s="39">
        <v>2016</v>
      </c>
      <c r="D127" s="62" t="s">
        <v>590</v>
      </c>
      <c r="E127" s="63" t="s">
        <v>591</v>
      </c>
      <c r="F127" s="64">
        <v>42465</v>
      </c>
      <c r="G127" s="65" t="s">
        <v>34</v>
      </c>
      <c r="H127" s="27">
        <v>1300000</v>
      </c>
      <c r="I127" s="27">
        <v>1334000</v>
      </c>
      <c r="J127" s="27"/>
      <c r="K127" s="26">
        <v>2.6153846153846153E-2</v>
      </c>
      <c r="L127" s="11" t="s">
        <v>464</v>
      </c>
      <c r="M127" s="15">
        <v>6</v>
      </c>
      <c r="N127" s="35" t="s">
        <v>93</v>
      </c>
      <c r="O127" s="15">
        <v>2</v>
      </c>
      <c r="P127" s="35" t="s">
        <v>458</v>
      </c>
      <c r="Q127" s="15"/>
      <c r="R127" s="24"/>
      <c r="S127" s="62" t="s">
        <v>494</v>
      </c>
      <c r="T127" s="15"/>
      <c r="U127" s="15">
        <v>1</v>
      </c>
      <c r="V127" s="54"/>
      <c r="W127" s="54"/>
      <c r="X127" s="54"/>
    </row>
    <row r="128" spans="3:24" x14ac:dyDescent="0.25">
      <c r="C128" s="39">
        <v>2016</v>
      </c>
      <c r="D128" s="15" t="s">
        <v>520</v>
      </c>
      <c r="E128" s="24" t="s">
        <v>550</v>
      </c>
      <c r="F128" s="25">
        <v>42418</v>
      </c>
      <c r="G128" s="46" t="s">
        <v>34</v>
      </c>
      <c r="H128" s="27">
        <v>3250000</v>
      </c>
      <c r="I128" s="27">
        <v>2849549</v>
      </c>
      <c r="J128" s="27"/>
      <c r="K128" s="26">
        <v>-0.1232156923076923</v>
      </c>
      <c r="L128" s="11" t="s">
        <v>464</v>
      </c>
      <c r="M128" s="15">
        <v>12</v>
      </c>
      <c r="N128" s="35" t="s">
        <v>93</v>
      </c>
      <c r="O128" s="15">
        <v>1</v>
      </c>
      <c r="P128" s="35" t="s">
        <v>458</v>
      </c>
      <c r="Q128" s="15"/>
      <c r="R128" s="24"/>
      <c r="S128" s="15" t="s">
        <v>494</v>
      </c>
      <c r="T128" s="15"/>
      <c r="U128" s="15">
        <v>1</v>
      </c>
      <c r="V128" s="54"/>
      <c r="W128" s="54"/>
      <c r="X128" s="54"/>
    </row>
    <row r="129" spans="3:24" x14ac:dyDescent="0.25">
      <c r="C129" s="39">
        <v>2016</v>
      </c>
      <c r="D129" s="15" t="s">
        <v>538</v>
      </c>
      <c r="E129" s="24" t="s">
        <v>539</v>
      </c>
      <c r="F129" s="25">
        <v>42404</v>
      </c>
      <c r="G129" s="46" t="s">
        <v>34</v>
      </c>
      <c r="H129" s="27">
        <v>4072000</v>
      </c>
      <c r="I129" s="27">
        <v>2733000</v>
      </c>
      <c r="J129" s="27"/>
      <c r="K129" s="26">
        <v>-0.3288310412573674</v>
      </c>
      <c r="L129" s="11" t="s">
        <v>465</v>
      </c>
      <c r="M129" s="15">
        <v>3</v>
      </c>
      <c r="N129" s="35" t="s">
        <v>93</v>
      </c>
      <c r="O129" s="15">
        <v>1</v>
      </c>
      <c r="P129" s="35" t="s">
        <v>458</v>
      </c>
      <c r="Q129" s="15"/>
      <c r="R129" s="24"/>
      <c r="S129" s="15" t="s">
        <v>494</v>
      </c>
      <c r="T129" s="15"/>
      <c r="U129" s="15">
        <v>0</v>
      </c>
      <c r="V129" s="54"/>
      <c r="W129" s="54"/>
      <c r="X129" s="54"/>
    </row>
    <row r="130" spans="3:24" x14ac:dyDescent="0.25">
      <c r="C130" s="39">
        <v>2016</v>
      </c>
      <c r="D130" s="15" t="s">
        <v>493</v>
      </c>
      <c r="E130" s="24" t="s">
        <v>495</v>
      </c>
      <c r="F130" s="25">
        <v>42394</v>
      </c>
      <c r="G130" s="46" t="s">
        <v>34</v>
      </c>
      <c r="H130" s="27">
        <v>2530000</v>
      </c>
      <c r="I130" s="27">
        <v>1836000</v>
      </c>
      <c r="J130" s="27"/>
      <c r="K130" s="26">
        <v>-0.27430830039525694</v>
      </c>
      <c r="L130" s="11" t="s">
        <v>464</v>
      </c>
      <c r="M130" s="15">
        <v>7</v>
      </c>
      <c r="N130" s="35" t="s">
        <v>93</v>
      </c>
      <c r="O130" s="15">
        <v>1</v>
      </c>
      <c r="P130" s="35" t="s">
        <v>458</v>
      </c>
      <c r="Q130" s="15"/>
      <c r="R130" s="24"/>
      <c r="S130" s="15" t="s">
        <v>494</v>
      </c>
      <c r="T130" s="15"/>
      <c r="U130" s="15">
        <v>1</v>
      </c>
      <c r="V130" s="54"/>
      <c r="W130" s="54"/>
      <c r="X130" s="54"/>
    </row>
    <row r="131" spans="3:24" x14ac:dyDescent="0.25">
      <c r="C131" s="39">
        <v>2016</v>
      </c>
      <c r="D131" s="15" t="s">
        <v>448</v>
      </c>
      <c r="E131" s="24" t="s">
        <v>449</v>
      </c>
      <c r="F131" s="25">
        <v>42388</v>
      </c>
      <c r="G131" s="46" t="s">
        <v>190</v>
      </c>
      <c r="H131" s="27">
        <v>9000000</v>
      </c>
      <c r="I131" s="27">
        <v>8936000</v>
      </c>
      <c r="J131" s="27"/>
      <c r="K131" s="26">
        <v>-7.1111111111111115E-3</v>
      </c>
      <c r="L131" s="11" t="s">
        <v>464</v>
      </c>
      <c r="M131" s="15">
        <v>3</v>
      </c>
      <c r="N131" s="35" t="s">
        <v>93</v>
      </c>
      <c r="O131" s="15">
        <v>1</v>
      </c>
      <c r="P131" s="35" t="s">
        <v>455</v>
      </c>
      <c r="Q131" s="15"/>
      <c r="R131" s="24"/>
      <c r="S131" s="15" t="s">
        <v>447</v>
      </c>
      <c r="T131" s="15"/>
      <c r="U131" s="15">
        <v>1</v>
      </c>
      <c r="V131" s="54"/>
      <c r="W131" s="54"/>
      <c r="X131" s="54"/>
    </row>
    <row r="132" spans="3:24" x14ac:dyDescent="0.25">
      <c r="C132" s="39">
        <v>2016</v>
      </c>
      <c r="D132" s="15" t="s">
        <v>448</v>
      </c>
      <c r="E132" s="24" t="s">
        <v>449</v>
      </c>
      <c r="F132" s="25">
        <v>42374</v>
      </c>
      <c r="G132" s="46" t="s">
        <v>190</v>
      </c>
      <c r="H132" s="27"/>
      <c r="I132" s="27"/>
      <c r="J132" s="27"/>
      <c r="K132" s="26"/>
      <c r="L132" s="11"/>
      <c r="M132" s="15">
        <v>3</v>
      </c>
      <c r="N132" s="35" t="s">
        <v>93</v>
      </c>
      <c r="O132" s="15">
        <v>1</v>
      </c>
      <c r="P132" s="35" t="s">
        <v>455</v>
      </c>
      <c r="Q132" s="15"/>
      <c r="R132" s="24" t="s">
        <v>472</v>
      </c>
      <c r="S132" s="15" t="s">
        <v>447</v>
      </c>
      <c r="T132" s="15"/>
      <c r="U132" s="15"/>
      <c r="V132" s="54"/>
      <c r="W132" s="54"/>
      <c r="X132" s="54"/>
    </row>
    <row r="133" spans="3:24" x14ac:dyDescent="0.25">
      <c r="C133" s="39"/>
      <c r="E133" s="85"/>
      <c r="F133" s="85"/>
      <c r="G133" s="85"/>
      <c r="H133" s="86">
        <f>SUM(H115:H132)</f>
        <v>109291000</v>
      </c>
      <c r="I133" s="86">
        <f>SUM(I115:I132)</f>
        <v>102543694</v>
      </c>
      <c r="J133" s="85"/>
      <c r="K133" s="87">
        <f>+I133/H133</f>
        <v>0.93826293107392189</v>
      </c>
      <c r="L133" s="85">
        <f>COUNTA(L115:L132)</f>
        <v>15</v>
      </c>
      <c r="M133" s="88">
        <f>SUM(M115:M132)/L133</f>
        <v>5.8</v>
      </c>
      <c r="N133" s="89">
        <v>0.75</v>
      </c>
      <c r="O133" s="85"/>
      <c r="P133" s="85"/>
      <c r="Q133" s="85"/>
    </row>
    <row r="134" spans="3:24" x14ac:dyDescent="0.25">
      <c r="C134" s="39"/>
    </row>
    <row r="135" spans="3:24" x14ac:dyDescent="0.25">
      <c r="C135" s="39"/>
      <c r="D135" s="31" t="s">
        <v>839</v>
      </c>
    </row>
    <row r="136" spans="3:24" x14ac:dyDescent="0.25">
      <c r="C136" s="39">
        <v>2016</v>
      </c>
      <c r="D136" s="62" t="s">
        <v>825</v>
      </c>
      <c r="E136" s="63" t="s">
        <v>826</v>
      </c>
      <c r="F136" s="64">
        <v>42731</v>
      </c>
      <c r="G136" s="65" t="s">
        <v>190</v>
      </c>
      <c r="H136" s="27">
        <v>18500000</v>
      </c>
      <c r="I136" s="27">
        <v>15978000</v>
      </c>
      <c r="J136" s="27"/>
      <c r="K136" s="26">
        <v>-0.13632432432432431</v>
      </c>
      <c r="L136" s="11" t="s">
        <v>464</v>
      </c>
      <c r="M136" s="15">
        <v>2</v>
      </c>
      <c r="N136" s="35" t="s">
        <v>226</v>
      </c>
      <c r="O136" s="15">
        <v>4</v>
      </c>
      <c r="P136" s="35" t="s">
        <v>459</v>
      </c>
      <c r="Q136" s="15"/>
      <c r="R136" s="24"/>
      <c r="S136" s="62" t="s">
        <v>447</v>
      </c>
      <c r="T136" s="15"/>
      <c r="U136" s="15">
        <v>1</v>
      </c>
      <c r="V136" s="54"/>
      <c r="W136" s="54"/>
      <c r="X136" s="54"/>
    </row>
    <row r="137" spans="3:24" x14ac:dyDescent="0.25">
      <c r="C137" s="39">
        <v>2016</v>
      </c>
      <c r="D137" s="62" t="s">
        <v>763</v>
      </c>
      <c r="E137" s="63" t="s">
        <v>764</v>
      </c>
      <c r="F137" s="64">
        <v>42677</v>
      </c>
      <c r="G137" s="65" t="s">
        <v>693</v>
      </c>
      <c r="H137" s="27">
        <v>480000</v>
      </c>
      <c r="I137" s="27">
        <v>770000</v>
      </c>
      <c r="J137" s="27"/>
      <c r="K137" s="26">
        <v>0.60416666666666663</v>
      </c>
      <c r="L137" s="11" t="s">
        <v>465</v>
      </c>
      <c r="M137" s="15">
        <v>4</v>
      </c>
      <c r="N137" s="35" t="s">
        <v>226</v>
      </c>
      <c r="O137" s="15">
        <v>4</v>
      </c>
      <c r="P137" s="35" t="s">
        <v>457</v>
      </c>
      <c r="Q137" s="15"/>
      <c r="R137" s="24"/>
      <c r="S137" s="62" t="s">
        <v>630</v>
      </c>
      <c r="T137" s="15"/>
      <c r="U137" s="15">
        <v>0</v>
      </c>
      <c r="V137" s="54"/>
      <c r="W137" s="54"/>
      <c r="X137" s="54"/>
    </row>
    <row r="138" spans="3:24" x14ac:dyDescent="0.25">
      <c r="C138" s="39">
        <v>2016</v>
      </c>
      <c r="D138" s="62" t="s">
        <v>760</v>
      </c>
      <c r="E138" s="63" t="s">
        <v>761</v>
      </c>
      <c r="F138" s="64">
        <v>42670</v>
      </c>
      <c r="G138" s="65" t="s">
        <v>34</v>
      </c>
      <c r="H138" s="27">
        <v>2150000</v>
      </c>
      <c r="I138" s="27">
        <v>1654320</v>
      </c>
      <c r="J138" s="27"/>
      <c r="K138" s="26">
        <v>-0.23054883720930233</v>
      </c>
      <c r="L138" s="11" t="s">
        <v>465</v>
      </c>
      <c r="M138" s="15">
        <v>1</v>
      </c>
      <c r="N138" s="35" t="s">
        <v>226</v>
      </c>
      <c r="O138" s="15">
        <v>4</v>
      </c>
      <c r="P138" s="35" t="s">
        <v>457</v>
      </c>
      <c r="Q138" s="15"/>
      <c r="R138" s="24" t="s">
        <v>782</v>
      </c>
      <c r="S138" s="62" t="s">
        <v>630</v>
      </c>
      <c r="T138" s="15"/>
      <c r="U138" s="15">
        <v>0</v>
      </c>
      <c r="V138" s="54"/>
      <c r="W138" s="54"/>
      <c r="X138" s="54"/>
    </row>
    <row r="139" spans="3:24" x14ac:dyDescent="0.25">
      <c r="C139" s="39">
        <v>2016</v>
      </c>
      <c r="D139" s="62" t="s">
        <v>668</v>
      </c>
      <c r="E139" s="63" t="s">
        <v>669</v>
      </c>
      <c r="F139" s="64">
        <v>42517</v>
      </c>
      <c r="G139" s="65" t="s">
        <v>34</v>
      </c>
      <c r="H139" s="27">
        <v>2800000</v>
      </c>
      <c r="I139" s="27">
        <v>3295274</v>
      </c>
      <c r="J139" s="27"/>
      <c r="K139" s="26">
        <v>0.17688357142857142</v>
      </c>
      <c r="L139" s="11" t="s">
        <v>465</v>
      </c>
      <c r="M139" s="15">
        <v>6</v>
      </c>
      <c r="N139" s="35" t="s">
        <v>226</v>
      </c>
      <c r="O139" s="15">
        <v>2</v>
      </c>
      <c r="P139" s="35" t="s">
        <v>457</v>
      </c>
      <c r="Q139" s="15"/>
      <c r="R139" s="24"/>
      <c r="S139" s="62" t="s">
        <v>630</v>
      </c>
      <c r="T139" s="15"/>
      <c r="U139" s="15">
        <v>0</v>
      </c>
      <c r="V139" s="54"/>
      <c r="W139" s="54"/>
      <c r="X139" s="54"/>
    </row>
    <row r="140" spans="3:24" x14ac:dyDescent="0.25">
      <c r="C140" s="39">
        <v>2016</v>
      </c>
      <c r="D140" s="62" t="s">
        <v>638</v>
      </c>
      <c r="E140" s="63" t="s">
        <v>639</v>
      </c>
      <c r="F140" s="64">
        <v>42496</v>
      </c>
      <c r="G140" s="65" t="s">
        <v>34</v>
      </c>
      <c r="H140" s="27"/>
      <c r="I140" s="27"/>
      <c r="J140" s="27"/>
      <c r="K140" s="26"/>
      <c r="L140" s="11"/>
      <c r="M140" s="15">
        <v>9</v>
      </c>
      <c r="N140" s="35" t="s">
        <v>226</v>
      </c>
      <c r="O140" s="15">
        <v>2</v>
      </c>
      <c r="P140" s="35" t="s">
        <v>457</v>
      </c>
      <c r="Q140" s="15"/>
      <c r="R140" s="24" t="s">
        <v>690</v>
      </c>
      <c r="S140" s="62" t="s">
        <v>630</v>
      </c>
      <c r="T140" s="15"/>
      <c r="U140" s="15"/>
      <c r="V140" s="54"/>
      <c r="W140" s="54"/>
      <c r="X140" s="54"/>
    </row>
    <row r="141" spans="3:24" x14ac:dyDescent="0.25">
      <c r="C141" s="39"/>
      <c r="E141" s="85"/>
      <c r="F141" s="85"/>
      <c r="G141" s="85"/>
      <c r="H141" s="86">
        <f>SUM(H135:H140)</f>
        <v>23930000</v>
      </c>
      <c r="I141" s="86">
        <f>SUM(I135:I140)</f>
        <v>21697594</v>
      </c>
      <c r="J141" s="85"/>
      <c r="K141" s="87">
        <f>+I141/H141</f>
        <v>0.90671099038863356</v>
      </c>
      <c r="L141" s="85">
        <f>COUNTA(L135:L140)</f>
        <v>4</v>
      </c>
      <c r="M141" s="88">
        <f>SUM(M135:M140)/L141</f>
        <v>5.5</v>
      </c>
      <c r="N141" s="89">
        <v>0.25</v>
      </c>
      <c r="O141" s="85"/>
      <c r="P141" s="85"/>
      <c r="Q141" s="85"/>
    </row>
    <row r="142" spans="3:24" x14ac:dyDescent="0.25">
      <c r="C142" s="39"/>
    </row>
    <row r="143" spans="3:24" x14ac:dyDescent="0.25">
      <c r="C143" s="39"/>
      <c r="L143">
        <f>+L141+L133+L113</f>
        <v>43</v>
      </c>
    </row>
    <row r="144" spans="3:24" x14ac:dyDescent="0.25">
      <c r="C144" s="39"/>
      <c r="E144" s="36" t="s">
        <v>852</v>
      </c>
      <c r="F144" s="90" t="s">
        <v>842</v>
      </c>
      <c r="G144" s="90" t="s">
        <v>843</v>
      </c>
      <c r="H144" s="23">
        <f>SUM(F145:G152)</f>
        <v>43</v>
      </c>
    </row>
    <row r="145" spans="3:17" x14ac:dyDescent="0.25">
      <c r="C145" s="39"/>
      <c r="E145" s="2" t="s">
        <v>844</v>
      </c>
      <c r="F145" s="11">
        <v>6</v>
      </c>
      <c r="G145" s="11">
        <v>4</v>
      </c>
      <c r="H145" s="66">
        <f t="shared" ref="H145:H152" si="10">F145/(+F145+G145)</f>
        <v>0.6</v>
      </c>
    </row>
    <row r="146" spans="3:17" x14ac:dyDescent="0.25">
      <c r="C146" s="39"/>
      <c r="E146" s="2" t="s">
        <v>845</v>
      </c>
      <c r="F146" s="11">
        <v>3</v>
      </c>
      <c r="G146" s="11">
        <v>2</v>
      </c>
      <c r="H146" s="66">
        <f t="shared" si="10"/>
        <v>0.6</v>
      </c>
    </row>
    <row r="147" spans="3:17" x14ac:dyDescent="0.25">
      <c r="C147" s="39"/>
      <c r="E147" s="2" t="s">
        <v>846</v>
      </c>
      <c r="F147" s="11">
        <v>6</v>
      </c>
      <c r="G147" s="11">
        <v>5</v>
      </c>
      <c r="H147" s="66">
        <f t="shared" si="10"/>
        <v>0.54545454545454541</v>
      </c>
    </row>
    <row r="148" spans="3:17" x14ac:dyDescent="0.25">
      <c r="C148" s="39"/>
      <c r="E148" s="2" t="s">
        <v>847</v>
      </c>
      <c r="F148" s="11">
        <v>0</v>
      </c>
      <c r="G148" s="11">
        <v>1</v>
      </c>
      <c r="H148" s="66">
        <f t="shared" si="10"/>
        <v>0</v>
      </c>
    </row>
    <row r="149" spans="3:17" x14ac:dyDescent="0.25">
      <c r="C149" s="39"/>
      <c r="E149" s="2" t="s">
        <v>848</v>
      </c>
      <c r="F149" s="11">
        <v>8</v>
      </c>
      <c r="G149" s="11">
        <v>1</v>
      </c>
      <c r="H149" s="66">
        <f t="shared" si="10"/>
        <v>0.88888888888888884</v>
      </c>
    </row>
    <row r="150" spans="3:17" x14ac:dyDescent="0.25">
      <c r="C150" s="39"/>
      <c r="E150" s="2" t="s">
        <v>849</v>
      </c>
      <c r="F150" s="11">
        <v>2</v>
      </c>
      <c r="G150" s="11">
        <v>0</v>
      </c>
      <c r="H150" s="66">
        <f t="shared" si="10"/>
        <v>1</v>
      </c>
    </row>
    <row r="151" spans="3:17" x14ac:dyDescent="0.25">
      <c r="C151" s="39"/>
      <c r="E151" s="2" t="s">
        <v>850</v>
      </c>
      <c r="F151" s="11">
        <v>0</v>
      </c>
      <c r="G151" s="11">
        <v>1</v>
      </c>
      <c r="H151" s="66">
        <f t="shared" si="10"/>
        <v>0</v>
      </c>
    </row>
    <row r="152" spans="3:17" x14ac:dyDescent="0.25">
      <c r="C152" s="39"/>
      <c r="E152" s="2" t="s">
        <v>851</v>
      </c>
      <c r="F152" s="11">
        <v>1</v>
      </c>
      <c r="G152" s="11">
        <v>3</v>
      </c>
      <c r="H152" s="66">
        <f t="shared" si="10"/>
        <v>0.25</v>
      </c>
    </row>
    <row r="153" spans="3:17" x14ac:dyDescent="0.25">
      <c r="C153" s="39"/>
      <c r="E153" s="2"/>
      <c r="F153" s="11"/>
      <c r="G153" s="11"/>
    </row>
    <row r="154" spans="3:17" x14ac:dyDescent="0.25">
      <c r="C154" s="39"/>
      <c r="F154" s="11"/>
      <c r="G154" s="11"/>
    </row>
    <row r="155" spans="3:17" x14ac:dyDescent="0.25">
      <c r="C155" s="39"/>
    </row>
    <row r="156" spans="3:17" x14ac:dyDescent="0.25">
      <c r="C156" s="39"/>
    </row>
    <row r="157" spans="3:17" x14ac:dyDescent="0.25">
      <c r="C157" s="39"/>
    </row>
    <row r="158" spans="3:17" x14ac:dyDescent="0.25">
      <c r="C158" s="39"/>
      <c r="F158" s="31"/>
      <c r="G158" s="36" t="s">
        <v>853</v>
      </c>
      <c r="H158" s="36" t="s">
        <v>854</v>
      </c>
      <c r="I158" s="36" t="s">
        <v>59</v>
      </c>
      <c r="J158" s="36" t="s">
        <v>60</v>
      </c>
      <c r="K158" s="36" t="s">
        <v>856</v>
      </c>
      <c r="L158" s="36" t="s">
        <v>62</v>
      </c>
      <c r="M158" s="37" t="s">
        <v>855</v>
      </c>
      <c r="N158" s="36"/>
      <c r="O158" s="36"/>
      <c r="P158" s="31"/>
      <c r="Q158" s="31"/>
    </row>
    <row r="159" spans="3:17" x14ac:dyDescent="0.25">
      <c r="C159" s="39"/>
      <c r="G159" t="s">
        <v>93</v>
      </c>
      <c r="H159" s="4">
        <f>+H133</f>
        <v>109291000</v>
      </c>
      <c r="I159" s="4">
        <f>+I133</f>
        <v>102543694</v>
      </c>
      <c r="J159" s="91">
        <f>+K133</f>
        <v>0.93826293107392189</v>
      </c>
      <c r="K159" s="92">
        <f>+N113</f>
        <v>0.67</v>
      </c>
      <c r="L159">
        <f>+L113</f>
        <v>24</v>
      </c>
      <c r="M159" s="84">
        <f>+M113</f>
        <v>6.666666666666667</v>
      </c>
    </row>
    <row r="160" spans="3:17" x14ac:dyDescent="0.25">
      <c r="C160" s="39"/>
      <c r="G160" t="s">
        <v>25</v>
      </c>
      <c r="H160" s="4">
        <f>+H113</f>
        <v>284100000</v>
      </c>
      <c r="I160" s="4">
        <f>+I113</f>
        <v>224588400</v>
      </c>
      <c r="J160" s="91">
        <f>+K113</f>
        <v>0.79052587117212247</v>
      </c>
      <c r="K160" s="92">
        <f>+N133</f>
        <v>0.75</v>
      </c>
      <c r="L160">
        <f>+L133</f>
        <v>15</v>
      </c>
      <c r="M160" s="84">
        <f>+M133</f>
        <v>5.8</v>
      </c>
    </row>
    <row r="161" spans="3:24" x14ac:dyDescent="0.25">
      <c r="C161" s="39"/>
      <c r="G161" t="s">
        <v>226</v>
      </c>
      <c r="H161" s="4">
        <f>+H141</f>
        <v>23930000</v>
      </c>
      <c r="I161" s="4">
        <f>+I141</f>
        <v>21697594</v>
      </c>
      <c r="J161" s="91">
        <f>+K141</f>
        <v>0.90671099038863356</v>
      </c>
      <c r="K161" s="92">
        <f>+N141</f>
        <v>0.25</v>
      </c>
      <c r="L161">
        <f>+L141</f>
        <v>4</v>
      </c>
      <c r="M161" s="84">
        <f>+M141</f>
        <v>5.5</v>
      </c>
    </row>
    <row r="162" spans="3:24" x14ac:dyDescent="0.25">
      <c r="C162" s="39"/>
    </row>
    <row r="163" spans="3:24" x14ac:dyDescent="0.25">
      <c r="C163" s="39"/>
    </row>
    <row r="164" spans="3:24" x14ac:dyDescent="0.25">
      <c r="C164" s="39"/>
    </row>
    <row r="165" spans="3:24" x14ac:dyDescent="0.25">
      <c r="C165" s="39"/>
    </row>
    <row r="166" spans="3:24" x14ac:dyDescent="0.25">
      <c r="C166" s="39"/>
    </row>
    <row r="167" spans="3:24" x14ac:dyDescent="0.25">
      <c r="C167" s="39">
        <v>2016</v>
      </c>
      <c r="D167" s="62" t="str">
        <f>+'GWB-563'!$F$4</f>
        <v>GWB-563</v>
      </c>
      <c r="E167" s="63" t="str">
        <f>+'GWB-563'!$F$5</f>
        <v>Sanitary Sewer Rehab at NJ Admin Bldg Lower Parking Lot</v>
      </c>
      <c r="F167" s="64">
        <f>+'GWB-563'!$F$6</f>
        <v>42681</v>
      </c>
      <c r="G167" s="65" t="str">
        <f>+'GWB-563'!$G$7</f>
        <v>PQL</v>
      </c>
      <c r="H167" s="27">
        <f>+'GWB-563'!$F$7</f>
        <v>850000</v>
      </c>
      <c r="I167" s="27">
        <f>+'GWB-563'!$F$8</f>
        <v>651800</v>
      </c>
      <c r="J167" s="27"/>
      <c r="K167" s="26">
        <f>+'GWB-563'!$G$9</f>
        <v>-0.23317647058823529</v>
      </c>
      <c r="L167" s="11" t="str">
        <f>+'GWB-563'!$F$11</f>
        <v>GOOD</v>
      </c>
      <c r="M167" s="15">
        <f>+'GWB-563'!$H$12</f>
        <v>9</v>
      </c>
      <c r="N167" s="35" t="s">
        <v>25</v>
      </c>
      <c r="O167" s="15">
        <v>4</v>
      </c>
      <c r="P167" s="35" t="s">
        <v>457</v>
      </c>
      <c r="Q167" s="15"/>
      <c r="R167" s="24"/>
      <c r="S167" s="62" t="str">
        <f>+'GWB-563'!$J$4</f>
        <v>Reddy Gunda</v>
      </c>
      <c r="T167" s="15"/>
      <c r="U167" s="15"/>
      <c r="V167" s="54">
        <f t="shared" ref="V167:V170" si="11">+H167</f>
        <v>850000</v>
      </c>
      <c r="W167" s="54">
        <f t="shared" ref="W167:W170" si="12">+I167</f>
        <v>651800</v>
      </c>
      <c r="X167" s="54">
        <f t="shared" ref="X167:X170" si="13">+V167-W167</f>
        <v>198200</v>
      </c>
    </row>
    <row r="168" spans="3:24" x14ac:dyDescent="0.25">
      <c r="C168" s="39">
        <v>2016</v>
      </c>
      <c r="D168" s="62" t="str">
        <f>+'HT-924.097'!$F$4</f>
        <v>HT-924.097</v>
      </c>
      <c r="E168" s="63" t="str">
        <f>+'HT-924.097'!$F$5</f>
        <v>Ventilation Bldg Evac Stack Inspection Structures</v>
      </c>
      <c r="F168" s="64">
        <f>+'HT-924.097'!$F$6</f>
        <v>42677</v>
      </c>
      <c r="G168" s="65" t="str">
        <f>+'HT-924.097'!$G$7</f>
        <v>MWBE</v>
      </c>
      <c r="H168" s="27">
        <f>+'HT-924.097'!$F$7</f>
        <v>480000</v>
      </c>
      <c r="I168" s="27">
        <f>+'HT-924.097'!$F$8</f>
        <v>770000</v>
      </c>
      <c r="J168" s="27"/>
      <c r="K168" s="26">
        <f>+'HT-924.097'!$G$9</f>
        <v>0.60416666666666663</v>
      </c>
      <c r="L168" s="11" t="str">
        <f>+'HT-924.097'!$F$11</f>
        <v>FAIL</v>
      </c>
      <c r="M168" s="15">
        <f>+'HT-924.097'!$H$12</f>
        <v>4</v>
      </c>
      <c r="N168" s="35" t="s">
        <v>226</v>
      </c>
      <c r="O168" s="15">
        <v>4</v>
      </c>
      <c r="P168" s="35" t="s">
        <v>457</v>
      </c>
      <c r="Q168" s="15"/>
      <c r="R168" s="24"/>
      <c r="S168" s="62" t="str">
        <f>+'HT-924.097'!$J$4</f>
        <v>Reddy Gunda</v>
      </c>
      <c r="T168" s="15"/>
      <c r="U168" s="15"/>
      <c r="V168" s="54">
        <f t="shared" si="11"/>
        <v>480000</v>
      </c>
      <c r="W168" s="54">
        <f t="shared" si="12"/>
        <v>770000</v>
      </c>
      <c r="X168" s="54">
        <f t="shared" si="13"/>
        <v>-290000</v>
      </c>
    </row>
    <row r="169" spans="3:24" x14ac:dyDescent="0.25">
      <c r="C169" s="39">
        <v>2016</v>
      </c>
      <c r="D169" s="62" t="str">
        <f>+'AKO-924.054'!$F$4</f>
        <v>AKO-924.054</v>
      </c>
      <c r="E169" s="63" t="str">
        <f>+'AKO-924.054'!$F$5</f>
        <v>OBX - Structural Rehabilitation</v>
      </c>
      <c r="F169" s="64">
        <f>+'AKO-924.054'!$F$6</f>
        <v>42670</v>
      </c>
      <c r="G169" s="65" t="str">
        <f>+'AKO-924.054'!$G$7</f>
        <v>Public</v>
      </c>
      <c r="H169" s="27">
        <f>+'AKO-924.054'!$F$7</f>
        <v>2150000</v>
      </c>
      <c r="I169" s="27">
        <f>+'AKO-924.054'!$F$8</f>
        <v>1654320</v>
      </c>
      <c r="J169" s="27"/>
      <c r="K169" s="26">
        <f>+'AKO-924.054'!$G$9</f>
        <v>-0.23054883720930233</v>
      </c>
      <c r="L169" s="11" t="str">
        <f>+'AKO-924.054'!$F$11</f>
        <v>FAIL</v>
      </c>
      <c r="M169" s="15">
        <f>+'AKO-924.054'!$H$12</f>
        <v>1</v>
      </c>
      <c r="N169" s="35" t="s">
        <v>226</v>
      </c>
      <c r="O169" s="15">
        <v>4</v>
      </c>
      <c r="P169" s="35" t="s">
        <v>457</v>
      </c>
      <c r="Q169" s="15"/>
      <c r="R169" s="24" t="s">
        <v>782</v>
      </c>
      <c r="S169" s="62" t="str">
        <f>+'AKO-924.054'!$J$4</f>
        <v>Reddy Gunda</v>
      </c>
      <c r="T169" s="15"/>
      <c r="U169" s="15"/>
      <c r="V169" s="54">
        <f t="shared" si="11"/>
        <v>2150000</v>
      </c>
      <c r="W169" s="54">
        <f t="shared" si="12"/>
        <v>1654320</v>
      </c>
      <c r="X169" s="54">
        <f t="shared" si="13"/>
        <v>495680</v>
      </c>
    </row>
    <row r="170" spans="3:24" x14ac:dyDescent="0.25">
      <c r="C170" s="39">
        <v>2016</v>
      </c>
      <c r="D170" s="62" t="str">
        <f>+'HT-224.127'!$F$4</f>
        <v>HT-224.127</v>
      </c>
      <c r="E170" s="63" t="str">
        <f>+'HT-224.127'!$F$5</f>
        <v>Replacement of Piers 9 and 204 Phase II</v>
      </c>
      <c r="F170" s="64">
        <f>+'HT-224.127'!$F$6</f>
        <v>42668</v>
      </c>
      <c r="G170" s="65" t="str">
        <f>+'HT-224.127'!$G$7</f>
        <v>Public</v>
      </c>
      <c r="H170" s="27">
        <f>+'HT-224.127'!$F$7</f>
        <v>67636000</v>
      </c>
      <c r="I170" s="27">
        <f>+'HT-224.127'!$F$8</f>
        <v>49942700</v>
      </c>
      <c r="J170" s="27"/>
      <c r="K170" s="26">
        <f>+'HT-224.127'!$G$9</f>
        <v>-0.26159589567685848</v>
      </c>
      <c r="L170" s="11" t="str">
        <f>+'HT-224.127'!$F$11</f>
        <v>FAIL</v>
      </c>
      <c r="M170" s="15">
        <f>+'HT-224.127'!$H$12</f>
        <v>7</v>
      </c>
      <c r="N170" s="35" t="s">
        <v>25</v>
      </c>
      <c r="O170" s="15">
        <v>4</v>
      </c>
      <c r="P170" s="35" t="s">
        <v>457</v>
      </c>
      <c r="Q170" s="15"/>
      <c r="R170" s="24"/>
      <c r="S170" s="62" t="str">
        <f>+'HT-224.127'!$J$4</f>
        <v>Reddy Gunda</v>
      </c>
      <c r="T170" s="15"/>
      <c r="U170" s="15"/>
      <c r="V170" s="54">
        <f t="shared" si="11"/>
        <v>67636000</v>
      </c>
      <c r="W170" s="54">
        <f t="shared" si="12"/>
        <v>49942700</v>
      </c>
      <c r="X170" s="54">
        <f t="shared" si="13"/>
        <v>17693300</v>
      </c>
    </row>
    <row r="171" spans="3:24" x14ac:dyDescent="0.25">
      <c r="C171" s="39">
        <v>2016</v>
      </c>
      <c r="D171" s="62" t="str">
        <f>+'LT-534'!$F$4</f>
        <v>LT-534</v>
      </c>
      <c r="E171" s="63" t="str">
        <f>+'LT-534'!$F$5</f>
        <v>Maintenance Pavement Repairs via Work Order</v>
      </c>
      <c r="F171" s="64">
        <f>+'LT-534'!$F$6</f>
        <v>42593</v>
      </c>
      <c r="G171" s="65" t="str">
        <f>+'LT-534'!$G$7</f>
        <v>Public</v>
      </c>
      <c r="H171" s="27">
        <f>+'LT-534'!$F$7</f>
        <v>1450000</v>
      </c>
      <c r="I171" s="27">
        <f>+'LT-534'!$F$8</f>
        <v>763000</v>
      </c>
      <c r="J171" s="27"/>
      <c r="K171" s="26">
        <f>+'LT-534'!$G$9</f>
        <v>-0.47379310344827585</v>
      </c>
      <c r="L171" s="11" t="str">
        <f>+'LT-534'!$F$11</f>
        <v>GOOD</v>
      </c>
      <c r="M171" s="15">
        <f>+'LT-534'!$H$12</f>
        <v>6</v>
      </c>
      <c r="N171" s="35" t="s">
        <v>93</v>
      </c>
      <c r="O171" s="15">
        <v>3</v>
      </c>
      <c r="P171" s="35" t="s">
        <v>457</v>
      </c>
      <c r="Q171" s="15"/>
      <c r="R171" s="24"/>
      <c r="S171" s="62" t="str">
        <f>+'LT-534'!$J$4</f>
        <v>Reddy Gunda</v>
      </c>
      <c r="T171" s="15"/>
      <c r="U171" s="15"/>
      <c r="V171" s="54">
        <f t="shared" ref="V171:V174" si="14">+H171</f>
        <v>1450000</v>
      </c>
      <c r="W171" s="54">
        <f t="shared" ref="W171:W174" si="15">+I171</f>
        <v>763000</v>
      </c>
      <c r="X171" s="54">
        <f t="shared" ref="X171:X174" si="16">+V171-W171</f>
        <v>687000</v>
      </c>
    </row>
    <row r="172" spans="3:24" x14ac:dyDescent="0.25">
      <c r="C172" s="39">
        <v>2016</v>
      </c>
      <c r="D172" s="62" t="str">
        <f>+'LT-944.096 Void'!$F$4</f>
        <v>LT-944.096</v>
      </c>
      <c r="E172" s="63" t="str">
        <f>+'LT-944.096 Void'!$F$5</f>
        <v>Replacement of Aboveground Storage Tanks</v>
      </c>
      <c r="F172" s="64">
        <f>+'LT-944.096 Void'!$F$6</f>
        <v>42587</v>
      </c>
      <c r="G172" s="65"/>
      <c r="H172" s="27"/>
      <c r="I172" s="27"/>
      <c r="J172" s="27"/>
      <c r="K172" s="26"/>
      <c r="L172" s="11"/>
      <c r="M172" s="15">
        <f>+'LT-944.096 Void'!$H$12</f>
        <v>4</v>
      </c>
      <c r="N172" s="35" t="s">
        <v>93</v>
      </c>
      <c r="O172" s="15">
        <v>3</v>
      </c>
      <c r="P172" s="35" t="s">
        <v>457</v>
      </c>
      <c r="Q172" s="15"/>
      <c r="R172" s="24" t="s">
        <v>753</v>
      </c>
      <c r="S172" s="62" t="str">
        <f>+'LT-944.096 Void'!$J$4</f>
        <v>Reddy Gunda</v>
      </c>
      <c r="T172" s="15"/>
      <c r="U172" s="15"/>
      <c r="V172" s="54">
        <f t="shared" si="14"/>
        <v>0</v>
      </c>
      <c r="W172" s="54">
        <f t="shared" si="15"/>
        <v>0</v>
      </c>
      <c r="X172" s="54">
        <f t="shared" si="16"/>
        <v>0</v>
      </c>
    </row>
    <row r="173" spans="3:24" x14ac:dyDescent="0.25">
      <c r="C173" s="39">
        <v>2016</v>
      </c>
      <c r="D173" s="62" t="str">
        <f>+'LT-934.027'!$F$4</f>
        <v>LT-934.027</v>
      </c>
      <c r="E173" s="63" t="str">
        <f>+'LT-934.027'!$F$5</f>
        <v>NJ Admin Bldg - Emergency Power Modifications</v>
      </c>
      <c r="F173" s="64">
        <f>+'LT-934.027'!$F$6</f>
        <v>42586</v>
      </c>
      <c r="G173" s="65" t="str">
        <f>+'LT-934.027'!$G$7</f>
        <v>MWBE</v>
      </c>
      <c r="H173" s="27">
        <f>+'LT-934.027'!$F$7</f>
        <v>800000</v>
      </c>
      <c r="I173" s="27">
        <f>+'LT-934.027'!$F$8</f>
        <v>485250</v>
      </c>
      <c r="J173" s="27"/>
      <c r="K173" s="26">
        <f>+'LT-934.027'!$G$9</f>
        <v>-0.3934375</v>
      </c>
      <c r="L173" s="11" t="str">
        <f>+'LT-934.027'!$F$11</f>
        <v>GOOD</v>
      </c>
      <c r="M173" s="15">
        <f>+'LT-934.027'!$H$12</f>
        <v>4</v>
      </c>
      <c r="N173" s="35" t="s">
        <v>25</v>
      </c>
      <c r="O173" s="15">
        <v>3</v>
      </c>
      <c r="P173" s="35" t="s">
        <v>457</v>
      </c>
      <c r="Q173" s="15"/>
      <c r="R173" s="24"/>
      <c r="S173" s="62" t="str">
        <f>+'LT-934.027'!$J$4</f>
        <v>Reddy Gunda</v>
      </c>
      <c r="T173" s="15"/>
      <c r="U173" s="15"/>
      <c r="V173" s="54">
        <f t="shared" si="14"/>
        <v>800000</v>
      </c>
      <c r="W173" s="54">
        <f t="shared" si="15"/>
        <v>485250</v>
      </c>
      <c r="X173" s="54">
        <f t="shared" si="16"/>
        <v>314750</v>
      </c>
    </row>
    <row r="174" spans="3:24" x14ac:dyDescent="0.25">
      <c r="C174" s="39">
        <v>2016</v>
      </c>
      <c r="D174" s="62" t="str">
        <f>+'LT-800.382'!$F$4</f>
        <v>LT-800.382</v>
      </c>
      <c r="E174" s="63" t="str">
        <f>+'LT-800.382'!$F$5</f>
        <v>North Tube Pump Discharge Line</v>
      </c>
      <c r="F174" s="64">
        <f>+'LT-800.382'!$F$6</f>
        <v>42579</v>
      </c>
      <c r="G174" s="65" t="str">
        <f>+'LT-800.382'!$G$7</f>
        <v>MWBE</v>
      </c>
      <c r="H174" s="27">
        <f>+'LT-800.382'!$F$7</f>
        <v>1636000</v>
      </c>
      <c r="I174" s="27">
        <f>+'LT-800.382'!$F$8</f>
        <v>1365000</v>
      </c>
      <c r="J174" s="27"/>
      <c r="K174" s="26">
        <f>+'LT-800.382'!$G$9</f>
        <v>-0.1656479217603912</v>
      </c>
      <c r="L174" s="11" t="str">
        <f>+'LT-800.382'!$F$11</f>
        <v>GOOD</v>
      </c>
      <c r="M174" s="15">
        <f>+'LT-800.382'!$H$12</f>
        <v>3</v>
      </c>
      <c r="N174" s="35" t="s">
        <v>93</v>
      </c>
      <c r="O174" s="15">
        <v>3</v>
      </c>
      <c r="P174" s="35" t="s">
        <v>457</v>
      </c>
      <c r="Q174" s="15"/>
      <c r="R174" s="24"/>
      <c r="S174" s="62" t="str">
        <f>+'LT-800.382'!$J$4</f>
        <v>Reddy Gunda</v>
      </c>
      <c r="T174" s="15"/>
      <c r="U174" s="15"/>
      <c r="V174" s="54">
        <f t="shared" si="14"/>
        <v>1636000</v>
      </c>
      <c r="W174" s="54">
        <f t="shared" si="15"/>
        <v>1365000</v>
      </c>
      <c r="X174" s="54">
        <f t="shared" si="16"/>
        <v>271000</v>
      </c>
    </row>
    <row r="175" spans="3:24" x14ac:dyDescent="0.25">
      <c r="C175" s="39">
        <v>2016</v>
      </c>
      <c r="D175" s="62" t="str">
        <f>+'LT-924.028'!$F$4</f>
        <v>LT-924.028</v>
      </c>
      <c r="E175" s="63" t="str">
        <f>+'LT-924.028'!$F$5</f>
        <v>Priority Repairs on NY Approach Retaining Walls (Dyer Ave.)</v>
      </c>
      <c r="F175" s="64">
        <f>+'LT-924.028'!$F$6</f>
        <v>42538</v>
      </c>
      <c r="G175" s="65" t="str">
        <f>+'LT-924.028'!$G$7</f>
        <v>Public</v>
      </c>
      <c r="H175" s="27">
        <f>+'LT-924.028'!$F$7</f>
        <v>1800000</v>
      </c>
      <c r="I175" s="27">
        <f>+'LT-924.028'!$F$8</f>
        <v>1628370</v>
      </c>
      <c r="J175" s="27">
        <v>1628370</v>
      </c>
      <c r="K175" s="26">
        <f>+'LT-924.028'!$G$9</f>
        <v>-9.5350000000000004E-2</v>
      </c>
      <c r="L175" s="11" t="str">
        <f>+'LT-924.028'!$F$11</f>
        <v>GOOD</v>
      </c>
      <c r="M175" s="15">
        <f>+'LT-924.028'!$H$12</f>
        <v>13</v>
      </c>
      <c r="N175" s="35" t="s">
        <v>93</v>
      </c>
      <c r="O175" s="15">
        <v>2</v>
      </c>
      <c r="P175" s="35" t="s">
        <v>457</v>
      </c>
      <c r="Q175" s="15"/>
      <c r="R175" s="24"/>
      <c r="S175" s="62" t="str">
        <f>+'LT-924.028'!$J$4</f>
        <v>Reddy Gunda</v>
      </c>
      <c r="T175" s="15"/>
      <c r="U175" s="15"/>
      <c r="V175" s="54">
        <f t="shared" ref="V175:V180" si="17">+H175</f>
        <v>1800000</v>
      </c>
      <c r="W175" s="54">
        <f t="shared" ref="W175:W180" si="18">+I175</f>
        <v>1628370</v>
      </c>
      <c r="X175" s="54">
        <f t="shared" ref="X175:X180" si="19">+V175-W175</f>
        <v>171630</v>
      </c>
    </row>
    <row r="176" spans="3:24" x14ac:dyDescent="0.25">
      <c r="C176" s="39">
        <v>2016</v>
      </c>
      <c r="D176" s="62" t="str">
        <f>+'HT-469'!$F$4</f>
        <v>HT-469</v>
      </c>
      <c r="E176" s="63" t="str">
        <f>+'HT-469'!$F$5</f>
        <v>Mitigate Water Leakage at Ventilation Ducts and Mid-River Pump Room</v>
      </c>
      <c r="F176" s="64">
        <f>+'HT-469'!$F$6</f>
        <v>42517</v>
      </c>
      <c r="G176" s="65" t="str">
        <f>+'HT-469'!$G$7</f>
        <v>Public</v>
      </c>
      <c r="H176" s="27">
        <f>+'HT-469'!$F$7</f>
        <v>2800000</v>
      </c>
      <c r="I176" s="27">
        <f>+'HT-469'!$F$8</f>
        <v>3295274</v>
      </c>
      <c r="J176" s="27"/>
      <c r="K176" s="26">
        <f>+'HT-469'!$G$9</f>
        <v>0.17688357142857142</v>
      </c>
      <c r="L176" s="11" t="str">
        <f>+'HT-469'!$F$11</f>
        <v>FAIL</v>
      </c>
      <c r="M176" s="15">
        <f>+'HT-469'!$H$12</f>
        <v>6</v>
      </c>
      <c r="N176" s="35" t="s">
        <v>226</v>
      </c>
      <c r="O176" s="15">
        <v>2</v>
      </c>
      <c r="P176" s="35" t="s">
        <v>457</v>
      </c>
      <c r="Q176" s="15"/>
      <c r="R176" s="24"/>
      <c r="S176" s="62" t="str">
        <f>+'HT-469'!$J$4</f>
        <v>Reddy Gunda</v>
      </c>
      <c r="T176" s="15"/>
      <c r="U176" s="15"/>
      <c r="V176" s="54">
        <f t="shared" si="17"/>
        <v>2800000</v>
      </c>
      <c r="W176" s="54">
        <f t="shared" si="18"/>
        <v>3295274</v>
      </c>
      <c r="X176" s="54">
        <f t="shared" si="19"/>
        <v>-495274</v>
      </c>
    </row>
    <row r="177" spans="3:24" x14ac:dyDescent="0.25">
      <c r="C177" s="39">
        <v>2016</v>
      </c>
      <c r="D177" s="62" t="str">
        <f>+'HT-473A Void'!$F$4</f>
        <v>HT-473A</v>
      </c>
      <c r="E177" s="63" t="str">
        <f>+'HT-473A Void'!$F$5</f>
        <v>Emerg Gen Infrastructure at NY &amp; NJ Ventilation Bldgs</v>
      </c>
      <c r="F177" s="64">
        <f>+'HT-473A Void'!$F$6</f>
        <v>42496</v>
      </c>
      <c r="G177" s="65" t="str">
        <f>+'HT-473A Void'!$G$7</f>
        <v>Public</v>
      </c>
      <c r="H177" s="27"/>
      <c r="I177" s="27"/>
      <c r="J177" s="27"/>
      <c r="K177" s="26"/>
      <c r="L177" s="11"/>
      <c r="M177" s="15">
        <f>+'HT-473A Void'!$H$12</f>
        <v>9</v>
      </c>
      <c r="N177" s="35" t="s">
        <v>226</v>
      </c>
      <c r="O177" s="15">
        <v>2</v>
      </c>
      <c r="P177" s="35" t="s">
        <v>457</v>
      </c>
      <c r="Q177" s="15"/>
      <c r="R177" s="24" t="s">
        <v>690</v>
      </c>
      <c r="S177" s="62" t="str">
        <f>+'GWB-244.246'!$J$4</f>
        <v>Reddy Gunda</v>
      </c>
      <c r="T177" s="15"/>
      <c r="U177" s="15"/>
      <c r="V177" s="54">
        <f t="shared" si="17"/>
        <v>0</v>
      </c>
      <c r="W177" s="54">
        <f t="shared" si="18"/>
        <v>0</v>
      </c>
      <c r="X177" s="54">
        <f t="shared" si="19"/>
        <v>0</v>
      </c>
    </row>
    <row r="178" spans="3:24" x14ac:dyDescent="0.25">
      <c r="C178" s="39">
        <v>2016</v>
      </c>
      <c r="D178" s="62" t="str">
        <f>+'LT-924.014A'!$F$4</f>
        <v>LT-924.014A</v>
      </c>
      <c r="E178" s="63" t="str">
        <f>+'LT-924.014A'!$F$5</f>
        <v>Water Line Leak Repairs</v>
      </c>
      <c r="F178" s="64">
        <f>+'LT-924.014A'!$F$6</f>
        <v>42496</v>
      </c>
      <c r="G178" s="65" t="str">
        <f>+'LT-924.014A'!$G$7</f>
        <v>Public</v>
      </c>
      <c r="H178" s="27">
        <f>+'LT-924.014A'!$F$7</f>
        <v>2000000</v>
      </c>
      <c r="I178" s="27">
        <f>+'LT-924.014A'!$F$8</f>
        <v>2059960</v>
      </c>
      <c r="J178" s="27">
        <v>2059960</v>
      </c>
      <c r="K178" s="26">
        <f>+'LT-924.014A'!$G$9</f>
        <v>2.998E-2</v>
      </c>
      <c r="L178" s="11" t="str">
        <f>+'LT-924.014A'!$F$11</f>
        <v>GOOD</v>
      </c>
      <c r="M178" s="15">
        <f>+'LT-924.014A'!$H$12</f>
        <v>2</v>
      </c>
      <c r="N178" s="35" t="s">
        <v>25</v>
      </c>
      <c r="O178" s="15">
        <v>2</v>
      </c>
      <c r="P178" s="35" t="s">
        <v>457</v>
      </c>
      <c r="Q178" s="15"/>
      <c r="R178" s="24"/>
      <c r="S178" s="62" t="str">
        <f>+'GWB-244.246'!$J$4</f>
        <v>Reddy Gunda</v>
      </c>
      <c r="T178" s="15"/>
      <c r="U178" s="15"/>
      <c r="V178" s="54">
        <f t="shared" si="17"/>
        <v>2000000</v>
      </c>
      <c r="W178" s="54">
        <f t="shared" si="18"/>
        <v>2059960</v>
      </c>
      <c r="X178" s="54">
        <f t="shared" si="19"/>
        <v>-59960</v>
      </c>
    </row>
    <row r="179" spans="3:24" x14ac:dyDescent="0.25">
      <c r="C179" s="39">
        <v>2016</v>
      </c>
      <c r="D179" s="62" t="str">
        <f>+'GWB-244.246'!$F$4</f>
        <v>GWB-244.246</v>
      </c>
      <c r="E179" s="63" t="str">
        <f>+'GWB-244.246'!$F$5</f>
        <v>Access Ramp Crash Barrier</v>
      </c>
      <c r="F179" s="64">
        <f>+'GWB-244.246'!$F$6</f>
        <v>42488</v>
      </c>
      <c r="G179" s="65" t="str">
        <f>+'GWB-244.246'!$G$7</f>
        <v>PQL</v>
      </c>
      <c r="H179" s="27">
        <f>+'GWB-244.246'!$F$7</f>
        <v>1700000</v>
      </c>
      <c r="I179" s="27">
        <f>+'GWB-244.246'!$F$8</f>
        <v>815000</v>
      </c>
      <c r="J179" s="27">
        <v>815000</v>
      </c>
      <c r="K179" s="26">
        <f>+'GWB-244.246'!$G$9</f>
        <v>-0.52058823529411768</v>
      </c>
      <c r="L179" s="11" t="str">
        <f>+'GWB-244.246'!$F$11</f>
        <v>FAIL</v>
      </c>
      <c r="M179" s="15">
        <f>+'GWB-244.246'!$H$12</f>
        <v>7</v>
      </c>
      <c r="N179" s="35" t="s">
        <v>25</v>
      </c>
      <c r="O179" s="15">
        <v>2</v>
      </c>
      <c r="P179" s="35" t="s">
        <v>457</v>
      </c>
      <c r="Q179" s="15"/>
      <c r="R179" s="24" t="s">
        <v>662</v>
      </c>
      <c r="S179" s="62" t="str">
        <f>+'GWB-244.246'!$J$4</f>
        <v>Reddy Gunda</v>
      </c>
      <c r="T179" s="15"/>
      <c r="U179" s="15"/>
      <c r="V179" s="54">
        <f t="shared" si="17"/>
        <v>1700000</v>
      </c>
      <c r="W179" s="54">
        <f t="shared" si="18"/>
        <v>815000</v>
      </c>
      <c r="X179" s="54">
        <f t="shared" si="19"/>
        <v>885000</v>
      </c>
    </row>
    <row r="180" spans="3:24" x14ac:dyDescent="0.25">
      <c r="C180" s="39">
        <v>2016</v>
      </c>
      <c r="D180" s="62" t="str">
        <f>+'HT-224.117'!$F$4</f>
        <v>HT-224.117</v>
      </c>
      <c r="E180" s="63" t="str">
        <f>+'HT-224.117'!$F$5</f>
        <v>Waterside Buffer Zone Protection</v>
      </c>
      <c r="F180" s="64">
        <f>+'HT-224.117'!$F$6</f>
        <v>42486</v>
      </c>
      <c r="G180" s="65" t="str">
        <f>+'HT-224.117'!$G$7</f>
        <v>Public</v>
      </c>
      <c r="H180" s="27">
        <f>+'HT-224.117'!$F$7</f>
        <v>600000</v>
      </c>
      <c r="I180" s="27">
        <f>+'HT-224.117'!$F$8</f>
        <v>675000</v>
      </c>
      <c r="J180" s="27">
        <v>675000</v>
      </c>
      <c r="K180" s="26">
        <f>+'HT-224.117'!$G$9</f>
        <v>0.125</v>
      </c>
      <c r="L180" s="11" t="str">
        <f>+'HT-224.117'!$F$11</f>
        <v>FAIL</v>
      </c>
      <c r="M180" s="15">
        <f>+'HT-224.117'!$H$12</f>
        <v>3</v>
      </c>
      <c r="N180" s="35" t="s">
        <v>93</v>
      </c>
      <c r="O180" s="15">
        <v>2</v>
      </c>
      <c r="P180" s="35" t="s">
        <v>457</v>
      </c>
      <c r="Q180" s="15"/>
      <c r="R180" s="24"/>
      <c r="S180" s="62" t="str">
        <f>+'HT-224.117'!$J$4</f>
        <v>Nathan Demaisip</v>
      </c>
      <c r="T180" s="15"/>
      <c r="U180" s="15"/>
      <c r="V180" s="54">
        <f t="shared" si="17"/>
        <v>600000</v>
      </c>
      <c r="W180" s="54">
        <f t="shared" si="18"/>
        <v>675000</v>
      </c>
      <c r="X180" s="54">
        <f t="shared" si="19"/>
        <v>-75000</v>
      </c>
    </row>
    <row r="181" spans="3:24" x14ac:dyDescent="0.25">
      <c r="C181" s="39">
        <v>2016</v>
      </c>
      <c r="D181" s="15" t="str">
        <f>+'GWB-244.150'!$F$4</f>
        <v>GWB-244.150</v>
      </c>
      <c r="E181" s="24" t="str">
        <f>+'GWB-244.150'!$F$5</f>
        <v>GWB - Replacement of PIP Helix, et. al.</v>
      </c>
      <c r="F181" s="25">
        <f>+'GWB-244.150'!$F$6</f>
        <v>42411</v>
      </c>
      <c r="G181" s="46" t="str">
        <f>+'GWB-244.150'!$G$7</f>
        <v>Public</v>
      </c>
      <c r="H181" s="27">
        <f>+'GWB-244.150'!$F$7</f>
        <v>69865000</v>
      </c>
      <c r="I181" s="27">
        <f>+'GWB-244.150'!$F$8</f>
        <v>57000000</v>
      </c>
      <c r="J181" s="27"/>
      <c r="K181" s="26">
        <f>+'GWB-244.150'!$G$9</f>
        <v>-0.18414084305446218</v>
      </c>
      <c r="L181" s="11" t="str">
        <f>+'GWB-244.150'!$F$11</f>
        <v>GOOD</v>
      </c>
      <c r="M181" s="15">
        <f>+'GWB-244.150'!$H$12</f>
        <v>11</v>
      </c>
      <c r="N181" s="35" t="s">
        <v>25</v>
      </c>
      <c r="O181" s="15">
        <v>1</v>
      </c>
      <c r="P181" s="35" t="s">
        <v>457</v>
      </c>
      <c r="Q181" s="15"/>
      <c r="R181" s="24"/>
      <c r="S181" s="15" t="str">
        <f>+'GWB-244.150'!$J$4</f>
        <v>Reddy Gunda and Henry Yu</v>
      </c>
      <c r="T181" s="15"/>
      <c r="U181" s="15"/>
      <c r="V181" s="54">
        <f t="shared" ref="V181" si="20">+H181</f>
        <v>69865000</v>
      </c>
      <c r="W181" s="54">
        <f t="shared" ref="W181" si="21">+I181</f>
        <v>57000000</v>
      </c>
      <c r="X181" s="54">
        <f t="shared" ref="X181" si="22">+V181-W181</f>
        <v>12865000</v>
      </c>
    </row>
    <row r="182" spans="3:24" x14ac:dyDescent="0.25">
      <c r="C182" s="39"/>
    </row>
    <row r="183" spans="3:24" x14ac:dyDescent="0.25">
      <c r="C183" s="39"/>
    </row>
    <row r="184" spans="3:24" x14ac:dyDescent="0.25">
      <c r="C184" s="39"/>
    </row>
    <row r="185" spans="3:24" x14ac:dyDescent="0.25">
      <c r="C185" s="39"/>
    </row>
    <row r="186" spans="3:24" x14ac:dyDescent="0.25">
      <c r="C186" s="39"/>
    </row>
    <row r="187" spans="3:24" x14ac:dyDescent="0.25">
      <c r="C187" s="39"/>
    </row>
    <row r="188" spans="3:24" x14ac:dyDescent="0.25">
      <c r="C188" s="39"/>
    </row>
    <row r="189" spans="3:24" x14ac:dyDescent="0.25">
      <c r="C189" s="39"/>
    </row>
    <row r="190" spans="3:24" x14ac:dyDescent="0.25">
      <c r="C190" s="39">
        <v>2016</v>
      </c>
      <c r="D190" s="62" t="str">
        <f>+'EWR-924.288'!$F$4</f>
        <v>EWR-924.288</v>
      </c>
      <c r="E190" s="63" t="str">
        <f>+'EWR-924.288'!$F$5</f>
        <v>Fuel Farm Roadway Drainage Improvements</v>
      </c>
      <c r="F190" s="64">
        <f>+'EWR-924.288'!$F$6</f>
        <v>42725</v>
      </c>
      <c r="G190" s="65" t="str">
        <f>+'EWR-924.288'!$G$7</f>
        <v>MWBE</v>
      </c>
      <c r="H190" s="27">
        <f>+'EWR-924.288'!$F$7</f>
        <v>600000</v>
      </c>
      <c r="I190" s="27">
        <f>+'EWR-924.288'!$F$8</f>
        <v>421111</v>
      </c>
      <c r="J190" s="27"/>
      <c r="K190" s="26">
        <f>+'EWR-924.288'!$G$9</f>
        <v>-0.29814833333333335</v>
      </c>
      <c r="L190" s="11" t="str">
        <f>+'EWR-924.288'!$F$11</f>
        <v>GOOD</v>
      </c>
      <c r="M190" s="15">
        <f>+'EWR-924.288'!$H$12</f>
        <v>8</v>
      </c>
      <c r="N190" s="35" t="s">
        <v>25</v>
      </c>
      <c r="O190" s="15">
        <v>4</v>
      </c>
      <c r="P190" s="35" t="s">
        <v>458</v>
      </c>
      <c r="Q190" s="15"/>
      <c r="R190" s="24"/>
      <c r="S190" s="62" t="str">
        <f>+'EWR-924.288'!$J$4</f>
        <v>Henry Yu</v>
      </c>
      <c r="T190" s="15"/>
      <c r="U190" s="15"/>
      <c r="V190" s="54">
        <f t="shared" ref="V190:V192" si="23">+H190</f>
        <v>600000</v>
      </c>
      <c r="W190" s="54">
        <f t="shared" ref="W190:W192" si="24">+I190</f>
        <v>421111</v>
      </c>
      <c r="X190" s="54">
        <f t="shared" ref="X190:X192" si="25">+V190-W190</f>
        <v>178889</v>
      </c>
    </row>
    <row r="191" spans="3:24" x14ac:dyDescent="0.25">
      <c r="C191" s="39">
        <v>2016</v>
      </c>
      <c r="D191" s="62" t="str">
        <f>+'LGA-124.236'!$F$4</f>
        <v>LGA-124.236</v>
      </c>
      <c r="E191" s="63" t="str">
        <f>+'LGA-124.236'!$F$5</f>
        <v>Wetland Mitigation at Westchester Creek</v>
      </c>
      <c r="F191" s="64">
        <f>+'LGA-124.236'!$F$6</f>
        <v>42712</v>
      </c>
      <c r="G191" s="65" t="str">
        <f>+'LGA-124.236'!$G$7</f>
        <v>Public</v>
      </c>
      <c r="H191" s="27">
        <f>+'LGA-124.236'!$F$7</f>
        <v>2170000</v>
      </c>
      <c r="I191" s="27">
        <f>+'LGA-124.236'!$F$8</f>
        <v>1903225</v>
      </c>
      <c r="J191" s="27"/>
      <c r="K191" s="26">
        <f>+'LGA-124.236'!$G$9</f>
        <v>-0.12293778801843318</v>
      </c>
      <c r="L191" s="11" t="str">
        <f>+'LGA-124.236'!$F$11</f>
        <v>GOOD</v>
      </c>
      <c r="M191" s="15">
        <f>+'LGA-124.236'!$H$12</f>
        <v>5</v>
      </c>
      <c r="N191" s="35" t="s">
        <v>93</v>
      </c>
      <c r="O191" s="15">
        <v>4</v>
      </c>
      <c r="P191" s="35" t="s">
        <v>458</v>
      </c>
      <c r="Q191" s="15"/>
      <c r="R191" s="24"/>
      <c r="S191" s="62" t="str">
        <f>+'LGA-124.236'!$J$4</f>
        <v>Henry Yu</v>
      </c>
      <c r="T191" s="15"/>
      <c r="U191" s="15"/>
      <c r="V191" s="54">
        <f t="shared" si="23"/>
        <v>2170000</v>
      </c>
      <c r="W191" s="54">
        <f t="shared" si="24"/>
        <v>1903225</v>
      </c>
      <c r="X191" s="54">
        <f t="shared" si="25"/>
        <v>266775</v>
      </c>
    </row>
    <row r="192" spans="3:24" x14ac:dyDescent="0.25">
      <c r="C192" s="39">
        <v>2016</v>
      </c>
      <c r="D192" s="62" t="str">
        <f>+'SWF-017'!$F$4</f>
        <v>SWF-017</v>
      </c>
      <c r="E192" s="63" t="str">
        <f>+'SWF-017'!$F$5</f>
        <v>Asphalt and Concrete Repairs via Work Order</v>
      </c>
      <c r="F192" s="64">
        <f>+'SWF-017'!$F$6</f>
        <v>42703</v>
      </c>
      <c r="G192" s="65" t="str">
        <f>+'SWF-017'!$G$7</f>
        <v>Public</v>
      </c>
      <c r="H192" s="27">
        <f>+'SWF-017'!$F$7</f>
        <v>1763000</v>
      </c>
      <c r="I192" s="27">
        <f>+'SWF-017'!$F$8</f>
        <v>2233850</v>
      </c>
      <c r="J192" s="27"/>
      <c r="K192" s="26">
        <f>+'SWF-017'!$G$9</f>
        <v>0.26707317073170733</v>
      </c>
      <c r="L192" s="11" t="str">
        <f>+'SWF-017'!$F$11</f>
        <v>FAIL</v>
      </c>
      <c r="M192" s="15">
        <f>+'SWF-017'!$H$12</f>
        <v>2</v>
      </c>
      <c r="N192" s="35" t="s">
        <v>93</v>
      </c>
      <c r="O192" s="15">
        <v>4</v>
      </c>
      <c r="P192" s="35" t="s">
        <v>458</v>
      </c>
      <c r="Q192" s="15"/>
      <c r="R192" s="24"/>
      <c r="S192" s="62" t="str">
        <f>+'SWF-017'!$J$4</f>
        <v>Joe Lucin</v>
      </c>
      <c r="T192" s="15"/>
      <c r="U192" s="15"/>
      <c r="V192" s="54">
        <f t="shared" si="23"/>
        <v>1763000</v>
      </c>
      <c r="W192" s="54">
        <f t="shared" si="24"/>
        <v>2233850</v>
      </c>
      <c r="X192" s="54">
        <f t="shared" si="25"/>
        <v>-470850</v>
      </c>
    </row>
    <row r="193" spans="3:24" x14ac:dyDescent="0.25">
      <c r="C193" s="39">
        <v>2016</v>
      </c>
      <c r="D193" s="62" t="str">
        <f>+'JFK-144.019'!$F$4</f>
        <v>JFK-144.019</v>
      </c>
      <c r="E193" s="63" t="str">
        <f>+'JFK-144.019'!$F$5</f>
        <v>Rehab Runway4R-22L and Associated Taxiways</v>
      </c>
      <c r="F193" s="64">
        <f>+'JFK-144.019'!$F$6</f>
        <v>42626</v>
      </c>
      <c r="G193" s="65" t="str">
        <f>+'JFK-144.019'!$G$7</f>
        <v>PQL</v>
      </c>
      <c r="H193" s="27">
        <f>+'JFK-144.019'!$F$7</f>
        <v>73640000</v>
      </c>
      <c r="I193" s="27">
        <f>+'JFK-144.019'!$F$8</f>
        <v>68462700</v>
      </c>
      <c r="J193" s="27"/>
      <c r="K193" s="26">
        <f>+'JFK-144.019'!$G$9</f>
        <v>-7.0305540467137426E-2</v>
      </c>
      <c r="L193" s="11" t="str">
        <f>+'JFK-144.019'!$F$11</f>
        <v>GOOD</v>
      </c>
      <c r="M193" s="15">
        <f>+'JFK-144.019'!$H$12</f>
        <v>2</v>
      </c>
      <c r="N193" s="35" t="s">
        <v>93</v>
      </c>
      <c r="O193" s="15">
        <v>3</v>
      </c>
      <c r="P193" s="35" t="s">
        <v>458</v>
      </c>
      <c r="Q193" s="15"/>
      <c r="R193" s="24"/>
      <c r="S193" s="62" t="str">
        <f>+'JFK-144.019'!$J$4</f>
        <v>Wen Chang</v>
      </c>
      <c r="T193" s="15"/>
      <c r="U193" s="15"/>
      <c r="V193" s="54">
        <f t="shared" ref="V193:V195" si="26">+H193</f>
        <v>73640000</v>
      </c>
      <c r="W193" s="54">
        <f t="shared" ref="W193:W195" si="27">+I193</f>
        <v>68462700</v>
      </c>
      <c r="X193" s="54">
        <f t="shared" ref="X193:X195" si="28">+V193-W193</f>
        <v>5177300</v>
      </c>
    </row>
    <row r="194" spans="3:24" x14ac:dyDescent="0.25">
      <c r="C194" s="39">
        <v>2016</v>
      </c>
      <c r="D194" s="62" t="str">
        <f>+'EWR-924.366'!$F$4</f>
        <v>EWR-924.366</v>
      </c>
      <c r="E194" s="63" t="str">
        <f>+'EWR-924.366'!$F$5</f>
        <v>Bridge N5 Flooding Mitigation</v>
      </c>
      <c r="F194" s="64">
        <f>+'EWR-924.366'!$F$6</f>
        <v>42606</v>
      </c>
      <c r="G194" s="65" t="str">
        <f>+'EWR-924.366'!$G$7</f>
        <v>MWBE</v>
      </c>
      <c r="H194" s="27">
        <f>+'EWR-924.366'!$F$7</f>
        <v>230000</v>
      </c>
      <c r="I194" s="27">
        <f>+'EWR-924.366'!$F$8</f>
        <v>274450</v>
      </c>
      <c r="J194" s="27"/>
      <c r="K194" s="26">
        <f>+'EWR-924.366'!$G$9</f>
        <v>0.1932608695652174</v>
      </c>
      <c r="L194" s="11" t="str">
        <f>+'EWR-924.366'!$F$11</f>
        <v>FAIL</v>
      </c>
      <c r="M194" s="15">
        <f>+'EWR-924.366'!$H$12</f>
        <v>3</v>
      </c>
      <c r="N194" s="35" t="s">
        <v>25</v>
      </c>
      <c r="O194" s="15">
        <v>3</v>
      </c>
      <c r="P194" s="35" t="s">
        <v>458</v>
      </c>
      <c r="Q194" s="15"/>
      <c r="R194" s="24"/>
      <c r="S194" s="62" t="str">
        <f>+'EWR-924.366'!$J$4</f>
        <v>Henry Yu</v>
      </c>
      <c r="T194" s="15"/>
      <c r="U194" s="15"/>
      <c r="V194" s="54">
        <f t="shared" si="26"/>
        <v>230000</v>
      </c>
      <c r="W194" s="54">
        <f t="shared" si="27"/>
        <v>274450</v>
      </c>
      <c r="X194" s="54">
        <f t="shared" si="28"/>
        <v>-44450</v>
      </c>
    </row>
    <row r="195" spans="3:24" x14ac:dyDescent="0.25">
      <c r="C195" s="39">
        <v>2016</v>
      </c>
      <c r="D195" s="62" t="str">
        <f>+'JFK-1064'!$F$4</f>
        <v>JFK-1064</v>
      </c>
      <c r="E195" s="63" t="str">
        <f>+'JFK-1064'!$F$5</f>
        <v>Bulk Fuel Farm West End &amp; Satellite Remediation Upgrades</v>
      </c>
      <c r="F195" s="64">
        <f>+'JFK-1064'!$F$6</f>
        <v>42584</v>
      </c>
      <c r="G195" s="65" t="str">
        <f>+'JFK-1064'!$G$7</f>
        <v>Public</v>
      </c>
      <c r="H195" s="27">
        <f>+'JFK-1064'!$F$7</f>
        <v>1750000</v>
      </c>
      <c r="I195" s="27">
        <f>+'JFK-1064'!$F$8</f>
        <v>1930000</v>
      </c>
      <c r="J195" s="27">
        <v>1930000</v>
      </c>
      <c r="K195" s="26">
        <f>+'JFK-1064'!$G$9</f>
        <v>0.10285714285714286</v>
      </c>
      <c r="L195" s="11" t="str">
        <f>+'JFK-1064'!$F$11</f>
        <v>GOOD</v>
      </c>
      <c r="M195" s="15">
        <f>+'JFK-1064'!$H$12</f>
        <v>9</v>
      </c>
      <c r="N195" s="35" t="s">
        <v>93</v>
      </c>
      <c r="O195" s="15">
        <v>3</v>
      </c>
      <c r="P195" s="35" t="s">
        <v>458</v>
      </c>
      <c r="Q195" s="15"/>
      <c r="R195" s="24"/>
      <c r="S195" s="62" t="str">
        <f>+'JFK-1064'!$J$4</f>
        <v>Wen Chang</v>
      </c>
      <c r="T195" s="15"/>
      <c r="U195" s="15"/>
      <c r="V195" s="54">
        <f t="shared" si="26"/>
        <v>1750000</v>
      </c>
      <c r="W195" s="54">
        <f t="shared" si="27"/>
        <v>1930000</v>
      </c>
      <c r="X195" s="54">
        <f t="shared" si="28"/>
        <v>-180000</v>
      </c>
    </row>
    <row r="196" spans="3:24" x14ac:dyDescent="0.25">
      <c r="C196" s="39">
        <v>2016</v>
      </c>
      <c r="D196" s="62" t="str">
        <f>+'LGA-124.086'!$F$4</f>
        <v>LGA-124.086</v>
      </c>
      <c r="E196" s="63" t="str">
        <f>+'LGA-124.086'!$F$5</f>
        <v>Rehab of Runway 22 Deck Wearing Course</v>
      </c>
      <c r="F196" s="64">
        <f>+'LGA-124.086'!$F$6</f>
        <v>42514</v>
      </c>
      <c r="G196" s="65" t="str">
        <f>+'LGA-124.086'!$G$7</f>
        <v>PQL</v>
      </c>
      <c r="H196" s="27">
        <f>+'LGA-124.086'!$F$7</f>
        <v>1930000</v>
      </c>
      <c r="I196" s="27">
        <f>+'LGA-124.086'!$F$8</f>
        <v>2277000</v>
      </c>
      <c r="J196" s="27"/>
      <c r="K196" s="26">
        <f>+'LGA-124.086'!$G$9</f>
        <v>0.17979274611398963</v>
      </c>
      <c r="L196" s="11" t="str">
        <f>+'LGA-124.086'!$F$11</f>
        <v>FAIL</v>
      </c>
      <c r="M196" s="15">
        <f>+'LGA-124.086'!$H$12</f>
        <v>4</v>
      </c>
      <c r="N196" s="35" t="s">
        <v>93</v>
      </c>
      <c r="O196" s="15">
        <v>2</v>
      </c>
      <c r="P196" s="35" t="s">
        <v>458</v>
      </c>
      <c r="Q196" s="15"/>
      <c r="R196" s="24" t="s">
        <v>667</v>
      </c>
      <c r="S196" s="62" t="str">
        <f>+'LGA-124.086'!$J$4</f>
        <v>Lucita Mendoza and Nathan Demaisip</v>
      </c>
      <c r="T196" s="15"/>
      <c r="U196" s="15"/>
      <c r="V196" s="54">
        <f t="shared" ref="V196:V198" si="29">+H196</f>
        <v>1930000</v>
      </c>
      <c r="W196" s="54">
        <f t="shared" ref="W196:W198" si="30">+I196</f>
        <v>2277000</v>
      </c>
      <c r="X196" s="54">
        <f t="shared" ref="X196:X198" si="31">+V196-W196</f>
        <v>-347000</v>
      </c>
    </row>
    <row r="197" spans="3:24" x14ac:dyDescent="0.25">
      <c r="C197" s="39">
        <v>2016</v>
      </c>
      <c r="D197" s="62" t="str">
        <f>+'EWR-924.281'!$F$4</f>
        <v>EWR-924.281</v>
      </c>
      <c r="E197" s="63" t="str">
        <f>+'EWR-924.281'!$F$5</f>
        <v>Peripheral Ditch Tide Gate Valve Repairs</v>
      </c>
      <c r="F197" s="64">
        <f>+'EWR-924.281'!$F$6</f>
        <v>42479</v>
      </c>
      <c r="G197" s="65" t="str">
        <f>+'EWR-924.281'!$G$7</f>
        <v>Public</v>
      </c>
      <c r="H197" s="27">
        <f>+'EWR-924.281'!$F$7</f>
        <v>670000</v>
      </c>
      <c r="I197" s="27">
        <f>+'EWR-924.281'!$F$8</f>
        <v>897950</v>
      </c>
      <c r="J197" s="27"/>
      <c r="K197" s="26">
        <f>+'EWR-924.281'!$G$9</f>
        <v>0.34022388059701492</v>
      </c>
      <c r="L197" s="11" t="str">
        <f>+'EWR-924.281'!$F$11</f>
        <v>FAIL</v>
      </c>
      <c r="M197" s="15">
        <f>+'EWR-924.281'!$H$12</f>
        <v>5</v>
      </c>
      <c r="N197" s="35" t="s">
        <v>25</v>
      </c>
      <c r="O197" s="15">
        <v>2</v>
      </c>
      <c r="P197" s="35" t="s">
        <v>458</v>
      </c>
      <c r="Q197" s="15"/>
      <c r="R197" s="24"/>
      <c r="S197" s="62" t="str">
        <f>+'EWR-924.281'!$J$4</f>
        <v>Henry Yu</v>
      </c>
      <c r="T197" s="15"/>
      <c r="U197" s="15"/>
      <c r="V197" s="54">
        <f t="shared" si="29"/>
        <v>670000</v>
      </c>
      <c r="W197" s="54">
        <f t="shared" si="30"/>
        <v>897950</v>
      </c>
      <c r="X197" s="54">
        <f t="shared" si="31"/>
        <v>-227950</v>
      </c>
    </row>
    <row r="198" spans="3:24" x14ac:dyDescent="0.25">
      <c r="C198" s="39">
        <v>2016</v>
      </c>
      <c r="D198" s="62" t="str">
        <f>+'SWF-164.054'!$F$4</f>
        <v>SWF-164.054</v>
      </c>
      <c r="E198" s="63" t="str">
        <f>+'SWF-164.054'!$F$5</f>
        <v>Stewart Airport - Backflow Prevention and Sump Pumps</v>
      </c>
      <c r="F198" s="64">
        <f>+'SWF-164.054'!$F$6</f>
        <v>42465</v>
      </c>
      <c r="G198" s="65" t="str">
        <f>+'SWF-164.054'!$G$7</f>
        <v>Public</v>
      </c>
      <c r="H198" s="27">
        <f>+'SWF-164.054'!$F$7</f>
        <v>1300000</v>
      </c>
      <c r="I198" s="27">
        <f>+'SWF-164.054'!$F$8</f>
        <v>1334000</v>
      </c>
      <c r="J198" s="27"/>
      <c r="K198" s="26">
        <f>+'SWF-164.054'!$G$9</f>
        <v>2.6153846153846153E-2</v>
      </c>
      <c r="L198" s="11" t="str">
        <f>+'SWF-164.054'!$F$11</f>
        <v>GOOD</v>
      </c>
      <c r="M198" s="15">
        <f>+'SWF-164.054'!$H$12</f>
        <v>6</v>
      </c>
      <c r="N198" s="35" t="s">
        <v>93</v>
      </c>
      <c r="O198" s="15">
        <v>2</v>
      </c>
      <c r="P198" s="35" t="s">
        <v>458</v>
      </c>
      <c r="Q198" s="15"/>
      <c r="R198" s="24"/>
      <c r="S198" s="62" t="str">
        <f>+'SWF-164.054'!$J$4</f>
        <v>Lucita Mendoza</v>
      </c>
      <c r="T198" s="15"/>
      <c r="U198" s="15"/>
      <c r="V198" s="54">
        <f t="shared" si="29"/>
        <v>1300000</v>
      </c>
      <c r="W198" s="54">
        <f t="shared" si="30"/>
        <v>1334000</v>
      </c>
      <c r="X198" s="54">
        <f t="shared" si="31"/>
        <v>-34000</v>
      </c>
    </row>
    <row r="199" spans="3:24" x14ac:dyDescent="0.25">
      <c r="C199" s="39">
        <v>2016</v>
      </c>
      <c r="D199" s="15" t="str">
        <f>+'EWR-154.197'!$F$4</f>
        <v>EWR-154.197</v>
      </c>
      <c r="E199" s="24" t="str">
        <f>+'EWR-154.197'!$F$5</f>
        <v>Newark - Infrastructure Renewal, Electrical</v>
      </c>
      <c r="F199" s="25">
        <f>+'EWR-154.197'!$F$6</f>
        <v>42438</v>
      </c>
      <c r="G199" s="46" t="str">
        <f>+'EWR-154.197'!$G$7</f>
        <v>Public</v>
      </c>
      <c r="H199" s="27">
        <f>+'EWR-154.197'!$F$7</f>
        <v>25210000</v>
      </c>
      <c r="I199" s="27">
        <f>+'EWR-154.197'!$F$8</f>
        <v>17827873</v>
      </c>
      <c r="J199" s="27"/>
      <c r="K199" s="26">
        <f>+'EWR-154.197'!$G$9</f>
        <v>-0.29282534708449026</v>
      </c>
      <c r="L199" s="11" t="str">
        <f>+'EWR-154.197'!$F$11</f>
        <v>FAIL</v>
      </c>
      <c r="M199" s="15">
        <f>+'EWR-154.197'!$H$12</f>
        <v>13</v>
      </c>
      <c r="N199" s="35" t="s">
        <v>25</v>
      </c>
      <c r="O199" s="15">
        <v>1</v>
      </c>
      <c r="P199" s="35" t="s">
        <v>458</v>
      </c>
      <c r="Q199" s="15"/>
      <c r="R199" s="24"/>
      <c r="S199" s="15" t="str">
        <f>+'EWR-154.197'!$J$4</f>
        <v>Nathan Demaisip</v>
      </c>
      <c r="T199" s="15"/>
      <c r="U199" s="15"/>
      <c r="V199" s="54">
        <f t="shared" ref="V199:V202" si="32">+H199</f>
        <v>25210000</v>
      </c>
      <c r="W199" s="54">
        <f t="shared" ref="W199:W202" si="33">+I199</f>
        <v>17827873</v>
      </c>
      <c r="X199" s="54">
        <f t="shared" ref="X199:X202" si="34">+V199-W199</f>
        <v>7382127</v>
      </c>
    </row>
    <row r="200" spans="3:24" x14ac:dyDescent="0.25">
      <c r="C200" s="39">
        <v>2016</v>
      </c>
      <c r="D200" s="15" t="str">
        <f>+'LGA-774.133B'!$F$4</f>
        <v>LGA-774.133B</v>
      </c>
      <c r="E200" s="24" t="str">
        <f>+'LGA-774.133B'!$F$5</f>
        <v>LGA - Emergency Storm Drainage Outfalls</v>
      </c>
      <c r="F200" s="25">
        <f>+'LGA-774.133B'!$F$6</f>
        <v>42418</v>
      </c>
      <c r="G200" s="46" t="str">
        <f>+'LGA-774.133B'!$G$7</f>
        <v>Public</v>
      </c>
      <c r="H200" s="27">
        <f>+'LGA-774.133B'!$F$7</f>
        <v>3250000</v>
      </c>
      <c r="I200" s="27">
        <f>+'LGA-774.133B'!$F$8</f>
        <v>2849549</v>
      </c>
      <c r="J200" s="27"/>
      <c r="K200" s="26">
        <f>+'LGA-774.133B'!$G$9</f>
        <v>-0.1232156923076923</v>
      </c>
      <c r="L200" s="11" t="str">
        <f>+'GWB-244.150'!$F$11</f>
        <v>GOOD</v>
      </c>
      <c r="M200" s="15">
        <f>+'LGA-774.133B'!$H$12</f>
        <v>12</v>
      </c>
      <c r="N200" s="35" t="s">
        <v>93</v>
      </c>
      <c r="O200" s="15">
        <v>1</v>
      </c>
      <c r="P200" s="35" t="s">
        <v>458</v>
      </c>
      <c r="Q200" s="15"/>
      <c r="R200" s="24"/>
      <c r="S200" s="15" t="str">
        <f>+'LGA-774.133B'!$J$4</f>
        <v>Lucita Mendoza</v>
      </c>
      <c r="T200" s="15"/>
      <c r="U200" s="15"/>
      <c r="V200" s="54">
        <f t="shared" si="32"/>
        <v>3250000</v>
      </c>
      <c r="W200" s="54">
        <f t="shared" si="33"/>
        <v>2849549</v>
      </c>
      <c r="X200" s="54">
        <f t="shared" si="34"/>
        <v>400451</v>
      </c>
    </row>
    <row r="201" spans="3:24" x14ac:dyDescent="0.25">
      <c r="C201" s="39">
        <v>2016</v>
      </c>
      <c r="D201" s="15" t="str">
        <f>+'LGA-124.240'!$F$4</f>
        <v>LGA-124.240</v>
      </c>
      <c r="E201" s="24" t="str">
        <f>+'LGA-124.240'!$F$5</f>
        <v>LGA - Rehab Taxiway B between G and CY</v>
      </c>
      <c r="F201" s="25">
        <f>+'LGA-124.240'!$F$6</f>
        <v>42404</v>
      </c>
      <c r="G201" s="46" t="str">
        <f>+'LGA-124.240'!$G$7</f>
        <v>Public</v>
      </c>
      <c r="H201" s="27">
        <f>+'LGA-124.240'!$F$7</f>
        <v>4072000</v>
      </c>
      <c r="I201" s="27">
        <f>+'LGA-124.240'!$F$8</f>
        <v>2733000</v>
      </c>
      <c r="J201" s="27"/>
      <c r="K201" s="26">
        <f>+'LGA-124.240'!$G$9</f>
        <v>-0.3288310412573674</v>
      </c>
      <c r="L201" s="11" t="str">
        <f>+'LGA-124.240'!$F$11</f>
        <v>FAIL</v>
      </c>
      <c r="M201" s="15">
        <f>+'LGA-124.240'!$H$12</f>
        <v>3</v>
      </c>
      <c r="N201" s="35" t="s">
        <v>93</v>
      </c>
      <c r="O201" s="15">
        <v>1</v>
      </c>
      <c r="P201" s="35" t="s">
        <v>458</v>
      </c>
      <c r="Q201" s="15"/>
      <c r="R201" s="24"/>
      <c r="S201" s="15" t="str">
        <f>+'LGA-124.240'!$J$4</f>
        <v>Lucita Mendoza</v>
      </c>
      <c r="T201" s="15"/>
      <c r="U201" s="15"/>
      <c r="V201" s="54">
        <f t="shared" si="32"/>
        <v>4072000</v>
      </c>
      <c r="W201" s="54">
        <f t="shared" si="33"/>
        <v>2733000</v>
      </c>
      <c r="X201" s="54">
        <f t="shared" si="34"/>
        <v>1339000</v>
      </c>
    </row>
    <row r="202" spans="3:24" x14ac:dyDescent="0.25">
      <c r="C202" s="39">
        <v>2016</v>
      </c>
      <c r="D202" s="15" t="str">
        <f>+'LGA-103.014'!$F$4</f>
        <v>LGA-103.014</v>
      </c>
      <c r="E202" s="24" t="str">
        <f>+'LGA-103.014'!$F$5</f>
        <v>LGA - Pump Houses 2 and 3 Rehabilitation</v>
      </c>
      <c r="F202" s="25">
        <f>+'LGA-103.014'!$F$6</f>
        <v>42394</v>
      </c>
      <c r="G202" s="46" t="str">
        <f>+'LGA-103.014'!$G$7</f>
        <v>Public</v>
      </c>
      <c r="H202" s="27">
        <f>+'LGA-103.014'!$F$7</f>
        <v>2530000</v>
      </c>
      <c r="I202" s="27">
        <f>+'LGA-103.014'!$F$8</f>
        <v>1836000</v>
      </c>
      <c r="J202" s="27"/>
      <c r="K202" s="26">
        <f>+'LGA-103.014'!$G$9</f>
        <v>-0.27430830039525694</v>
      </c>
      <c r="L202" s="11" t="str">
        <f>+'LGA-103.014'!$F$11</f>
        <v>GOOD</v>
      </c>
      <c r="M202" s="15">
        <f>+'LGA-103.014'!$H$12</f>
        <v>7</v>
      </c>
      <c r="N202" s="35" t="s">
        <v>93</v>
      </c>
      <c r="O202" s="15">
        <v>1</v>
      </c>
      <c r="P202" s="35" t="s">
        <v>458</v>
      </c>
      <c r="Q202" s="15"/>
      <c r="R202" s="24"/>
      <c r="S202" s="15" t="str">
        <f>+'LGA-103.014'!$J$4</f>
        <v>Lucita Mendoza</v>
      </c>
      <c r="T202" s="15"/>
      <c r="U202" s="15"/>
      <c r="V202" s="54">
        <f t="shared" si="32"/>
        <v>2530000</v>
      </c>
      <c r="W202" s="54">
        <f t="shared" si="33"/>
        <v>1836000</v>
      </c>
      <c r="X202" s="54">
        <f t="shared" si="34"/>
        <v>694000</v>
      </c>
    </row>
    <row r="203" spans="3:24" x14ac:dyDescent="0.25">
      <c r="C203" s="39"/>
    </row>
    <row r="204" spans="3:24" x14ac:dyDescent="0.25">
      <c r="C204" s="39"/>
    </row>
    <row r="205" spans="3:24" x14ac:dyDescent="0.25">
      <c r="C205" s="39"/>
    </row>
    <row r="206" spans="3:24" x14ac:dyDescent="0.25">
      <c r="C206" s="39"/>
    </row>
    <row r="207" spans="3:24" x14ac:dyDescent="0.25">
      <c r="C207" s="39"/>
    </row>
    <row r="208" spans="3:24" x14ac:dyDescent="0.25">
      <c r="C208" s="39"/>
    </row>
    <row r="209" spans="3:28" x14ac:dyDescent="0.25">
      <c r="C209" s="39"/>
    </row>
    <row r="210" spans="3:28" x14ac:dyDescent="0.25">
      <c r="C210" s="39"/>
    </row>
    <row r="211" spans="3:28" x14ac:dyDescent="0.25">
      <c r="C211" s="39">
        <v>2016</v>
      </c>
      <c r="D211" s="62" t="str">
        <f>+'PN-654.551'!$F$4</f>
        <v>PN-654.551</v>
      </c>
      <c r="E211" s="63" t="str">
        <f>+'PN-654.551'!$F$5</f>
        <v>Tyler Street Pavement Rehab</v>
      </c>
      <c r="F211" s="64">
        <f>+'PN-654.551'!$F$6</f>
        <v>42719</v>
      </c>
      <c r="G211" s="65" t="str">
        <f>+'PN-654.551'!$G$7</f>
        <v>MWBE</v>
      </c>
      <c r="H211" s="27">
        <f>+'PN-654.551'!$F$7</f>
        <v>1460000</v>
      </c>
      <c r="I211" s="27">
        <f>+'PN-654.551'!$F$8</f>
        <v>1457020</v>
      </c>
      <c r="J211" s="27"/>
      <c r="K211" s="26">
        <f>+'PN-654.551'!$G$9</f>
        <v>-2.0410958904109591E-3</v>
      </c>
      <c r="L211" s="11" t="str">
        <f>+'PN-654.551'!$F$11</f>
        <v>GOOD</v>
      </c>
      <c r="M211" s="15">
        <f>+'PN-654.551'!$H$12</f>
        <v>7</v>
      </c>
      <c r="N211" s="35" t="s">
        <v>25</v>
      </c>
      <c r="O211" s="15">
        <v>4</v>
      </c>
      <c r="P211" s="35" t="s">
        <v>492</v>
      </c>
      <c r="Q211" s="15"/>
      <c r="R211" s="24"/>
      <c r="S211" s="62" t="str">
        <f>+'PN-654.551'!$J$4</f>
        <v>Ed Minall</v>
      </c>
      <c r="T211" s="15"/>
      <c r="U211" s="15"/>
      <c r="V211" s="54">
        <f t="shared" ref="V211:V213" si="35">+H211</f>
        <v>1460000</v>
      </c>
      <c r="W211" s="54">
        <f t="shared" ref="W211:W213" si="36">+I211</f>
        <v>1457020</v>
      </c>
      <c r="X211" s="54">
        <f t="shared" ref="X211:X213" si="37">+V211-W211</f>
        <v>2980</v>
      </c>
    </row>
    <row r="212" spans="3:28" x14ac:dyDescent="0.25">
      <c r="C212" s="39">
        <v>2016</v>
      </c>
      <c r="D212" s="62" t="str">
        <f>+'PJ-664.503'!$F$4</f>
        <v>PJ-664.503</v>
      </c>
      <c r="E212" s="63" t="str">
        <f>+'PJ-664.503'!$F$5</f>
        <v>Greenville Yard Phase 1</v>
      </c>
      <c r="F212" s="64">
        <f>+'PJ-664.503'!$F$6</f>
        <v>42718</v>
      </c>
      <c r="G212" s="65" t="str">
        <f>+'PJ-664.503'!$G$7</f>
        <v>Public</v>
      </c>
      <c r="H212" s="27">
        <f>+'PJ-664.503'!$F$7</f>
        <v>61900000</v>
      </c>
      <c r="I212" s="27">
        <f>+'PJ-664.503'!$F$8</f>
        <v>47681062</v>
      </c>
      <c r="J212" s="27"/>
      <c r="K212" s="26">
        <f>+'PJ-664.503'!$G$9</f>
        <v>-0.22970820678513731</v>
      </c>
      <c r="L212" s="11" t="str">
        <f>+'PJ-664.503'!$F$11</f>
        <v>GOOD</v>
      </c>
      <c r="M212" s="15">
        <f>+'PJ-664.503'!$H$12</f>
        <v>7</v>
      </c>
      <c r="N212" s="35" t="s">
        <v>25</v>
      </c>
      <c r="O212" s="15">
        <v>4</v>
      </c>
      <c r="P212" s="35" t="s">
        <v>492</v>
      </c>
      <c r="Q212" s="15"/>
      <c r="R212" s="24"/>
      <c r="S212" s="62" t="str">
        <f>+'PJ-664.503'!$J$4</f>
        <v>Wen Chang</v>
      </c>
      <c r="T212" s="15"/>
      <c r="U212" s="15"/>
      <c r="V212" s="54">
        <f t="shared" si="35"/>
        <v>61900000</v>
      </c>
      <c r="W212" s="54">
        <f t="shared" si="36"/>
        <v>47681062</v>
      </c>
      <c r="X212" s="54">
        <f t="shared" si="37"/>
        <v>14218938</v>
      </c>
    </row>
    <row r="213" spans="3:28" x14ac:dyDescent="0.25">
      <c r="C213" s="39">
        <v>2016</v>
      </c>
      <c r="D213" s="62" t="str">
        <f>+'PJ-664.527'!$F$4</f>
        <v>PJ-664.527</v>
      </c>
      <c r="E213" s="63" t="str">
        <f>+'PJ-664.527'!$F$5</f>
        <v>Bldg 108 Switchgear Replacement</v>
      </c>
      <c r="F213" s="64">
        <f>+'PJ-664.527'!$F$6</f>
        <v>42648</v>
      </c>
      <c r="G213" s="65" t="str">
        <f>+'PJ-664.527'!$G$7</f>
        <v>Public</v>
      </c>
      <c r="H213" s="27">
        <f>+'PJ-664.527'!$F$7</f>
        <v>3120000</v>
      </c>
      <c r="I213" s="27">
        <f>+'PJ-664.527'!$F$8</f>
        <v>2147100</v>
      </c>
      <c r="J213" s="27"/>
      <c r="K213" s="26">
        <f>+'PJ-664.527'!$G$9</f>
        <v>-0.31182692307692306</v>
      </c>
      <c r="L213" s="11" t="str">
        <f>+'PJ-664.527'!$F$11</f>
        <v>GOOD</v>
      </c>
      <c r="M213" s="15">
        <f>+'PJ-664.527'!$H$12</f>
        <v>7</v>
      </c>
      <c r="N213" s="35" t="s">
        <v>25</v>
      </c>
      <c r="O213" s="15">
        <v>4</v>
      </c>
      <c r="P213" s="35" t="s">
        <v>492</v>
      </c>
      <c r="Q213" s="15"/>
      <c r="R213" s="24"/>
      <c r="S213" s="62" t="str">
        <f>+'PJ-664.527'!$J$4</f>
        <v>Ramani Sundaram and Ed Minall</v>
      </c>
      <c r="T213" s="15"/>
      <c r="U213" s="15"/>
      <c r="V213" s="54">
        <f t="shared" si="35"/>
        <v>3120000</v>
      </c>
      <c r="W213" s="54">
        <f t="shared" si="36"/>
        <v>2147100</v>
      </c>
      <c r="X213" s="54">
        <f t="shared" si="37"/>
        <v>972900</v>
      </c>
    </row>
    <row r="214" spans="3:28" x14ac:dyDescent="0.25">
      <c r="C214" s="39">
        <v>2016</v>
      </c>
      <c r="D214" s="62" t="str">
        <f>+'PN-654.042A'!$F$4</f>
        <v>PN-654.042A</v>
      </c>
      <c r="E214" s="63" t="str">
        <f>+'PN-654.042A'!$F$5</f>
        <v>Demo Buildings 269 and 270</v>
      </c>
      <c r="F214" s="64">
        <f>+'PN-654.042A'!$F$6</f>
        <v>42612</v>
      </c>
      <c r="G214" s="65" t="str">
        <f>+'PN-654.042A'!$G$7</f>
        <v>Public</v>
      </c>
      <c r="H214" s="27">
        <f>+'PN-654.042A'!$F$7</f>
        <v>2000000</v>
      </c>
      <c r="I214" s="27">
        <f>+'PN-654.042A'!$F$8</f>
        <v>1460000</v>
      </c>
      <c r="J214" s="27"/>
      <c r="K214" s="26">
        <f>+'PN-654.042A'!$G$9</f>
        <v>-0.27</v>
      </c>
      <c r="L214" s="11" t="str">
        <f>+'PN-654.042A'!$F$11</f>
        <v>GOOD</v>
      </c>
      <c r="M214" s="15">
        <f>+'PN-654.042A'!$H$12</f>
        <v>10</v>
      </c>
      <c r="N214" s="35" t="s">
        <v>25</v>
      </c>
      <c r="O214" s="15">
        <v>3</v>
      </c>
      <c r="P214" s="35" t="s">
        <v>492</v>
      </c>
      <c r="Q214" s="15"/>
      <c r="R214" s="24"/>
      <c r="S214" s="62" t="str">
        <f>+'PN-654.042A'!$J$4</f>
        <v>Wen Chang</v>
      </c>
      <c r="T214" s="15"/>
      <c r="U214" s="15"/>
      <c r="V214" s="54">
        <f t="shared" ref="V214" si="38">+H214</f>
        <v>2000000</v>
      </c>
      <c r="W214" s="54">
        <f t="shared" ref="W214" si="39">+I214</f>
        <v>1460000</v>
      </c>
      <c r="X214" s="54">
        <f t="shared" ref="X214" si="40">+V214-W214</f>
        <v>540000</v>
      </c>
    </row>
    <row r="215" spans="3:28" x14ac:dyDescent="0.25">
      <c r="C215" s="39">
        <v>2016</v>
      </c>
      <c r="D215" s="62" t="str">
        <f>+'PN-654.038'!$F$4</f>
        <v>PN-654.038</v>
      </c>
      <c r="E215" s="63" t="str">
        <f>+'PN-654.038'!$F$5</f>
        <v>Expressrail Port Newark Administration Building</v>
      </c>
      <c r="F215" s="64">
        <f>+'PN-654.038'!$F$6</f>
        <v>42523</v>
      </c>
      <c r="G215" s="65" t="str">
        <f>+'PN-654.038'!$G$7</f>
        <v>D-B</v>
      </c>
      <c r="H215" s="27">
        <f>+'PN-654.038'!$F$7</f>
        <v>2253000</v>
      </c>
      <c r="I215" s="27">
        <f>+'PN-654.038'!$F$8</f>
        <v>2665637</v>
      </c>
      <c r="J215" s="27"/>
      <c r="K215" s="26">
        <f>+'PN-654.038'!$G$9</f>
        <v>0.18315002219263204</v>
      </c>
      <c r="L215" s="11" t="str">
        <f>+'PN-654.038'!$F$11</f>
        <v>FAIL</v>
      </c>
      <c r="M215" s="15">
        <f>+'PN-654.038'!$H$12</f>
        <v>4</v>
      </c>
      <c r="N215" s="35" t="s">
        <v>25</v>
      </c>
      <c r="O215" s="15">
        <v>2</v>
      </c>
      <c r="P215" s="35" t="s">
        <v>492</v>
      </c>
      <c r="Q215" s="15"/>
      <c r="R215" s="24"/>
      <c r="S215" s="62" t="str">
        <f>+'PN-654.038'!$J$4</f>
        <v>Ramani Sundaram</v>
      </c>
      <c r="T215" s="15"/>
      <c r="U215" s="15"/>
      <c r="V215" s="54">
        <f t="shared" ref="V215:V217" si="41">+H215</f>
        <v>2253000</v>
      </c>
      <c r="W215" s="54">
        <f t="shared" ref="W215:W217" si="42">+I215</f>
        <v>2665637</v>
      </c>
      <c r="X215" s="54">
        <f t="shared" ref="X215:X217" si="43">+V215-W215</f>
        <v>-412637</v>
      </c>
    </row>
    <row r="216" spans="3:28" x14ac:dyDescent="0.25">
      <c r="C216" s="39">
        <v>2016</v>
      </c>
      <c r="D216" s="62" t="str">
        <f>+'NYNJRR-644.537'!$F$4</f>
        <v>NYNJRR-644.537</v>
      </c>
      <c r="E216" s="63" t="str">
        <f>+'NYNJRR-644.537'!$F$5</f>
        <v>Repl Barge Mooring Structures at Greenville Yard</v>
      </c>
      <c r="F216" s="64">
        <f>+'NYNJRR-644.537'!$F$6</f>
        <v>42500</v>
      </c>
      <c r="G216" s="65" t="str">
        <f>+'NYNJRR-644.537'!$G$7</f>
        <v>Public</v>
      </c>
      <c r="H216" s="27">
        <f>+'NYNJRR-644.537'!$F$7</f>
        <v>4000000</v>
      </c>
      <c r="I216" s="27">
        <f>+'NYNJRR-644.537'!$F$8</f>
        <v>3838287</v>
      </c>
      <c r="J216" s="27"/>
      <c r="K216" s="26">
        <f>+'NYNJRR-644.537'!$G$9</f>
        <v>-4.0428249999999999E-2</v>
      </c>
      <c r="L216" s="11" t="str">
        <f>+'NYNJRR-644.537'!$F$11</f>
        <v>GOOD</v>
      </c>
      <c r="M216" s="15">
        <f>+'NYNJRR-644.537'!$H$12</f>
        <v>11</v>
      </c>
      <c r="N216" s="35" t="s">
        <v>25</v>
      </c>
      <c r="O216" s="15">
        <v>2</v>
      </c>
      <c r="P216" s="35" t="s">
        <v>492</v>
      </c>
      <c r="Q216" s="15"/>
      <c r="R216" s="24"/>
      <c r="S216" s="62" t="str">
        <f>+'NYNJRR-644.537'!$J$4</f>
        <v>Wen Chang</v>
      </c>
      <c r="T216" s="15"/>
      <c r="U216" s="15"/>
      <c r="V216" s="54">
        <f t="shared" si="41"/>
        <v>4000000</v>
      </c>
      <c r="W216" s="54">
        <f t="shared" si="42"/>
        <v>3838287</v>
      </c>
      <c r="X216" s="54">
        <f t="shared" si="43"/>
        <v>161713</v>
      </c>
    </row>
    <row r="217" spans="3:28" x14ac:dyDescent="0.25">
      <c r="C217" s="39">
        <v>2016</v>
      </c>
      <c r="D217" s="62" t="str">
        <f>+'EP-684.509A'!$F$4</f>
        <v>EP-684.509A</v>
      </c>
      <c r="E217" s="63" t="str">
        <f>+'EP-684.509A'!$F$5</f>
        <v>Bldg 1400 Upgrade of Fire Supression System</v>
      </c>
      <c r="F217" s="64">
        <f>+'EP-684.509A'!$F$6</f>
        <v>42474</v>
      </c>
      <c r="G217" s="65" t="str">
        <f>+'PAT-784.163'!$G$7</f>
        <v>Public</v>
      </c>
      <c r="H217" s="27">
        <f>+'EP-684.509A'!$F$7</f>
        <v>700000</v>
      </c>
      <c r="I217" s="27">
        <f>+'EP-684.509A'!$F$8</f>
        <v>442247</v>
      </c>
      <c r="J217" s="27"/>
      <c r="K217" s="26">
        <f>+'EP-684.509A'!$G$9</f>
        <v>-0.36821857142857145</v>
      </c>
      <c r="L217" s="11" t="str">
        <f>+'EP-684.509A'!$F$11</f>
        <v>GOOD</v>
      </c>
      <c r="M217" s="15">
        <f>+'EP-684.509A'!$H$12</f>
        <v>6</v>
      </c>
      <c r="N217" s="35" t="s">
        <v>25</v>
      </c>
      <c r="O217" s="15">
        <v>2</v>
      </c>
      <c r="P217" s="35" t="s">
        <v>492</v>
      </c>
      <c r="Q217" s="15"/>
      <c r="R217" s="24"/>
      <c r="S217" s="62" t="str">
        <f>+'EP-684.509A'!$J$4</f>
        <v>Wen Chang</v>
      </c>
      <c r="T217" s="15"/>
      <c r="U217" s="15"/>
      <c r="V217" s="54">
        <f t="shared" si="41"/>
        <v>700000</v>
      </c>
      <c r="W217" s="54">
        <f t="shared" si="42"/>
        <v>442247</v>
      </c>
      <c r="X217" s="54">
        <f t="shared" si="43"/>
        <v>257753</v>
      </c>
    </row>
    <row r="218" spans="3:28" x14ac:dyDescent="0.25">
      <c r="C218" s="39">
        <v>2016</v>
      </c>
      <c r="D218" s="15" t="str">
        <f>+'MFP-924.638'!$F$4</f>
        <v>MFP-924.638</v>
      </c>
      <c r="E218" s="24" t="str">
        <f>+'MFP-924.638'!$F$5</f>
        <v>NJ Marine Terminals - Dredging via Work Order</v>
      </c>
      <c r="F218" s="25">
        <f>+'MFP-924.638'!$F$6</f>
        <v>42450</v>
      </c>
      <c r="G218" s="46" t="str">
        <f>+'MFP-924.638'!$G$7</f>
        <v>PQL</v>
      </c>
      <c r="H218" s="27">
        <f>+'MFP-924.638'!$F$7</f>
        <v>13100000</v>
      </c>
      <c r="I218" s="27">
        <f>+'MFP-924.638'!$F$8</f>
        <v>14145813</v>
      </c>
      <c r="J218" s="27"/>
      <c r="K218" s="26">
        <f>+'MFP-924.638'!$G$9</f>
        <v>7.9833053435114501E-2</v>
      </c>
      <c r="L218" s="11" t="str">
        <f>+'MFP-924.638'!$F$11</f>
        <v>GOOD</v>
      </c>
      <c r="M218" s="15">
        <f>+'MFP-924.638'!$H$12</f>
        <v>5</v>
      </c>
      <c r="N218" s="35" t="s">
        <v>25</v>
      </c>
      <c r="O218" s="15">
        <v>1</v>
      </c>
      <c r="P218" s="35" t="s">
        <v>492</v>
      </c>
      <c r="Q218" s="15"/>
      <c r="R218" s="24"/>
      <c r="S218" s="15" t="str">
        <f>+'MFP-924.638'!$J$4</f>
        <v>Wen Chang</v>
      </c>
      <c r="T218" s="15"/>
      <c r="U218" s="15"/>
      <c r="V218" s="54">
        <f>+H218</f>
        <v>13100000</v>
      </c>
      <c r="W218" s="54">
        <f>+I218</f>
        <v>14145813</v>
      </c>
      <c r="X218" s="54">
        <f>+V218-W218</f>
        <v>-1045813</v>
      </c>
      <c r="Z218" s="4">
        <f>SUM(V218:V220)</f>
        <v>24300000</v>
      </c>
      <c r="AA218" s="4">
        <f>SUM(W218:W220)</f>
        <v>21695853</v>
      </c>
      <c r="AB218" s="7">
        <f>+Z218/AA218</f>
        <v>1.1200297125906964</v>
      </c>
    </row>
    <row r="219" spans="3:28" x14ac:dyDescent="0.25">
      <c r="C219" s="39">
        <v>2016</v>
      </c>
      <c r="D219" s="15" t="str">
        <f>+'PN-654.544'!$F$4</f>
        <v>PN-654.544</v>
      </c>
      <c r="E219" s="24" t="str">
        <f>+'PN-654.544'!$F$5</f>
        <v>Port Newark - Install Intelligent Transport Devices and Traffic Signals</v>
      </c>
      <c r="F219" s="25">
        <f>+'PN-654.544'!$F$6</f>
        <v>42389</v>
      </c>
      <c r="G219" s="46" t="str">
        <f>+'PN-654.544'!$G$7</f>
        <v>Public</v>
      </c>
      <c r="H219" s="27">
        <f>+'PN-654.544'!$F$7</f>
        <v>10000000</v>
      </c>
      <c r="I219" s="27">
        <f>+'PN-654.544'!$F$8</f>
        <v>6499990</v>
      </c>
      <c r="J219" s="27"/>
      <c r="K219" s="26">
        <f>+'PN-654.544'!$G$9</f>
        <v>-0.35000100000000001</v>
      </c>
      <c r="L219" s="11" t="str">
        <f>+'PN-654.544'!$F$11</f>
        <v>FAIL</v>
      </c>
      <c r="M219" s="15">
        <f>+'PN-654.544'!$H$12</f>
        <v>6</v>
      </c>
      <c r="N219" s="35" t="s">
        <v>25</v>
      </c>
      <c r="O219" s="15">
        <v>1</v>
      </c>
      <c r="P219" s="35" t="s">
        <v>492</v>
      </c>
      <c r="Q219" s="15"/>
      <c r="R219" s="24"/>
      <c r="S219" s="15" t="str">
        <f>+'PN-654.544'!$J$4</f>
        <v>Wen Chang</v>
      </c>
      <c r="T219" s="15"/>
      <c r="U219" s="15"/>
      <c r="V219" s="54">
        <f t="shared" ref="V219:V220" si="44">+H219</f>
        <v>10000000</v>
      </c>
      <c r="W219" s="54">
        <f t="shared" ref="W219:W220" si="45">+I219</f>
        <v>6499990</v>
      </c>
      <c r="X219" s="54">
        <f t="shared" ref="X219:X220" si="46">+V219-W219</f>
        <v>3500010</v>
      </c>
    </row>
    <row r="220" spans="3:28" x14ac:dyDescent="0.25">
      <c r="C220" s="39">
        <v>2016</v>
      </c>
      <c r="D220" s="15" t="str">
        <f>+'PN-654.041'!$F$4</f>
        <v>PN-654.041</v>
      </c>
      <c r="E220" s="24" t="str">
        <f>+'PN-654.041'!$F$5</f>
        <v>Port Newark - Davit Street Extension</v>
      </c>
      <c r="F220" s="25">
        <f>+'PN-654.041'!$F$6</f>
        <v>42383</v>
      </c>
      <c r="G220" s="46" t="str">
        <f>+'PN-654.041'!$G$7</f>
        <v>M/WBE</v>
      </c>
      <c r="H220" s="27">
        <f>+'PN-654.041'!$F$7</f>
        <v>1200000</v>
      </c>
      <c r="I220" s="27">
        <f>+'PN-654.041'!$F$8</f>
        <v>1050050</v>
      </c>
      <c r="J220" s="27"/>
      <c r="K220" s="26">
        <f>+'PN-654.041'!$G$9</f>
        <v>-0.12495833333333334</v>
      </c>
      <c r="L220" s="11" t="str">
        <f>+'PN-654.041'!$F$11</f>
        <v>GOOD</v>
      </c>
      <c r="M220" s="15">
        <f>+'PN-654.041'!$H$12</f>
        <v>6</v>
      </c>
      <c r="N220" s="35" t="s">
        <v>25</v>
      </c>
      <c r="O220" s="15">
        <v>1</v>
      </c>
      <c r="P220" s="35" t="s">
        <v>492</v>
      </c>
      <c r="Q220" s="15"/>
      <c r="R220" s="24"/>
      <c r="S220" s="15" t="str">
        <f>+'PN-654.041'!$J$4</f>
        <v>Wen Chang</v>
      </c>
      <c r="T220" s="15"/>
      <c r="U220" s="15"/>
      <c r="V220" s="54">
        <f t="shared" si="44"/>
        <v>1200000</v>
      </c>
      <c r="W220" s="54">
        <f t="shared" si="45"/>
        <v>1050050</v>
      </c>
      <c r="X220" s="54">
        <f t="shared" si="46"/>
        <v>149950</v>
      </c>
    </row>
    <row r="221" spans="3:28" x14ac:dyDescent="0.25">
      <c r="C221" s="39"/>
    </row>
    <row r="222" spans="3:28" x14ac:dyDescent="0.25">
      <c r="C222" s="39"/>
    </row>
    <row r="223" spans="3:28" x14ac:dyDescent="0.25">
      <c r="C223" s="39"/>
    </row>
    <row r="224" spans="3:28" x14ac:dyDescent="0.25">
      <c r="C224" s="39"/>
    </row>
    <row r="225" spans="3:24" x14ac:dyDescent="0.25">
      <c r="C225" s="39"/>
    </row>
    <row r="226" spans="3:24" x14ac:dyDescent="0.25">
      <c r="C226" s="39"/>
    </row>
    <row r="227" spans="3:24" x14ac:dyDescent="0.25">
      <c r="C227" s="39"/>
    </row>
    <row r="228" spans="3:24" x14ac:dyDescent="0.25">
      <c r="C228" s="39"/>
    </row>
    <row r="229" spans="3:24" x14ac:dyDescent="0.25">
      <c r="C229" s="39"/>
    </row>
    <row r="230" spans="3:24" x14ac:dyDescent="0.25">
      <c r="C230" s="39"/>
    </row>
    <row r="231" spans="3:24" x14ac:dyDescent="0.25">
      <c r="C231" s="39"/>
    </row>
    <row r="232" spans="3:24" x14ac:dyDescent="0.25">
      <c r="C232" s="39">
        <v>2016</v>
      </c>
      <c r="D232" s="62" t="str">
        <f>+'PAT-084.039'!$F$4</f>
        <v>PAT-084.039</v>
      </c>
      <c r="E232" s="63" t="str">
        <f>+'PAT-084.039'!$F$5</f>
        <v>Event Detection Systems for Tunnels E and F</v>
      </c>
      <c r="F232" s="64">
        <f>+'PAT-084.039'!$F$6</f>
        <v>42731</v>
      </c>
      <c r="G232" s="65" t="str">
        <f>+'PAT-084.039'!$G$7</f>
        <v>PQL</v>
      </c>
      <c r="H232" s="27">
        <f>+'PAT-084.039'!$F$7</f>
        <v>18500000</v>
      </c>
      <c r="I232" s="27">
        <f>+'PAT-084.039'!$F$8</f>
        <v>15978000</v>
      </c>
      <c r="J232" s="27"/>
      <c r="K232" s="26">
        <f>+'PAT-084.039'!$G$9</f>
        <v>-0.13632432432432431</v>
      </c>
      <c r="L232" s="11" t="str">
        <f>+'PAT-084.039'!$F$11</f>
        <v>GOOD</v>
      </c>
      <c r="M232" s="15">
        <f>+'PAT-084.039'!$H$12</f>
        <v>2</v>
      </c>
      <c r="N232" s="35" t="s">
        <v>226</v>
      </c>
      <c r="O232" s="15">
        <v>4</v>
      </c>
      <c r="P232" s="35" t="s">
        <v>459</v>
      </c>
      <c r="Q232" s="15"/>
      <c r="R232" s="24"/>
      <c r="S232" s="62" t="str">
        <f>+'PAT-084.039'!$J$4</f>
        <v>Nathan Demaisip</v>
      </c>
      <c r="T232" s="15"/>
      <c r="U232" s="15"/>
      <c r="V232" s="54">
        <f t="shared" ref="V232:V234" si="47">+H232</f>
        <v>18500000</v>
      </c>
      <c r="W232" s="54">
        <f t="shared" ref="W232:W234" si="48">+I232</f>
        <v>15978000</v>
      </c>
      <c r="X232" s="54">
        <f t="shared" ref="X232:X234" si="49">+V232-W232</f>
        <v>2522000</v>
      </c>
    </row>
    <row r="233" spans="3:24" x14ac:dyDescent="0.25">
      <c r="C233" s="39">
        <v>2016</v>
      </c>
      <c r="D233" s="62" t="str">
        <f>+'PAT-534.316 Void'!$F$4</f>
        <v>PAT-534.316</v>
      </c>
      <c r="E233" s="63" t="str">
        <f>+'PAT-534.316 Void'!$F$5</f>
        <v>Journal Square Transport Center - Hardening phase 2</v>
      </c>
      <c r="F233" s="64">
        <f>+'PAT-534.316 Void'!$F$6</f>
        <v>42719</v>
      </c>
      <c r="G233" s="65" t="str">
        <f>+'PAT-534.316 Void'!$G$7</f>
        <v>VVP</v>
      </c>
      <c r="H233" s="27">
        <f>+'PAT-534.316 Void'!$F$7</f>
        <v>2212000</v>
      </c>
      <c r="I233" s="27">
        <f>+'PAT-534.316 Void'!$F$8</f>
        <v>3028000</v>
      </c>
      <c r="J233" s="27"/>
      <c r="K233" s="26">
        <f>+'PAT-534.316 Void'!$G$9</f>
        <v>0.36889692585895117</v>
      </c>
      <c r="L233" s="11" t="str">
        <f>+'PAT-534.316 Void'!$F$11</f>
        <v>FAIL</v>
      </c>
      <c r="M233" s="15">
        <f>+'PAT-534.316 Void'!$H$12</f>
        <v>1</v>
      </c>
      <c r="N233" s="35" t="s">
        <v>25</v>
      </c>
      <c r="O233" s="15">
        <v>4</v>
      </c>
      <c r="P233" s="35" t="s">
        <v>459</v>
      </c>
      <c r="Q233" s="15"/>
      <c r="R233" s="24" t="s">
        <v>782</v>
      </c>
      <c r="S233" s="62" t="str">
        <f>+'PAT-534.316 Void'!$J$4</f>
        <v>Nathan Demaisip</v>
      </c>
      <c r="T233" s="15"/>
      <c r="U233" s="15"/>
      <c r="V233" s="54">
        <f t="shared" si="47"/>
        <v>2212000</v>
      </c>
      <c r="W233" s="54">
        <f t="shared" si="48"/>
        <v>3028000</v>
      </c>
      <c r="X233" s="54">
        <f t="shared" si="49"/>
        <v>-816000</v>
      </c>
    </row>
    <row r="234" spans="3:24" x14ac:dyDescent="0.25">
      <c r="C234" s="39">
        <v>2016</v>
      </c>
      <c r="D234" s="62" t="str">
        <f>+'PAT-024.069A'!$F$4</f>
        <v>PAT-024.069A</v>
      </c>
      <c r="E234" s="63" t="str">
        <f>+'PAT-024.069A'!$F$5</f>
        <v>30th Street Mezzanine Rehab</v>
      </c>
      <c r="F234" s="64">
        <f>+'PAT-024.069A'!$F$6</f>
        <v>42667</v>
      </c>
      <c r="G234" s="65" t="str">
        <f>+'PAT-024.069A'!$G$7</f>
        <v>Public</v>
      </c>
      <c r="H234" s="27">
        <f>+'PAT-024.069A'!$F$7</f>
        <v>2400000</v>
      </c>
      <c r="I234" s="27">
        <f>+'PAT-024.069A'!$F$8</f>
        <v>3617000</v>
      </c>
      <c r="J234" s="27"/>
      <c r="K234" s="26">
        <f>+'PAT-024.069A'!$G$9</f>
        <v>0.50708333333333333</v>
      </c>
      <c r="L234" s="11" t="str">
        <f>+'PAT-024.069A'!$F$11</f>
        <v>FAIL</v>
      </c>
      <c r="M234" s="15">
        <f>+'PAT-024.069A'!$H$12</f>
        <v>2</v>
      </c>
      <c r="N234" s="35" t="s">
        <v>93</v>
      </c>
      <c r="O234" s="15">
        <v>4</v>
      </c>
      <c r="P234" s="35" t="s">
        <v>459</v>
      </c>
      <c r="Q234" s="15"/>
      <c r="R234" s="24"/>
      <c r="S234" s="62" t="str">
        <f>+'PAT-024.069A'!$J$4</f>
        <v>Nathan Demaisip</v>
      </c>
      <c r="T234" s="15"/>
      <c r="U234" s="15"/>
      <c r="V234" s="54">
        <f t="shared" si="47"/>
        <v>2400000</v>
      </c>
      <c r="W234" s="54">
        <f t="shared" si="48"/>
        <v>3617000</v>
      </c>
      <c r="X234" s="54">
        <f t="shared" si="49"/>
        <v>-1217000</v>
      </c>
    </row>
    <row r="235" spans="3:24" x14ac:dyDescent="0.25">
      <c r="C235" s="39">
        <v>2016</v>
      </c>
      <c r="D235" s="62" t="str">
        <f>+'PAT-784.164'!$F$4</f>
        <v>PAT-784.164</v>
      </c>
      <c r="E235" s="63" t="str">
        <f>+'PAT-784.164'!$F$5</f>
        <v>Replace Roof - MacMillian-Bloedel Building</v>
      </c>
      <c r="F235" s="64">
        <f>+'PAT-784.164'!$F$6</f>
        <v>42601</v>
      </c>
      <c r="G235" s="65" t="str">
        <f>+'PAT-784.164'!$G$7</f>
        <v>Public</v>
      </c>
      <c r="H235" s="27">
        <f>+'PAT-784.164'!$F$7</f>
        <v>6120000</v>
      </c>
      <c r="I235" s="27">
        <f>+'PAT-784.164'!$F$8</f>
        <v>4674300</v>
      </c>
      <c r="J235" s="27">
        <v>4753054</v>
      </c>
      <c r="K235" s="26">
        <f>+'PAT-784.164'!$G$9</f>
        <v>-0.23622549019607844</v>
      </c>
      <c r="L235" s="11" t="str">
        <f>+'PAT-784.164'!$F$11</f>
        <v>GOOD</v>
      </c>
      <c r="M235" s="15">
        <f>+'PAT-784.164'!$H$12</f>
        <v>6</v>
      </c>
      <c r="N235" s="35" t="s">
        <v>25</v>
      </c>
      <c r="O235" s="15">
        <v>3</v>
      </c>
      <c r="P235" s="35" t="s">
        <v>459</v>
      </c>
      <c r="Q235" s="15"/>
      <c r="R235" s="24" t="s">
        <v>726</v>
      </c>
      <c r="S235" s="62" t="str">
        <f>+'PAT-784.164'!$J$4</f>
        <v>Nathan Demaisip</v>
      </c>
      <c r="T235" s="15"/>
      <c r="U235" s="15"/>
      <c r="V235" s="54">
        <f t="shared" ref="V235" si="50">+H235</f>
        <v>6120000</v>
      </c>
      <c r="W235" s="54">
        <f t="shared" ref="W235" si="51">+I235</f>
        <v>4674300</v>
      </c>
      <c r="X235" s="54">
        <f t="shared" ref="X235" si="52">+V235-W235</f>
        <v>1445700</v>
      </c>
    </row>
    <row r="236" spans="3:24" x14ac:dyDescent="0.25">
      <c r="C236" s="39">
        <v>2016</v>
      </c>
      <c r="D236" s="62" t="str">
        <f>+'PAT-784.163'!$F$4</f>
        <v>PAT-784.163</v>
      </c>
      <c r="E236" s="63" t="str">
        <f>+'PAT-784.163'!$F$5</f>
        <v>PATH - Infrastructure for Standby Generators</v>
      </c>
      <c r="F236" s="64">
        <f>+'PAT-784.163'!$F$6</f>
        <v>42473</v>
      </c>
      <c r="G236" s="65" t="str">
        <f>+'PAT-784.163'!$G$7</f>
        <v>Public</v>
      </c>
      <c r="H236" s="27">
        <f>+'PAT-784.163'!$F$7</f>
        <v>1900000</v>
      </c>
      <c r="I236" s="27">
        <f>+'PAT-784.163'!$F$8</f>
        <v>1348800</v>
      </c>
      <c r="J236" s="27">
        <v>1348800</v>
      </c>
      <c r="K236" s="26">
        <f>+'PAT-784.163'!$G$9</f>
        <v>-0.29010526315789475</v>
      </c>
      <c r="L236" s="11" t="str">
        <f>+'PAT-784.163'!$F$11</f>
        <v>GOOD</v>
      </c>
      <c r="M236" s="15">
        <f>+'PAT-784.163'!$H$12</f>
        <v>11</v>
      </c>
      <c r="N236" s="35" t="s">
        <v>25</v>
      </c>
      <c r="O236" s="15">
        <v>2</v>
      </c>
      <c r="P236" s="35" t="s">
        <v>459</v>
      </c>
      <c r="Q236" s="15"/>
      <c r="R236" s="24" t="s">
        <v>608</v>
      </c>
      <c r="S236" s="62" t="str">
        <f>+'PAT-784.163'!$J$4</f>
        <v>Nathan Demaisip</v>
      </c>
      <c r="T236" s="15"/>
      <c r="U236" s="15"/>
      <c r="V236" s="54">
        <f t="shared" ref="V236" si="53">+H236</f>
        <v>1900000</v>
      </c>
      <c r="W236" s="54">
        <f t="shared" ref="W236" si="54">+I236</f>
        <v>1348800</v>
      </c>
      <c r="X236" s="54">
        <f t="shared" ref="X236" si="55">+V236-W236</f>
        <v>551200</v>
      </c>
    </row>
    <row r="237" spans="3:24" x14ac:dyDescent="0.25">
      <c r="C237" s="39">
        <v>2016</v>
      </c>
      <c r="D237" s="15" t="str">
        <f>+'PAT-774.154'!$F$4</f>
        <v>PAT-774.154</v>
      </c>
      <c r="E237" s="24" t="str">
        <f>+'PAT-774.154'!$F$5</f>
        <v>PATH - Hoboken Station Under-Platform Fan Replacement</v>
      </c>
      <c r="F237" s="25">
        <f>+'PAT-774.154'!$F$6</f>
        <v>42391</v>
      </c>
      <c r="G237" s="46" t="str">
        <f>+'PAT-774.154'!$G$7</f>
        <v>Public</v>
      </c>
      <c r="H237" s="27">
        <f>+'PAT-774.154'!$F$7</f>
        <v>4574000</v>
      </c>
      <c r="I237" s="27">
        <f>+'PAT-774.154'!$F$8</f>
        <v>3774000</v>
      </c>
      <c r="J237" s="27">
        <v>3774000</v>
      </c>
      <c r="K237" s="26">
        <f>+'PAT-774.154'!$G$9</f>
        <v>-0.17490161783996502</v>
      </c>
      <c r="L237" s="11" t="str">
        <f>+'PAT-774.154'!$F$11</f>
        <v>GOOD</v>
      </c>
      <c r="M237" s="15">
        <f>+'PAT-774.154'!$H$12</f>
        <v>4</v>
      </c>
      <c r="N237" s="35" t="s">
        <v>25</v>
      </c>
      <c r="O237" s="15">
        <v>1</v>
      </c>
      <c r="P237" s="35" t="s">
        <v>459</v>
      </c>
      <c r="Q237" s="15"/>
      <c r="R237" s="24"/>
      <c r="S237" s="15" t="str">
        <f>+'PAT-774.154'!$J$4</f>
        <v>Nathan Demaisip</v>
      </c>
      <c r="T237" s="15"/>
      <c r="U237" s="15"/>
      <c r="V237" s="54">
        <f t="shared" ref="V237" si="56">+H237</f>
        <v>4574000</v>
      </c>
      <c r="W237" s="54">
        <f t="shared" ref="W237" si="57">+I237</f>
        <v>3774000</v>
      </c>
      <c r="X237" s="54">
        <f t="shared" ref="X237" si="58">+V237-W237</f>
        <v>800000</v>
      </c>
    </row>
    <row r="238" spans="3:24" x14ac:dyDescent="0.25">
      <c r="C238" s="39"/>
    </row>
    <row r="239" spans="3:24" x14ac:dyDescent="0.25">
      <c r="C239" s="39"/>
    </row>
    <row r="240" spans="3:24" x14ac:dyDescent="0.25">
      <c r="C240" s="39"/>
    </row>
    <row r="241" spans="3:24" x14ac:dyDescent="0.25">
      <c r="C241" s="39"/>
    </row>
    <row r="242" spans="3:24" x14ac:dyDescent="0.25">
      <c r="C242" s="39"/>
    </row>
    <row r="243" spans="3:24" x14ac:dyDescent="0.25">
      <c r="C243" s="39"/>
    </row>
    <row r="244" spans="3:24" x14ac:dyDescent="0.25">
      <c r="C244" s="39"/>
    </row>
    <row r="245" spans="3:24" x14ac:dyDescent="0.25">
      <c r="C245" s="39"/>
    </row>
    <row r="246" spans="3:24" x14ac:dyDescent="0.25">
      <c r="C246" s="39"/>
    </row>
    <row r="247" spans="3:24" x14ac:dyDescent="0.25">
      <c r="C247" s="39"/>
    </row>
    <row r="248" spans="3:24" x14ac:dyDescent="0.25">
      <c r="C248" s="39">
        <v>2016</v>
      </c>
      <c r="D248" s="62" t="s">
        <v>821</v>
      </c>
      <c r="E248" s="63" t="s">
        <v>822</v>
      </c>
      <c r="F248" s="64">
        <v>42725</v>
      </c>
      <c r="G248" s="65" t="s">
        <v>693</v>
      </c>
      <c r="H248" s="27">
        <v>600000</v>
      </c>
      <c r="I248" s="27">
        <v>421111</v>
      </c>
      <c r="J248" s="27"/>
      <c r="K248" s="26">
        <v>-0.29814833333333335</v>
      </c>
      <c r="L248" s="11" t="s">
        <v>464</v>
      </c>
      <c r="M248" s="15">
        <v>8</v>
      </c>
      <c r="N248" s="35" t="s">
        <v>25</v>
      </c>
      <c r="O248" s="15">
        <v>4</v>
      </c>
      <c r="P248" s="35" t="s">
        <v>458</v>
      </c>
      <c r="Q248" s="15"/>
      <c r="R248" s="24"/>
      <c r="S248" s="62" t="s">
        <v>616</v>
      </c>
      <c r="T248" s="15"/>
      <c r="U248" s="15"/>
      <c r="V248" s="54">
        <v>600000</v>
      </c>
      <c r="W248" s="54">
        <v>421111</v>
      </c>
      <c r="X248" s="54">
        <v>178889</v>
      </c>
    </row>
    <row r="249" spans="3:24" x14ac:dyDescent="0.25">
      <c r="C249" s="39">
        <v>2016</v>
      </c>
      <c r="D249" s="62" t="s">
        <v>812</v>
      </c>
      <c r="E249" s="63" t="s">
        <v>813</v>
      </c>
      <c r="F249" s="64">
        <v>42719</v>
      </c>
      <c r="G249" s="65" t="s">
        <v>693</v>
      </c>
      <c r="H249" s="27">
        <v>1460000</v>
      </c>
      <c r="I249" s="27">
        <v>1457020</v>
      </c>
      <c r="J249" s="27"/>
      <c r="K249" s="26">
        <v>-2.0410958904109591E-3</v>
      </c>
      <c r="L249" s="11" t="s">
        <v>464</v>
      </c>
      <c r="M249" s="15">
        <v>7</v>
      </c>
      <c r="N249" s="35" t="s">
        <v>25</v>
      </c>
      <c r="O249" s="15">
        <v>4</v>
      </c>
      <c r="P249" s="35" t="s">
        <v>492</v>
      </c>
      <c r="Q249" s="15"/>
      <c r="R249" s="24"/>
      <c r="S249" s="62" t="s">
        <v>816</v>
      </c>
      <c r="T249" s="15"/>
      <c r="U249" s="15"/>
      <c r="V249" s="54">
        <v>1460000</v>
      </c>
      <c r="W249" s="54">
        <v>1457020</v>
      </c>
      <c r="X249" s="54">
        <v>2980</v>
      </c>
    </row>
    <row r="250" spans="3:24" x14ac:dyDescent="0.25">
      <c r="C250" s="39">
        <v>2016</v>
      </c>
      <c r="D250" s="62" t="s">
        <v>763</v>
      </c>
      <c r="E250" s="63" t="s">
        <v>764</v>
      </c>
      <c r="F250" s="64">
        <v>42677</v>
      </c>
      <c r="G250" s="65" t="s">
        <v>693</v>
      </c>
      <c r="H250" s="27">
        <v>480000</v>
      </c>
      <c r="I250" s="27">
        <v>770000</v>
      </c>
      <c r="J250" s="27"/>
      <c r="K250" s="26">
        <v>0.60416666666666663</v>
      </c>
      <c r="L250" s="11" t="s">
        <v>465</v>
      </c>
      <c r="M250" s="15">
        <v>4</v>
      </c>
      <c r="N250" s="35" t="s">
        <v>226</v>
      </c>
      <c r="O250" s="15">
        <v>4</v>
      </c>
      <c r="P250" s="35" t="s">
        <v>457</v>
      </c>
      <c r="Q250" s="15"/>
      <c r="R250" s="24"/>
      <c r="S250" s="62" t="s">
        <v>630</v>
      </c>
      <c r="T250" s="15"/>
      <c r="U250" s="15"/>
      <c r="V250" s="54">
        <v>480000</v>
      </c>
      <c r="W250" s="54">
        <v>770000</v>
      </c>
      <c r="X250" s="54">
        <v>-290000</v>
      </c>
    </row>
    <row r="251" spans="3:24" x14ac:dyDescent="0.25">
      <c r="C251" s="39">
        <v>2016</v>
      </c>
      <c r="D251" s="62" t="s">
        <v>727</v>
      </c>
      <c r="E251" s="63" t="s">
        <v>728</v>
      </c>
      <c r="F251" s="64">
        <v>42606</v>
      </c>
      <c r="G251" s="65" t="s">
        <v>693</v>
      </c>
      <c r="H251" s="27">
        <v>230000</v>
      </c>
      <c r="I251" s="27">
        <v>274450</v>
      </c>
      <c r="J251" s="27"/>
      <c r="K251" s="26">
        <v>0.1932608695652174</v>
      </c>
      <c r="L251" s="11" t="s">
        <v>465</v>
      </c>
      <c r="M251" s="15">
        <v>3</v>
      </c>
      <c r="N251" s="35" t="s">
        <v>25</v>
      </c>
      <c r="O251" s="15">
        <v>3</v>
      </c>
      <c r="P251" s="35" t="s">
        <v>458</v>
      </c>
      <c r="Q251" s="15"/>
      <c r="R251" s="24"/>
      <c r="S251" s="62" t="s">
        <v>616</v>
      </c>
      <c r="T251" s="15"/>
      <c r="U251" s="15"/>
      <c r="V251" s="54">
        <v>230000</v>
      </c>
      <c r="W251" s="54">
        <v>274450</v>
      </c>
      <c r="X251" s="54">
        <v>-44450</v>
      </c>
    </row>
    <row r="252" spans="3:24" x14ac:dyDescent="0.25">
      <c r="C252" s="39">
        <v>2016</v>
      </c>
      <c r="D252" s="62" t="s">
        <v>705</v>
      </c>
      <c r="E252" s="63" t="s">
        <v>706</v>
      </c>
      <c r="F252" s="64">
        <v>42586</v>
      </c>
      <c r="G252" s="65" t="s">
        <v>693</v>
      </c>
      <c r="H252" s="27">
        <v>800000</v>
      </c>
      <c r="I252" s="27">
        <v>485250</v>
      </c>
      <c r="J252" s="27"/>
      <c r="K252" s="26">
        <v>-0.3934375</v>
      </c>
      <c r="L252" s="11" t="s">
        <v>464</v>
      </c>
      <c r="M252" s="15">
        <v>4</v>
      </c>
      <c r="N252" s="35" t="s">
        <v>25</v>
      </c>
      <c r="O252" s="15">
        <v>3</v>
      </c>
      <c r="P252" s="35" t="s">
        <v>457</v>
      </c>
      <c r="Q252" s="15"/>
      <c r="R252" s="24"/>
      <c r="S252" s="62" t="s">
        <v>630</v>
      </c>
      <c r="T252" s="15"/>
      <c r="U252" s="15"/>
      <c r="V252" s="54">
        <v>800000</v>
      </c>
      <c r="W252" s="54">
        <v>485250</v>
      </c>
      <c r="X252" s="54">
        <v>314750</v>
      </c>
    </row>
    <row r="253" spans="3:24" x14ac:dyDescent="0.25">
      <c r="C253" s="39">
        <v>2016</v>
      </c>
      <c r="D253" s="62" t="s">
        <v>691</v>
      </c>
      <c r="E253" s="63" t="s">
        <v>692</v>
      </c>
      <c r="F253" s="64">
        <v>42579</v>
      </c>
      <c r="G253" s="65" t="s">
        <v>693</v>
      </c>
      <c r="H253" s="27">
        <v>1636000</v>
      </c>
      <c r="I253" s="27">
        <v>1365000</v>
      </c>
      <c r="J253" s="27"/>
      <c r="K253" s="26">
        <v>-0.1656479217603912</v>
      </c>
      <c r="L253" s="11" t="s">
        <v>464</v>
      </c>
      <c r="M253" s="15">
        <v>3</v>
      </c>
      <c r="N253" s="35" t="s">
        <v>93</v>
      </c>
      <c r="O253" s="15">
        <v>3</v>
      </c>
      <c r="P253" s="35" t="s">
        <v>457</v>
      </c>
      <c r="Q253" s="15"/>
      <c r="R253" s="24"/>
      <c r="S253" s="62" t="s">
        <v>630</v>
      </c>
      <c r="T253" s="15"/>
      <c r="U253" s="15"/>
      <c r="V253" s="54">
        <v>1636000</v>
      </c>
      <c r="W253" s="54">
        <v>1365000</v>
      </c>
      <c r="X253" s="54">
        <v>271000</v>
      </c>
    </row>
    <row r="254" spans="3:24" x14ac:dyDescent="0.25">
      <c r="C254" s="39">
        <v>2016</v>
      </c>
      <c r="D254" s="15" t="s">
        <v>467</v>
      </c>
      <c r="E254" s="24" t="s">
        <v>468</v>
      </c>
      <c r="F254" s="25">
        <v>42383</v>
      </c>
      <c r="G254" s="46" t="s">
        <v>177</v>
      </c>
      <c r="H254" s="27">
        <v>1200000</v>
      </c>
      <c r="I254" s="27">
        <v>1050050</v>
      </c>
      <c r="J254" s="27"/>
      <c r="K254" s="26">
        <v>-0.12495833333333334</v>
      </c>
      <c r="L254" s="11" t="s">
        <v>464</v>
      </c>
      <c r="M254" s="15">
        <v>6</v>
      </c>
      <c r="N254" s="35" t="s">
        <v>25</v>
      </c>
      <c r="O254" s="15">
        <v>1</v>
      </c>
      <c r="P254" s="35" t="s">
        <v>492</v>
      </c>
      <c r="Q254" s="15"/>
      <c r="R254" s="24"/>
      <c r="S254" s="15" t="s">
        <v>442</v>
      </c>
      <c r="T254" s="15"/>
      <c r="U254" s="15"/>
      <c r="V254" s="54">
        <v>1200000</v>
      </c>
      <c r="W254" s="54">
        <v>1050050</v>
      </c>
      <c r="X254" s="54">
        <v>149950</v>
      </c>
    </row>
    <row r="255" spans="3:24" x14ac:dyDescent="0.25">
      <c r="C255" s="39"/>
    </row>
    <row r="256" spans="3:24" x14ac:dyDescent="0.25">
      <c r="C256" s="39"/>
    </row>
    <row r="257" spans="3:3" x14ac:dyDescent="0.25">
      <c r="C257" s="39"/>
    </row>
    <row r="258" spans="3:3" x14ac:dyDescent="0.25">
      <c r="C258" s="39"/>
    </row>
    <row r="259" spans="3:3" x14ac:dyDescent="0.25">
      <c r="C259" s="39"/>
    </row>
    <row r="260" spans="3:3" x14ac:dyDescent="0.25">
      <c r="C260" s="39"/>
    </row>
    <row r="261" spans="3:3" x14ac:dyDescent="0.25">
      <c r="C261" s="39"/>
    </row>
    <row r="262" spans="3:3" x14ac:dyDescent="0.25">
      <c r="C262" s="39"/>
    </row>
    <row r="263" spans="3:3" x14ac:dyDescent="0.25">
      <c r="C263" s="39"/>
    </row>
    <row r="264" spans="3:3" x14ac:dyDescent="0.25">
      <c r="C264" s="39"/>
    </row>
    <row r="265" spans="3:3" x14ac:dyDescent="0.25">
      <c r="C265" s="39"/>
    </row>
    <row r="266" spans="3:3" x14ac:dyDescent="0.25">
      <c r="C266" s="39"/>
    </row>
    <row r="267" spans="3:3" x14ac:dyDescent="0.25">
      <c r="C267" s="39"/>
    </row>
    <row r="268" spans="3:3" x14ac:dyDescent="0.25">
      <c r="C268" s="39"/>
    </row>
    <row r="269" spans="3:3" x14ac:dyDescent="0.25">
      <c r="C269" s="39"/>
    </row>
    <row r="270" spans="3:3" x14ac:dyDescent="0.25">
      <c r="C270" s="39"/>
    </row>
    <row r="271" spans="3:3" x14ac:dyDescent="0.25">
      <c r="C271" s="39"/>
    </row>
    <row r="272" spans="3:3" x14ac:dyDescent="0.25">
      <c r="C272" s="39"/>
    </row>
    <row r="273" spans="3:3" x14ac:dyDescent="0.25">
      <c r="C273" s="39"/>
    </row>
    <row r="274" spans="3:3" x14ac:dyDescent="0.25">
      <c r="C274" s="39"/>
    </row>
    <row r="275" spans="3:3" x14ac:dyDescent="0.25">
      <c r="C275" s="39"/>
    </row>
    <row r="276" spans="3:3" x14ac:dyDescent="0.25">
      <c r="C276" s="39"/>
    </row>
    <row r="277" spans="3:3" x14ac:dyDescent="0.25">
      <c r="C277" s="39"/>
    </row>
    <row r="278" spans="3:3" x14ac:dyDescent="0.25">
      <c r="C278" s="39"/>
    </row>
    <row r="279" spans="3:3" x14ac:dyDescent="0.25">
      <c r="C279" s="39"/>
    </row>
    <row r="280" spans="3:3" x14ac:dyDescent="0.25">
      <c r="C280" s="39"/>
    </row>
    <row r="281" spans="3:3" x14ac:dyDescent="0.25">
      <c r="C281" s="39"/>
    </row>
    <row r="282" spans="3:3" x14ac:dyDescent="0.25">
      <c r="C282" s="39"/>
    </row>
    <row r="283" spans="3:3" x14ac:dyDescent="0.25">
      <c r="C283" s="39"/>
    </row>
    <row r="284" spans="3:3" x14ac:dyDescent="0.25">
      <c r="C284" s="39"/>
    </row>
    <row r="285" spans="3:3" x14ac:dyDescent="0.25">
      <c r="C285" s="39"/>
    </row>
    <row r="286" spans="3:3" x14ac:dyDescent="0.25">
      <c r="C286" s="39"/>
    </row>
    <row r="287" spans="3:3" x14ac:dyDescent="0.25">
      <c r="C287" s="39"/>
    </row>
    <row r="288" spans="3:3" x14ac:dyDescent="0.25">
      <c r="C288" s="39"/>
    </row>
    <row r="289" spans="3:3" x14ac:dyDescent="0.25">
      <c r="C289" s="39"/>
    </row>
    <row r="290" spans="3:3" x14ac:dyDescent="0.25">
      <c r="C290" s="39"/>
    </row>
    <row r="291" spans="3:3" x14ac:dyDescent="0.25">
      <c r="C291" s="39"/>
    </row>
    <row r="292" spans="3:3" x14ac:dyDescent="0.25">
      <c r="C292" s="39"/>
    </row>
    <row r="293" spans="3:3" x14ac:dyDescent="0.25">
      <c r="C293" s="39"/>
    </row>
    <row r="294" spans="3:3" x14ac:dyDescent="0.25">
      <c r="C294" s="39"/>
    </row>
    <row r="295" spans="3:3" x14ac:dyDescent="0.25">
      <c r="C295" s="39"/>
    </row>
    <row r="296" spans="3:3" x14ac:dyDescent="0.25">
      <c r="C296" s="39"/>
    </row>
    <row r="297" spans="3:3" x14ac:dyDescent="0.25">
      <c r="C297" s="39"/>
    </row>
    <row r="298" spans="3:3" x14ac:dyDescent="0.25">
      <c r="C298" s="39"/>
    </row>
    <row r="299" spans="3:3" x14ac:dyDescent="0.25">
      <c r="C299" s="39"/>
    </row>
    <row r="300" spans="3:3" x14ac:dyDescent="0.25">
      <c r="C300" s="39"/>
    </row>
    <row r="301" spans="3:3" x14ac:dyDescent="0.25">
      <c r="C301" s="39"/>
    </row>
    <row r="302" spans="3:3" x14ac:dyDescent="0.25">
      <c r="C302" s="38"/>
    </row>
    <row r="303" spans="3:3" x14ac:dyDescent="0.25">
      <c r="C303" s="38"/>
    </row>
    <row r="304" spans="3:3" x14ac:dyDescent="0.25">
      <c r="C304" s="38"/>
    </row>
    <row r="305" spans="3:3" x14ac:dyDescent="0.25">
      <c r="C305" s="38"/>
    </row>
    <row r="306" spans="3:3" x14ac:dyDescent="0.25">
      <c r="C306" s="38"/>
    </row>
    <row r="307" spans="3:3" x14ac:dyDescent="0.25">
      <c r="C307" s="38"/>
    </row>
    <row r="308" spans="3:3" x14ac:dyDescent="0.25">
      <c r="C308" s="38"/>
    </row>
    <row r="309" spans="3:3" x14ac:dyDescent="0.25">
      <c r="C309" s="38"/>
    </row>
    <row r="310" spans="3:3" x14ac:dyDescent="0.25">
      <c r="C310" s="38"/>
    </row>
    <row r="311" spans="3:3" x14ac:dyDescent="0.25">
      <c r="C311" s="38"/>
    </row>
    <row r="312" spans="3:3" x14ac:dyDescent="0.25">
      <c r="C312" s="38"/>
    </row>
    <row r="313" spans="3:3" x14ac:dyDescent="0.25">
      <c r="C313" s="38"/>
    </row>
    <row r="314" spans="3:3" x14ac:dyDescent="0.25">
      <c r="C314" s="38"/>
    </row>
    <row r="315" spans="3:3" x14ac:dyDescent="0.25">
      <c r="C315" s="38"/>
    </row>
    <row r="316" spans="3:3" x14ac:dyDescent="0.25">
      <c r="C316" s="38"/>
    </row>
    <row r="317" spans="3:3" x14ac:dyDescent="0.25">
      <c r="C317" s="38"/>
    </row>
    <row r="318" spans="3:3" x14ac:dyDescent="0.25">
      <c r="C318" s="38"/>
    </row>
    <row r="319" spans="3:3" x14ac:dyDescent="0.25">
      <c r="C319" s="38"/>
    </row>
    <row r="320" spans="3:3" x14ac:dyDescent="0.25">
      <c r="C320" s="38"/>
    </row>
    <row r="321" spans="3:3" x14ac:dyDescent="0.25">
      <c r="C321" s="38"/>
    </row>
    <row r="322" spans="3:3" x14ac:dyDescent="0.25">
      <c r="C322" s="38"/>
    </row>
    <row r="323" spans="3:3" x14ac:dyDescent="0.25">
      <c r="C323" s="38"/>
    </row>
    <row r="324" spans="3:3" x14ac:dyDescent="0.25">
      <c r="C324" s="38"/>
    </row>
    <row r="325" spans="3:3" x14ac:dyDescent="0.25">
      <c r="C325" s="38"/>
    </row>
    <row r="326" spans="3:3" x14ac:dyDescent="0.25">
      <c r="C326" s="38"/>
    </row>
    <row r="327" spans="3:3" x14ac:dyDescent="0.25">
      <c r="C327" s="38"/>
    </row>
    <row r="328" spans="3:3" x14ac:dyDescent="0.25">
      <c r="C328" s="38"/>
    </row>
    <row r="329" spans="3:3" x14ac:dyDescent="0.25">
      <c r="C329" s="38"/>
    </row>
    <row r="330" spans="3:3" x14ac:dyDescent="0.25">
      <c r="C330" s="38"/>
    </row>
    <row r="331" spans="3:3" x14ac:dyDescent="0.25">
      <c r="C331" s="38"/>
    </row>
    <row r="332" spans="3:3" x14ac:dyDescent="0.25">
      <c r="C332" s="38"/>
    </row>
    <row r="333" spans="3:3" x14ac:dyDescent="0.25">
      <c r="C333" s="38"/>
    </row>
    <row r="334" spans="3:3" x14ac:dyDescent="0.25">
      <c r="C334" s="38"/>
    </row>
    <row r="335" spans="3:3" x14ac:dyDescent="0.25">
      <c r="C335" s="38"/>
    </row>
    <row r="336" spans="3:3" x14ac:dyDescent="0.25">
      <c r="C336" s="38"/>
    </row>
    <row r="337" spans="3:3" x14ac:dyDescent="0.25">
      <c r="C337" s="38"/>
    </row>
    <row r="338" spans="3:3" x14ac:dyDescent="0.25">
      <c r="C338" s="38"/>
    </row>
    <row r="339" spans="3:3" x14ac:dyDescent="0.25">
      <c r="C339" s="38"/>
    </row>
    <row r="340" spans="3:3" x14ac:dyDescent="0.25">
      <c r="C340" s="38"/>
    </row>
    <row r="341" spans="3:3" x14ac:dyDescent="0.25">
      <c r="C341" s="38"/>
    </row>
    <row r="342" spans="3:3" x14ac:dyDescent="0.25">
      <c r="C342" s="38"/>
    </row>
    <row r="343" spans="3:3" x14ac:dyDescent="0.25">
      <c r="C343" s="38"/>
    </row>
    <row r="344" spans="3:3" x14ac:dyDescent="0.25">
      <c r="C344" s="38"/>
    </row>
    <row r="345" spans="3:3" x14ac:dyDescent="0.25">
      <c r="C345" s="38"/>
    </row>
    <row r="346" spans="3:3" x14ac:dyDescent="0.25">
      <c r="C346" s="38"/>
    </row>
    <row r="347" spans="3:3" x14ac:dyDescent="0.25">
      <c r="C347" s="38"/>
    </row>
    <row r="348" spans="3:3" x14ac:dyDescent="0.25">
      <c r="C348" s="38"/>
    </row>
    <row r="349" spans="3:3" x14ac:dyDescent="0.25">
      <c r="C349" s="38"/>
    </row>
    <row r="350" spans="3:3" x14ac:dyDescent="0.25">
      <c r="C350" s="38"/>
    </row>
    <row r="351" spans="3:3" x14ac:dyDescent="0.25">
      <c r="C351" s="38"/>
    </row>
    <row r="352" spans="3:3" x14ac:dyDescent="0.25">
      <c r="C352" s="38"/>
    </row>
    <row r="353" spans="3:3" x14ac:dyDescent="0.25">
      <c r="C353" s="38"/>
    </row>
    <row r="354" spans="3:3" x14ac:dyDescent="0.25">
      <c r="C354" s="38"/>
    </row>
    <row r="355" spans="3:3" x14ac:dyDescent="0.25">
      <c r="C355" s="38"/>
    </row>
    <row r="356" spans="3:3" x14ac:dyDescent="0.25">
      <c r="C356" s="38"/>
    </row>
    <row r="357" spans="3:3" x14ac:dyDescent="0.25">
      <c r="C357" s="38"/>
    </row>
    <row r="358" spans="3:3" x14ac:dyDescent="0.25">
      <c r="C358" s="38"/>
    </row>
    <row r="359" spans="3:3" x14ac:dyDescent="0.25">
      <c r="C359" s="38"/>
    </row>
    <row r="360" spans="3:3" x14ac:dyDescent="0.25">
      <c r="C360" s="38"/>
    </row>
    <row r="361" spans="3:3" x14ac:dyDescent="0.25">
      <c r="C361" s="38"/>
    </row>
    <row r="362" spans="3:3" x14ac:dyDescent="0.25">
      <c r="C362" s="38"/>
    </row>
    <row r="363" spans="3:3" x14ac:dyDescent="0.25">
      <c r="C363" s="38"/>
    </row>
    <row r="364" spans="3:3" x14ac:dyDescent="0.25">
      <c r="C364" s="38"/>
    </row>
    <row r="365" spans="3:3" x14ac:dyDescent="0.25">
      <c r="C365" s="38"/>
    </row>
    <row r="366" spans="3:3" x14ac:dyDescent="0.25">
      <c r="C366" s="38"/>
    </row>
    <row r="367" spans="3:3" x14ac:dyDescent="0.25">
      <c r="C367" s="38"/>
    </row>
    <row r="368" spans="3:3" x14ac:dyDescent="0.25">
      <c r="C368" s="38"/>
    </row>
    <row r="369" spans="3:3" x14ac:dyDescent="0.25">
      <c r="C369" s="38"/>
    </row>
    <row r="370" spans="3:3" x14ac:dyDescent="0.25">
      <c r="C370" s="38"/>
    </row>
    <row r="371" spans="3:3" x14ac:dyDescent="0.25">
      <c r="C371" s="38"/>
    </row>
    <row r="372" spans="3:3" x14ac:dyDescent="0.25">
      <c r="C372" s="38"/>
    </row>
    <row r="373" spans="3:3" x14ac:dyDescent="0.25">
      <c r="C373" s="38"/>
    </row>
    <row r="374" spans="3:3" x14ac:dyDescent="0.25">
      <c r="C374" s="38"/>
    </row>
    <row r="375" spans="3:3" x14ac:dyDescent="0.25">
      <c r="C375" s="38"/>
    </row>
    <row r="376" spans="3:3" x14ac:dyDescent="0.25">
      <c r="C376" s="38"/>
    </row>
    <row r="377" spans="3:3" x14ac:dyDescent="0.25">
      <c r="C377" s="38"/>
    </row>
    <row r="378" spans="3:3" x14ac:dyDescent="0.25">
      <c r="C378" s="38"/>
    </row>
    <row r="379" spans="3:3" x14ac:dyDescent="0.25">
      <c r="C379" s="38"/>
    </row>
    <row r="380" spans="3:3" x14ac:dyDescent="0.25">
      <c r="C380" s="38"/>
    </row>
    <row r="381" spans="3:3" x14ac:dyDescent="0.25">
      <c r="C381" s="38"/>
    </row>
    <row r="382" spans="3:3" x14ac:dyDescent="0.25">
      <c r="C382" s="38"/>
    </row>
    <row r="383" spans="3:3" x14ac:dyDescent="0.25">
      <c r="C383" s="38"/>
    </row>
    <row r="384" spans="3:3" x14ac:dyDescent="0.25">
      <c r="C384" s="38"/>
    </row>
    <row r="385" spans="3:3" x14ac:dyDescent="0.25">
      <c r="C385" s="38"/>
    </row>
    <row r="386" spans="3:3" x14ac:dyDescent="0.25">
      <c r="C386" s="38"/>
    </row>
    <row r="387" spans="3:3" x14ac:dyDescent="0.25">
      <c r="C387" s="38"/>
    </row>
    <row r="388" spans="3:3" x14ac:dyDescent="0.25">
      <c r="C388" s="38"/>
    </row>
    <row r="389" spans="3:3" x14ac:dyDescent="0.25">
      <c r="C389" s="38"/>
    </row>
    <row r="390" spans="3:3" x14ac:dyDescent="0.25">
      <c r="C390" s="38"/>
    </row>
    <row r="391" spans="3:3" x14ac:dyDescent="0.25">
      <c r="C391" s="38"/>
    </row>
    <row r="392" spans="3:3" x14ac:dyDescent="0.25">
      <c r="C392" s="38"/>
    </row>
    <row r="393" spans="3:3" x14ac:dyDescent="0.25">
      <c r="C393" s="38"/>
    </row>
    <row r="394" spans="3:3" x14ac:dyDescent="0.25">
      <c r="C394" s="38"/>
    </row>
    <row r="395" spans="3:3" x14ac:dyDescent="0.25">
      <c r="C395" s="38"/>
    </row>
    <row r="396" spans="3:3" x14ac:dyDescent="0.25">
      <c r="C396" s="38"/>
    </row>
    <row r="397" spans="3:3" x14ac:dyDescent="0.25">
      <c r="C397" s="38"/>
    </row>
    <row r="398" spans="3:3" x14ac:dyDescent="0.25">
      <c r="C398" s="38"/>
    </row>
    <row r="399" spans="3:3" x14ac:dyDescent="0.25">
      <c r="C399" s="38"/>
    </row>
    <row r="400" spans="3:3" x14ac:dyDescent="0.25">
      <c r="C400" s="38"/>
    </row>
    <row r="401" spans="3:3" x14ac:dyDescent="0.25">
      <c r="C401" s="38"/>
    </row>
    <row r="402" spans="3:3" x14ac:dyDescent="0.25">
      <c r="C402" s="38"/>
    </row>
    <row r="403" spans="3:3" x14ac:dyDescent="0.25">
      <c r="C403" s="38"/>
    </row>
    <row r="404" spans="3:3" x14ac:dyDescent="0.25">
      <c r="C404" s="38"/>
    </row>
    <row r="405" spans="3:3" x14ac:dyDescent="0.25">
      <c r="C405" s="38"/>
    </row>
    <row r="406" spans="3:3" x14ac:dyDescent="0.25">
      <c r="C406" s="38"/>
    </row>
    <row r="407" spans="3:3" x14ac:dyDescent="0.25">
      <c r="C407" s="38"/>
    </row>
    <row r="408" spans="3:3" x14ac:dyDescent="0.25">
      <c r="C408" s="38"/>
    </row>
    <row r="409" spans="3:3" x14ac:dyDescent="0.25">
      <c r="C409" s="38"/>
    </row>
    <row r="410" spans="3:3" x14ac:dyDescent="0.25">
      <c r="C410" s="38"/>
    </row>
    <row r="411" spans="3:3" x14ac:dyDescent="0.25">
      <c r="C411" s="38"/>
    </row>
    <row r="412" spans="3:3" x14ac:dyDescent="0.25">
      <c r="C412" s="38"/>
    </row>
    <row r="413" spans="3:3" x14ac:dyDescent="0.25">
      <c r="C413" s="38"/>
    </row>
    <row r="414" spans="3:3" x14ac:dyDescent="0.25">
      <c r="C414" s="38"/>
    </row>
    <row r="415" spans="3:3" x14ac:dyDescent="0.25">
      <c r="C415" s="38"/>
    </row>
    <row r="416" spans="3:3" x14ac:dyDescent="0.25">
      <c r="C416" s="38"/>
    </row>
    <row r="417" spans="3:3" x14ac:dyDescent="0.25">
      <c r="C417" s="38"/>
    </row>
    <row r="418" spans="3:3" x14ac:dyDescent="0.25">
      <c r="C418" s="38"/>
    </row>
    <row r="419" spans="3:3" x14ac:dyDescent="0.25">
      <c r="C419" s="38"/>
    </row>
    <row r="420" spans="3:3" x14ac:dyDescent="0.25">
      <c r="C420" s="38"/>
    </row>
    <row r="421" spans="3:3" x14ac:dyDescent="0.25">
      <c r="C421" s="38"/>
    </row>
    <row r="422" spans="3:3" x14ac:dyDescent="0.25">
      <c r="C422" s="38"/>
    </row>
    <row r="423" spans="3:3" x14ac:dyDescent="0.25">
      <c r="C423" s="38"/>
    </row>
    <row r="424" spans="3:3" x14ac:dyDescent="0.25">
      <c r="C424" s="38"/>
    </row>
    <row r="425" spans="3:3" x14ac:dyDescent="0.25">
      <c r="C425" s="38"/>
    </row>
    <row r="426" spans="3:3" x14ac:dyDescent="0.25">
      <c r="C426" s="38"/>
    </row>
    <row r="427" spans="3:3" x14ac:dyDescent="0.25">
      <c r="C427" s="38"/>
    </row>
    <row r="428" spans="3:3" x14ac:dyDescent="0.25">
      <c r="C428" s="38"/>
    </row>
    <row r="429" spans="3:3" x14ac:dyDescent="0.25">
      <c r="C429" s="38"/>
    </row>
    <row r="430" spans="3:3" x14ac:dyDescent="0.25">
      <c r="C430" s="38"/>
    </row>
    <row r="431" spans="3:3" x14ac:dyDescent="0.25">
      <c r="C431" s="38"/>
    </row>
    <row r="432" spans="3:3" x14ac:dyDescent="0.25">
      <c r="C432" s="38"/>
    </row>
    <row r="433" spans="3:3" x14ac:dyDescent="0.25">
      <c r="C433" s="38"/>
    </row>
    <row r="434" spans="3:3" x14ac:dyDescent="0.25">
      <c r="C434" s="38"/>
    </row>
    <row r="435" spans="3:3" x14ac:dyDescent="0.25">
      <c r="C435" s="38"/>
    </row>
    <row r="436" spans="3:3" x14ac:dyDescent="0.25">
      <c r="C436" s="38"/>
    </row>
    <row r="437" spans="3:3" x14ac:dyDescent="0.25">
      <c r="C437" s="38"/>
    </row>
    <row r="438" spans="3:3" x14ac:dyDescent="0.25">
      <c r="C438" s="38"/>
    </row>
    <row r="439" spans="3:3" x14ac:dyDescent="0.25">
      <c r="C439" s="38"/>
    </row>
    <row r="440" spans="3:3" x14ac:dyDescent="0.25">
      <c r="C440" s="38"/>
    </row>
    <row r="441" spans="3:3" x14ac:dyDescent="0.25">
      <c r="C441" s="38"/>
    </row>
    <row r="442" spans="3:3" x14ac:dyDescent="0.25">
      <c r="C442" s="38"/>
    </row>
    <row r="443" spans="3:3" x14ac:dyDescent="0.25">
      <c r="C443" s="38"/>
    </row>
    <row r="444" spans="3:3" x14ac:dyDescent="0.25">
      <c r="C444" s="38"/>
    </row>
    <row r="445" spans="3:3" x14ac:dyDescent="0.25">
      <c r="C445" s="38"/>
    </row>
    <row r="446" spans="3:3" x14ac:dyDescent="0.25">
      <c r="C446" s="38"/>
    </row>
    <row r="447" spans="3:3" x14ac:dyDescent="0.25">
      <c r="C447" s="38"/>
    </row>
    <row r="448" spans="3:3" x14ac:dyDescent="0.25">
      <c r="C448" s="38"/>
    </row>
    <row r="449" spans="3:3" x14ac:dyDescent="0.25">
      <c r="C449" s="38"/>
    </row>
    <row r="450" spans="3:3" x14ac:dyDescent="0.25">
      <c r="C450" s="38"/>
    </row>
    <row r="451" spans="3:3" x14ac:dyDescent="0.25">
      <c r="C451" s="38"/>
    </row>
    <row r="452" spans="3:3" x14ac:dyDescent="0.25">
      <c r="C452" s="38"/>
    </row>
    <row r="453" spans="3:3" x14ac:dyDescent="0.25">
      <c r="C453" s="38"/>
    </row>
    <row r="454" spans="3:3" x14ac:dyDescent="0.25">
      <c r="C454" s="38"/>
    </row>
    <row r="455" spans="3:3" x14ac:dyDescent="0.25">
      <c r="C455" s="38"/>
    </row>
    <row r="456" spans="3:3" x14ac:dyDescent="0.25">
      <c r="C456" s="38"/>
    </row>
    <row r="457" spans="3:3" x14ac:dyDescent="0.25">
      <c r="C457" s="38"/>
    </row>
    <row r="458" spans="3:3" x14ac:dyDescent="0.25">
      <c r="C458" s="38"/>
    </row>
    <row r="459" spans="3:3" x14ac:dyDescent="0.25">
      <c r="C459" s="38"/>
    </row>
    <row r="460" spans="3:3" x14ac:dyDescent="0.25">
      <c r="C460" s="38"/>
    </row>
    <row r="461" spans="3:3" x14ac:dyDescent="0.25">
      <c r="C461" s="38"/>
    </row>
    <row r="462" spans="3:3" x14ac:dyDescent="0.25">
      <c r="C462" s="38"/>
    </row>
    <row r="463" spans="3:3" x14ac:dyDescent="0.25">
      <c r="C463" s="38"/>
    </row>
    <row r="464" spans="3:3" x14ac:dyDescent="0.25">
      <c r="C464" s="38"/>
    </row>
    <row r="465" spans="3:3" x14ac:dyDescent="0.25">
      <c r="C465" s="38"/>
    </row>
    <row r="466" spans="3:3" x14ac:dyDescent="0.25">
      <c r="C466" s="38"/>
    </row>
    <row r="467" spans="3:3" x14ac:dyDescent="0.25">
      <c r="C467" s="38"/>
    </row>
    <row r="468" spans="3:3" x14ac:dyDescent="0.25">
      <c r="C468" s="38"/>
    </row>
    <row r="469" spans="3:3" x14ac:dyDescent="0.25">
      <c r="C469" s="38"/>
    </row>
    <row r="470" spans="3:3" x14ac:dyDescent="0.25">
      <c r="C470" s="38"/>
    </row>
    <row r="471" spans="3:3" x14ac:dyDescent="0.25">
      <c r="C471" s="38"/>
    </row>
    <row r="472" spans="3:3" x14ac:dyDescent="0.25">
      <c r="C472" s="38"/>
    </row>
    <row r="473" spans="3:3" x14ac:dyDescent="0.25">
      <c r="C473" s="38"/>
    </row>
    <row r="474" spans="3:3" x14ac:dyDescent="0.25">
      <c r="C474" s="38"/>
    </row>
    <row r="475" spans="3:3" x14ac:dyDescent="0.25">
      <c r="C475" s="38"/>
    </row>
    <row r="476" spans="3:3" x14ac:dyDescent="0.25">
      <c r="C476" s="38"/>
    </row>
    <row r="477" spans="3:3" x14ac:dyDescent="0.25">
      <c r="C477" s="38"/>
    </row>
    <row r="478" spans="3:3" x14ac:dyDescent="0.25">
      <c r="C478" s="38"/>
    </row>
    <row r="479" spans="3:3" x14ac:dyDescent="0.25">
      <c r="C479" s="38"/>
    </row>
    <row r="480" spans="3:3" x14ac:dyDescent="0.25">
      <c r="C480" s="38"/>
    </row>
    <row r="481" spans="3:3" x14ac:dyDescent="0.25">
      <c r="C481" s="38"/>
    </row>
    <row r="482" spans="3:3" x14ac:dyDescent="0.25">
      <c r="C482" s="38"/>
    </row>
    <row r="483" spans="3:3" x14ac:dyDescent="0.25">
      <c r="C483" s="38"/>
    </row>
    <row r="484" spans="3:3" x14ac:dyDescent="0.25">
      <c r="C484" s="38"/>
    </row>
    <row r="485" spans="3:3" x14ac:dyDescent="0.25">
      <c r="C485" s="38"/>
    </row>
    <row r="486" spans="3:3" x14ac:dyDescent="0.25">
      <c r="C486" s="38"/>
    </row>
    <row r="487" spans="3:3" x14ac:dyDescent="0.25">
      <c r="C487" s="38"/>
    </row>
    <row r="488" spans="3:3" x14ac:dyDescent="0.25">
      <c r="C488" s="38"/>
    </row>
    <row r="489" spans="3:3" x14ac:dyDescent="0.25">
      <c r="C489" s="38"/>
    </row>
    <row r="490" spans="3:3" x14ac:dyDescent="0.25">
      <c r="C490" s="38"/>
    </row>
    <row r="491" spans="3:3" x14ac:dyDescent="0.25">
      <c r="C491" s="38"/>
    </row>
    <row r="492" spans="3:3" x14ac:dyDescent="0.25">
      <c r="C492" s="38"/>
    </row>
    <row r="493" spans="3:3" x14ac:dyDescent="0.25">
      <c r="C493" s="38"/>
    </row>
    <row r="494" spans="3:3" x14ac:dyDescent="0.25">
      <c r="C494" s="38"/>
    </row>
    <row r="495" spans="3:3" x14ac:dyDescent="0.25">
      <c r="C495" s="38"/>
    </row>
    <row r="496" spans="3:3" x14ac:dyDescent="0.25">
      <c r="C496" s="38"/>
    </row>
    <row r="497" spans="3:3" x14ac:dyDescent="0.25">
      <c r="C497" s="38"/>
    </row>
    <row r="498" spans="3:3" x14ac:dyDescent="0.25">
      <c r="C498" s="38"/>
    </row>
    <row r="499" spans="3:3" x14ac:dyDescent="0.25">
      <c r="C499" s="38"/>
    </row>
    <row r="500" spans="3:3" x14ac:dyDescent="0.25">
      <c r="C500" s="38"/>
    </row>
    <row r="501" spans="3:3" x14ac:dyDescent="0.25">
      <c r="C501" s="38"/>
    </row>
    <row r="502" spans="3:3" x14ac:dyDescent="0.25">
      <c r="C502" s="38"/>
    </row>
    <row r="503" spans="3:3" x14ac:dyDescent="0.25">
      <c r="C503" s="38"/>
    </row>
    <row r="504" spans="3:3" x14ac:dyDescent="0.25">
      <c r="C504" s="38"/>
    </row>
    <row r="505" spans="3:3" x14ac:dyDescent="0.25">
      <c r="C505" s="38"/>
    </row>
    <row r="506" spans="3:3" x14ac:dyDescent="0.25">
      <c r="C506" s="38"/>
    </row>
    <row r="507" spans="3:3" x14ac:dyDescent="0.25">
      <c r="C507" s="38"/>
    </row>
    <row r="508" spans="3:3" x14ac:dyDescent="0.25">
      <c r="C508" s="38"/>
    </row>
    <row r="509" spans="3:3" x14ac:dyDescent="0.25">
      <c r="C509" s="38"/>
    </row>
    <row r="510" spans="3:3" x14ac:dyDescent="0.25">
      <c r="C510" s="38"/>
    </row>
    <row r="511" spans="3:3" x14ac:dyDescent="0.25">
      <c r="C511" s="38"/>
    </row>
    <row r="512" spans="3:3" x14ac:dyDescent="0.25">
      <c r="C512" s="38"/>
    </row>
    <row r="513" spans="3:3" x14ac:dyDescent="0.25">
      <c r="C513" s="38"/>
    </row>
    <row r="514" spans="3:3" x14ac:dyDescent="0.25">
      <c r="C514" s="38"/>
    </row>
    <row r="515" spans="3:3" x14ac:dyDescent="0.25">
      <c r="C515" s="38"/>
    </row>
    <row r="516" spans="3:3" x14ac:dyDescent="0.25">
      <c r="C516" s="38"/>
    </row>
    <row r="517" spans="3:3" x14ac:dyDescent="0.25">
      <c r="C517" s="38"/>
    </row>
    <row r="518" spans="3:3" x14ac:dyDescent="0.25">
      <c r="C518" s="38"/>
    </row>
    <row r="519" spans="3:3" x14ac:dyDescent="0.25">
      <c r="C519" s="38"/>
    </row>
    <row r="520" spans="3:3" x14ac:dyDescent="0.25">
      <c r="C520" s="38"/>
    </row>
    <row r="521" spans="3:3" x14ac:dyDescent="0.25">
      <c r="C521" s="38"/>
    </row>
    <row r="522" spans="3:3" x14ac:dyDescent="0.25">
      <c r="C522" s="38"/>
    </row>
    <row r="523" spans="3:3" x14ac:dyDescent="0.25">
      <c r="C523" s="38"/>
    </row>
    <row r="524" spans="3:3" x14ac:dyDescent="0.25">
      <c r="C524" s="38"/>
    </row>
    <row r="525" spans="3:3" x14ac:dyDescent="0.25">
      <c r="C525" s="38"/>
    </row>
    <row r="526" spans="3:3" x14ac:dyDescent="0.25">
      <c r="C526" s="38"/>
    </row>
    <row r="527" spans="3:3" x14ac:dyDescent="0.25">
      <c r="C527" s="38"/>
    </row>
    <row r="528" spans="3:3" x14ac:dyDescent="0.25">
      <c r="C528" s="38"/>
    </row>
    <row r="529" spans="3:3" x14ac:dyDescent="0.25">
      <c r="C529" s="38"/>
    </row>
    <row r="530" spans="3:3" x14ac:dyDescent="0.25">
      <c r="C530" s="38"/>
    </row>
    <row r="531" spans="3:3" x14ac:dyDescent="0.25">
      <c r="C531" s="38"/>
    </row>
    <row r="532" spans="3:3" x14ac:dyDescent="0.25">
      <c r="C532" s="38"/>
    </row>
    <row r="533" spans="3:3" x14ac:dyDescent="0.25">
      <c r="C533" s="38"/>
    </row>
    <row r="534" spans="3:3" x14ac:dyDescent="0.25">
      <c r="C534" s="38"/>
    </row>
    <row r="535" spans="3:3" x14ac:dyDescent="0.25">
      <c r="C535" s="38"/>
    </row>
    <row r="536" spans="3:3" x14ac:dyDescent="0.25">
      <c r="C536" s="38"/>
    </row>
    <row r="537" spans="3:3" x14ac:dyDescent="0.25">
      <c r="C537" s="38"/>
    </row>
    <row r="538" spans="3:3" x14ac:dyDescent="0.25">
      <c r="C538" s="38"/>
    </row>
    <row r="539" spans="3:3" x14ac:dyDescent="0.25">
      <c r="C539" s="38"/>
    </row>
    <row r="540" spans="3:3" x14ac:dyDescent="0.25">
      <c r="C540" s="38"/>
    </row>
    <row r="541" spans="3:3" x14ac:dyDescent="0.25">
      <c r="C541" s="38"/>
    </row>
    <row r="542" spans="3:3" x14ac:dyDescent="0.25">
      <c r="C542" s="38"/>
    </row>
    <row r="543" spans="3:3" x14ac:dyDescent="0.25">
      <c r="C543" s="38"/>
    </row>
    <row r="544" spans="3:3" x14ac:dyDescent="0.25">
      <c r="C544" s="38"/>
    </row>
    <row r="545" spans="3:3" x14ac:dyDescent="0.25">
      <c r="C545" s="38"/>
    </row>
    <row r="546" spans="3:3" x14ac:dyDescent="0.25">
      <c r="C546" s="38"/>
    </row>
    <row r="547" spans="3:3" x14ac:dyDescent="0.25">
      <c r="C547" s="38"/>
    </row>
    <row r="548" spans="3:3" x14ac:dyDescent="0.25">
      <c r="C548" s="38"/>
    </row>
    <row r="549" spans="3:3" x14ac:dyDescent="0.25">
      <c r="C549" s="38"/>
    </row>
    <row r="550" spans="3:3" x14ac:dyDescent="0.25">
      <c r="C550" s="38"/>
    </row>
    <row r="551" spans="3:3" x14ac:dyDescent="0.25">
      <c r="C551" s="38"/>
    </row>
    <row r="552" spans="3:3" x14ac:dyDescent="0.25">
      <c r="C552" s="38"/>
    </row>
    <row r="553" spans="3:3" x14ac:dyDescent="0.25">
      <c r="C553" s="38"/>
    </row>
    <row r="554" spans="3:3" x14ac:dyDescent="0.25">
      <c r="C554" s="38"/>
    </row>
    <row r="555" spans="3:3" x14ac:dyDescent="0.25">
      <c r="C555" s="38"/>
    </row>
    <row r="556" spans="3:3" x14ac:dyDescent="0.25">
      <c r="C556" s="38"/>
    </row>
    <row r="557" spans="3:3" x14ac:dyDescent="0.25">
      <c r="C557" s="38"/>
    </row>
  </sheetData>
  <conditionalFormatting sqref="L15:L17 L58:L59 L201 L237">
    <cfRule type="containsText" dxfId="3001" priority="512" operator="containsText" text="FAIL">
      <formula>NOT(ISERROR(SEARCH("FAIL",L15)))</formula>
    </cfRule>
  </conditionalFormatting>
  <conditionalFormatting sqref="L15:L17 L58:L59 L201 L237">
    <cfRule type="containsText" dxfId="3000" priority="511" operator="containsText" text="GOOD">
      <formula>NOT(ISERROR(SEARCH("GOOD",L15)))</formula>
    </cfRule>
  </conditionalFormatting>
  <conditionalFormatting sqref="L56">
    <cfRule type="containsText" dxfId="2999" priority="504" operator="containsText" text="FAIL">
      <formula>NOT(ISERROR(SEARCH("FAIL",L56)))</formula>
    </cfRule>
  </conditionalFormatting>
  <conditionalFormatting sqref="L56">
    <cfRule type="containsText" dxfId="2998" priority="503" operator="containsText" text="GOOD">
      <formula>NOT(ISERROR(SEARCH("GOOD",L56)))</formula>
    </cfRule>
  </conditionalFormatting>
  <conditionalFormatting sqref="L55">
    <cfRule type="containsText" dxfId="2997" priority="502" operator="containsText" text="FAIL">
      <formula>NOT(ISERROR(SEARCH("FAIL",L55)))</formula>
    </cfRule>
  </conditionalFormatting>
  <conditionalFormatting sqref="L55">
    <cfRule type="containsText" dxfId="2996" priority="501" operator="containsText" text="GOOD">
      <formula>NOT(ISERROR(SEARCH("GOOD",L55)))</formula>
    </cfRule>
  </conditionalFormatting>
  <conditionalFormatting sqref="L54">
    <cfRule type="containsText" dxfId="2995" priority="500" operator="containsText" text="FAIL">
      <formula>NOT(ISERROR(SEARCH("FAIL",L54)))</formula>
    </cfRule>
  </conditionalFormatting>
  <conditionalFormatting sqref="L54">
    <cfRule type="containsText" dxfId="2994" priority="499" operator="containsText" text="GOOD">
      <formula>NOT(ISERROR(SEARCH("GOOD",L54)))</formula>
    </cfRule>
  </conditionalFormatting>
  <conditionalFormatting sqref="L53">
    <cfRule type="containsText" dxfId="2993" priority="498" operator="containsText" text="FAIL">
      <formula>NOT(ISERROR(SEARCH("FAIL",L53)))</formula>
    </cfRule>
  </conditionalFormatting>
  <conditionalFormatting sqref="L53">
    <cfRule type="containsText" dxfId="2992" priority="497" operator="containsText" text="GOOD">
      <formula>NOT(ISERROR(SEARCH("GOOD",L53)))</formula>
    </cfRule>
  </conditionalFormatting>
  <conditionalFormatting sqref="L51:L52">
    <cfRule type="containsText" dxfId="2991" priority="496" operator="containsText" text="FAIL">
      <formula>NOT(ISERROR(SEARCH("FAIL",L51)))</formula>
    </cfRule>
  </conditionalFormatting>
  <conditionalFormatting sqref="L51:L52">
    <cfRule type="containsText" dxfId="2990" priority="495" operator="containsText" text="GOOD">
      <formula>NOT(ISERROR(SEARCH("GOOD",L51)))</formula>
    </cfRule>
  </conditionalFormatting>
  <conditionalFormatting sqref="L49:L50">
    <cfRule type="containsText" dxfId="2989" priority="494" operator="containsText" text="FAIL">
      <formula>NOT(ISERROR(SEARCH("FAIL",L49)))</formula>
    </cfRule>
  </conditionalFormatting>
  <conditionalFormatting sqref="L49:L50">
    <cfRule type="containsText" dxfId="2988" priority="493" operator="containsText" text="GOOD">
      <formula>NOT(ISERROR(SEARCH("GOOD",L49)))</formula>
    </cfRule>
  </conditionalFormatting>
  <conditionalFormatting sqref="L48">
    <cfRule type="containsText" dxfId="2987" priority="492" operator="containsText" text="FAIL">
      <formula>NOT(ISERROR(SEARCH("FAIL",L48)))</formula>
    </cfRule>
  </conditionalFormatting>
  <conditionalFormatting sqref="L48">
    <cfRule type="containsText" dxfId="2986" priority="491" operator="containsText" text="GOOD">
      <formula>NOT(ISERROR(SEARCH("GOOD",L48)))</formula>
    </cfRule>
  </conditionalFormatting>
  <conditionalFormatting sqref="L52">
    <cfRule type="containsText" dxfId="2985" priority="490" operator="containsText" text="FAIL">
      <formula>NOT(ISERROR(SEARCH("FAIL",L52)))</formula>
    </cfRule>
  </conditionalFormatting>
  <conditionalFormatting sqref="L52">
    <cfRule type="containsText" dxfId="2984" priority="489" operator="containsText" text="GOOD">
      <formula>NOT(ISERROR(SEARCH("GOOD",L52)))</formula>
    </cfRule>
  </conditionalFormatting>
  <conditionalFormatting sqref="L50">
    <cfRule type="containsText" dxfId="2983" priority="488" operator="containsText" text="FAIL">
      <formula>NOT(ISERROR(SEARCH("FAIL",L50)))</formula>
    </cfRule>
  </conditionalFormatting>
  <conditionalFormatting sqref="L50">
    <cfRule type="containsText" dxfId="2982" priority="487" operator="containsText" text="GOOD">
      <formula>NOT(ISERROR(SEARCH("GOOD",L50)))</formula>
    </cfRule>
  </conditionalFormatting>
  <conditionalFormatting sqref="L47">
    <cfRule type="containsText" dxfId="2981" priority="486" operator="containsText" text="FAIL">
      <formula>NOT(ISERROR(SEARCH("FAIL",L47)))</formula>
    </cfRule>
  </conditionalFormatting>
  <conditionalFormatting sqref="L47">
    <cfRule type="containsText" dxfId="2980" priority="485" operator="containsText" text="GOOD">
      <formula>NOT(ISERROR(SEARCH("GOOD",L47)))</formula>
    </cfRule>
  </conditionalFormatting>
  <conditionalFormatting sqref="L46">
    <cfRule type="containsText" dxfId="2979" priority="484" operator="containsText" text="FAIL">
      <formula>NOT(ISERROR(SEARCH("FAIL",L46)))</formula>
    </cfRule>
  </conditionalFormatting>
  <conditionalFormatting sqref="L46">
    <cfRule type="containsText" dxfId="2978" priority="483" operator="containsText" text="GOOD">
      <formula>NOT(ISERROR(SEARCH("GOOD",L46)))</formula>
    </cfRule>
  </conditionalFormatting>
  <conditionalFormatting sqref="L44">
    <cfRule type="containsText" dxfId="2977" priority="482" operator="containsText" text="FAIL">
      <formula>NOT(ISERROR(SEARCH("FAIL",L44)))</formula>
    </cfRule>
  </conditionalFormatting>
  <conditionalFormatting sqref="L44">
    <cfRule type="containsText" dxfId="2976" priority="481" operator="containsText" text="GOOD">
      <formula>NOT(ISERROR(SEARCH("GOOD",L44)))</formula>
    </cfRule>
  </conditionalFormatting>
  <conditionalFormatting sqref="L43">
    <cfRule type="containsText" dxfId="2975" priority="480" operator="containsText" text="FAIL">
      <formula>NOT(ISERROR(SEARCH("FAIL",L43)))</formula>
    </cfRule>
  </conditionalFormatting>
  <conditionalFormatting sqref="L43">
    <cfRule type="containsText" dxfId="2974" priority="479" operator="containsText" text="GOOD">
      <formula>NOT(ISERROR(SEARCH("GOOD",L43)))</formula>
    </cfRule>
  </conditionalFormatting>
  <conditionalFormatting sqref="L42">
    <cfRule type="containsText" dxfId="2973" priority="478" operator="containsText" text="FAIL">
      <formula>NOT(ISERROR(SEARCH("FAIL",L42)))</formula>
    </cfRule>
  </conditionalFormatting>
  <conditionalFormatting sqref="L42">
    <cfRule type="containsText" dxfId="2972" priority="477" operator="containsText" text="GOOD">
      <formula>NOT(ISERROR(SEARCH("GOOD",L42)))</formula>
    </cfRule>
  </conditionalFormatting>
  <conditionalFormatting sqref="L41">
    <cfRule type="containsText" dxfId="2971" priority="476" operator="containsText" text="FAIL">
      <formula>NOT(ISERROR(SEARCH("FAIL",L41)))</formula>
    </cfRule>
  </conditionalFormatting>
  <conditionalFormatting sqref="L41">
    <cfRule type="containsText" dxfId="2970" priority="475" operator="containsText" text="GOOD">
      <formula>NOT(ISERROR(SEARCH("GOOD",L41)))</formula>
    </cfRule>
  </conditionalFormatting>
  <conditionalFormatting sqref="L39:L40">
    <cfRule type="containsText" dxfId="2969" priority="474" operator="containsText" text="FAIL">
      <formula>NOT(ISERROR(SEARCH("FAIL",L39)))</formula>
    </cfRule>
  </conditionalFormatting>
  <conditionalFormatting sqref="L39:L40">
    <cfRule type="containsText" dxfId="2968" priority="473" operator="containsText" text="GOOD">
      <formula>NOT(ISERROR(SEARCH("GOOD",L39)))</formula>
    </cfRule>
  </conditionalFormatting>
  <conditionalFormatting sqref="L37:L38">
    <cfRule type="containsText" dxfId="2967" priority="472" operator="containsText" text="FAIL">
      <formula>NOT(ISERROR(SEARCH("FAIL",L37)))</formula>
    </cfRule>
  </conditionalFormatting>
  <conditionalFormatting sqref="L37:L38">
    <cfRule type="containsText" dxfId="2966" priority="471" operator="containsText" text="GOOD">
      <formula>NOT(ISERROR(SEARCH("GOOD",L37)))</formula>
    </cfRule>
  </conditionalFormatting>
  <conditionalFormatting sqref="L36">
    <cfRule type="containsText" dxfId="2965" priority="470" operator="containsText" text="FAIL">
      <formula>NOT(ISERROR(SEARCH("FAIL",L36)))</formula>
    </cfRule>
  </conditionalFormatting>
  <conditionalFormatting sqref="L36">
    <cfRule type="containsText" dxfId="2964" priority="469" operator="containsText" text="GOOD">
      <formula>NOT(ISERROR(SEARCH("GOOD",L36)))</formula>
    </cfRule>
  </conditionalFormatting>
  <conditionalFormatting sqref="L35">
    <cfRule type="containsText" dxfId="2963" priority="468" operator="containsText" text="FAIL">
      <formula>NOT(ISERROR(SEARCH("FAIL",L35)))</formula>
    </cfRule>
  </conditionalFormatting>
  <conditionalFormatting sqref="L35">
    <cfRule type="containsText" dxfId="2962" priority="467" operator="containsText" text="GOOD">
      <formula>NOT(ISERROR(SEARCH("GOOD",L35)))</formula>
    </cfRule>
  </conditionalFormatting>
  <conditionalFormatting sqref="L34">
    <cfRule type="containsText" dxfId="2961" priority="466" operator="containsText" text="FAIL">
      <formula>NOT(ISERROR(SEARCH("FAIL",L34)))</formula>
    </cfRule>
  </conditionalFormatting>
  <conditionalFormatting sqref="L34">
    <cfRule type="containsText" dxfId="2960" priority="465" operator="containsText" text="GOOD">
      <formula>NOT(ISERROR(SEARCH("GOOD",L34)))</formula>
    </cfRule>
  </conditionalFormatting>
  <conditionalFormatting sqref="L32">
    <cfRule type="containsText" dxfId="2959" priority="464" operator="containsText" text="FAIL">
      <formula>NOT(ISERROR(SEARCH("FAIL",L32)))</formula>
    </cfRule>
  </conditionalFormatting>
  <conditionalFormatting sqref="L32">
    <cfRule type="containsText" dxfId="2958" priority="463" operator="containsText" text="GOOD">
      <formula>NOT(ISERROR(SEARCH("GOOD",L32)))</formula>
    </cfRule>
  </conditionalFormatting>
  <conditionalFormatting sqref="L33">
    <cfRule type="containsText" dxfId="2957" priority="462" operator="containsText" text="FAIL">
      <formula>NOT(ISERROR(SEARCH("FAIL",L33)))</formula>
    </cfRule>
  </conditionalFormatting>
  <conditionalFormatting sqref="L33">
    <cfRule type="containsText" dxfId="2956" priority="461" operator="containsText" text="GOOD">
      <formula>NOT(ISERROR(SEARCH("GOOD",L33)))</formula>
    </cfRule>
  </conditionalFormatting>
  <conditionalFormatting sqref="L30">
    <cfRule type="containsText" dxfId="2955" priority="460" operator="containsText" text="FAIL">
      <formula>NOT(ISERROR(SEARCH("FAIL",L30)))</formula>
    </cfRule>
  </conditionalFormatting>
  <conditionalFormatting sqref="L30">
    <cfRule type="containsText" dxfId="2954" priority="459" operator="containsText" text="GOOD">
      <formula>NOT(ISERROR(SEARCH("GOOD",L30)))</formula>
    </cfRule>
  </conditionalFormatting>
  <conditionalFormatting sqref="L29">
    <cfRule type="containsText" dxfId="2953" priority="458" operator="containsText" text="FAIL">
      <formula>NOT(ISERROR(SEARCH("FAIL",L29)))</formula>
    </cfRule>
  </conditionalFormatting>
  <conditionalFormatting sqref="L29">
    <cfRule type="containsText" dxfId="2952" priority="457" operator="containsText" text="GOOD">
      <formula>NOT(ISERROR(SEARCH("GOOD",L29)))</formula>
    </cfRule>
  </conditionalFormatting>
  <conditionalFormatting sqref="L28">
    <cfRule type="containsText" dxfId="2951" priority="456" operator="containsText" text="FAIL">
      <formula>NOT(ISERROR(SEARCH("FAIL",L28)))</formula>
    </cfRule>
  </conditionalFormatting>
  <conditionalFormatting sqref="L28">
    <cfRule type="containsText" dxfId="2950" priority="455" operator="containsText" text="GOOD">
      <formula>NOT(ISERROR(SEARCH("GOOD",L28)))</formula>
    </cfRule>
  </conditionalFormatting>
  <conditionalFormatting sqref="L26:L27">
    <cfRule type="containsText" dxfId="2949" priority="454" operator="containsText" text="FAIL">
      <formula>NOT(ISERROR(SEARCH("FAIL",L26)))</formula>
    </cfRule>
  </conditionalFormatting>
  <conditionalFormatting sqref="L26:L27">
    <cfRule type="containsText" dxfId="2948" priority="453" operator="containsText" text="GOOD">
      <formula>NOT(ISERROR(SEARCH("GOOD",L26)))</formula>
    </cfRule>
  </conditionalFormatting>
  <conditionalFormatting sqref="L25">
    <cfRule type="containsText" dxfId="2947" priority="452" operator="containsText" text="FAIL">
      <formula>NOT(ISERROR(SEARCH("FAIL",L25)))</formula>
    </cfRule>
  </conditionalFormatting>
  <conditionalFormatting sqref="L25">
    <cfRule type="containsText" dxfId="2946" priority="451" operator="containsText" text="GOOD">
      <formula>NOT(ISERROR(SEARCH("GOOD",L25)))</formula>
    </cfRule>
  </conditionalFormatting>
  <conditionalFormatting sqref="L24">
    <cfRule type="containsText" dxfId="2945" priority="450" operator="containsText" text="FAIL">
      <formula>NOT(ISERROR(SEARCH("FAIL",L24)))</formula>
    </cfRule>
  </conditionalFormatting>
  <conditionalFormatting sqref="L24">
    <cfRule type="containsText" dxfId="2944" priority="449" operator="containsText" text="GOOD">
      <formula>NOT(ISERROR(SEARCH("GOOD",L24)))</formula>
    </cfRule>
  </conditionalFormatting>
  <conditionalFormatting sqref="L23">
    <cfRule type="containsText" dxfId="2943" priority="448" operator="containsText" text="FAIL">
      <formula>NOT(ISERROR(SEARCH("FAIL",L23)))</formula>
    </cfRule>
  </conditionalFormatting>
  <conditionalFormatting sqref="L23">
    <cfRule type="containsText" dxfId="2942" priority="447" operator="containsText" text="GOOD">
      <formula>NOT(ISERROR(SEARCH("GOOD",L23)))</formula>
    </cfRule>
  </conditionalFormatting>
  <conditionalFormatting sqref="L22">
    <cfRule type="containsText" dxfId="2941" priority="446" operator="containsText" text="FAIL">
      <formula>NOT(ISERROR(SEARCH("FAIL",L22)))</formula>
    </cfRule>
  </conditionalFormatting>
  <conditionalFormatting sqref="L22">
    <cfRule type="containsText" dxfId="2940" priority="445" operator="containsText" text="GOOD">
      <formula>NOT(ISERROR(SEARCH("GOOD",L22)))</formula>
    </cfRule>
  </conditionalFormatting>
  <conditionalFormatting sqref="L20">
    <cfRule type="containsText" dxfId="2939" priority="444" operator="containsText" text="FAIL">
      <formula>NOT(ISERROR(SEARCH("FAIL",L20)))</formula>
    </cfRule>
  </conditionalFormatting>
  <conditionalFormatting sqref="L20">
    <cfRule type="containsText" dxfId="2938" priority="443" operator="containsText" text="GOOD">
      <formula>NOT(ISERROR(SEARCH("GOOD",L20)))</formula>
    </cfRule>
  </conditionalFormatting>
  <conditionalFormatting sqref="L19">
    <cfRule type="containsText" dxfId="2937" priority="442" operator="containsText" text="FAIL">
      <formula>NOT(ISERROR(SEARCH("FAIL",L19)))</formula>
    </cfRule>
  </conditionalFormatting>
  <conditionalFormatting sqref="L19">
    <cfRule type="containsText" dxfId="2936" priority="441" operator="containsText" text="GOOD">
      <formula>NOT(ISERROR(SEARCH("GOOD",L19)))</formula>
    </cfRule>
  </conditionalFormatting>
  <conditionalFormatting sqref="L18">
    <cfRule type="containsText" dxfId="2935" priority="440" operator="containsText" text="FAIL">
      <formula>NOT(ISERROR(SEARCH("FAIL",L18)))</formula>
    </cfRule>
  </conditionalFormatting>
  <conditionalFormatting sqref="L18">
    <cfRule type="containsText" dxfId="2934" priority="439" operator="containsText" text="GOOD">
      <formula>NOT(ISERROR(SEARCH("GOOD",L18)))</formula>
    </cfRule>
  </conditionalFormatting>
  <conditionalFormatting sqref="L13">
    <cfRule type="containsText" dxfId="2933" priority="436" operator="containsText" text="FAIL">
      <formula>NOT(ISERROR(SEARCH("FAIL",L13)))</formula>
    </cfRule>
  </conditionalFormatting>
  <conditionalFormatting sqref="L13">
    <cfRule type="containsText" dxfId="2932" priority="435" operator="containsText" text="GOOD">
      <formula>NOT(ISERROR(SEARCH("GOOD",L13)))</formula>
    </cfRule>
  </conditionalFormatting>
  <conditionalFormatting sqref="L14">
    <cfRule type="containsText" dxfId="2931" priority="426" operator="containsText" text="FAIL">
      <formula>NOT(ISERROR(SEARCH("FAIL",L14)))</formula>
    </cfRule>
  </conditionalFormatting>
  <conditionalFormatting sqref="L14">
    <cfRule type="containsText" dxfId="2930" priority="425" operator="containsText" text="GOOD">
      <formula>NOT(ISERROR(SEARCH("GOOD",L14)))</formula>
    </cfRule>
  </conditionalFormatting>
  <conditionalFormatting sqref="L93">
    <cfRule type="containsText" dxfId="2929" priority="418" operator="containsText" text="FAIL">
      <formula>NOT(ISERROR(SEARCH("FAIL",L93)))</formula>
    </cfRule>
  </conditionalFormatting>
  <conditionalFormatting sqref="L93">
    <cfRule type="containsText" dxfId="2928" priority="417" operator="containsText" text="GOOD">
      <formula>NOT(ISERROR(SEARCH("GOOD",L93)))</formula>
    </cfRule>
  </conditionalFormatting>
  <conditionalFormatting sqref="L94">
    <cfRule type="containsText" dxfId="2927" priority="416" operator="containsText" text="FAIL">
      <formula>NOT(ISERROR(SEARCH("FAIL",L94)))</formula>
    </cfRule>
  </conditionalFormatting>
  <conditionalFormatting sqref="L94">
    <cfRule type="containsText" dxfId="2926" priority="415" operator="containsText" text="GOOD">
      <formula>NOT(ISERROR(SEARCH("GOOD",L94)))</formula>
    </cfRule>
  </conditionalFormatting>
  <conditionalFormatting sqref="L95">
    <cfRule type="containsText" dxfId="2925" priority="414" operator="containsText" text="FAIL">
      <formula>NOT(ISERROR(SEARCH("FAIL",L95)))</formula>
    </cfRule>
  </conditionalFormatting>
  <conditionalFormatting sqref="L95">
    <cfRule type="containsText" dxfId="2924" priority="413" operator="containsText" text="GOOD">
      <formula>NOT(ISERROR(SEARCH("GOOD",L95)))</formula>
    </cfRule>
  </conditionalFormatting>
  <conditionalFormatting sqref="L96">
    <cfRule type="containsText" dxfId="2923" priority="412" operator="containsText" text="FAIL">
      <formula>NOT(ISERROR(SEARCH("FAIL",L96)))</formula>
    </cfRule>
  </conditionalFormatting>
  <conditionalFormatting sqref="L96">
    <cfRule type="containsText" dxfId="2922" priority="411" operator="containsText" text="GOOD">
      <formula>NOT(ISERROR(SEARCH("GOOD",L96)))</formula>
    </cfRule>
  </conditionalFormatting>
  <conditionalFormatting sqref="L97">
    <cfRule type="containsText" dxfId="2921" priority="410" operator="containsText" text="FAIL">
      <formula>NOT(ISERROR(SEARCH("FAIL",L97)))</formula>
    </cfRule>
  </conditionalFormatting>
  <conditionalFormatting sqref="L97">
    <cfRule type="containsText" dxfId="2920" priority="409" operator="containsText" text="GOOD">
      <formula>NOT(ISERROR(SEARCH("GOOD",L97)))</formula>
    </cfRule>
  </conditionalFormatting>
  <conditionalFormatting sqref="L98">
    <cfRule type="containsText" dxfId="2919" priority="408" operator="containsText" text="FAIL">
      <formula>NOT(ISERROR(SEARCH("FAIL",L98)))</formula>
    </cfRule>
  </conditionalFormatting>
  <conditionalFormatting sqref="L98">
    <cfRule type="containsText" dxfId="2918" priority="407" operator="containsText" text="GOOD">
      <formula>NOT(ISERROR(SEARCH("GOOD",L98)))</formula>
    </cfRule>
  </conditionalFormatting>
  <conditionalFormatting sqref="L99">
    <cfRule type="containsText" dxfId="2917" priority="406" operator="containsText" text="FAIL">
      <formula>NOT(ISERROR(SEARCH("FAIL",L99)))</formula>
    </cfRule>
  </conditionalFormatting>
  <conditionalFormatting sqref="L99">
    <cfRule type="containsText" dxfId="2916" priority="405" operator="containsText" text="GOOD">
      <formula>NOT(ISERROR(SEARCH("GOOD",L99)))</formula>
    </cfRule>
  </conditionalFormatting>
  <conditionalFormatting sqref="L100">
    <cfRule type="containsText" dxfId="2915" priority="404" operator="containsText" text="FAIL">
      <formula>NOT(ISERROR(SEARCH("FAIL",L100)))</formula>
    </cfRule>
  </conditionalFormatting>
  <conditionalFormatting sqref="L100">
    <cfRule type="containsText" dxfId="2914" priority="403" operator="containsText" text="GOOD">
      <formula>NOT(ISERROR(SEARCH("GOOD",L100)))</formula>
    </cfRule>
  </conditionalFormatting>
  <conditionalFormatting sqref="L101">
    <cfRule type="containsText" dxfId="2913" priority="402" operator="containsText" text="FAIL">
      <formula>NOT(ISERROR(SEARCH("FAIL",L101)))</formula>
    </cfRule>
  </conditionalFormatting>
  <conditionalFormatting sqref="L101">
    <cfRule type="containsText" dxfId="2912" priority="401" operator="containsText" text="GOOD">
      <formula>NOT(ISERROR(SEARCH("GOOD",L101)))</formula>
    </cfRule>
  </conditionalFormatting>
  <conditionalFormatting sqref="L102">
    <cfRule type="containsText" dxfId="2911" priority="400" operator="containsText" text="FAIL">
      <formula>NOT(ISERROR(SEARCH("FAIL",L102)))</formula>
    </cfRule>
  </conditionalFormatting>
  <conditionalFormatting sqref="L102">
    <cfRule type="containsText" dxfId="2910" priority="399" operator="containsText" text="GOOD">
      <formula>NOT(ISERROR(SEARCH("GOOD",L102)))</formula>
    </cfRule>
  </conditionalFormatting>
  <conditionalFormatting sqref="L103">
    <cfRule type="containsText" dxfId="2909" priority="398" operator="containsText" text="FAIL">
      <formula>NOT(ISERROR(SEARCH("FAIL",L103)))</formula>
    </cfRule>
  </conditionalFormatting>
  <conditionalFormatting sqref="L103">
    <cfRule type="containsText" dxfId="2908" priority="397" operator="containsText" text="GOOD">
      <formula>NOT(ISERROR(SEARCH("GOOD",L103)))</formula>
    </cfRule>
  </conditionalFormatting>
  <conditionalFormatting sqref="L104">
    <cfRule type="containsText" dxfId="2907" priority="396" operator="containsText" text="FAIL">
      <formula>NOT(ISERROR(SEARCH("FAIL",L104)))</formula>
    </cfRule>
  </conditionalFormatting>
  <conditionalFormatting sqref="L104">
    <cfRule type="containsText" dxfId="2906" priority="395" operator="containsText" text="GOOD">
      <formula>NOT(ISERROR(SEARCH("GOOD",L104)))</formula>
    </cfRule>
  </conditionalFormatting>
  <conditionalFormatting sqref="L106">
    <cfRule type="containsText" dxfId="2905" priority="394" operator="containsText" text="FAIL">
      <formula>NOT(ISERROR(SEARCH("FAIL",L106)))</formula>
    </cfRule>
  </conditionalFormatting>
  <conditionalFormatting sqref="L106">
    <cfRule type="containsText" dxfId="2904" priority="393" operator="containsText" text="GOOD">
      <formula>NOT(ISERROR(SEARCH("GOOD",L106)))</formula>
    </cfRule>
  </conditionalFormatting>
  <conditionalFormatting sqref="L105">
    <cfRule type="containsText" dxfId="2903" priority="392" operator="containsText" text="FAIL">
      <formula>NOT(ISERROR(SEARCH("FAIL",L105)))</formula>
    </cfRule>
  </conditionalFormatting>
  <conditionalFormatting sqref="L105">
    <cfRule type="containsText" dxfId="2902" priority="391" operator="containsText" text="GOOD">
      <formula>NOT(ISERROR(SEARCH("GOOD",L105)))</formula>
    </cfRule>
  </conditionalFormatting>
  <conditionalFormatting sqref="L108">
    <cfRule type="containsText" dxfId="2901" priority="390" operator="containsText" text="FAIL">
      <formula>NOT(ISERROR(SEARCH("FAIL",L108)))</formula>
    </cfRule>
  </conditionalFormatting>
  <conditionalFormatting sqref="L108">
    <cfRule type="containsText" dxfId="2900" priority="389" operator="containsText" text="GOOD">
      <formula>NOT(ISERROR(SEARCH("GOOD",L108)))</formula>
    </cfRule>
  </conditionalFormatting>
  <conditionalFormatting sqref="L107">
    <cfRule type="containsText" dxfId="2899" priority="388" operator="containsText" text="FAIL">
      <formula>NOT(ISERROR(SEARCH("FAIL",L107)))</formula>
    </cfRule>
  </conditionalFormatting>
  <conditionalFormatting sqref="L107">
    <cfRule type="containsText" dxfId="2898" priority="387" operator="containsText" text="GOOD">
      <formula>NOT(ISERROR(SEARCH("GOOD",L107)))</formula>
    </cfRule>
  </conditionalFormatting>
  <conditionalFormatting sqref="L109">
    <cfRule type="containsText" dxfId="2897" priority="386" operator="containsText" text="FAIL">
      <formula>NOT(ISERROR(SEARCH("FAIL",L109)))</formula>
    </cfRule>
  </conditionalFormatting>
  <conditionalFormatting sqref="L109">
    <cfRule type="containsText" dxfId="2896" priority="385" operator="containsText" text="GOOD">
      <formula>NOT(ISERROR(SEARCH("GOOD",L109)))</formula>
    </cfRule>
  </conditionalFormatting>
  <conditionalFormatting sqref="L110">
    <cfRule type="containsText" dxfId="2895" priority="384" operator="containsText" text="FAIL">
      <formula>NOT(ISERROR(SEARCH("FAIL",L110)))</formula>
    </cfRule>
  </conditionalFormatting>
  <conditionalFormatting sqref="L110">
    <cfRule type="containsText" dxfId="2894" priority="383" operator="containsText" text="GOOD">
      <formula>NOT(ISERROR(SEARCH("GOOD",L110)))</formula>
    </cfRule>
  </conditionalFormatting>
  <conditionalFormatting sqref="L110">
    <cfRule type="containsText" dxfId="2893" priority="382" operator="containsText" text="FAIL">
      <formula>NOT(ISERROR(SEARCH("FAIL",L110)))</formula>
    </cfRule>
  </conditionalFormatting>
  <conditionalFormatting sqref="L110">
    <cfRule type="containsText" dxfId="2892" priority="381" operator="containsText" text="GOOD">
      <formula>NOT(ISERROR(SEARCH("GOOD",L110)))</formula>
    </cfRule>
  </conditionalFormatting>
  <conditionalFormatting sqref="L111">
    <cfRule type="containsText" dxfId="2891" priority="380" operator="containsText" text="FAIL">
      <formula>NOT(ISERROR(SEARCH("FAIL",L111)))</formula>
    </cfRule>
  </conditionalFormatting>
  <conditionalFormatting sqref="L111">
    <cfRule type="containsText" dxfId="2890" priority="379" operator="containsText" text="GOOD">
      <formula>NOT(ISERROR(SEARCH("GOOD",L111)))</formula>
    </cfRule>
  </conditionalFormatting>
  <conditionalFormatting sqref="L112">
    <cfRule type="containsText" dxfId="2889" priority="378" operator="containsText" text="FAIL">
      <formula>NOT(ISERROR(SEARCH("FAIL",L112)))</formula>
    </cfRule>
  </conditionalFormatting>
  <conditionalFormatting sqref="L112">
    <cfRule type="containsText" dxfId="2888" priority="377" operator="containsText" text="GOOD">
      <formula>NOT(ISERROR(SEARCH("GOOD",L112)))</formula>
    </cfRule>
  </conditionalFormatting>
  <conditionalFormatting sqref="L117">
    <cfRule type="containsText" dxfId="2887" priority="376" operator="containsText" text="FAIL">
      <formula>NOT(ISERROR(SEARCH("FAIL",L117)))</formula>
    </cfRule>
  </conditionalFormatting>
  <conditionalFormatting sqref="L117">
    <cfRule type="containsText" dxfId="2886" priority="375" operator="containsText" text="GOOD">
      <formula>NOT(ISERROR(SEARCH("GOOD",L117)))</formula>
    </cfRule>
  </conditionalFormatting>
  <conditionalFormatting sqref="L118">
    <cfRule type="containsText" dxfId="2885" priority="372" operator="containsText" text="FAIL">
      <formula>NOT(ISERROR(SEARCH("FAIL",L118)))</formula>
    </cfRule>
  </conditionalFormatting>
  <conditionalFormatting sqref="L118">
    <cfRule type="containsText" dxfId="2884" priority="371" operator="containsText" text="GOOD">
      <formula>NOT(ISERROR(SEARCH("GOOD",L118)))</formula>
    </cfRule>
  </conditionalFormatting>
  <conditionalFormatting sqref="L119">
    <cfRule type="containsText" dxfId="2883" priority="370" operator="containsText" text="FAIL">
      <formula>NOT(ISERROR(SEARCH("FAIL",L119)))</formula>
    </cfRule>
  </conditionalFormatting>
  <conditionalFormatting sqref="L119">
    <cfRule type="containsText" dxfId="2882" priority="369" operator="containsText" text="GOOD">
      <formula>NOT(ISERROR(SEARCH("GOOD",L119)))</formula>
    </cfRule>
  </conditionalFormatting>
  <conditionalFormatting sqref="L120:L121">
    <cfRule type="containsText" dxfId="2881" priority="368" operator="containsText" text="FAIL">
      <formula>NOT(ISERROR(SEARCH("FAIL",L120)))</formula>
    </cfRule>
  </conditionalFormatting>
  <conditionalFormatting sqref="L120:L121">
    <cfRule type="containsText" dxfId="2880" priority="367" operator="containsText" text="GOOD">
      <formula>NOT(ISERROR(SEARCH("GOOD",L120)))</formula>
    </cfRule>
  </conditionalFormatting>
  <conditionalFormatting sqref="L122">
    <cfRule type="containsText" dxfId="2879" priority="366" operator="containsText" text="FAIL">
      <formula>NOT(ISERROR(SEARCH("FAIL",L122)))</formula>
    </cfRule>
  </conditionalFormatting>
  <conditionalFormatting sqref="L122">
    <cfRule type="containsText" dxfId="2878" priority="365" operator="containsText" text="GOOD">
      <formula>NOT(ISERROR(SEARCH("GOOD",L122)))</formula>
    </cfRule>
  </conditionalFormatting>
  <conditionalFormatting sqref="L123">
    <cfRule type="containsText" dxfId="2877" priority="364" operator="containsText" text="FAIL">
      <formula>NOT(ISERROR(SEARCH("FAIL",L123)))</formula>
    </cfRule>
  </conditionalFormatting>
  <conditionalFormatting sqref="L123">
    <cfRule type="containsText" dxfId="2876" priority="363" operator="containsText" text="GOOD">
      <formula>NOT(ISERROR(SEARCH("GOOD",L123)))</formula>
    </cfRule>
  </conditionalFormatting>
  <conditionalFormatting sqref="L124">
    <cfRule type="containsText" dxfId="2875" priority="362" operator="containsText" text="FAIL">
      <formula>NOT(ISERROR(SEARCH("FAIL",L124)))</formula>
    </cfRule>
  </conditionalFormatting>
  <conditionalFormatting sqref="L124">
    <cfRule type="containsText" dxfId="2874" priority="361" operator="containsText" text="GOOD">
      <formula>NOT(ISERROR(SEARCH("GOOD",L124)))</formula>
    </cfRule>
  </conditionalFormatting>
  <conditionalFormatting sqref="L125">
    <cfRule type="containsText" dxfId="2873" priority="360" operator="containsText" text="FAIL">
      <formula>NOT(ISERROR(SEARCH("FAIL",L125)))</formula>
    </cfRule>
  </conditionalFormatting>
  <conditionalFormatting sqref="L125">
    <cfRule type="containsText" dxfId="2872" priority="359" operator="containsText" text="GOOD">
      <formula>NOT(ISERROR(SEARCH("GOOD",L125)))</formula>
    </cfRule>
  </conditionalFormatting>
  <conditionalFormatting sqref="L126">
    <cfRule type="containsText" dxfId="2871" priority="358" operator="containsText" text="FAIL">
      <formula>NOT(ISERROR(SEARCH("FAIL",L126)))</formula>
    </cfRule>
  </conditionalFormatting>
  <conditionalFormatting sqref="L126">
    <cfRule type="containsText" dxfId="2870" priority="357" operator="containsText" text="GOOD">
      <formula>NOT(ISERROR(SEARCH("GOOD",L126)))</formula>
    </cfRule>
  </conditionalFormatting>
  <conditionalFormatting sqref="L127">
    <cfRule type="containsText" dxfId="2869" priority="356" operator="containsText" text="FAIL">
      <formula>NOT(ISERROR(SEARCH("FAIL",L127)))</formula>
    </cfRule>
  </conditionalFormatting>
  <conditionalFormatting sqref="L127">
    <cfRule type="containsText" dxfId="2868" priority="355" operator="containsText" text="GOOD">
      <formula>NOT(ISERROR(SEARCH("GOOD",L127)))</formula>
    </cfRule>
  </conditionalFormatting>
  <conditionalFormatting sqref="L128">
    <cfRule type="containsText" dxfId="2867" priority="354" operator="containsText" text="FAIL">
      <formula>NOT(ISERROR(SEARCH("FAIL",L128)))</formula>
    </cfRule>
  </conditionalFormatting>
  <conditionalFormatting sqref="L128">
    <cfRule type="containsText" dxfId="2866" priority="353" operator="containsText" text="GOOD">
      <formula>NOT(ISERROR(SEARCH("GOOD",L128)))</formula>
    </cfRule>
  </conditionalFormatting>
  <conditionalFormatting sqref="L129">
    <cfRule type="containsText" dxfId="2865" priority="352" operator="containsText" text="FAIL">
      <formula>NOT(ISERROR(SEARCH("FAIL",L129)))</formula>
    </cfRule>
  </conditionalFormatting>
  <conditionalFormatting sqref="L129">
    <cfRule type="containsText" dxfId="2864" priority="351" operator="containsText" text="GOOD">
      <formula>NOT(ISERROR(SEARCH("GOOD",L129)))</formula>
    </cfRule>
  </conditionalFormatting>
  <conditionalFormatting sqref="L129">
    <cfRule type="containsText" dxfId="2863" priority="350" operator="containsText" text="FAIL">
      <formula>NOT(ISERROR(SEARCH("FAIL",L129)))</formula>
    </cfRule>
  </conditionalFormatting>
  <conditionalFormatting sqref="L129">
    <cfRule type="containsText" dxfId="2862" priority="349" operator="containsText" text="GOOD">
      <formula>NOT(ISERROR(SEARCH("GOOD",L129)))</formula>
    </cfRule>
  </conditionalFormatting>
  <conditionalFormatting sqref="L130">
    <cfRule type="containsText" dxfId="2861" priority="348" operator="containsText" text="FAIL">
      <formula>NOT(ISERROR(SEARCH("FAIL",L130)))</formula>
    </cfRule>
  </conditionalFormatting>
  <conditionalFormatting sqref="L130">
    <cfRule type="containsText" dxfId="2860" priority="347" operator="containsText" text="GOOD">
      <formula>NOT(ISERROR(SEARCH("GOOD",L130)))</formula>
    </cfRule>
  </conditionalFormatting>
  <conditionalFormatting sqref="L131">
    <cfRule type="containsText" dxfId="2859" priority="346" operator="containsText" text="FAIL">
      <formula>NOT(ISERROR(SEARCH("FAIL",L131)))</formula>
    </cfRule>
  </conditionalFormatting>
  <conditionalFormatting sqref="L131">
    <cfRule type="containsText" dxfId="2858" priority="345" operator="containsText" text="GOOD">
      <formula>NOT(ISERROR(SEARCH("GOOD",L131)))</formula>
    </cfRule>
  </conditionalFormatting>
  <conditionalFormatting sqref="L132">
    <cfRule type="containsText" dxfId="2857" priority="344" operator="containsText" text="FAIL">
      <formula>NOT(ISERROR(SEARCH("FAIL",L132)))</formula>
    </cfRule>
  </conditionalFormatting>
  <conditionalFormatting sqref="L132">
    <cfRule type="containsText" dxfId="2856" priority="343" operator="containsText" text="GOOD">
      <formula>NOT(ISERROR(SEARCH("GOOD",L132)))</formula>
    </cfRule>
  </conditionalFormatting>
  <conditionalFormatting sqref="L137:L138">
    <cfRule type="containsText" dxfId="2855" priority="340" operator="containsText" text="FAIL">
      <formula>NOT(ISERROR(SEARCH("FAIL",L137)))</formula>
    </cfRule>
  </conditionalFormatting>
  <conditionalFormatting sqref="L137:L138">
    <cfRule type="containsText" dxfId="2854" priority="339" operator="containsText" text="GOOD">
      <formula>NOT(ISERROR(SEARCH("GOOD",L137)))</formula>
    </cfRule>
  </conditionalFormatting>
  <conditionalFormatting sqref="L139">
    <cfRule type="containsText" dxfId="2853" priority="338" operator="containsText" text="FAIL">
      <formula>NOT(ISERROR(SEARCH("FAIL",L139)))</formula>
    </cfRule>
  </conditionalFormatting>
  <conditionalFormatting sqref="L139">
    <cfRule type="containsText" dxfId="2852" priority="337" operator="containsText" text="GOOD">
      <formula>NOT(ISERROR(SEARCH("GOOD",L139)))</formula>
    </cfRule>
  </conditionalFormatting>
  <conditionalFormatting sqref="L140">
    <cfRule type="containsText" dxfId="2851" priority="336" operator="containsText" text="FAIL">
      <formula>NOT(ISERROR(SEARCH("FAIL",L140)))</formula>
    </cfRule>
  </conditionalFormatting>
  <conditionalFormatting sqref="L140">
    <cfRule type="containsText" dxfId="2850" priority="335" operator="containsText" text="GOOD">
      <formula>NOT(ISERROR(SEARCH("GOOD",L140)))</formula>
    </cfRule>
  </conditionalFormatting>
  <conditionalFormatting sqref="L136">
    <cfRule type="containsText" dxfId="2849" priority="334" operator="containsText" text="FAIL">
      <formula>NOT(ISERROR(SEARCH("FAIL",L136)))</formula>
    </cfRule>
  </conditionalFormatting>
  <conditionalFormatting sqref="L136">
    <cfRule type="containsText" dxfId="2848" priority="333" operator="containsText" text="GOOD">
      <formula>NOT(ISERROR(SEARCH("GOOD",L136)))</formula>
    </cfRule>
  </conditionalFormatting>
  <conditionalFormatting sqref="L116">
    <cfRule type="containsText" dxfId="2847" priority="332" operator="containsText" text="FAIL">
      <formula>NOT(ISERROR(SEARCH("FAIL",L116)))</formula>
    </cfRule>
  </conditionalFormatting>
  <conditionalFormatting sqref="L116">
    <cfRule type="containsText" dxfId="2846" priority="331" operator="containsText" text="GOOD">
      <formula>NOT(ISERROR(SEARCH("GOOD",L116)))</formula>
    </cfRule>
  </conditionalFormatting>
  <conditionalFormatting sqref="L116">
    <cfRule type="containsText" dxfId="2845" priority="330" operator="containsText" text="FAIL">
      <formula>NOT(ISERROR(SEARCH("FAIL",L116)))</formula>
    </cfRule>
  </conditionalFormatting>
  <conditionalFormatting sqref="L116">
    <cfRule type="containsText" dxfId="2844" priority="329" operator="containsText" text="GOOD">
      <formula>NOT(ISERROR(SEARCH("GOOD",L116)))</formula>
    </cfRule>
  </conditionalFormatting>
  <conditionalFormatting sqref="L9">
    <cfRule type="containsText" dxfId="2843" priority="328" operator="containsText" text="FAIL">
      <formula>NOT(ISERROR(SEARCH("FAIL",L9)))</formula>
    </cfRule>
  </conditionalFormatting>
  <conditionalFormatting sqref="L9">
    <cfRule type="containsText" dxfId="2842" priority="327" operator="containsText" text="GOOD">
      <formula>NOT(ISERROR(SEARCH("GOOD",L9)))</formula>
    </cfRule>
  </conditionalFormatting>
  <conditionalFormatting sqref="L167:L169">
    <cfRule type="containsText" dxfId="2841" priority="326" operator="containsText" text="FAIL">
      <formula>NOT(ISERROR(SEARCH("FAIL",L167)))</formula>
    </cfRule>
  </conditionalFormatting>
  <conditionalFormatting sqref="L167:L169">
    <cfRule type="containsText" dxfId="2840" priority="325" operator="containsText" text="GOOD">
      <formula>NOT(ISERROR(SEARCH("GOOD",L167)))</formula>
    </cfRule>
  </conditionalFormatting>
  <conditionalFormatting sqref="L181">
    <cfRule type="containsText" dxfId="2839" priority="314" operator="containsText" text="FAIL">
      <formula>NOT(ISERROR(SEARCH("FAIL",L181)))</formula>
    </cfRule>
  </conditionalFormatting>
  <conditionalFormatting sqref="L181">
    <cfRule type="containsText" dxfId="2838" priority="313" operator="containsText" text="GOOD">
      <formula>NOT(ISERROR(SEARCH("GOOD",L181)))</formula>
    </cfRule>
  </conditionalFormatting>
  <conditionalFormatting sqref="L179:L180">
    <cfRule type="containsText" dxfId="2837" priority="294" operator="containsText" text="FAIL">
      <formula>NOT(ISERROR(SEARCH("FAIL",L179)))</formula>
    </cfRule>
  </conditionalFormatting>
  <conditionalFormatting sqref="L179:L180">
    <cfRule type="containsText" dxfId="2836" priority="293" operator="containsText" text="GOOD">
      <formula>NOT(ISERROR(SEARCH("GOOD",L179)))</formula>
    </cfRule>
  </conditionalFormatting>
  <conditionalFormatting sqref="L177:L178">
    <cfRule type="containsText" dxfId="2835" priority="292" operator="containsText" text="FAIL">
      <formula>NOT(ISERROR(SEARCH("FAIL",L177)))</formula>
    </cfRule>
  </conditionalFormatting>
  <conditionalFormatting sqref="L177:L178">
    <cfRule type="containsText" dxfId="2834" priority="291" operator="containsText" text="GOOD">
      <formula>NOT(ISERROR(SEARCH("GOOD",L177)))</formula>
    </cfRule>
  </conditionalFormatting>
  <conditionalFormatting sqref="L176">
    <cfRule type="containsText" dxfId="2833" priority="286" operator="containsText" text="FAIL">
      <formula>NOT(ISERROR(SEARCH("FAIL",L176)))</formula>
    </cfRule>
  </conditionalFormatting>
  <conditionalFormatting sqref="L176">
    <cfRule type="containsText" dxfId="2832" priority="285" operator="containsText" text="GOOD">
      <formula>NOT(ISERROR(SEARCH("GOOD",L176)))</formula>
    </cfRule>
  </conditionalFormatting>
  <conditionalFormatting sqref="L175">
    <cfRule type="containsText" dxfId="2831" priority="284" operator="containsText" text="FAIL">
      <formula>NOT(ISERROR(SEARCH("FAIL",L175)))</formula>
    </cfRule>
  </conditionalFormatting>
  <conditionalFormatting sqref="L175">
    <cfRule type="containsText" dxfId="2830" priority="283" operator="containsText" text="GOOD">
      <formula>NOT(ISERROR(SEARCH("GOOD",L175)))</formula>
    </cfRule>
  </conditionalFormatting>
  <conditionalFormatting sqref="L174">
    <cfRule type="containsText" dxfId="2829" priority="280" operator="containsText" text="FAIL">
      <formula>NOT(ISERROR(SEARCH("FAIL",L174)))</formula>
    </cfRule>
  </conditionalFormatting>
  <conditionalFormatting sqref="L174">
    <cfRule type="containsText" dxfId="2828" priority="279" operator="containsText" text="GOOD">
      <formula>NOT(ISERROR(SEARCH("GOOD",L174)))</formula>
    </cfRule>
  </conditionalFormatting>
  <conditionalFormatting sqref="L173">
    <cfRule type="containsText" dxfId="2827" priority="276" operator="containsText" text="FAIL">
      <formula>NOT(ISERROR(SEARCH("FAIL",L173)))</formula>
    </cfRule>
  </conditionalFormatting>
  <conditionalFormatting sqref="L173">
    <cfRule type="containsText" dxfId="2826" priority="275" operator="containsText" text="GOOD">
      <formula>NOT(ISERROR(SEARCH("GOOD",L173)))</formula>
    </cfRule>
  </conditionalFormatting>
  <conditionalFormatting sqref="L171:L172">
    <cfRule type="containsText" dxfId="2825" priority="274" operator="containsText" text="FAIL">
      <formula>NOT(ISERROR(SEARCH("FAIL",L171)))</formula>
    </cfRule>
  </conditionalFormatting>
  <conditionalFormatting sqref="L171:L172">
    <cfRule type="containsText" dxfId="2824" priority="273" operator="containsText" text="GOOD">
      <formula>NOT(ISERROR(SEARCH("GOOD",L171)))</formula>
    </cfRule>
  </conditionalFormatting>
  <conditionalFormatting sqref="L170">
    <cfRule type="containsText" dxfId="2823" priority="260" operator="containsText" text="FAIL">
      <formula>NOT(ISERROR(SEARCH("FAIL",L170)))</formula>
    </cfRule>
  </conditionalFormatting>
  <conditionalFormatting sqref="L170">
    <cfRule type="containsText" dxfId="2822" priority="259" operator="containsText" text="GOOD">
      <formula>NOT(ISERROR(SEARCH("GOOD",L170)))</formula>
    </cfRule>
  </conditionalFormatting>
  <conditionalFormatting sqref="L202">
    <cfRule type="containsText" dxfId="2821" priority="240" operator="containsText" text="FAIL">
      <formula>NOT(ISERROR(SEARCH("FAIL",L202)))</formula>
    </cfRule>
  </conditionalFormatting>
  <conditionalFormatting sqref="L202">
    <cfRule type="containsText" dxfId="2820" priority="239" operator="containsText" text="GOOD">
      <formula>NOT(ISERROR(SEARCH("GOOD",L202)))</formula>
    </cfRule>
  </conditionalFormatting>
  <conditionalFormatting sqref="L200">
    <cfRule type="containsText" dxfId="2819" priority="236" operator="containsText" text="FAIL">
      <formula>NOT(ISERROR(SEARCH("FAIL",L200)))</formula>
    </cfRule>
  </conditionalFormatting>
  <conditionalFormatting sqref="L200">
    <cfRule type="containsText" dxfId="2818" priority="235" operator="containsText" text="GOOD">
      <formula>NOT(ISERROR(SEARCH("GOOD",L200)))</formula>
    </cfRule>
  </conditionalFormatting>
  <conditionalFormatting sqref="L201">
    <cfRule type="containsText" dxfId="2817" priority="232" operator="containsText" text="FAIL">
      <formula>NOT(ISERROR(SEARCH("FAIL",L201)))</formula>
    </cfRule>
  </conditionalFormatting>
  <conditionalFormatting sqref="L201">
    <cfRule type="containsText" dxfId="2816" priority="231" operator="containsText" text="GOOD">
      <formula>NOT(ISERROR(SEARCH("GOOD",L201)))</formula>
    </cfRule>
  </conditionalFormatting>
  <conditionalFormatting sqref="L199">
    <cfRule type="containsText" dxfId="2815" priority="230" operator="containsText" text="FAIL">
      <formula>NOT(ISERROR(SEARCH("FAIL",L199)))</formula>
    </cfRule>
  </conditionalFormatting>
  <conditionalFormatting sqref="L199">
    <cfRule type="containsText" dxfId="2814" priority="229" operator="containsText" text="GOOD">
      <formula>NOT(ISERROR(SEARCH("GOOD",L199)))</formula>
    </cfRule>
  </conditionalFormatting>
  <conditionalFormatting sqref="L198">
    <cfRule type="containsText" dxfId="2813" priority="226" operator="containsText" text="FAIL">
      <formula>NOT(ISERROR(SEARCH("FAIL",L198)))</formula>
    </cfRule>
  </conditionalFormatting>
  <conditionalFormatting sqref="L198">
    <cfRule type="containsText" dxfId="2812" priority="225" operator="containsText" text="GOOD">
      <formula>NOT(ISERROR(SEARCH("GOOD",L198)))</formula>
    </cfRule>
  </conditionalFormatting>
  <conditionalFormatting sqref="L197">
    <cfRule type="containsText" dxfId="2811" priority="220" operator="containsText" text="FAIL">
      <formula>NOT(ISERROR(SEARCH("FAIL",L197)))</formula>
    </cfRule>
  </conditionalFormatting>
  <conditionalFormatting sqref="L197">
    <cfRule type="containsText" dxfId="2810" priority="219" operator="containsText" text="GOOD">
      <formula>NOT(ISERROR(SEARCH("GOOD",L197)))</formula>
    </cfRule>
  </conditionalFormatting>
  <conditionalFormatting sqref="L196">
    <cfRule type="containsText" dxfId="2809" priority="212" operator="containsText" text="FAIL">
      <formula>NOT(ISERROR(SEARCH("FAIL",L196)))</formula>
    </cfRule>
  </conditionalFormatting>
  <conditionalFormatting sqref="L196">
    <cfRule type="containsText" dxfId="2808" priority="211" operator="containsText" text="GOOD">
      <formula>NOT(ISERROR(SEARCH("GOOD",L196)))</formula>
    </cfRule>
  </conditionalFormatting>
  <conditionalFormatting sqref="L195">
    <cfRule type="containsText" dxfId="2807" priority="202" operator="containsText" text="FAIL">
      <formula>NOT(ISERROR(SEARCH("FAIL",L195)))</formula>
    </cfRule>
  </conditionalFormatting>
  <conditionalFormatting sqref="L195">
    <cfRule type="containsText" dxfId="2806" priority="201" operator="containsText" text="GOOD">
      <formula>NOT(ISERROR(SEARCH("GOOD",L195)))</formula>
    </cfRule>
  </conditionalFormatting>
  <conditionalFormatting sqref="L194">
    <cfRule type="containsText" dxfId="2805" priority="194" operator="containsText" text="FAIL">
      <formula>NOT(ISERROR(SEARCH("FAIL",L194)))</formula>
    </cfRule>
  </conditionalFormatting>
  <conditionalFormatting sqref="L194">
    <cfRule type="containsText" dxfId="2804" priority="193" operator="containsText" text="GOOD">
      <formula>NOT(ISERROR(SEARCH("GOOD",L194)))</formula>
    </cfRule>
  </conditionalFormatting>
  <conditionalFormatting sqref="L193">
    <cfRule type="containsText" dxfId="2803" priority="190" operator="containsText" text="FAIL">
      <formula>NOT(ISERROR(SEARCH("FAIL",L193)))</formula>
    </cfRule>
  </conditionalFormatting>
  <conditionalFormatting sqref="L193">
    <cfRule type="containsText" dxfId="2802" priority="189" operator="containsText" text="GOOD">
      <formula>NOT(ISERROR(SEARCH("GOOD",L193)))</formula>
    </cfRule>
  </conditionalFormatting>
  <conditionalFormatting sqref="L192">
    <cfRule type="containsText" dxfId="2801" priority="182" operator="containsText" text="FAIL">
      <formula>NOT(ISERROR(SEARCH("FAIL",L192)))</formula>
    </cfRule>
  </conditionalFormatting>
  <conditionalFormatting sqref="L192">
    <cfRule type="containsText" dxfId="2800" priority="181" operator="containsText" text="GOOD">
      <formula>NOT(ISERROR(SEARCH("GOOD",L192)))</formula>
    </cfRule>
  </conditionalFormatting>
  <conditionalFormatting sqref="L220">
    <cfRule type="containsText" dxfId="2799" priority="170" operator="containsText" text="FAIL">
      <formula>NOT(ISERROR(SEARCH("FAIL",L220)))</formula>
    </cfRule>
  </conditionalFormatting>
  <conditionalFormatting sqref="L220">
    <cfRule type="containsText" dxfId="2798" priority="169" operator="containsText" text="GOOD">
      <formula>NOT(ISERROR(SEARCH("GOOD",L220)))</formula>
    </cfRule>
  </conditionalFormatting>
  <conditionalFormatting sqref="L219">
    <cfRule type="containsText" dxfId="2797" priority="166" operator="containsText" text="FAIL">
      <formula>NOT(ISERROR(SEARCH("FAIL",L219)))</formula>
    </cfRule>
  </conditionalFormatting>
  <conditionalFormatting sqref="L219">
    <cfRule type="containsText" dxfId="2796" priority="165" operator="containsText" text="GOOD">
      <formula>NOT(ISERROR(SEARCH("GOOD",L219)))</formula>
    </cfRule>
  </conditionalFormatting>
  <conditionalFormatting sqref="L218">
    <cfRule type="containsText" dxfId="2795" priority="152" operator="containsText" text="FAIL">
      <formula>NOT(ISERROR(SEARCH("FAIL",L218)))</formula>
    </cfRule>
  </conditionalFormatting>
  <conditionalFormatting sqref="L218">
    <cfRule type="containsText" dxfId="2794" priority="151" operator="containsText" text="GOOD">
      <formula>NOT(ISERROR(SEARCH("GOOD",L218)))</formula>
    </cfRule>
  </conditionalFormatting>
  <conditionalFormatting sqref="L217">
    <cfRule type="containsText" dxfId="2793" priority="146" operator="containsText" text="FAIL">
      <formula>NOT(ISERROR(SEARCH("FAIL",L217)))</formula>
    </cfRule>
  </conditionalFormatting>
  <conditionalFormatting sqref="L217">
    <cfRule type="containsText" dxfId="2792" priority="145" operator="containsText" text="GOOD">
      <formula>NOT(ISERROR(SEARCH("GOOD",L217)))</formula>
    </cfRule>
  </conditionalFormatting>
  <conditionalFormatting sqref="L216">
    <cfRule type="containsText" dxfId="2791" priority="138" operator="containsText" text="FAIL">
      <formula>NOT(ISERROR(SEARCH("FAIL",L216)))</formula>
    </cfRule>
  </conditionalFormatting>
  <conditionalFormatting sqref="L216">
    <cfRule type="containsText" dxfId="2790" priority="137" operator="containsText" text="GOOD">
      <formula>NOT(ISERROR(SEARCH("GOOD",L216)))</formula>
    </cfRule>
  </conditionalFormatting>
  <conditionalFormatting sqref="L215">
    <cfRule type="containsText" dxfId="2789" priority="130" operator="containsText" text="FAIL">
      <formula>NOT(ISERROR(SEARCH("FAIL",L215)))</formula>
    </cfRule>
  </conditionalFormatting>
  <conditionalFormatting sqref="L215">
    <cfRule type="containsText" dxfId="2788" priority="129" operator="containsText" text="GOOD">
      <formula>NOT(ISERROR(SEARCH("GOOD",L215)))</formula>
    </cfRule>
  </conditionalFormatting>
  <conditionalFormatting sqref="L214">
    <cfRule type="containsText" dxfId="2787" priority="116" operator="containsText" text="FAIL">
      <formula>NOT(ISERROR(SEARCH("FAIL",L214)))</formula>
    </cfRule>
  </conditionalFormatting>
  <conditionalFormatting sqref="L214">
    <cfRule type="containsText" dxfId="2786" priority="115" operator="containsText" text="GOOD">
      <formula>NOT(ISERROR(SEARCH("GOOD",L214)))</formula>
    </cfRule>
  </conditionalFormatting>
  <conditionalFormatting sqref="L213">
    <cfRule type="containsText" dxfId="2785" priority="112" operator="containsText" text="FAIL">
      <formula>NOT(ISERROR(SEARCH("FAIL",L213)))</formula>
    </cfRule>
  </conditionalFormatting>
  <conditionalFormatting sqref="L213">
    <cfRule type="containsText" dxfId="2784" priority="111" operator="containsText" text="GOOD">
      <formula>NOT(ISERROR(SEARCH("GOOD",L213)))</formula>
    </cfRule>
  </conditionalFormatting>
  <conditionalFormatting sqref="L237">
    <cfRule type="containsText" dxfId="2783" priority="82" operator="containsText" text="FAIL">
      <formula>NOT(ISERROR(SEARCH("FAIL",L237)))</formula>
    </cfRule>
  </conditionalFormatting>
  <conditionalFormatting sqref="L237">
    <cfRule type="containsText" dxfId="2782" priority="81" operator="containsText" text="GOOD">
      <formula>NOT(ISERROR(SEARCH("GOOD",L237)))</formula>
    </cfRule>
  </conditionalFormatting>
  <conditionalFormatting sqref="L236">
    <cfRule type="containsText" dxfId="2781" priority="72" operator="containsText" text="FAIL">
      <formula>NOT(ISERROR(SEARCH("FAIL",L236)))</formula>
    </cfRule>
  </conditionalFormatting>
  <conditionalFormatting sqref="L236">
    <cfRule type="containsText" dxfId="2780" priority="71" operator="containsText" text="GOOD">
      <formula>NOT(ISERROR(SEARCH("GOOD",L236)))</formula>
    </cfRule>
  </conditionalFormatting>
  <conditionalFormatting sqref="L235">
    <cfRule type="containsText" dxfId="2779" priority="44" operator="containsText" text="FAIL">
      <formula>NOT(ISERROR(SEARCH("FAIL",L235)))</formula>
    </cfRule>
  </conditionalFormatting>
  <conditionalFormatting sqref="L235">
    <cfRule type="containsText" dxfId="2778" priority="43" operator="containsText" text="GOOD">
      <formula>NOT(ISERROR(SEARCH("GOOD",L235)))</formula>
    </cfRule>
  </conditionalFormatting>
  <conditionalFormatting sqref="L234">
    <cfRule type="containsText" dxfId="2777" priority="34" operator="containsText" text="FAIL">
      <formula>NOT(ISERROR(SEARCH("FAIL",L234)))</formula>
    </cfRule>
  </conditionalFormatting>
  <conditionalFormatting sqref="L234">
    <cfRule type="containsText" dxfId="2776" priority="33" operator="containsText" text="GOOD">
      <formula>NOT(ISERROR(SEARCH("GOOD",L234)))</formula>
    </cfRule>
  </conditionalFormatting>
  <conditionalFormatting sqref="L233">
    <cfRule type="containsText" dxfId="2775" priority="24" operator="containsText" text="FAIL">
      <formula>NOT(ISERROR(SEARCH("FAIL",L233)))</formula>
    </cfRule>
  </conditionalFormatting>
  <conditionalFormatting sqref="L233">
    <cfRule type="containsText" dxfId="2774" priority="23" operator="containsText" text="GOOD">
      <formula>NOT(ISERROR(SEARCH("GOOD",L233)))</formula>
    </cfRule>
  </conditionalFormatting>
  <conditionalFormatting sqref="L232">
    <cfRule type="containsText" dxfId="2773" priority="22" operator="containsText" text="FAIL">
      <formula>NOT(ISERROR(SEARCH("FAIL",L232)))</formula>
    </cfRule>
  </conditionalFormatting>
  <conditionalFormatting sqref="L232">
    <cfRule type="containsText" dxfId="2772" priority="21" operator="containsText" text="GOOD">
      <formula>NOT(ISERROR(SEARCH("GOOD",L232)))</formula>
    </cfRule>
  </conditionalFormatting>
  <conditionalFormatting sqref="L211">
    <cfRule type="containsText" dxfId="2771" priority="20" operator="containsText" text="FAIL">
      <formula>NOT(ISERROR(SEARCH("FAIL",L211)))</formula>
    </cfRule>
  </conditionalFormatting>
  <conditionalFormatting sqref="L211">
    <cfRule type="containsText" dxfId="2770" priority="19" operator="containsText" text="GOOD">
      <formula>NOT(ISERROR(SEARCH("GOOD",L211)))</formula>
    </cfRule>
  </conditionalFormatting>
  <conditionalFormatting sqref="L212">
    <cfRule type="containsText" dxfId="2769" priority="18" operator="containsText" text="FAIL">
      <formula>NOT(ISERROR(SEARCH("FAIL",L212)))</formula>
    </cfRule>
  </conditionalFormatting>
  <conditionalFormatting sqref="L212">
    <cfRule type="containsText" dxfId="2768" priority="17" operator="containsText" text="GOOD">
      <formula>NOT(ISERROR(SEARCH("GOOD",L212)))</formula>
    </cfRule>
  </conditionalFormatting>
  <conditionalFormatting sqref="L190">
    <cfRule type="containsText" dxfId="2767" priority="16" operator="containsText" text="FAIL">
      <formula>NOT(ISERROR(SEARCH("FAIL",L190)))</formula>
    </cfRule>
  </conditionalFormatting>
  <conditionalFormatting sqref="L190">
    <cfRule type="containsText" dxfId="2766" priority="15" operator="containsText" text="GOOD">
      <formula>NOT(ISERROR(SEARCH("GOOD",L190)))</formula>
    </cfRule>
  </conditionalFormatting>
  <conditionalFormatting sqref="L191">
    <cfRule type="containsText" dxfId="2765" priority="14" operator="containsText" text="FAIL">
      <formula>NOT(ISERROR(SEARCH("FAIL",L191)))</formula>
    </cfRule>
  </conditionalFormatting>
  <conditionalFormatting sqref="L191">
    <cfRule type="containsText" dxfId="2764" priority="13" operator="containsText" text="GOOD">
      <formula>NOT(ISERROR(SEARCH("GOOD",L191)))</formula>
    </cfRule>
  </conditionalFormatting>
  <conditionalFormatting sqref="L250">
    <cfRule type="containsText" dxfId="2763" priority="10" operator="containsText" text="FAIL">
      <formula>NOT(ISERROR(SEARCH("FAIL",L250)))</formula>
    </cfRule>
  </conditionalFormatting>
  <conditionalFormatting sqref="L250">
    <cfRule type="containsText" dxfId="2762" priority="9" operator="containsText" text="GOOD">
      <formula>NOT(ISERROR(SEARCH("GOOD",L250)))</formula>
    </cfRule>
  </conditionalFormatting>
  <conditionalFormatting sqref="L251">
    <cfRule type="containsText" dxfId="2761" priority="8" operator="containsText" text="FAIL">
      <formula>NOT(ISERROR(SEARCH("FAIL",L251)))</formula>
    </cfRule>
  </conditionalFormatting>
  <conditionalFormatting sqref="L251">
    <cfRule type="containsText" dxfId="2760" priority="7" operator="containsText" text="GOOD">
      <formula>NOT(ISERROR(SEARCH("GOOD",L251)))</formula>
    </cfRule>
  </conditionalFormatting>
  <conditionalFormatting sqref="L252">
    <cfRule type="containsText" dxfId="2759" priority="6" operator="containsText" text="FAIL">
      <formula>NOT(ISERROR(SEARCH("FAIL",L252)))</formula>
    </cfRule>
  </conditionalFormatting>
  <conditionalFormatting sqref="L252">
    <cfRule type="containsText" dxfId="2758" priority="5" operator="containsText" text="GOOD">
      <formula>NOT(ISERROR(SEARCH("GOOD",L252)))</formula>
    </cfRule>
  </conditionalFormatting>
  <conditionalFormatting sqref="L253">
    <cfRule type="containsText" dxfId="2757" priority="4" operator="containsText" text="FAIL">
      <formula>NOT(ISERROR(SEARCH("FAIL",L253)))</formula>
    </cfRule>
  </conditionalFormatting>
  <conditionalFormatting sqref="L253">
    <cfRule type="containsText" dxfId="2756" priority="3" operator="containsText" text="GOOD">
      <formula>NOT(ISERROR(SEARCH("GOOD",L253)))</formula>
    </cfRule>
  </conditionalFormatting>
  <conditionalFormatting sqref="L254">
    <cfRule type="containsText" dxfId="2755" priority="2" operator="containsText" text="FAIL">
      <formula>NOT(ISERROR(SEARCH("FAIL",L254)))</formula>
    </cfRule>
  </conditionalFormatting>
  <conditionalFormatting sqref="L254">
    <cfRule type="containsText" dxfId="2754" priority="1" operator="containsText" text="GOOD">
      <formula>NOT(ISERROR(SEARCH("GOOD",L254)))</formula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34" operator="containsText" text="FAIL" id="{757DD5D9-5C03-439A-9318-552C297053F6}">
            <xm:f>NOT(ISERROR(SEARCH("FAIL",SUMMARY!L80)))</xm:f>
            <x14:dxf>
              <font>
                <b/>
                <i/>
                <color theme="0"/>
              </font>
              <fill>
                <patternFill>
                  <bgColor rgb="FFFF0000"/>
                </patternFill>
              </fill>
            </x14:dxf>
          </x14:cfRule>
          <xm:sqref>L7:L8 L89:L92 L10:L12 L248:L249</xm:sqref>
        </x14:conditionalFormatting>
        <x14:conditionalFormatting xmlns:xm="http://schemas.microsoft.com/office/excel/2006/main">
          <x14:cfRule type="containsText" priority="433" operator="containsText" text="GOOD" id="{D53B73E8-8EFE-483D-B66A-03F8ABBDEA04}">
            <xm:f>NOT(ISERROR(SEARCH("GOOD",SUMMARY!L80)))</xm:f>
            <x14:dxf>
              <font>
                <b/>
                <i/>
                <color theme="0"/>
              </font>
              <fill>
                <patternFill>
                  <bgColor rgb="FF00B050"/>
                </patternFill>
              </fill>
            </x14:dxf>
          </x14:cfRule>
          <xm:sqref>L7:L8 L89:L92 L10:L12 L248:L249</xm:sqref>
        </x14:conditionalFormatting>
      </x14:conditionalFormattings>
    </ext>
  </extLst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400-000000000000}">
  <sheetPr codeName="Sheet150"/>
  <dimension ref="A2:O47"/>
  <sheetViews>
    <sheetView topLeftCell="A4" workbookViewId="0">
      <selection activeCell="I28" sqref="I28"/>
    </sheetView>
  </sheetViews>
  <sheetFormatPr defaultRowHeight="15" x14ac:dyDescent="0.25"/>
  <cols>
    <col min="1" max="2" width="4.42578125" customWidth="1"/>
    <col min="3" max="3" width="3" customWidth="1"/>
    <col min="4" max="4" width="24.85546875" customWidth="1"/>
    <col min="5" max="5" width="3" customWidth="1"/>
    <col min="6" max="6" width="15.7109375" customWidth="1"/>
    <col min="7" max="7" width="8.5703125" customWidth="1"/>
    <col min="8" max="8" width="5.85546875" customWidth="1"/>
    <col min="9" max="15" width="15.7109375" customWidth="1"/>
  </cols>
  <sheetData>
    <row r="2" spans="1:11" x14ac:dyDescent="0.25">
      <c r="C2" s="15" t="s">
        <v>32</v>
      </c>
      <c r="E2" s="15"/>
      <c r="F2" s="15"/>
      <c r="G2" s="15" t="s">
        <v>33</v>
      </c>
      <c r="H2" s="15"/>
      <c r="I2" s="15"/>
      <c r="J2" s="15"/>
      <c r="K2" s="15"/>
    </row>
    <row r="3" spans="1:11" ht="18.75" x14ac:dyDescent="0.3">
      <c r="C3" s="3" t="s">
        <v>26</v>
      </c>
      <c r="J3" s="8" t="s">
        <v>17</v>
      </c>
    </row>
    <row r="4" spans="1:11" x14ac:dyDescent="0.25">
      <c r="D4" s="2" t="s">
        <v>0</v>
      </c>
      <c r="E4" s="1"/>
      <c r="F4" t="s">
        <v>268</v>
      </c>
      <c r="I4" s="2" t="s">
        <v>4</v>
      </c>
    </row>
    <row r="5" spans="1:11" x14ac:dyDescent="0.25">
      <c r="D5" s="2" t="s">
        <v>1</v>
      </c>
      <c r="F5" t="s">
        <v>269</v>
      </c>
    </row>
    <row r="6" spans="1:11" x14ac:dyDescent="0.25">
      <c r="D6" s="2" t="s">
        <v>2</v>
      </c>
      <c r="F6" s="6">
        <v>42177</v>
      </c>
      <c r="H6" s="11"/>
    </row>
    <row r="7" spans="1:11" x14ac:dyDescent="0.25">
      <c r="D7" s="2" t="s">
        <v>3</v>
      </c>
      <c r="F7" s="5">
        <v>6500000</v>
      </c>
      <c r="G7" s="2" t="s">
        <v>34</v>
      </c>
      <c r="H7" s="11"/>
    </row>
    <row r="8" spans="1:11" x14ac:dyDescent="0.25">
      <c r="D8" s="2" t="s">
        <v>18</v>
      </c>
      <c r="F8" s="5">
        <f>MIN(I23:I43)</f>
        <v>6374800</v>
      </c>
      <c r="H8" s="11"/>
    </row>
    <row r="9" spans="1:11" x14ac:dyDescent="0.25">
      <c r="D9" s="2" t="s">
        <v>67</v>
      </c>
      <c r="F9" s="4">
        <f>+F8-F7</f>
        <v>-125200</v>
      </c>
      <c r="G9" s="16">
        <f>+F9/F7</f>
        <v>-1.9261538461538462E-2</v>
      </c>
      <c r="H9" s="12" t="s">
        <v>20</v>
      </c>
      <c r="I9" s="11" t="str">
        <f>(IF(G9&lt;-0.1,"FAIL",IF(G9&gt;0.05,"FAIL","GOOD")))</f>
        <v>GOOD</v>
      </c>
      <c r="J9" s="14" t="s">
        <v>72</v>
      </c>
    </row>
    <row r="10" spans="1:11" x14ac:dyDescent="0.25">
      <c r="D10" s="2" t="s">
        <v>68</v>
      </c>
      <c r="F10" s="4">
        <f>+F7-F12</f>
        <v>-2454270.1428571437</v>
      </c>
      <c r="H10" s="11"/>
    </row>
    <row r="11" spans="1:11" x14ac:dyDescent="0.25">
      <c r="A11" s="30"/>
      <c r="D11" s="2" t="s">
        <v>71</v>
      </c>
      <c r="F11" s="11" t="str">
        <f>(IF(F7&lt;J12,"FAIL",IF(F7&gt;J13,"FAIL","GOOD")))</f>
        <v>GOOD</v>
      </c>
      <c r="H11" s="11"/>
    </row>
    <row r="12" spans="1:11" x14ac:dyDescent="0.25">
      <c r="D12" s="2" t="s">
        <v>28</v>
      </c>
      <c r="F12" s="4">
        <f>SUM(I23:I43)/H12</f>
        <v>8954270.1428571437</v>
      </c>
      <c r="G12" s="14"/>
      <c r="H12" s="11">
        <f>COUNT(I23:I43)</f>
        <v>7</v>
      </c>
      <c r="I12" s="1" t="s">
        <v>31</v>
      </c>
      <c r="J12" s="4">
        <f>+F8*0.9</f>
        <v>5737320</v>
      </c>
      <c r="K12" s="1" t="s">
        <v>69</v>
      </c>
    </row>
    <row r="13" spans="1:11" x14ac:dyDescent="0.25">
      <c r="D13" s="2" t="s">
        <v>29</v>
      </c>
      <c r="F13" s="4">
        <f>MAX(I23:I43)-MIN(I23:I43)</f>
        <v>5893770</v>
      </c>
      <c r="G13" s="399">
        <f>MEDIAN(I23:I43)</f>
        <v>8250000</v>
      </c>
      <c r="H13" s="400"/>
      <c r="I13" s="1" t="s">
        <v>30</v>
      </c>
      <c r="J13" s="4">
        <f>+F12*1.1</f>
        <v>9849697.157142859</v>
      </c>
      <c r="K13" s="1" t="s">
        <v>70</v>
      </c>
    </row>
    <row r="14" spans="1:11" x14ac:dyDescent="0.25">
      <c r="H14" s="11"/>
    </row>
    <row r="15" spans="1:11" x14ac:dyDescent="0.25">
      <c r="D15" s="2" t="s">
        <v>8</v>
      </c>
      <c r="F15" s="4"/>
      <c r="G15" s="1" t="s">
        <v>9</v>
      </c>
      <c r="H15" s="11"/>
      <c r="I15" t="s">
        <v>15</v>
      </c>
      <c r="J15" s="7" t="e">
        <f>+F16/F15</f>
        <v>#DIV/0!</v>
      </c>
    </row>
    <row r="16" spans="1:11" x14ac:dyDescent="0.25">
      <c r="F16" s="4"/>
      <c r="G16" s="1" t="s">
        <v>10</v>
      </c>
      <c r="H16" s="11"/>
      <c r="I16" t="s">
        <v>14</v>
      </c>
      <c r="J16" s="7" t="e">
        <f>+F17/F16</f>
        <v>#DIV/0!</v>
      </c>
    </row>
    <row r="17" spans="3:15" x14ac:dyDescent="0.25">
      <c r="F17" s="4"/>
      <c r="G17" s="1" t="s">
        <v>11</v>
      </c>
      <c r="H17" s="11"/>
      <c r="I17" t="s">
        <v>13</v>
      </c>
      <c r="J17" s="7" t="e">
        <f>+F18/F17</f>
        <v>#DIV/0!</v>
      </c>
      <c r="M17" s="21"/>
      <c r="N17" s="21"/>
      <c r="O17" s="21"/>
    </row>
    <row r="18" spans="3:15" x14ac:dyDescent="0.25">
      <c r="F18" s="4"/>
      <c r="G18" s="1" t="s">
        <v>12</v>
      </c>
      <c r="H18" s="11"/>
      <c r="I18" t="s">
        <v>16</v>
      </c>
      <c r="J18" s="7" t="e">
        <f>+F8/F18</f>
        <v>#DIV/0!</v>
      </c>
      <c r="M18" s="21"/>
      <c r="N18" s="21"/>
      <c r="O18" s="21"/>
    </row>
    <row r="19" spans="3:15" x14ac:dyDescent="0.25">
      <c r="F19" s="2" t="s">
        <v>51</v>
      </c>
      <c r="G19">
        <v>0</v>
      </c>
      <c r="H19" s="11" t="s">
        <v>52</v>
      </c>
      <c r="I19" t="s">
        <v>41</v>
      </c>
      <c r="J19" s="7" t="e">
        <f>+F8/F15</f>
        <v>#DIV/0!</v>
      </c>
      <c r="M19" s="21"/>
      <c r="N19" s="21"/>
      <c r="O19" s="21"/>
    </row>
    <row r="20" spans="3:15" x14ac:dyDescent="0.25">
      <c r="H20" s="11"/>
      <c r="M20" s="21"/>
      <c r="N20" s="21"/>
      <c r="O20" s="21"/>
    </row>
    <row r="21" spans="3:15" x14ac:dyDescent="0.25">
      <c r="C21" s="9"/>
      <c r="D21" s="13" t="s">
        <v>21</v>
      </c>
      <c r="E21" s="9"/>
      <c r="F21" s="9" t="s">
        <v>22</v>
      </c>
      <c r="G21" s="9" t="s">
        <v>23</v>
      </c>
      <c r="H21" s="13" t="s">
        <v>27</v>
      </c>
      <c r="I21" s="10" t="s">
        <v>24</v>
      </c>
      <c r="J21" s="9"/>
      <c r="K21" s="9"/>
      <c r="L21" s="9"/>
      <c r="M21" s="21"/>
      <c r="N21" s="21"/>
      <c r="O21" s="21"/>
    </row>
    <row r="22" spans="3:15" ht="6" customHeight="1" x14ac:dyDescent="0.25">
      <c r="M22" s="21"/>
      <c r="N22" s="21"/>
      <c r="O22" s="21"/>
    </row>
    <row r="23" spans="3:15" x14ac:dyDescent="0.25">
      <c r="C23" s="33" t="str">
        <f>IF(H23=1,"u","")</f>
        <v>u</v>
      </c>
      <c r="D23" s="23" t="s">
        <v>83</v>
      </c>
      <c r="E23" s="33"/>
      <c r="F23" t="s">
        <v>40</v>
      </c>
      <c r="G23" t="s">
        <v>25</v>
      </c>
      <c r="H23">
        <f>RANK(I23,I$23:I$43,1)</f>
        <v>1</v>
      </c>
      <c r="I23" s="4">
        <v>6374800</v>
      </c>
      <c r="J23" s="4"/>
      <c r="K23" s="4"/>
      <c r="L23" s="4"/>
      <c r="M23" s="22"/>
      <c r="N23" s="22"/>
      <c r="O23" s="22"/>
    </row>
    <row r="24" spans="3:15" x14ac:dyDescent="0.25">
      <c r="C24" s="33" t="str">
        <f>IF(H24=1,"u","")</f>
        <v/>
      </c>
      <c r="D24" s="23" t="s">
        <v>270</v>
      </c>
      <c r="E24" s="33"/>
      <c r="F24" t="s">
        <v>137</v>
      </c>
      <c r="G24" t="s">
        <v>25</v>
      </c>
      <c r="H24">
        <f t="shared" ref="H24:H29" si="0">RANK(I24,I$23:I$43,1)</f>
        <v>2</v>
      </c>
      <c r="I24" s="4">
        <v>7497000</v>
      </c>
      <c r="J24" s="4"/>
      <c r="K24" s="4"/>
      <c r="L24" s="4"/>
      <c r="M24" s="22"/>
      <c r="N24" s="22"/>
      <c r="O24" s="22"/>
    </row>
    <row r="25" spans="3:15" x14ac:dyDescent="0.25">
      <c r="C25" s="33" t="str">
        <f>IF(H25=1,"u","")</f>
        <v/>
      </c>
      <c r="D25" s="23" t="s">
        <v>271</v>
      </c>
      <c r="E25" s="33"/>
      <c r="F25" t="s">
        <v>167</v>
      </c>
      <c r="G25" t="s">
        <v>93</v>
      </c>
      <c r="H25">
        <f t="shared" si="0"/>
        <v>3</v>
      </c>
      <c r="I25" s="4">
        <v>7654321</v>
      </c>
      <c r="J25" s="4"/>
      <c r="K25" s="4"/>
      <c r="L25" s="4"/>
      <c r="M25" s="22"/>
      <c r="N25" s="22"/>
      <c r="O25" s="22"/>
    </row>
    <row r="26" spans="3:15" x14ac:dyDescent="0.25">
      <c r="C26" s="33" t="str">
        <f t="shared" ref="C26:C43" si="1">IF(H26=1,"u","")</f>
        <v/>
      </c>
      <c r="D26" s="23" t="s">
        <v>272</v>
      </c>
      <c r="E26" s="33"/>
      <c r="F26" t="s">
        <v>273</v>
      </c>
      <c r="G26" t="s">
        <v>25</v>
      </c>
      <c r="H26">
        <f t="shared" si="0"/>
        <v>4</v>
      </c>
      <c r="I26" s="4">
        <v>8250000</v>
      </c>
      <c r="J26" s="4"/>
      <c r="K26" s="4"/>
      <c r="L26" s="4"/>
      <c r="M26" s="22"/>
      <c r="N26" s="22"/>
      <c r="O26" s="22"/>
    </row>
    <row r="27" spans="3:15" x14ac:dyDescent="0.25">
      <c r="C27" s="33" t="str">
        <f t="shared" si="1"/>
        <v/>
      </c>
      <c r="D27" s="23" t="s">
        <v>274</v>
      </c>
      <c r="E27" s="33" t="str">
        <f t="shared" ref="E27:E43" si="2">IF(H27=1,"t","")</f>
        <v/>
      </c>
      <c r="F27" t="s">
        <v>131</v>
      </c>
      <c r="G27" t="s">
        <v>25</v>
      </c>
      <c r="H27">
        <f t="shared" si="0"/>
        <v>5</v>
      </c>
      <c r="I27" s="4">
        <v>9654200</v>
      </c>
      <c r="J27" s="4"/>
      <c r="K27" s="4"/>
      <c r="L27" s="4"/>
      <c r="M27" s="22"/>
      <c r="N27" s="22"/>
      <c r="O27" s="22"/>
    </row>
    <row r="28" spans="3:15" x14ac:dyDescent="0.25">
      <c r="C28" s="33" t="str">
        <f t="shared" si="1"/>
        <v/>
      </c>
      <c r="D28" s="23" t="s">
        <v>275</v>
      </c>
      <c r="E28" s="33" t="str">
        <f t="shared" si="2"/>
        <v/>
      </c>
      <c r="F28" t="s">
        <v>276</v>
      </c>
      <c r="G28" t="s">
        <v>25</v>
      </c>
      <c r="H28">
        <f t="shared" si="0"/>
        <v>6</v>
      </c>
      <c r="I28" s="4">
        <v>10981000</v>
      </c>
      <c r="J28" s="4"/>
      <c r="K28" s="4"/>
      <c r="L28" s="4"/>
      <c r="M28" s="22"/>
      <c r="N28" s="22"/>
      <c r="O28" s="22"/>
    </row>
    <row r="29" spans="3:15" x14ac:dyDescent="0.25">
      <c r="C29" s="33" t="str">
        <f t="shared" si="1"/>
        <v/>
      </c>
      <c r="D29" s="23" t="s">
        <v>277</v>
      </c>
      <c r="E29" s="33" t="str">
        <f t="shared" si="2"/>
        <v/>
      </c>
      <c r="F29" t="s">
        <v>278</v>
      </c>
      <c r="G29" t="s">
        <v>25</v>
      </c>
      <c r="H29">
        <f t="shared" si="0"/>
        <v>7</v>
      </c>
      <c r="I29" s="4">
        <v>12268570</v>
      </c>
      <c r="J29" s="4"/>
      <c r="K29" s="4"/>
      <c r="L29" s="4"/>
      <c r="M29" s="22"/>
      <c r="N29" s="22"/>
      <c r="O29" s="22"/>
    </row>
    <row r="30" spans="3:15" x14ac:dyDescent="0.25">
      <c r="C30" s="33" t="str">
        <f t="shared" si="1"/>
        <v/>
      </c>
      <c r="D30" s="23"/>
      <c r="E30" s="33" t="str">
        <f t="shared" si="2"/>
        <v/>
      </c>
      <c r="I30" s="4"/>
      <c r="J30" s="4"/>
      <c r="K30" s="4"/>
      <c r="L30" s="4"/>
      <c r="M30" s="22"/>
      <c r="N30" s="22"/>
      <c r="O30" s="22"/>
    </row>
    <row r="31" spans="3:15" x14ac:dyDescent="0.25">
      <c r="C31" s="33" t="str">
        <f t="shared" si="1"/>
        <v/>
      </c>
      <c r="D31" s="11"/>
      <c r="E31" s="33" t="str">
        <f t="shared" si="2"/>
        <v/>
      </c>
      <c r="I31" s="4"/>
      <c r="J31" s="4"/>
      <c r="K31" s="4"/>
      <c r="L31" s="4"/>
      <c r="M31" s="22"/>
      <c r="N31" s="22"/>
      <c r="O31" s="22"/>
    </row>
    <row r="32" spans="3:15" x14ac:dyDescent="0.25">
      <c r="C32" s="33" t="str">
        <f t="shared" si="1"/>
        <v/>
      </c>
      <c r="D32" s="11"/>
      <c r="E32" s="33" t="str">
        <f t="shared" si="2"/>
        <v/>
      </c>
      <c r="I32" s="4"/>
      <c r="J32" s="4"/>
      <c r="K32" s="4"/>
      <c r="L32" s="4"/>
      <c r="M32" s="22"/>
      <c r="N32" s="22"/>
      <c r="O32" s="22"/>
    </row>
    <row r="33" spans="3:15" x14ac:dyDescent="0.25">
      <c r="C33" s="33" t="str">
        <f t="shared" si="1"/>
        <v/>
      </c>
      <c r="D33" s="11"/>
      <c r="E33" s="33" t="str">
        <f t="shared" si="2"/>
        <v/>
      </c>
      <c r="M33" s="21"/>
      <c r="N33" s="21"/>
      <c r="O33" s="21"/>
    </row>
    <row r="34" spans="3:15" x14ac:dyDescent="0.25">
      <c r="C34" s="33" t="str">
        <f t="shared" si="1"/>
        <v/>
      </c>
      <c r="D34" s="11"/>
      <c r="E34" s="33" t="str">
        <f t="shared" si="2"/>
        <v/>
      </c>
      <c r="M34" s="21"/>
      <c r="N34" s="21"/>
      <c r="O34" s="21"/>
    </row>
    <row r="35" spans="3:15" x14ac:dyDescent="0.25">
      <c r="C35" s="33" t="str">
        <f t="shared" si="1"/>
        <v/>
      </c>
      <c r="D35" s="11"/>
      <c r="E35" s="33" t="str">
        <f t="shared" si="2"/>
        <v/>
      </c>
      <c r="M35" s="21"/>
      <c r="N35" s="21"/>
      <c r="O35" s="21"/>
    </row>
    <row r="36" spans="3:15" x14ac:dyDescent="0.25">
      <c r="C36" s="33" t="str">
        <f t="shared" si="1"/>
        <v/>
      </c>
      <c r="D36" s="11"/>
      <c r="E36" s="33" t="str">
        <f t="shared" si="2"/>
        <v/>
      </c>
      <c r="M36" s="21"/>
      <c r="N36" s="21"/>
      <c r="O36" s="21"/>
    </row>
    <row r="37" spans="3:15" x14ac:dyDescent="0.25">
      <c r="C37" s="33" t="str">
        <f t="shared" si="1"/>
        <v/>
      </c>
      <c r="D37" s="11"/>
      <c r="E37" s="33" t="str">
        <f t="shared" si="2"/>
        <v/>
      </c>
      <c r="M37" s="21"/>
      <c r="N37" s="21"/>
      <c r="O37" s="21"/>
    </row>
    <row r="38" spans="3:15" x14ac:dyDescent="0.25">
      <c r="C38" s="33" t="str">
        <f t="shared" si="1"/>
        <v/>
      </c>
      <c r="D38" s="11"/>
      <c r="E38" s="33" t="str">
        <f t="shared" si="2"/>
        <v/>
      </c>
      <c r="M38" s="21"/>
      <c r="N38" s="21"/>
      <c r="O38" s="21"/>
    </row>
    <row r="39" spans="3:15" x14ac:dyDescent="0.25">
      <c r="C39" s="33" t="str">
        <f t="shared" si="1"/>
        <v/>
      </c>
      <c r="D39" s="11"/>
      <c r="E39" s="33" t="str">
        <f t="shared" si="2"/>
        <v/>
      </c>
      <c r="M39" s="21"/>
      <c r="N39" s="21"/>
      <c r="O39" s="21"/>
    </row>
    <row r="40" spans="3:15" x14ac:dyDescent="0.25">
      <c r="C40" s="33" t="str">
        <f t="shared" si="1"/>
        <v/>
      </c>
      <c r="D40" s="11"/>
      <c r="E40" s="33" t="str">
        <f t="shared" si="2"/>
        <v/>
      </c>
      <c r="M40" s="21"/>
      <c r="N40" s="21"/>
      <c r="O40" s="21"/>
    </row>
    <row r="41" spans="3:15" x14ac:dyDescent="0.25">
      <c r="C41" s="33" t="str">
        <f t="shared" si="1"/>
        <v/>
      </c>
      <c r="D41" s="11"/>
      <c r="E41" s="33" t="str">
        <f t="shared" si="2"/>
        <v/>
      </c>
      <c r="M41" s="21"/>
      <c r="N41" s="21"/>
      <c r="O41" s="21"/>
    </row>
    <row r="42" spans="3:15" x14ac:dyDescent="0.25">
      <c r="C42" s="33" t="str">
        <f t="shared" si="1"/>
        <v/>
      </c>
      <c r="D42" s="11"/>
      <c r="E42" s="33" t="str">
        <f t="shared" si="2"/>
        <v/>
      </c>
      <c r="M42" s="21"/>
      <c r="N42" s="21"/>
      <c r="O42" s="21"/>
    </row>
    <row r="43" spans="3:15" x14ac:dyDescent="0.25">
      <c r="C43" s="33" t="str">
        <f t="shared" si="1"/>
        <v/>
      </c>
      <c r="D43" s="11"/>
      <c r="E43" s="33" t="str">
        <f t="shared" si="2"/>
        <v/>
      </c>
      <c r="M43" s="21"/>
      <c r="N43" s="21"/>
      <c r="O43" s="21"/>
    </row>
    <row r="44" spans="3:15" ht="6" customHeight="1" x14ac:dyDescent="0.25">
      <c r="C44" s="9"/>
      <c r="D44" s="9"/>
      <c r="E44" s="9"/>
      <c r="F44" s="9"/>
      <c r="G44" s="9"/>
      <c r="H44" s="9"/>
      <c r="I44" s="9"/>
      <c r="J44" s="9"/>
      <c r="K44" s="9"/>
      <c r="L44" s="9"/>
      <c r="M44" s="21"/>
      <c r="N44" s="21"/>
      <c r="O44" s="21"/>
    </row>
    <row r="45" spans="3:15" ht="6" customHeight="1" x14ac:dyDescent="0.25">
      <c r="M45" s="21"/>
      <c r="N45" s="21"/>
      <c r="O45" s="21"/>
    </row>
    <row r="46" spans="3:15" x14ac:dyDescent="0.25">
      <c r="C46" s="15" t="s">
        <v>79</v>
      </c>
      <c r="M46" s="21"/>
      <c r="N46" s="21"/>
      <c r="O46" s="21"/>
    </row>
    <row r="47" spans="3:15" x14ac:dyDescent="0.25">
      <c r="C47" s="15" t="s">
        <v>78</v>
      </c>
    </row>
  </sheetData>
  <mergeCells count="1">
    <mergeCell ref="G13:H13"/>
  </mergeCells>
  <conditionalFormatting sqref="I9">
    <cfRule type="containsText" dxfId="310" priority="10" operator="containsText" text="FAIL">
      <formula>NOT(ISERROR(SEARCH("FAIL",I9)))</formula>
    </cfRule>
  </conditionalFormatting>
  <conditionalFormatting sqref="I9">
    <cfRule type="containsText" dxfId="309" priority="9" operator="containsText" text="GOOD">
      <formula>NOT(ISERROR(SEARCH("GOOD",I9)))</formula>
    </cfRule>
  </conditionalFormatting>
  <conditionalFormatting sqref="F11">
    <cfRule type="containsText" dxfId="308" priority="8" operator="containsText" text="FAIL">
      <formula>NOT(ISERROR(SEARCH("FAIL",F11)))</formula>
    </cfRule>
  </conditionalFormatting>
  <conditionalFormatting sqref="F11">
    <cfRule type="containsText" dxfId="307" priority="7" operator="containsText" text="GOOD">
      <formula>NOT(ISERROR(SEARCH("GOOD",F11)))</formula>
    </cfRule>
  </conditionalFormatting>
  <conditionalFormatting sqref="D25">
    <cfRule type="expression" dxfId="306" priority="6" stopIfTrue="1">
      <formula>IF($H$25=1,0)</formula>
    </cfRule>
  </conditionalFormatting>
  <conditionalFormatting sqref="D23:D43">
    <cfRule type="expression" dxfId="305" priority="5">
      <formula>H23=1</formula>
    </cfRule>
  </conditionalFormatting>
  <conditionalFormatting sqref="C23:C43">
    <cfRule type="expression" dxfId="304" priority="4">
      <formula>H23=1</formula>
    </cfRule>
  </conditionalFormatting>
  <conditionalFormatting sqref="E23:E43">
    <cfRule type="expression" dxfId="303" priority="3">
      <formula>H23=1</formula>
    </cfRule>
  </conditionalFormatting>
  <conditionalFormatting sqref="F11">
    <cfRule type="containsText" dxfId="302" priority="2" operator="containsText" text="FAIL">
      <formula>NOT(ISERROR(SEARCH("FAIL",F11)))</formula>
    </cfRule>
  </conditionalFormatting>
  <conditionalFormatting sqref="F11">
    <cfRule type="containsText" dxfId="301" priority="1" operator="containsText" text="GOOD">
      <formula>NOT(ISERROR(SEARCH("GOOD",F11)))</formula>
    </cfRule>
  </conditionalFormatting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F00-000000000000}">
  <sheetPr codeName="Sheet113"/>
  <dimension ref="A2:O47"/>
  <sheetViews>
    <sheetView topLeftCell="A7" zoomScaleNormal="100" workbookViewId="0">
      <selection activeCell="G8" sqref="G8"/>
    </sheetView>
  </sheetViews>
  <sheetFormatPr defaultRowHeight="15" x14ac:dyDescent="0.25"/>
  <cols>
    <col min="1" max="2" width="4.42578125" customWidth="1"/>
    <col min="3" max="3" width="3" customWidth="1"/>
    <col min="4" max="4" width="24.85546875" customWidth="1"/>
    <col min="5" max="5" width="3" customWidth="1"/>
    <col min="6" max="6" width="15.7109375" customWidth="1"/>
    <col min="7" max="7" width="8.5703125" customWidth="1"/>
    <col min="8" max="8" width="5.85546875" customWidth="1"/>
    <col min="9" max="15" width="15.7109375" customWidth="1"/>
  </cols>
  <sheetData>
    <row r="2" spans="1:11" x14ac:dyDescent="0.25">
      <c r="C2" s="15" t="s">
        <v>32</v>
      </c>
      <c r="E2" s="15"/>
      <c r="F2" s="15"/>
      <c r="G2" s="15" t="s">
        <v>33</v>
      </c>
      <c r="H2" s="15"/>
      <c r="I2" s="15"/>
      <c r="J2" s="15"/>
      <c r="K2" s="15"/>
    </row>
    <row r="3" spans="1:11" ht="18.75" x14ac:dyDescent="0.3">
      <c r="C3" s="3" t="s">
        <v>26</v>
      </c>
      <c r="J3" s="8" t="s">
        <v>17</v>
      </c>
    </row>
    <row r="4" spans="1:11" x14ac:dyDescent="0.25">
      <c r="D4" s="2" t="s">
        <v>0</v>
      </c>
      <c r="E4" s="1"/>
      <c r="F4" t="s">
        <v>629</v>
      </c>
      <c r="I4" s="2" t="s">
        <v>4</v>
      </c>
      <c r="J4" t="s">
        <v>630</v>
      </c>
    </row>
    <row r="5" spans="1:11" x14ac:dyDescent="0.25">
      <c r="D5" s="2" t="s">
        <v>1</v>
      </c>
      <c r="F5" t="s">
        <v>633</v>
      </c>
    </row>
    <row r="6" spans="1:11" x14ac:dyDescent="0.25">
      <c r="D6" s="2" t="s">
        <v>2</v>
      </c>
      <c r="F6" s="6">
        <v>42488</v>
      </c>
      <c r="H6" s="11"/>
    </row>
    <row r="7" spans="1:11" x14ac:dyDescent="0.25">
      <c r="D7" s="2" t="s">
        <v>3</v>
      </c>
      <c r="F7" s="5">
        <v>1700000</v>
      </c>
      <c r="G7" s="2" t="s">
        <v>190</v>
      </c>
      <c r="H7" s="11"/>
    </row>
    <row r="8" spans="1:11" x14ac:dyDescent="0.25">
      <c r="D8" s="2" t="s">
        <v>18</v>
      </c>
      <c r="F8" s="5">
        <f>MIN(I23:I43)</f>
        <v>815000</v>
      </c>
      <c r="H8" s="11"/>
    </row>
    <row r="9" spans="1:11" x14ac:dyDescent="0.25">
      <c r="D9" s="2" t="s">
        <v>67</v>
      </c>
      <c r="F9" s="4">
        <f>+F8-F7</f>
        <v>-885000</v>
      </c>
      <c r="G9" s="16">
        <f>+F9/F7</f>
        <v>-0.52058823529411768</v>
      </c>
      <c r="H9" s="12" t="s">
        <v>20</v>
      </c>
      <c r="I9" s="11" t="str">
        <f>(IF(G9&lt;-0.1,"FAIL",IF(G9&gt;0.05,"FAIL","GOOD")))</f>
        <v>FAIL</v>
      </c>
      <c r="J9" s="14" t="s">
        <v>72</v>
      </c>
    </row>
    <row r="10" spans="1:11" x14ac:dyDescent="0.25">
      <c r="D10" s="2" t="s">
        <v>68</v>
      </c>
      <c r="F10" s="4">
        <f>+F7-F12</f>
        <v>328715.57142857136</v>
      </c>
      <c r="H10" s="11"/>
    </row>
    <row r="11" spans="1:11" x14ac:dyDescent="0.25">
      <c r="A11" s="52"/>
      <c r="D11" s="2" t="s">
        <v>71</v>
      </c>
      <c r="F11" s="11" t="str">
        <f>(IF(F7&lt;J12,"FAIL",IF(F7&gt;J13,"FAIL","GOOD")))</f>
        <v>FAIL</v>
      </c>
      <c r="H11" s="11"/>
    </row>
    <row r="12" spans="1:11" x14ac:dyDescent="0.25">
      <c r="D12" s="2" t="s">
        <v>28</v>
      </c>
      <c r="F12" s="4">
        <f>SUM(I23:I43)/H12</f>
        <v>1371284.4285714286</v>
      </c>
      <c r="G12" s="14"/>
      <c r="H12" s="11">
        <f>COUNT(I23:I43)</f>
        <v>7</v>
      </c>
      <c r="I12" s="1" t="s">
        <v>31</v>
      </c>
      <c r="J12" s="4">
        <f>+F8*0.9</f>
        <v>733500</v>
      </c>
      <c r="K12" s="1" t="s">
        <v>69</v>
      </c>
    </row>
    <row r="13" spans="1:11" x14ac:dyDescent="0.25">
      <c r="D13" s="2" t="s">
        <v>29</v>
      </c>
      <c r="F13" s="4">
        <f>MAX(I23:I43)-MIN(I23:I43)</f>
        <v>1265000</v>
      </c>
      <c r="G13" s="399">
        <f>MEDIAN(I23:I43)</f>
        <v>1396000</v>
      </c>
      <c r="H13" s="400"/>
      <c r="I13" s="1" t="s">
        <v>30</v>
      </c>
      <c r="J13" s="4">
        <f>+F12*1.1</f>
        <v>1508412.8714285716</v>
      </c>
      <c r="K13" s="1" t="s">
        <v>70</v>
      </c>
    </row>
    <row r="14" spans="1:11" x14ac:dyDescent="0.25">
      <c r="H14" s="11"/>
    </row>
    <row r="15" spans="1:11" x14ac:dyDescent="0.25">
      <c r="D15" s="2" t="s">
        <v>8</v>
      </c>
      <c r="F15" s="4"/>
      <c r="G15" s="1" t="s">
        <v>9</v>
      </c>
      <c r="H15" s="11"/>
      <c r="I15" t="s">
        <v>15</v>
      </c>
      <c r="J15" s="7" t="e">
        <f>+F16/F15</f>
        <v>#DIV/0!</v>
      </c>
    </row>
    <row r="16" spans="1:11" x14ac:dyDescent="0.25">
      <c r="F16" s="4"/>
      <c r="G16" s="1" t="s">
        <v>10</v>
      </c>
      <c r="H16" s="11"/>
      <c r="I16" t="s">
        <v>14</v>
      </c>
      <c r="J16" s="7" t="e">
        <f>+F17/F16</f>
        <v>#DIV/0!</v>
      </c>
    </row>
    <row r="17" spans="3:15" x14ac:dyDescent="0.25">
      <c r="F17" s="4"/>
      <c r="G17" s="1" t="s">
        <v>11</v>
      </c>
      <c r="H17" s="11"/>
      <c r="I17" t="s">
        <v>13</v>
      </c>
      <c r="J17" s="7" t="e">
        <f>+F18/F17</f>
        <v>#DIV/0!</v>
      </c>
      <c r="M17" s="21"/>
      <c r="N17" s="21"/>
      <c r="O17" s="21"/>
    </row>
    <row r="18" spans="3:15" x14ac:dyDescent="0.25">
      <c r="F18" s="4"/>
      <c r="G18" s="1" t="s">
        <v>12</v>
      </c>
      <c r="H18" s="11"/>
      <c r="I18" t="s">
        <v>16</v>
      </c>
      <c r="J18" s="7" t="e">
        <f>+F8/F18</f>
        <v>#DIV/0!</v>
      </c>
      <c r="M18" s="21"/>
      <c r="N18" s="21"/>
      <c r="O18" s="21"/>
    </row>
    <row r="19" spans="3:15" x14ac:dyDescent="0.25">
      <c r="F19" s="2" t="s">
        <v>51</v>
      </c>
      <c r="G19">
        <v>0</v>
      </c>
      <c r="H19" s="11" t="s">
        <v>52</v>
      </c>
      <c r="I19" t="s">
        <v>41</v>
      </c>
      <c r="J19" s="7" t="e">
        <f>+F8/F15</f>
        <v>#DIV/0!</v>
      </c>
      <c r="M19" s="21"/>
      <c r="N19" s="21"/>
      <c r="O19" s="21"/>
    </row>
    <row r="20" spans="3:15" x14ac:dyDescent="0.25">
      <c r="H20" s="11"/>
      <c r="M20" s="21"/>
      <c r="N20" s="21"/>
      <c r="O20" s="21"/>
    </row>
    <row r="21" spans="3:15" x14ac:dyDescent="0.25">
      <c r="C21" s="9"/>
      <c r="D21" s="13" t="s">
        <v>21</v>
      </c>
      <c r="E21" s="9"/>
      <c r="F21" s="9" t="s">
        <v>22</v>
      </c>
      <c r="G21" s="9" t="s">
        <v>23</v>
      </c>
      <c r="H21" s="13" t="s">
        <v>27</v>
      </c>
      <c r="I21" s="10" t="s">
        <v>24</v>
      </c>
      <c r="J21" s="9"/>
      <c r="K21" s="9"/>
      <c r="L21" s="9"/>
      <c r="M21" s="21"/>
      <c r="N21" s="21"/>
      <c r="O21" s="21"/>
    </row>
    <row r="22" spans="3:15" ht="6" customHeight="1" x14ac:dyDescent="0.25">
      <c r="M22" s="21"/>
      <c r="N22" s="21"/>
      <c r="O22" s="21"/>
    </row>
    <row r="23" spans="3:15" x14ac:dyDescent="0.25">
      <c r="C23" s="33" t="str">
        <f>IF(H23=1,"u","")</f>
        <v/>
      </c>
      <c r="D23" s="11" t="s">
        <v>631</v>
      </c>
      <c r="E23" s="33"/>
      <c r="F23" t="s">
        <v>131</v>
      </c>
      <c r="G23" t="s">
        <v>25</v>
      </c>
      <c r="H23">
        <f>RANK(I23,I$23:I$43,1)</f>
        <v>7</v>
      </c>
      <c r="I23" s="4">
        <v>2080000</v>
      </c>
      <c r="J23" s="4"/>
      <c r="K23" s="4"/>
      <c r="L23" s="4"/>
      <c r="M23" s="22"/>
      <c r="N23" s="22"/>
      <c r="O23" s="22"/>
    </row>
    <row r="24" spans="3:15" x14ac:dyDescent="0.25">
      <c r="C24" s="33" t="str">
        <f>IF(H24=1,"u","")</f>
        <v/>
      </c>
      <c r="D24" s="11" t="s">
        <v>628</v>
      </c>
      <c r="E24" s="33"/>
      <c r="F24" t="s">
        <v>95</v>
      </c>
      <c r="G24" t="s">
        <v>93</v>
      </c>
      <c r="H24">
        <f t="shared" ref="H24:H29" si="0">RANK(I24,I$23:I$43,1)</f>
        <v>5</v>
      </c>
      <c r="I24" s="4">
        <v>1437670</v>
      </c>
      <c r="J24" s="4"/>
      <c r="K24" s="4"/>
      <c r="L24" s="4"/>
      <c r="M24" s="22"/>
      <c r="N24" s="22"/>
      <c r="O24" s="22"/>
    </row>
    <row r="25" spans="3:15" x14ac:dyDescent="0.25">
      <c r="C25" s="33" t="str">
        <f>IF(H25=1,"u","")</f>
        <v/>
      </c>
      <c r="D25" s="11" t="s">
        <v>605</v>
      </c>
      <c r="E25" s="33"/>
      <c r="F25" t="s">
        <v>120</v>
      </c>
      <c r="G25" t="s">
        <v>25</v>
      </c>
      <c r="H25">
        <f t="shared" si="0"/>
        <v>2</v>
      </c>
      <c r="I25" s="4">
        <v>967120</v>
      </c>
      <c r="J25" s="4"/>
      <c r="K25" s="4"/>
      <c r="L25" s="4"/>
      <c r="M25" s="22"/>
      <c r="N25" s="22"/>
      <c r="O25" s="22"/>
    </row>
    <row r="26" spans="3:15" x14ac:dyDescent="0.25">
      <c r="C26" s="33" t="str">
        <f t="shared" ref="C26:C43" si="1">IF(H26=1,"u","")</f>
        <v/>
      </c>
      <c r="D26" s="11" t="s">
        <v>606</v>
      </c>
      <c r="E26" s="33"/>
      <c r="F26" t="s">
        <v>100</v>
      </c>
      <c r="G26" t="s">
        <v>93</v>
      </c>
      <c r="H26">
        <f t="shared" si="0"/>
        <v>6</v>
      </c>
      <c r="I26" s="4">
        <v>1544400</v>
      </c>
      <c r="J26" s="4"/>
      <c r="K26" s="4"/>
      <c r="L26" s="4"/>
      <c r="M26" s="22"/>
      <c r="N26" s="22"/>
      <c r="O26" s="22"/>
    </row>
    <row r="27" spans="3:15" x14ac:dyDescent="0.25">
      <c r="C27" s="33" t="str">
        <f t="shared" si="1"/>
        <v/>
      </c>
      <c r="D27" s="11" t="s">
        <v>487</v>
      </c>
      <c r="E27" s="33" t="str">
        <f t="shared" ref="E27:E43" si="2">IF(H27=1,"t","")</f>
        <v/>
      </c>
      <c r="F27" t="s">
        <v>113</v>
      </c>
      <c r="G27" t="s">
        <v>25</v>
      </c>
      <c r="H27">
        <f t="shared" si="0"/>
        <v>4</v>
      </c>
      <c r="I27" s="4">
        <v>1396000</v>
      </c>
      <c r="J27" s="4"/>
      <c r="K27" s="4"/>
      <c r="L27" s="4"/>
      <c r="M27" s="22"/>
      <c r="N27" s="22"/>
      <c r="O27" s="22"/>
    </row>
    <row r="28" spans="3:15" x14ac:dyDescent="0.25">
      <c r="C28" s="33" t="str">
        <f t="shared" si="1"/>
        <v>u</v>
      </c>
      <c r="D28" s="11" t="s">
        <v>556</v>
      </c>
      <c r="E28" s="33"/>
      <c r="F28" t="s">
        <v>201</v>
      </c>
      <c r="G28" t="s">
        <v>25</v>
      </c>
      <c r="H28">
        <f t="shared" si="0"/>
        <v>1</v>
      </c>
      <c r="I28" s="4">
        <v>815000</v>
      </c>
      <c r="J28" s="4"/>
      <c r="K28" s="4"/>
      <c r="L28" s="4"/>
      <c r="M28" s="22"/>
      <c r="N28" s="22"/>
      <c r="O28" s="22"/>
    </row>
    <row r="29" spans="3:15" x14ac:dyDescent="0.25">
      <c r="C29" s="33" t="str">
        <f t="shared" si="1"/>
        <v/>
      </c>
      <c r="D29" s="11" t="s">
        <v>440</v>
      </c>
      <c r="E29" s="33"/>
      <c r="F29" t="s">
        <v>193</v>
      </c>
      <c r="G29" t="s">
        <v>25</v>
      </c>
      <c r="H29">
        <f t="shared" si="0"/>
        <v>3</v>
      </c>
      <c r="I29" s="4">
        <v>1358801</v>
      </c>
      <c r="J29" s="4"/>
      <c r="K29" s="4"/>
      <c r="L29" s="4"/>
      <c r="M29" s="22"/>
      <c r="N29" s="22"/>
      <c r="O29" s="22"/>
    </row>
    <row r="30" spans="3:15" x14ac:dyDescent="0.25">
      <c r="C30" s="33" t="str">
        <f t="shared" si="1"/>
        <v/>
      </c>
      <c r="D30" s="11"/>
      <c r="E30" s="33"/>
      <c r="I30" s="4"/>
      <c r="J30" s="4"/>
      <c r="K30" s="4"/>
      <c r="L30" s="4"/>
      <c r="M30" s="22"/>
      <c r="N30" s="22"/>
      <c r="O30" s="22"/>
    </row>
    <row r="31" spans="3:15" x14ac:dyDescent="0.25">
      <c r="C31" s="33" t="str">
        <f t="shared" si="1"/>
        <v/>
      </c>
      <c r="D31" s="11"/>
      <c r="E31" s="33"/>
      <c r="I31" s="4"/>
      <c r="J31" s="4"/>
      <c r="K31" s="4"/>
      <c r="L31" s="4"/>
      <c r="M31" s="22"/>
      <c r="N31" s="22"/>
      <c r="O31" s="22"/>
    </row>
    <row r="32" spans="3:15" x14ac:dyDescent="0.25">
      <c r="C32" s="33" t="str">
        <f t="shared" si="1"/>
        <v/>
      </c>
      <c r="D32" s="11"/>
      <c r="E32" s="33"/>
      <c r="I32" s="4"/>
      <c r="J32" s="4"/>
      <c r="K32" s="4"/>
      <c r="L32" s="4"/>
      <c r="M32" s="22"/>
      <c r="N32" s="22"/>
      <c r="O32" s="22"/>
    </row>
    <row r="33" spans="3:15" x14ac:dyDescent="0.25">
      <c r="C33" s="33" t="str">
        <f t="shared" si="1"/>
        <v/>
      </c>
      <c r="D33" s="11"/>
      <c r="E33" s="33"/>
      <c r="I33" s="4"/>
      <c r="M33" s="21"/>
      <c r="N33" s="21"/>
      <c r="O33" s="21"/>
    </row>
    <row r="34" spans="3:15" x14ac:dyDescent="0.25">
      <c r="C34" s="33" t="str">
        <f t="shared" si="1"/>
        <v/>
      </c>
      <c r="D34" s="11"/>
      <c r="E34" s="33" t="str">
        <f t="shared" si="2"/>
        <v/>
      </c>
      <c r="M34" s="21"/>
      <c r="N34" s="21"/>
      <c r="O34" s="21"/>
    </row>
    <row r="35" spans="3:15" x14ac:dyDescent="0.25">
      <c r="C35" s="33" t="str">
        <f t="shared" si="1"/>
        <v/>
      </c>
      <c r="D35" s="11"/>
      <c r="E35" s="33" t="str">
        <f t="shared" si="2"/>
        <v/>
      </c>
      <c r="M35" s="21"/>
      <c r="N35" s="21"/>
      <c r="O35" s="21"/>
    </row>
    <row r="36" spans="3:15" x14ac:dyDescent="0.25">
      <c r="C36" s="33" t="str">
        <f t="shared" si="1"/>
        <v/>
      </c>
      <c r="D36" s="11"/>
      <c r="E36" s="33" t="str">
        <f t="shared" si="2"/>
        <v/>
      </c>
      <c r="M36" s="21"/>
      <c r="N36" s="21"/>
      <c r="O36" s="21"/>
    </row>
    <row r="37" spans="3:15" x14ac:dyDescent="0.25">
      <c r="C37" s="33" t="str">
        <f t="shared" si="1"/>
        <v/>
      </c>
      <c r="D37" s="11"/>
      <c r="E37" s="33" t="str">
        <f t="shared" si="2"/>
        <v/>
      </c>
      <c r="M37" s="21"/>
      <c r="N37" s="21"/>
      <c r="O37" s="21"/>
    </row>
    <row r="38" spans="3:15" x14ac:dyDescent="0.25">
      <c r="C38" s="33" t="str">
        <f t="shared" si="1"/>
        <v/>
      </c>
      <c r="D38" s="11"/>
      <c r="E38" s="33" t="str">
        <f t="shared" si="2"/>
        <v/>
      </c>
      <c r="M38" s="21"/>
      <c r="N38" s="21"/>
      <c r="O38" s="21"/>
    </row>
    <row r="39" spans="3:15" x14ac:dyDescent="0.25">
      <c r="C39" s="33" t="str">
        <f t="shared" si="1"/>
        <v/>
      </c>
      <c r="D39" s="11"/>
      <c r="E39" s="33" t="str">
        <f t="shared" si="2"/>
        <v/>
      </c>
      <c r="M39" s="21"/>
      <c r="N39" s="21"/>
      <c r="O39" s="21"/>
    </row>
    <row r="40" spans="3:15" x14ac:dyDescent="0.25">
      <c r="C40" s="33" t="str">
        <f t="shared" si="1"/>
        <v/>
      </c>
      <c r="D40" s="11"/>
      <c r="E40" s="33" t="str">
        <f t="shared" si="2"/>
        <v/>
      </c>
      <c r="M40" s="21"/>
      <c r="N40" s="21"/>
      <c r="O40" s="21"/>
    </row>
    <row r="41" spans="3:15" x14ac:dyDescent="0.25">
      <c r="C41" s="33" t="str">
        <f t="shared" si="1"/>
        <v/>
      </c>
      <c r="D41" s="11"/>
      <c r="E41" s="33" t="str">
        <f t="shared" si="2"/>
        <v/>
      </c>
      <c r="M41" s="21"/>
      <c r="N41" s="21"/>
      <c r="O41" s="21"/>
    </row>
    <row r="42" spans="3:15" x14ac:dyDescent="0.25">
      <c r="C42" s="33" t="str">
        <f t="shared" si="1"/>
        <v/>
      </c>
      <c r="D42" s="11"/>
      <c r="E42" s="33" t="str">
        <f t="shared" si="2"/>
        <v/>
      </c>
      <c r="M42" s="21"/>
      <c r="N42" s="21"/>
      <c r="O42" s="21"/>
    </row>
    <row r="43" spans="3:15" x14ac:dyDescent="0.25">
      <c r="C43" s="33" t="str">
        <f t="shared" si="1"/>
        <v/>
      </c>
      <c r="D43" s="11"/>
      <c r="E43" s="33" t="str">
        <f t="shared" si="2"/>
        <v/>
      </c>
      <c r="M43" s="21"/>
      <c r="N43" s="21"/>
      <c r="O43" s="21"/>
    </row>
    <row r="44" spans="3:15" ht="6" customHeight="1" x14ac:dyDescent="0.25">
      <c r="C44" s="9"/>
      <c r="D44" s="9"/>
      <c r="E44" s="9"/>
      <c r="F44" s="9"/>
      <c r="G44" s="9"/>
      <c r="H44" s="9"/>
      <c r="I44" s="9"/>
      <c r="J44" s="9"/>
      <c r="K44" s="9"/>
      <c r="L44" s="9"/>
      <c r="M44" s="21"/>
      <c r="N44" s="21"/>
      <c r="O44" s="21"/>
    </row>
    <row r="45" spans="3:15" ht="6" customHeight="1" x14ac:dyDescent="0.25">
      <c r="M45" s="21"/>
      <c r="N45" s="21"/>
      <c r="O45" s="21"/>
    </row>
    <row r="46" spans="3:15" x14ac:dyDescent="0.25">
      <c r="C46" s="15" t="s">
        <v>79</v>
      </c>
      <c r="M46" s="21"/>
      <c r="N46" s="21"/>
      <c r="O46" s="21"/>
    </row>
    <row r="47" spans="3:15" x14ac:dyDescent="0.25">
      <c r="C47" s="15" t="s">
        <v>78</v>
      </c>
    </row>
  </sheetData>
  <mergeCells count="1">
    <mergeCell ref="G13:H13"/>
  </mergeCells>
  <conditionalFormatting sqref="I9">
    <cfRule type="containsText" dxfId="749" priority="10" operator="containsText" text="FAIL">
      <formula>NOT(ISERROR(SEARCH("FAIL",I9)))</formula>
    </cfRule>
  </conditionalFormatting>
  <conditionalFormatting sqref="I9">
    <cfRule type="containsText" dxfId="748" priority="9" operator="containsText" text="GOOD">
      <formula>NOT(ISERROR(SEARCH("GOOD",I9)))</formula>
    </cfRule>
  </conditionalFormatting>
  <conditionalFormatting sqref="F11">
    <cfRule type="containsText" dxfId="747" priority="8" operator="containsText" text="FAIL">
      <formula>NOT(ISERROR(SEARCH("FAIL",F11)))</formula>
    </cfRule>
  </conditionalFormatting>
  <conditionalFormatting sqref="F11">
    <cfRule type="containsText" dxfId="746" priority="7" operator="containsText" text="GOOD">
      <formula>NOT(ISERROR(SEARCH("GOOD",F11)))</formula>
    </cfRule>
  </conditionalFormatting>
  <conditionalFormatting sqref="D25">
    <cfRule type="expression" dxfId="745" priority="6" stopIfTrue="1">
      <formula>IF($H$25=1,0)</formula>
    </cfRule>
  </conditionalFormatting>
  <conditionalFormatting sqref="D23:D43">
    <cfRule type="expression" dxfId="744" priority="5">
      <formula>H23=1</formula>
    </cfRule>
  </conditionalFormatting>
  <conditionalFormatting sqref="C23:C43">
    <cfRule type="expression" dxfId="743" priority="4">
      <formula>H23=1</formula>
    </cfRule>
  </conditionalFormatting>
  <conditionalFormatting sqref="E23:E43">
    <cfRule type="expression" dxfId="742" priority="3">
      <formula>H23=1</formula>
    </cfRule>
  </conditionalFormatting>
  <conditionalFormatting sqref="F11">
    <cfRule type="containsText" dxfId="741" priority="2" operator="containsText" text="FAIL">
      <formula>NOT(ISERROR(SEARCH("FAIL",F11)))</formula>
    </cfRule>
  </conditionalFormatting>
  <conditionalFormatting sqref="F11">
    <cfRule type="containsText" dxfId="740" priority="1" operator="containsText" text="GOOD">
      <formula>NOT(ISERROR(SEARCH("GOOD",F11)))</formula>
    </cfRule>
  </conditionalFormatting>
  <pageMargins left="0.7" right="0.7" top="0.75" bottom="0.75" header="0.3" footer="0.3"/>
  <pageSetup scale="68"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B00-000000000000}">
  <sheetPr codeName="Sheet141"/>
  <dimension ref="A2:O47"/>
  <sheetViews>
    <sheetView workbookViewId="0">
      <selection activeCell="G8" sqref="G8"/>
    </sheetView>
  </sheetViews>
  <sheetFormatPr defaultRowHeight="15" x14ac:dyDescent="0.25"/>
  <cols>
    <col min="1" max="2" width="4.42578125" customWidth="1"/>
    <col min="3" max="3" width="3" customWidth="1"/>
    <col min="4" max="4" width="24.7109375" customWidth="1"/>
    <col min="5" max="5" width="3" customWidth="1"/>
    <col min="6" max="6" width="15.7109375" customWidth="1"/>
    <col min="7" max="7" width="8.5703125" customWidth="1"/>
    <col min="8" max="8" width="5.85546875" customWidth="1"/>
    <col min="9" max="15" width="15.7109375" customWidth="1"/>
  </cols>
  <sheetData>
    <row r="2" spans="1:11" x14ac:dyDescent="0.25">
      <c r="C2" s="15" t="s">
        <v>32</v>
      </c>
      <c r="E2" s="15"/>
      <c r="F2" s="15"/>
      <c r="G2" s="15" t="s">
        <v>33</v>
      </c>
      <c r="H2" s="15"/>
      <c r="I2" s="15"/>
      <c r="J2" s="15"/>
      <c r="K2" s="15"/>
    </row>
    <row r="3" spans="1:11" ht="18.75" x14ac:dyDescent="0.3">
      <c r="C3" s="3" t="s">
        <v>26</v>
      </c>
      <c r="J3" s="8" t="s">
        <v>47</v>
      </c>
    </row>
    <row r="4" spans="1:11" x14ac:dyDescent="0.25">
      <c r="D4" s="2" t="s">
        <v>0</v>
      </c>
      <c r="E4" s="1"/>
      <c r="F4" t="s">
        <v>219</v>
      </c>
      <c r="I4" s="2" t="s">
        <v>4</v>
      </c>
      <c r="J4" t="s">
        <v>5</v>
      </c>
    </row>
    <row r="5" spans="1:11" x14ac:dyDescent="0.25">
      <c r="D5" s="2" t="s">
        <v>1</v>
      </c>
      <c r="F5" t="s">
        <v>220</v>
      </c>
    </row>
    <row r="6" spans="1:11" x14ac:dyDescent="0.25">
      <c r="D6" s="2" t="s">
        <v>2</v>
      </c>
      <c r="F6" s="6">
        <v>42284</v>
      </c>
      <c r="H6" s="11"/>
    </row>
    <row r="7" spans="1:11" x14ac:dyDescent="0.25">
      <c r="D7" s="2" t="s">
        <v>3</v>
      </c>
      <c r="F7" s="5">
        <f>+I7+J7</f>
        <v>7400000</v>
      </c>
      <c r="G7" s="2" t="s">
        <v>190</v>
      </c>
      <c r="H7" s="11"/>
      <c r="I7" s="19">
        <v>3400000</v>
      </c>
      <c r="J7" s="19">
        <v>4000000</v>
      </c>
    </row>
    <row r="8" spans="1:11" x14ac:dyDescent="0.25">
      <c r="D8" s="2" t="s">
        <v>18</v>
      </c>
      <c r="F8" s="5">
        <f>MIN(K23:K43)</f>
        <v>4985882.5</v>
      </c>
      <c r="H8" s="11"/>
      <c r="I8" s="18" t="s">
        <v>43</v>
      </c>
      <c r="J8" s="18" t="s">
        <v>44</v>
      </c>
    </row>
    <row r="9" spans="1:11" x14ac:dyDescent="0.25">
      <c r="D9" s="2" t="s">
        <v>19</v>
      </c>
      <c r="F9" s="4">
        <f>+F8-F7</f>
        <v>-2414117.5</v>
      </c>
      <c r="G9" s="16">
        <f>+F9/F7</f>
        <v>-0.32623209459459457</v>
      </c>
      <c r="H9" s="12" t="s">
        <v>20</v>
      </c>
      <c r="I9" s="11" t="str">
        <f>(IF(G9&lt;-0.1,"FAIL",IF(G9&gt;0.05,"FAIL","GOOD")))</f>
        <v>FAIL</v>
      </c>
      <c r="J9" s="14" t="s">
        <v>72</v>
      </c>
    </row>
    <row r="10" spans="1:11" x14ac:dyDescent="0.25">
      <c r="D10" s="2" t="s">
        <v>68</v>
      </c>
      <c r="F10" s="4">
        <f>+F7-F12</f>
        <v>2002426.875</v>
      </c>
      <c r="H10" s="11"/>
    </row>
    <row r="11" spans="1:11" x14ac:dyDescent="0.25">
      <c r="A11" s="30"/>
      <c r="D11" s="2" t="s">
        <v>71</v>
      </c>
      <c r="F11" s="11" t="str">
        <f>(IF(F7&lt;J12,"FAIL",IF(F7&gt;J13,"FAIL","GOOD")))</f>
        <v>FAIL</v>
      </c>
      <c r="H11" s="11"/>
    </row>
    <row r="12" spans="1:11" x14ac:dyDescent="0.25">
      <c r="D12" s="2" t="s">
        <v>28</v>
      </c>
      <c r="F12" s="4">
        <f>SUM(K23:K43)/H12</f>
        <v>5397573.125</v>
      </c>
      <c r="G12" s="14"/>
      <c r="H12" s="11">
        <f>COUNT(K23:K43)</f>
        <v>4</v>
      </c>
      <c r="I12" s="1" t="s">
        <v>31</v>
      </c>
      <c r="J12" s="4">
        <f>+F8*0.9</f>
        <v>4487294.25</v>
      </c>
      <c r="K12" s="1" t="s">
        <v>69</v>
      </c>
    </row>
    <row r="13" spans="1:11" x14ac:dyDescent="0.25">
      <c r="D13" s="2" t="s">
        <v>29</v>
      </c>
      <c r="F13" s="4">
        <f>MAX(K23:K43)-MIN(K23:K43)</f>
        <v>1134117.5</v>
      </c>
      <c r="G13" s="399">
        <f>MEDIAN(K23:K43)</f>
        <v>5242205</v>
      </c>
      <c r="H13" s="400"/>
      <c r="I13" s="1" t="s">
        <v>30</v>
      </c>
      <c r="J13" s="4">
        <f>+F12*1.1</f>
        <v>5937330.4375000009</v>
      </c>
      <c r="K13" s="1" t="s">
        <v>70</v>
      </c>
    </row>
    <row r="14" spans="1:11" x14ac:dyDescent="0.25">
      <c r="H14" s="11"/>
    </row>
    <row r="15" spans="1:11" x14ac:dyDescent="0.25">
      <c r="D15" s="2" t="s">
        <v>8</v>
      </c>
      <c r="F15" s="4"/>
      <c r="G15" s="1" t="s">
        <v>9</v>
      </c>
      <c r="H15" s="11"/>
      <c r="I15" t="s">
        <v>15</v>
      </c>
      <c r="J15" s="7" t="e">
        <f>+F16/F15</f>
        <v>#DIV/0!</v>
      </c>
    </row>
    <row r="16" spans="1:11" x14ac:dyDescent="0.25">
      <c r="F16" s="4"/>
      <c r="G16" s="1" t="s">
        <v>10</v>
      </c>
      <c r="H16" s="11"/>
      <c r="I16" t="s">
        <v>14</v>
      </c>
      <c r="J16" s="7" t="e">
        <f>+F17/F16</f>
        <v>#DIV/0!</v>
      </c>
    </row>
    <row r="17" spans="3:15" x14ac:dyDescent="0.25">
      <c r="F17" s="4"/>
      <c r="G17" s="1" t="s">
        <v>11</v>
      </c>
      <c r="H17" s="11"/>
      <c r="I17" t="s">
        <v>13</v>
      </c>
      <c r="J17" s="7" t="e">
        <f>+F18/F17</f>
        <v>#DIV/0!</v>
      </c>
    </row>
    <row r="18" spans="3:15" x14ac:dyDescent="0.25">
      <c r="F18" s="4"/>
      <c r="G18" s="1" t="s">
        <v>12</v>
      </c>
      <c r="H18" s="11"/>
      <c r="I18" t="s">
        <v>16</v>
      </c>
      <c r="J18" s="7" t="e">
        <f>+F8/F18</f>
        <v>#DIV/0!</v>
      </c>
    </row>
    <row r="19" spans="3:15" x14ac:dyDescent="0.25">
      <c r="F19" s="2" t="s">
        <v>51</v>
      </c>
      <c r="H19" s="11" t="s">
        <v>52</v>
      </c>
      <c r="I19" t="s">
        <v>41</v>
      </c>
      <c r="J19" s="7" t="e">
        <f>+F8/F15</f>
        <v>#DIV/0!</v>
      </c>
    </row>
    <row r="20" spans="3:15" x14ac:dyDescent="0.25">
      <c r="H20" s="11"/>
      <c r="M20" s="21"/>
      <c r="N20" s="21"/>
      <c r="O20" s="21"/>
    </row>
    <row r="21" spans="3:15" x14ac:dyDescent="0.25">
      <c r="C21" s="9"/>
      <c r="D21" s="13" t="s">
        <v>21</v>
      </c>
      <c r="E21" s="9"/>
      <c r="F21" s="9" t="s">
        <v>22</v>
      </c>
      <c r="G21" s="9" t="s">
        <v>23</v>
      </c>
      <c r="H21" s="13" t="s">
        <v>27</v>
      </c>
      <c r="I21" s="10" t="s">
        <v>38</v>
      </c>
      <c r="J21" s="10" t="s">
        <v>37</v>
      </c>
      <c r="K21" s="10" t="s">
        <v>39</v>
      </c>
      <c r="L21" s="9"/>
      <c r="M21" s="21"/>
      <c r="N21" s="21"/>
      <c r="O21" s="21"/>
    </row>
    <row r="22" spans="3:15" ht="6" customHeight="1" x14ac:dyDescent="0.25">
      <c r="M22" s="21"/>
      <c r="N22" s="21"/>
      <c r="O22" s="21"/>
    </row>
    <row r="23" spans="3:15" x14ac:dyDescent="0.25">
      <c r="C23" s="33" t="str">
        <f>IF(H23=1,"u","")</f>
        <v>u</v>
      </c>
      <c r="D23" s="23" t="s">
        <v>221</v>
      </c>
      <c r="E23" s="33"/>
      <c r="F23" t="s">
        <v>161</v>
      </c>
      <c r="G23" t="s">
        <v>93</v>
      </c>
      <c r="H23">
        <f>RANK(K23,K$23:K$43,1)</f>
        <v>1</v>
      </c>
      <c r="I23" s="4">
        <v>2251720</v>
      </c>
      <c r="J23" s="4">
        <v>2734162.5</v>
      </c>
      <c r="K23" s="4">
        <f>+J23+I23</f>
        <v>4985882.5</v>
      </c>
      <c r="L23" s="4"/>
      <c r="M23" s="22"/>
      <c r="N23" s="22"/>
      <c r="O23" s="22"/>
    </row>
    <row r="24" spans="3:15" x14ac:dyDescent="0.25">
      <c r="C24" s="33" t="str">
        <f>IF(H24=1,"u","")</f>
        <v/>
      </c>
      <c r="D24" s="23" t="s">
        <v>138</v>
      </c>
      <c r="E24" s="33"/>
      <c r="F24" t="s">
        <v>193</v>
      </c>
      <c r="G24" t="s">
        <v>25</v>
      </c>
      <c r="H24">
        <f>RANK(K24,K$23:K$43,1)</f>
        <v>2</v>
      </c>
      <c r="I24" s="4">
        <v>1469909</v>
      </c>
      <c r="J24" s="4">
        <v>3699868</v>
      </c>
      <c r="K24" s="4">
        <f>+J24+I24</f>
        <v>5169777</v>
      </c>
      <c r="L24" s="4"/>
      <c r="M24" s="22"/>
      <c r="N24" s="22"/>
      <c r="O24" s="22"/>
    </row>
    <row r="25" spans="3:15" x14ac:dyDescent="0.25">
      <c r="C25" s="33" t="str">
        <f>IF(H25=1,"u","")</f>
        <v/>
      </c>
      <c r="D25" s="23" t="s">
        <v>194</v>
      </c>
      <c r="E25" s="33"/>
      <c r="F25" t="s">
        <v>222</v>
      </c>
      <c r="G25" t="s">
        <v>25</v>
      </c>
      <c r="H25">
        <f>RANK(K25,K$23:K$43,1)</f>
        <v>3</v>
      </c>
      <c r="I25" s="4">
        <v>1649850</v>
      </c>
      <c r="J25" s="4">
        <v>3664783</v>
      </c>
      <c r="K25" s="4">
        <f>+J25+I25</f>
        <v>5314633</v>
      </c>
      <c r="L25" s="4"/>
      <c r="M25" s="22"/>
      <c r="N25" s="22"/>
      <c r="O25" s="22"/>
    </row>
    <row r="26" spans="3:15" x14ac:dyDescent="0.25">
      <c r="C26" s="33" t="str">
        <f t="shared" ref="C26:C43" si="0">IF(H26=1,"u","")</f>
        <v/>
      </c>
      <c r="D26" s="23" t="s">
        <v>223</v>
      </c>
      <c r="E26" s="33"/>
      <c r="F26" t="s">
        <v>192</v>
      </c>
      <c r="G26" t="s">
        <v>25</v>
      </c>
      <c r="H26">
        <f>RANK(K26,K$23:K$43,1)</f>
        <v>4</v>
      </c>
      <c r="I26" s="4">
        <v>2935045</v>
      </c>
      <c r="J26" s="4">
        <v>3184955</v>
      </c>
      <c r="K26" s="4">
        <f>+J26+I26</f>
        <v>6120000</v>
      </c>
      <c r="L26" s="4"/>
      <c r="M26" s="22"/>
      <c r="N26" s="22"/>
      <c r="O26" s="22"/>
    </row>
    <row r="27" spans="3:15" x14ac:dyDescent="0.25">
      <c r="C27" s="33"/>
      <c r="D27" s="11"/>
      <c r="E27" s="33"/>
      <c r="I27" s="4"/>
      <c r="J27" s="4"/>
      <c r="K27" s="4"/>
      <c r="L27" s="4"/>
      <c r="M27" s="22"/>
      <c r="N27" s="22"/>
      <c r="O27" s="22"/>
    </row>
    <row r="28" spans="3:15" x14ac:dyDescent="0.25">
      <c r="C28" s="33"/>
      <c r="D28" s="11"/>
      <c r="E28" s="33"/>
      <c r="I28" s="4"/>
      <c r="J28" s="4"/>
      <c r="K28" s="4"/>
      <c r="L28" s="4"/>
      <c r="M28" s="22"/>
      <c r="N28" s="22"/>
      <c r="O28" s="22"/>
    </row>
    <row r="29" spans="3:15" x14ac:dyDescent="0.25">
      <c r="C29" s="33"/>
      <c r="D29" s="11"/>
      <c r="E29" s="33"/>
      <c r="I29" s="4"/>
      <c r="J29" s="4"/>
      <c r="K29" s="4"/>
      <c r="L29" s="4"/>
      <c r="M29" s="22"/>
      <c r="N29" s="22"/>
      <c r="O29" s="22"/>
    </row>
    <row r="30" spans="3:15" x14ac:dyDescent="0.25">
      <c r="C30" s="33"/>
      <c r="D30" s="11"/>
      <c r="E30" s="33"/>
      <c r="I30" s="4"/>
      <c r="J30" s="4"/>
      <c r="K30" s="4"/>
      <c r="L30" s="4"/>
      <c r="M30" s="22"/>
      <c r="N30" s="22"/>
      <c r="O30" s="22"/>
    </row>
    <row r="31" spans="3:15" x14ac:dyDescent="0.25">
      <c r="C31" s="33"/>
      <c r="D31" s="11"/>
      <c r="E31" s="33"/>
      <c r="I31" s="4"/>
      <c r="J31" s="4"/>
      <c r="K31" s="4"/>
      <c r="L31" s="4"/>
      <c r="M31" s="22"/>
      <c r="N31" s="22"/>
      <c r="O31" s="22"/>
    </row>
    <row r="32" spans="3:15" x14ac:dyDescent="0.25">
      <c r="C32" s="33"/>
      <c r="D32" s="11"/>
      <c r="E32" s="33"/>
      <c r="I32" s="4"/>
      <c r="J32" s="4"/>
      <c r="K32" s="4"/>
      <c r="L32" s="4"/>
      <c r="M32" s="22"/>
      <c r="N32" s="22"/>
      <c r="O32" s="22"/>
    </row>
    <row r="33" spans="3:15" x14ac:dyDescent="0.25">
      <c r="C33" s="33"/>
      <c r="D33" s="11"/>
      <c r="E33" s="33"/>
      <c r="I33" s="4"/>
      <c r="J33" s="4"/>
      <c r="K33" s="4"/>
      <c r="M33" s="21"/>
      <c r="N33" s="21"/>
      <c r="O33" s="21"/>
    </row>
    <row r="34" spans="3:15" x14ac:dyDescent="0.25">
      <c r="C34" s="33" t="str">
        <f t="shared" si="0"/>
        <v/>
      </c>
      <c r="D34" s="11"/>
      <c r="E34" s="33" t="str">
        <f t="shared" ref="E34:E43" si="1">IF(H34=1,"t","")</f>
        <v/>
      </c>
      <c r="K34" s="4"/>
      <c r="M34" s="21"/>
      <c r="N34" s="21"/>
      <c r="O34" s="21"/>
    </row>
    <row r="35" spans="3:15" x14ac:dyDescent="0.25">
      <c r="C35" s="33" t="str">
        <f t="shared" si="0"/>
        <v/>
      </c>
      <c r="D35" s="11"/>
      <c r="E35" s="33" t="str">
        <f t="shared" si="1"/>
        <v/>
      </c>
      <c r="K35" s="4"/>
      <c r="M35" s="21"/>
      <c r="N35" s="21"/>
      <c r="O35" s="21"/>
    </row>
    <row r="36" spans="3:15" x14ac:dyDescent="0.25">
      <c r="C36" s="33" t="str">
        <f t="shared" si="0"/>
        <v/>
      </c>
      <c r="D36" s="11"/>
      <c r="E36" s="33" t="str">
        <f t="shared" si="1"/>
        <v/>
      </c>
      <c r="K36" s="4"/>
      <c r="M36" s="21"/>
      <c r="N36" s="21"/>
      <c r="O36" s="21"/>
    </row>
    <row r="37" spans="3:15" x14ac:dyDescent="0.25">
      <c r="C37" s="33" t="str">
        <f t="shared" si="0"/>
        <v/>
      </c>
      <c r="D37" s="11"/>
      <c r="E37" s="33" t="str">
        <f t="shared" si="1"/>
        <v/>
      </c>
      <c r="K37" s="4"/>
      <c r="M37" s="21"/>
      <c r="N37" s="21"/>
      <c r="O37" s="21"/>
    </row>
    <row r="38" spans="3:15" x14ac:dyDescent="0.25">
      <c r="C38" s="33" t="str">
        <f t="shared" si="0"/>
        <v/>
      </c>
      <c r="D38" s="11"/>
      <c r="E38" s="33" t="str">
        <f t="shared" si="1"/>
        <v/>
      </c>
      <c r="K38" s="4"/>
      <c r="M38" s="21"/>
      <c r="N38" s="21"/>
      <c r="O38" s="21"/>
    </row>
    <row r="39" spans="3:15" x14ac:dyDescent="0.25">
      <c r="C39" s="33" t="str">
        <f t="shared" si="0"/>
        <v/>
      </c>
      <c r="D39" s="11"/>
      <c r="E39" s="33" t="str">
        <f t="shared" si="1"/>
        <v/>
      </c>
      <c r="K39" s="4"/>
      <c r="M39" s="21"/>
      <c r="N39" s="21"/>
      <c r="O39" s="21"/>
    </row>
    <row r="40" spans="3:15" x14ac:dyDescent="0.25">
      <c r="C40" s="33" t="str">
        <f t="shared" si="0"/>
        <v/>
      </c>
      <c r="D40" s="11"/>
      <c r="E40" s="33" t="str">
        <f t="shared" si="1"/>
        <v/>
      </c>
      <c r="K40" s="4"/>
      <c r="M40" s="21"/>
      <c r="N40" s="21"/>
      <c r="O40" s="21"/>
    </row>
    <row r="41" spans="3:15" x14ac:dyDescent="0.25">
      <c r="C41" s="33" t="str">
        <f t="shared" si="0"/>
        <v/>
      </c>
      <c r="D41" s="11"/>
      <c r="E41" s="33" t="str">
        <f t="shared" si="1"/>
        <v/>
      </c>
      <c r="K41" s="4"/>
      <c r="M41" s="21"/>
      <c r="N41" s="21"/>
      <c r="O41" s="21"/>
    </row>
    <row r="42" spans="3:15" x14ac:dyDescent="0.25">
      <c r="C42" s="33" t="str">
        <f t="shared" si="0"/>
        <v/>
      </c>
      <c r="D42" s="11"/>
      <c r="E42" s="33" t="str">
        <f t="shared" si="1"/>
        <v/>
      </c>
      <c r="K42" s="4"/>
      <c r="M42" s="21"/>
      <c r="N42" s="21"/>
      <c r="O42" s="21"/>
    </row>
    <row r="43" spans="3:15" x14ac:dyDescent="0.25">
      <c r="C43" s="33" t="str">
        <f t="shared" si="0"/>
        <v/>
      </c>
      <c r="D43" s="11"/>
      <c r="E43" s="33" t="str">
        <f t="shared" si="1"/>
        <v/>
      </c>
      <c r="K43" s="4"/>
      <c r="M43" s="21"/>
      <c r="N43" s="21"/>
      <c r="O43" s="21"/>
    </row>
    <row r="44" spans="3:15" ht="6" customHeight="1" x14ac:dyDescent="0.25">
      <c r="C44" s="9"/>
      <c r="D44" s="9"/>
      <c r="E44" s="9"/>
      <c r="F44" s="9"/>
      <c r="G44" s="9"/>
      <c r="H44" s="9"/>
      <c r="I44" s="9"/>
      <c r="J44" s="9"/>
      <c r="K44" s="9"/>
      <c r="L44" s="9"/>
      <c r="M44" s="21"/>
      <c r="N44" s="21"/>
      <c r="O44" s="21"/>
    </row>
    <row r="45" spans="3:15" ht="6" customHeight="1" x14ac:dyDescent="0.25">
      <c r="M45" s="21"/>
      <c r="N45" s="21"/>
      <c r="O45" s="21"/>
    </row>
    <row r="46" spans="3:15" x14ac:dyDescent="0.25">
      <c r="C46" s="15" t="s">
        <v>79</v>
      </c>
      <c r="M46" s="21"/>
      <c r="N46" s="21"/>
      <c r="O46" s="21"/>
    </row>
    <row r="47" spans="3:15" x14ac:dyDescent="0.25">
      <c r="C47" s="15" t="s">
        <v>78</v>
      </c>
    </row>
  </sheetData>
  <mergeCells count="1">
    <mergeCell ref="G13:H13"/>
  </mergeCells>
  <conditionalFormatting sqref="I9">
    <cfRule type="containsText" dxfId="409" priority="19" operator="containsText" text="FAIL">
      <formula>NOT(ISERROR(SEARCH("FAIL",I9)))</formula>
    </cfRule>
  </conditionalFormatting>
  <conditionalFormatting sqref="I9">
    <cfRule type="containsText" dxfId="408" priority="18" operator="containsText" text="GOOD">
      <formula>NOT(ISERROR(SEARCH("GOOD",I9)))</formula>
    </cfRule>
  </conditionalFormatting>
  <conditionalFormatting sqref="I9">
    <cfRule type="containsText" dxfId="407" priority="17" operator="containsText" text="FAIL">
      <formula>NOT(ISERROR(SEARCH("FAIL",I9)))</formula>
    </cfRule>
  </conditionalFormatting>
  <conditionalFormatting sqref="I9">
    <cfRule type="containsText" dxfId="406" priority="16" operator="containsText" text="GOOD">
      <formula>NOT(ISERROR(SEARCH("GOOD",I9)))</formula>
    </cfRule>
  </conditionalFormatting>
  <conditionalFormatting sqref="I9">
    <cfRule type="containsText" dxfId="405" priority="15" operator="containsText" text="FAIL">
      <formula>NOT(ISERROR(SEARCH("FAIL",I9)))</formula>
    </cfRule>
  </conditionalFormatting>
  <conditionalFormatting sqref="I9">
    <cfRule type="containsText" dxfId="404" priority="14" operator="containsText" text="GOOD">
      <formula>NOT(ISERROR(SEARCH("GOOD",I9)))</formula>
    </cfRule>
  </conditionalFormatting>
  <conditionalFormatting sqref="F11">
    <cfRule type="containsText" dxfId="403" priority="13" operator="containsText" text="FAIL">
      <formula>NOT(ISERROR(SEARCH("FAIL",F11)))</formula>
    </cfRule>
  </conditionalFormatting>
  <conditionalFormatting sqref="F11">
    <cfRule type="containsText" dxfId="402" priority="12" operator="containsText" text="GOOD">
      <formula>NOT(ISERROR(SEARCH("GOOD",F11)))</formula>
    </cfRule>
  </conditionalFormatting>
  <conditionalFormatting sqref="I9">
    <cfRule type="containsText" dxfId="401" priority="11" operator="containsText" text="FAIL">
      <formula>NOT(ISERROR(SEARCH("FAIL",I9)))</formula>
    </cfRule>
  </conditionalFormatting>
  <conditionalFormatting sqref="I9">
    <cfRule type="containsText" dxfId="400" priority="10" operator="containsText" text="GOOD">
      <formula>NOT(ISERROR(SEARCH("GOOD",I9)))</formula>
    </cfRule>
  </conditionalFormatting>
  <conditionalFormatting sqref="F11">
    <cfRule type="containsText" dxfId="399" priority="9" operator="containsText" text="FAIL">
      <formula>NOT(ISERROR(SEARCH("FAIL",F11)))</formula>
    </cfRule>
  </conditionalFormatting>
  <conditionalFormatting sqref="F11">
    <cfRule type="containsText" dxfId="398" priority="8" operator="containsText" text="GOOD">
      <formula>NOT(ISERROR(SEARCH("GOOD",F11)))</formula>
    </cfRule>
  </conditionalFormatting>
  <conditionalFormatting sqref="D25">
    <cfRule type="expression" dxfId="397" priority="7" stopIfTrue="1">
      <formula>IF($H$25=1,0)</formula>
    </cfRule>
  </conditionalFormatting>
  <conditionalFormatting sqref="D23:D43">
    <cfRule type="expression" dxfId="396" priority="6">
      <formula>H23=1</formula>
    </cfRule>
  </conditionalFormatting>
  <conditionalFormatting sqref="C23:C43">
    <cfRule type="expression" dxfId="395" priority="5">
      <formula>H23=1</formula>
    </cfRule>
  </conditionalFormatting>
  <conditionalFormatting sqref="E23:E43">
    <cfRule type="expression" dxfId="394" priority="4">
      <formula>H23=1</formula>
    </cfRule>
  </conditionalFormatting>
  <conditionalFormatting sqref="E23:E43">
    <cfRule type="expression" dxfId="393" priority="3">
      <formula>H23=1</formula>
    </cfRule>
  </conditionalFormatting>
  <conditionalFormatting sqref="F11">
    <cfRule type="containsText" dxfId="392" priority="2" operator="containsText" text="FAIL">
      <formula>NOT(ISERROR(SEARCH("FAIL",F11)))</formula>
    </cfRule>
  </conditionalFormatting>
  <conditionalFormatting sqref="F11">
    <cfRule type="containsText" dxfId="391" priority="1" operator="containsText" text="GOOD">
      <formula>NOT(ISERROR(SEARCH("GOOD",F11)))</formula>
    </cfRule>
  </conditionalFormatting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5"/>
  <dimension ref="A2:P47"/>
  <sheetViews>
    <sheetView zoomScaleNormal="100" workbookViewId="0">
      <selection activeCell="F11" sqref="F11"/>
    </sheetView>
  </sheetViews>
  <sheetFormatPr defaultRowHeight="15" x14ac:dyDescent="0.25"/>
  <cols>
    <col min="1" max="2" width="4.42578125" customWidth="1"/>
    <col min="3" max="3" width="3" customWidth="1"/>
    <col min="4" max="4" width="24.85546875" customWidth="1"/>
    <col min="5" max="5" width="3" customWidth="1"/>
    <col min="6" max="6" width="15.7109375" customWidth="1"/>
    <col min="7" max="7" width="8.5703125" customWidth="1"/>
    <col min="8" max="8" width="5.85546875" customWidth="1"/>
    <col min="9" max="15" width="15.7109375" customWidth="1"/>
  </cols>
  <sheetData>
    <row r="2" spans="1:16" x14ac:dyDescent="0.25">
      <c r="C2" s="15" t="s">
        <v>32</v>
      </c>
      <c r="E2" s="15"/>
      <c r="F2" s="15"/>
      <c r="G2" s="15" t="s">
        <v>33</v>
      </c>
      <c r="H2" s="15"/>
      <c r="I2" s="15"/>
      <c r="J2" s="15"/>
      <c r="K2" s="15"/>
    </row>
    <row r="3" spans="1:16" ht="18.75" x14ac:dyDescent="0.3">
      <c r="C3" s="3" t="s">
        <v>26</v>
      </c>
      <c r="J3" s="8" t="s">
        <v>17</v>
      </c>
      <c r="P3" s="100"/>
    </row>
    <row r="4" spans="1:16" x14ac:dyDescent="0.25">
      <c r="D4" s="2" t="s">
        <v>0</v>
      </c>
      <c r="E4" s="1"/>
      <c r="F4" t="s">
        <v>1159</v>
      </c>
      <c r="I4" s="2" t="s">
        <v>4</v>
      </c>
      <c r="J4" t="s">
        <v>1153</v>
      </c>
    </row>
    <row r="5" spans="1:16" x14ac:dyDescent="0.25">
      <c r="D5" s="2" t="s">
        <v>1</v>
      </c>
      <c r="F5" t="s">
        <v>1154</v>
      </c>
    </row>
    <row r="6" spans="1:16" x14ac:dyDescent="0.25">
      <c r="D6" s="2" t="s">
        <v>2</v>
      </c>
      <c r="F6" s="6">
        <v>43088</v>
      </c>
      <c r="H6" s="11"/>
    </row>
    <row r="7" spans="1:16" x14ac:dyDescent="0.25">
      <c r="D7" s="2" t="s">
        <v>3</v>
      </c>
      <c r="F7" s="5">
        <v>795000</v>
      </c>
      <c r="G7" s="2" t="s">
        <v>693</v>
      </c>
      <c r="H7" s="11"/>
    </row>
    <row r="8" spans="1:16" x14ac:dyDescent="0.25">
      <c r="D8" s="2" t="s">
        <v>18</v>
      </c>
      <c r="F8" s="5">
        <f>MIN(I23:I43)</f>
        <v>353700</v>
      </c>
      <c r="H8" s="11"/>
    </row>
    <row r="9" spans="1:16" x14ac:dyDescent="0.25">
      <c r="D9" s="2" t="s">
        <v>67</v>
      </c>
      <c r="F9" s="4">
        <f>+F8-F7</f>
        <v>-441300</v>
      </c>
      <c r="G9" s="16">
        <f>+F9/F7</f>
        <v>-0.55509433962264154</v>
      </c>
      <c r="H9" s="12" t="s">
        <v>20</v>
      </c>
      <c r="I9" s="11" t="str">
        <f>(IF(G9&lt;-0.1,"FAIL",IF(G9&gt;0.05,"FAIL","GOOD")))</f>
        <v>FAIL</v>
      </c>
      <c r="J9" s="14" t="s">
        <v>72</v>
      </c>
    </row>
    <row r="10" spans="1:16" x14ac:dyDescent="0.25">
      <c r="D10" s="2" t="s">
        <v>68</v>
      </c>
      <c r="F10" s="4">
        <f>+F7-F12</f>
        <v>-43835.25</v>
      </c>
      <c r="H10" s="11"/>
    </row>
    <row r="11" spans="1:16" x14ac:dyDescent="0.25">
      <c r="A11" s="52"/>
      <c r="D11" s="2" t="s">
        <v>71</v>
      </c>
      <c r="F11" s="11" t="str">
        <f>(IF(F7&lt;J12,"FAIL",IF(F7&gt;J13,"FAIL","GOOD")))</f>
        <v>GOOD</v>
      </c>
      <c r="H11" s="11"/>
    </row>
    <row r="12" spans="1:16" x14ac:dyDescent="0.25">
      <c r="D12" s="2" t="s">
        <v>28</v>
      </c>
      <c r="F12" s="4">
        <f>SUM(I23:I43)/H12</f>
        <v>838835.25</v>
      </c>
      <c r="G12" s="14"/>
      <c r="H12" s="11">
        <f>COUNT(I23:I43)</f>
        <v>8</v>
      </c>
      <c r="I12" s="1" t="s">
        <v>31</v>
      </c>
      <c r="J12" s="4">
        <f>+F8*0.9</f>
        <v>318330</v>
      </c>
      <c r="K12" s="1" t="s">
        <v>69</v>
      </c>
    </row>
    <row r="13" spans="1:16" x14ac:dyDescent="0.25">
      <c r="D13" s="2" t="s">
        <v>29</v>
      </c>
      <c r="F13" s="4">
        <f>MAX(I23:I43)-MIN(I23:I43)</f>
        <v>926300</v>
      </c>
      <c r="G13" s="399">
        <f>MEDIAN(I23:I43)</f>
        <v>853750</v>
      </c>
      <c r="H13" s="400"/>
      <c r="I13" s="1" t="s">
        <v>30</v>
      </c>
      <c r="J13" s="4">
        <f>+F12*1.1</f>
        <v>922718.77500000002</v>
      </c>
      <c r="K13" s="1" t="s">
        <v>70</v>
      </c>
    </row>
    <row r="14" spans="1:16" x14ac:dyDescent="0.25">
      <c r="H14" s="11"/>
    </row>
    <row r="15" spans="1:16" x14ac:dyDescent="0.25">
      <c r="D15" s="2" t="s">
        <v>8</v>
      </c>
      <c r="F15" s="4"/>
      <c r="G15" s="1" t="s">
        <v>9</v>
      </c>
      <c r="H15" s="11"/>
      <c r="I15" t="s">
        <v>15</v>
      </c>
      <c r="J15" s="7" t="e">
        <f>+F16/F15</f>
        <v>#DIV/0!</v>
      </c>
    </row>
    <row r="16" spans="1:16" x14ac:dyDescent="0.25">
      <c r="F16" s="4"/>
      <c r="G16" s="1" t="s">
        <v>10</v>
      </c>
      <c r="H16" s="11"/>
      <c r="I16" t="s">
        <v>14</v>
      </c>
      <c r="J16" s="7" t="e">
        <f>+F17/F16</f>
        <v>#DIV/0!</v>
      </c>
    </row>
    <row r="17" spans="3:15" x14ac:dyDescent="0.25">
      <c r="F17" s="4"/>
      <c r="G17" s="1" t="s">
        <v>11</v>
      </c>
      <c r="H17" s="11"/>
      <c r="I17" t="s">
        <v>13</v>
      </c>
      <c r="J17" s="7" t="e">
        <f>+F18/F17</f>
        <v>#DIV/0!</v>
      </c>
      <c r="M17" s="21"/>
      <c r="N17" s="21"/>
      <c r="O17" s="21"/>
    </row>
    <row r="18" spans="3:15" x14ac:dyDescent="0.25">
      <c r="F18" s="4"/>
      <c r="G18" s="1" t="s">
        <v>12</v>
      </c>
      <c r="H18" s="11"/>
      <c r="I18" t="s">
        <v>16</v>
      </c>
      <c r="J18" s="7" t="e">
        <f>+F8/F18</f>
        <v>#DIV/0!</v>
      </c>
      <c r="M18" s="21"/>
      <c r="N18" s="21"/>
      <c r="O18" s="21"/>
    </row>
    <row r="19" spans="3:15" x14ac:dyDescent="0.25">
      <c r="F19" s="2" t="s">
        <v>51</v>
      </c>
      <c r="G19">
        <v>0</v>
      </c>
      <c r="H19" s="11" t="s">
        <v>52</v>
      </c>
      <c r="I19" t="s">
        <v>41</v>
      </c>
      <c r="J19" s="7" t="e">
        <f>+F8/F15</f>
        <v>#DIV/0!</v>
      </c>
      <c r="M19" s="21"/>
      <c r="N19" s="21"/>
      <c r="O19" s="21"/>
    </row>
    <row r="20" spans="3:15" x14ac:dyDescent="0.25">
      <c r="H20" s="11"/>
      <c r="M20" s="21"/>
      <c r="N20" s="21"/>
      <c r="O20" s="21"/>
    </row>
    <row r="21" spans="3:15" x14ac:dyDescent="0.25">
      <c r="C21" s="9"/>
      <c r="D21" s="13" t="s">
        <v>21</v>
      </c>
      <c r="E21" s="9"/>
      <c r="F21" s="9" t="s">
        <v>22</v>
      </c>
      <c r="G21" s="9" t="s">
        <v>23</v>
      </c>
      <c r="H21" s="13" t="s">
        <v>27</v>
      </c>
      <c r="I21" s="10" t="s">
        <v>24</v>
      </c>
      <c r="J21" s="9"/>
      <c r="K21" s="9"/>
      <c r="L21" s="9"/>
      <c r="M21" s="21"/>
      <c r="N21" s="21"/>
      <c r="O21" s="21"/>
    </row>
    <row r="22" spans="3:15" ht="6" customHeight="1" x14ac:dyDescent="0.25">
      <c r="M22" s="21"/>
      <c r="N22" s="21"/>
      <c r="O22" s="21"/>
    </row>
    <row r="23" spans="3:15" x14ac:dyDescent="0.25">
      <c r="C23" s="33" t="str">
        <f>IF(H23=1,"u","")</f>
        <v/>
      </c>
      <c r="D23" s="11" t="s">
        <v>429</v>
      </c>
      <c r="E23" s="33"/>
      <c r="F23" t="s">
        <v>131</v>
      </c>
      <c r="G23" t="s">
        <v>25</v>
      </c>
      <c r="H23">
        <f>RANK(I23,I$23:I$43,1)</f>
        <v>8</v>
      </c>
      <c r="I23" s="4">
        <v>1280000</v>
      </c>
      <c r="J23" s="4"/>
      <c r="K23" s="4"/>
      <c r="L23" s="4"/>
      <c r="M23" s="22"/>
      <c r="N23" s="22"/>
      <c r="O23" s="22"/>
    </row>
    <row r="24" spans="3:15" x14ac:dyDescent="0.25">
      <c r="C24" s="33" t="str">
        <f>IF(H24=1,"u","")</f>
        <v/>
      </c>
      <c r="D24" s="11" t="s">
        <v>1155</v>
      </c>
      <c r="E24" s="33"/>
      <c r="F24" t="s">
        <v>181</v>
      </c>
      <c r="G24" t="s">
        <v>93</v>
      </c>
      <c r="H24">
        <f>RANK(I24,I$23:I$43,1)</f>
        <v>7</v>
      </c>
      <c r="I24" s="4">
        <v>1173320</v>
      </c>
      <c r="J24" s="4"/>
      <c r="K24" s="4"/>
      <c r="L24" s="4"/>
      <c r="M24" s="22"/>
      <c r="N24" s="22"/>
      <c r="O24" s="22"/>
    </row>
    <row r="25" spans="3:15" x14ac:dyDescent="0.25">
      <c r="C25" s="33" t="str">
        <f>IF(H25=1,"u","")</f>
        <v/>
      </c>
      <c r="D25" s="11" t="s">
        <v>1156</v>
      </c>
      <c r="E25" s="33"/>
      <c r="F25" t="s">
        <v>407</v>
      </c>
      <c r="G25" t="s">
        <v>93</v>
      </c>
      <c r="H25">
        <f t="shared" ref="H25:H30" si="0">RANK(I25,I$23:I$43,1)</f>
        <v>3</v>
      </c>
      <c r="I25" s="4">
        <v>678178</v>
      </c>
      <c r="J25" s="4"/>
      <c r="K25" s="4"/>
      <c r="L25" s="4"/>
      <c r="M25" s="22"/>
      <c r="N25" s="22"/>
      <c r="O25" s="22"/>
    </row>
    <row r="26" spans="3:15" x14ac:dyDescent="0.25">
      <c r="C26" s="33"/>
      <c r="D26" s="11" t="s">
        <v>942</v>
      </c>
      <c r="E26" s="33"/>
      <c r="F26" t="s">
        <v>943</v>
      </c>
      <c r="G26" t="s">
        <v>25</v>
      </c>
      <c r="H26">
        <f t="shared" si="0"/>
        <v>1</v>
      </c>
      <c r="I26" s="4">
        <v>353700</v>
      </c>
      <c r="J26" s="4"/>
      <c r="K26" s="4"/>
      <c r="L26" s="4"/>
      <c r="M26" s="22"/>
      <c r="N26" s="22"/>
      <c r="O26" s="22"/>
    </row>
    <row r="27" spans="3:15" x14ac:dyDescent="0.25">
      <c r="C27" s="33"/>
      <c r="D27" s="11" t="s">
        <v>1157</v>
      </c>
      <c r="E27" s="33"/>
      <c r="F27" t="s">
        <v>181</v>
      </c>
      <c r="G27" t="s">
        <v>93</v>
      </c>
      <c r="H27">
        <f t="shared" si="0"/>
        <v>5</v>
      </c>
      <c r="I27" s="4">
        <v>920000</v>
      </c>
      <c r="J27" s="4"/>
      <c r="K27" s="4"/>
      <c r="L27" s="4"/>
      <c r="M27" s="22"/>
      <c r="N27" s="22"/>
      <c r="O27" s="22"/>
    </row>
    <row r="28" spans="3:15" x14ac:dyDescent="0.25">
      <c r="C28" s="33"/>
      <c r="D28" s="11" t="s">
        <v>708</v>
      </c>
      <c r="E28" s="33"/>
      <c r="F28" t="s">
        <v>709</v>
      </c>
      <c r="G28" t="s">
        <v>93</v>
      </c>
      <c r="H28">
        <f t="shared" si="0"/>
        <v>6</v>
      </c>
      <c r="I28" s="4">
        <v>949984</v>
      </c>
      <c r="J28" s="4"/>
      <c r="K28" s="4"/>
      <c r="L28" s="4"/>
      <c r="M28" s="22"/>
      <c r="N28" s="22"/>
      <c r="O28" s="22"/>
    </row>
    <row r="29" spans="3:15" x14ac:dyDescent="0.25">
      <c r="C29" s="33" t="str">
        <f t="shared" ref="C29:C43" si="1">IF(H29=1,"u","")</f>
        <v/>
      </c>
      <c r="D29" s="11" t="s">
        <v>431</v>
      </c>
      <c r="E29" s="33"/>
      <c r="F29" t="s">
        <v>380</v>
      </c>
      <c r="G29" t="s">
        <v>93</v>
      </c>
      <c r="H29">
        <f t="shared" si="0"/>
        <v>2</v>
      </c>
      <c r="I29" s="4">
        <v>568000</v>
      </c>
      <c r="J29" s="4"/>
      <c r="K29" s="4"/>
      <c r="L29" s="4"/>
      <c r="M29" s="22"/>
      <c r="N29" s="22"/>
      <c r="O29" s="22"/>
    </row>
    <row r="30" spans="3:15" x14ac:dyDescent="0.25">
      <c r="C30" s="33" t="str">
        <f t="shared" si="1"/>
        <v/>
      </c>
      <c r="D30" s="11" t="s">
        <v>1158</v>
      </c>
      <c r="E30" s="33"/>
      <c r="F30" t="s">
        <v>643</v>
      </c>
      <c r="G30" t="s">
        <v>25</v>
      </c>
      <c r="H30">
        <f t="shared" si="0"/>
        <v>4</v>
      </c>
      <c r="I30" s="4">
        <v>787500</v>
      </c>
      <c r="J30" s="4"/>
      <c r="K30" s="4"/>
      <c r="L30" s="4"/>
      <c r="M30" s="22"/>
      <c r="N30" s="22"/>
      <c r="O30" s="22"/>
    </row>
    <row r="31" spans="3:15" x14ac:dyDescent="0.25">
      <c r="C31" s="33" t="str">
        <f t="shared" si="1"/>
        <v/>
      </c>
      <c r="D31" s="11"/>
      <c r="E31" s="33"/>
      <c r="I31" s="4"/>
      <c r="J31" s="4"/>
      <c r="K31" s="4"/>
      <c r="L31" s="4"/>
      <c r="M31" s="22"/>
      <c r="N31" s="22"/>
      <c r="O31" s="22"/>
    </row>
    <row r="32" spans="3:15" x14ac:dyDescent="0.25">
      <c r="C32" s="33" t="str">
        <f t="shared" si="1"/>
        <v/>
      </c>
      <c r="D32" s="11"/>
      <c r="E32" s="33"/>
      <c r="I32" s="4"/>
      <c r="J32" s="4"/>
      <c r="K32" s="4"/>
      <c r="L32" s="4"/>
      <c r="M32" s="22"/>
      <c r="N32" s="22"/>
      <c r="O32" s="22"/>
    </row>
    <row r="33" spans="3:15" x14ac:dyDescent="0.25">
      <c r="C33" s="33" t="str">
        <f t="shared" si="1"/>
        <v/>
      </c>
      <c r="D33" s="11"/>
      <c r="E33" s="33"/>
      <c r="I33" s="4"/>
      <c r="M33" s="21"/>
      <c r="N33" s="21"/>
      <c r="O33" s="21"/>
    </row>
    <row r="34" spans="3:15" x14ac:dyDescent="0.25">
      <c r="C34" s="33" t="str">
        <f t="shared" si="1"/>
        <v/>
      </c>
      <c r="D34" s="11"/>
      <c r="E34" s="33"/>
      <c r="I34" s="4"/>
      <c r="M34" s="21"/>
      <c r="N34" s="21"/>
      <c r="O34" s="21"/>
    </row>
    <row r="35" spans="3:15" x14ac:dyDescent="0.25">
      <c r="C35" s="33" t="str">
        <f t="shared" si="1"/>
        <v/>
      </c>
      <c r="D35" s="11"/>
      <c r="E35" s="33"/>
      <c r="I35" s="4"/>
      <c r="M35" s="21"/>
      <c r="N35" s="21"/>
      <c r="O35" s="21"/>
    </row>
    <row r="36" spans="3:15" x14ac:dyDescent="0.25">
      <c r="C36" s="33" t="str">
        <f t="shared" si="1"/>
        <v/>
      </c>
      <c r="D36" s="11"/>
      <c r="E36" s="33" t="str">
        <f t="shared" ref="E36:E43" si="2">IF(H36=1,"t","")</f>
        <v/>
      </c>
      <c r="M36" s="21"/>
      <c r="N36" s="21"/>
      <c r="O36" s="21"/>
    </row>
    <row r="37" spans="3:15" x14ac:dyDescent="0.25">
      <c r="C37" s="33" t="str">
        <f t="shared" si="1"/>
        <v/>
      </c>
      <c r="D37" s="11"/>
      <c r="E37" s="33" t="str">
        <f t="shared" si="2"/>
        <v/>
      </c>
      <c r="M37" s="21"/>
      <c r="N37" s="21"/>
      <c r="O37" s="21"/>
    </row>
    <row r="38" spans="3:15" x14ac:dyDescent="0.25">
      <c r="C38" s="33" t="str">
        <f t="shared" si="1"/>
        <v/>
      </c>
      <c r="D38" s="11"/>
      <c r="E38" s="33" t="str">
        <f t="shared" si="2"/>
        <v/>
      </c>
      <c r="M38" s="21"/>
      <c r="N38" s="21"/>
      <c r="O38" s="21"/>
    </row>
    <row r="39" spans="3:15" x14ac:dyDescent="0.25">
      <c r="C39" s="33" t="str">
        <f t="shared" si="1"/>
        <v/>
      </c>
      <c r="D39" s="11"/>
      <c r="E39" s="33" t="str">
        <f t="shared" si="2"/>
        <v/>
      </c>
      <c r="M39" s="21"/>
      <c r="N39" s="21"/>
      <c r="O39" s="21"/>
    </row>
    <row r="40" spans="3:15" x14ac:dyDescent="0.25">
      <c r="C40" s="33" t="str">
        <f t="shared" si="1"/>
        <v/>
      </c>
      <c r="D40" s="11"/>
      <c r="E40" s="33" t="str">
        <f t="shared" si="2"/>
        <v/>
      </c>
      <c r="M40" s="21"/>
      <c r="N40" s="21"/>
      <c r="O40" s="21"/>
    </row>
    <row r="41" spans="3:15" x14ac:dyDescent="0.25">
      <c r="C41" s="33" t="str">
        <f t="shared" si="1"/>
        <v/>
      </c>
      <c r="D41" s="11"/>
      <c r="E41" s="33" t="str">
        <f t="shared" si="2"/>
        <v/>
      </c>
      <c r="M41" s="21"/>
      <c r="N41" s="21"/>
      <c r="O41" s="21"/>
    </row>
    <row r="42" spans="3:15" x14ac:dyDescent="0.25">
      <c r="C42" s="33" t="str">
        <f t="shared" si="1"/>
        <v/>
      </c>
      <c r="D42" s="11"/>
      <c r="E42" s="33" t="str">
        <f t="shared" si="2"/>
        <v/>
      </c>
      <c r="M42" s="21"/>
      <c r="N42" s="21"/>
      <c r="O42" s="21"/>
    </row>
    <row r="43" spans="3:15" x14ac:dyDescent="0.25">
      <c r="C43" s="33" t="str">
        <f t="shared" si="1"/>
        <v/>
      </c>
      <c r="D43" s="11"/>
      <c r="E43" s="33" t="str">
        <f t="shared" si="2"/>
        <v/>
      </c>
      <c r="M43" s="21"/>
      <c r="N43" s="21"/>
      <c r="O43" s="21"/>
    </row>
    <row r="44" spans="3:15" ht="6" customHeight="1" x14ac:dyDescent="0.25">
      <c r="C44" s="9"/>
      <c r="D44" s="9"/>
      <c r="E44" s="9"/>
      <c r="F44" s="9"/>
      <c r="G44" s="9"/>
      <c r="H44" s="9"/>
      <c r="I44" s="9"/>
      <c r="J44" s="9"/>
      <c r="K44" s="9"/>
      <c r="L44" s="9"/>
      <c r="M44" s="21"/>
      <c r="N44" s="21"/>
      <c r="O44" s="21"/>
    </row>
    <row r="45" spans="3:15" ht="6" customHeight="1" x14ac:dyDescent="0.25">
      <c r="M45" s="21"/>
      <c r="N45" s="21"/>
      <c r="O45" s="21"/>
    </row>
    <row r="46" spans="3:15" x14ac:dyDescent="0.25">
      <c r="C46" s="15" t="s">
        <v>79</v>
      </c>
      <c r="M46" s="21"/>
      <c r="N46" s="21"/>
      <c r="O46" s="21"/>
    </row>
    <row r="47" spans="3:15" x14ac:dyDescent="0.25">
      <c r="C47" s="15" t="s">
        <v>78</v>
      </c>
    </row>
  </sheetData>
  <mergeCells count="1">
    <mergeCell ref="G13:H13"/>
  </mergeCells>
  <conditionalFormatting sqref="I9">
    <cfRule type="containsText" dxfId="2445" priority="18" operator="containsText" text="FAIL">
      <formula>NOT(ISERROR(SEARCH("FAIL",I9)))</formula>
    </cfRule>
  </conditionalFormatting>
  <conditionalFormatting sqref="I9">
    <cfRule type="containsText" dxfId="2444" priority="17" operator="containsText" text="GOOD">
      <formula>NOT(ISERROR(SEARCH("GOOD",I9)))</formula>
    </cfRule>
  </conditionalFormatting>
  <conditionalFormatting sqref="F11">
    <cfRule type="containsText" dxfId="2443" priority="16" operator="containsText" text="FAIL">
      <formula>NOT(ISERROR(SEARCH("FAIL",F11)))</formula>
    </cfRule>
  </conditionalFormatting>
  <conditionalFormatting sqref="F11">
    <cfRule type="containsText" dxfId="2442" priority="15" operator="containsText" text="GOOD">
      <formula>NOT(ISERROR(SEARCH("GOOD",F11)))</formula>
    </cfRule>
  </conditionalFormatting>
  <conditionalFormatting sqref="D25">
    <cfRule type="expression" dxfId="2441" priority="14" stopIfTrue="1">
      <formula>IF($H$25=1,0)</formula>
    </cfRule>
  </conditionalFormatting>
  <conditionalFormatting sqref="D23 D29:D43 D25">
    <cfRule type="expression" dxfId="2440" priority="13">
      <formula>H23=1</formula>
    </cfRule>
  </conditionalFormatting>
  <conditionalFormatting sqref="C23:C26 C29:C43">
    <cfRule type="expression" dxfId="2439" priority="12">
      <formula>H23=1</formula>
    </cfRule>
  </conditionalFormatting>
  <conditionalFormatting sqref="E23 E29:E43 E25">
    <cfRule type="expression" dxfId="2438" priority="11">
      <formula>H23=1</formula>
    </cfRule>
  </conditionalFormatting>
  <conditionalFormatting sqref="F11">
    <cfRule type="containsText" dxfId="2437" priority="10" operator="containsText" text="FAIL">
      <formula>NOT(ISERROR(SEARCH("FAIL",F11)))</formula>
    </cfRule>
  </conditionalFormatting>
  <conditionalFormatting sqref="F11">
    <cfRule type="containsText" dxfId="2436" priority="9" operator="containsText" text="GOOD">
      <formula>NOT(ISERROR(SEARCH("GOOD",F11)))</formula>
    </cfRule>
  </conditionalFormatting>
  <conditionalFormatting sqref="D27:D28">
    <cfRule type="expression" dxfId="2435" priority="8">
      <formula>H27=1</formula>
    </cfRule>
  </conditionalFormatting>
  <conditionalFormatting sqref="C27:C28">
    <cfRule type="expression" dxfId="2434" priority="7">
      <formula>H27=1</formula>
    </cfRule>
  </conditionalFormatting>
  <conditionalFormatting sqref="E27:E28">
    <cfRule type="expression" dxfId="2433" priority="6">
      <formula>H27=1</formula>
    </cfRule>
  </conditionalFormatting>
  <conditionalFormatting sqref="D24">
    <cfRule type="expression" dxfId="2432" priority="5" stopIfTrue="1">
      <formula>IF($H$25=1,0)</formula>
    </cfRule>
  </conditionalFormatting>
  <conditionalFormatting sqref="D24">
    <cfRule type="expression" dxfId="2431" priority="4">
      <formula>H24=1</formula>
    </cfRule>
  </conditionalFormatting>
  <conditionalFormatting sqref="E24">
    <cfRule type="expression" dxfId="2430" priority="3">
      <formula>H24=1</formula>
    </cfRule>
  </conditionalFormatting>
  <conditionalFormatting sqref="D26">
    <cfRule type="expression" dxfId="2429" priority="2">
      <formula>H26=1</formula>
    </cfRule>
  </conditionalFormatting>
  <conditionalFormatting sqref="E26">
    <cfRule type="expression" dxfId="2428" priority="1">
      <formula>H26=1</formula>
    </cfRule>
  </conditionalFormatting>
  <pageMargins left="0.7" right="0.7" top="0.75" bottom="0.75" header="0.3" footer="0.3"/>
  <pageSetup scale="68"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sheetPr codeName="Sheet67"/>
  <dimension ref="A2:O47"/>
  <sheetViews>
    <sheetView zoomScaleNormal="100" workbookViewId="0">
      <selection activeCell="I24" sqref="I24"/>
    </sheetView>
  </sheetViews>
  <sheetFormatPr defaultRowHeight="15" x14ac:dyDescent="0.25"/>
  <cols>
    <col min="1" max="2" width="4.42578125" customWidth="1"/>
    <col min="3" max="3" width="3" customWidth="1"/>
    <col min="4" max="4" width="24.85546875" customWidth="1"/>
    <col min="5" max="5" width="3" customWidth="1"/>
    <col min="6" max="6" width="15.7109375" customWidth="1"/>
    <col min="7" max="7" width="8.5703125" customWidth="1"/>
    <col min="8" max="8" width="5.85546875" customWidth="1"/>
    <col min="9" max="15" width="15.7109375" customWidth="1"/>
  </cols>
  <sheetData>
    <row r="2" spans="1:11" x14ac:dyDescent="0.25">
      <c r="C2" s="15" t="s">
        <v>32</v>
      </c>
      <c r="E2" s="15"/>
      <c r="F2" s="15"/>
      <c r="G2" s="15" t="s">
        <v>33</v>
      </c>
      <c r="H2" s="15"/>
      <c r="I2" s="15"/>
      <c r="J2" s="15"/>
      <c r="K2" s="15"/>
    </row>
    <row r="3" spans="1:11" ht="18.75" x14ac:dyDescent="0.3">
      <c r="C3" s="3" t="s">
        <v>26</v>
      </c>
      <c r="J3" s="8" t="s">
        <v>17</v>
      </c>
    </row>
    <row r="4" spans="1:11" x14ac:dyDescent="0.25">
      <c r="D4" s="2" t="s">
        <v>0</v>
      </c>
      <c r="E4" s="1"/>
      <c r="F4" t="s">
        <v>941</v>
      </c>
      <c r="I4" s="2" t="s">
        <v>4</v>
      </c>
      <c r="J4" t="s">
        <v>630</v>
      </c>
    </row>
    <row r="5" spans="1:11" x14ac:dyDescent="0.25">
      <c r="D5" s="2" t="s">
        <v>1</v>
      </c>
      <c r="F5" t="s">
        <v>940</v>
      </c>
    </row>
    <row r="6" spans="1:11" x14ac:dyDescent="0.25">
      <c r="D6" s="2" t="s">
        <v>2</v>
      </c>
      <c r="F6" s="6">
        <v>42789</v>
      </c>
      <c r="H6" s="11"/>
    </row>
    <row r="7" spans="1:11" x14ac:dyDescent="0.25">
      <c r="D7" s="2" t="s">
        <v>3</v>
      </c>
      <c r="F7" s="5">
        <v>240000</v>
      </c>
      <c r="G7" s="2" t="s">
        <v>693</v>
      </c>
      <c r="H7" s="11"/>
    </row>
    <row r="8" spans="1:11" x14ac:dyDescent="0.25">
      <c r="D8" s="2" t="s">
        <v>18</v>
      </c>
      <c r="F8" s="5">
        <f>MIN(I23:I43)</f>
        <v>97300</v>
      </c>
      <c r="H8" s="11"/>
    </row>
    <row r="9" spans="1:11" x14ac:dyDescent="0.25">
      <c r="D9" s="2" t="s">
        <v>67</v>
      </c>
      <c r="F9" s="4">
        <f>+F8-F7</f>
        <v>-142700</v>
      </c>
      <c r="G9" s="16">
        <f>+F9/F7</f>
        <v>-0.59458333333333335</v>
      </c>
      <c r="H9" s="12" t="s">
        <v>20</v>
      </c>
      <c r="I9" s="11" t="str">
        <f>(IF(G9&lt;-0.1,"FAIL",IF(G9&gt;0.05,"FAIL","GOOD")))</f>
        <v>FAIL</v>
      </c>
      <c r="J9" s="14" t="s">
        <v>72</v>
      </c>
    </row>
    <row r="10" spans="1:11" x14ac:dyDescent="0.25">
      <c r="D10" s="2" t="s">
        <v>68</v>
      </c>
      <c r="F10" s="4">
        <f>+F7-F12</f>
        <v>30063.333333333343</v>
      </c>
      <c r="H10" s="11"/>
    </row>
    <row r="11" spans="1:11" x14ac:dyDescent="0.25">
      <c r="A11" s="52"/>
      <c r="D11" s="2" t="s">
        <v>71</v>
      </c>
      <c r="F11" s="11" t="str">
        <f>(IF(F7&lt;J12,"FAIL",IF(F7&gt;J13,"FAIL","GOOD")))</f>
        <v>FAIL</v>
      </c>
      <c r="H11" s="11"/>
    </row>
    <row r="12" spans="1:11" x14ac:dyDescent="0.25">
      <c r="D12" s="2" t="s">
        <v>28</v>
      </c>
      <c r="F12" s="4">
        <f>SUM(I23:I43)/H12</f>
        <v>209936.66666666666</v>
      </c>
      <c r="G12" s="14"/>
      <c r="H12" s="11">
        <f>COUNT(I23:I43)</f>
        <v>6</v>
      </c>
      <c r="I12" s="1" t="s">
        <v>31</v>
      </c>
      <c r="J12" s="4">
        <f>+F8*0.9</f>
        <v>87570</v>
      </c>
      <c r="K12" s="1" t="s">
        <v>69</v>
      </c>
    </row>
    <row r="13" spans="1:11" x14ac:dyDescent="0.25">
      <c r="D13" s="2" t="s">
        <v>29</v>
      </c>
      <c r="F13" s="4">
        <f>MAX(I23:I43)-MIN(I23:I43)</f>
        <v>229020</v>
      </c>
      <c r="G13" s="399">
        <f>MEDIAN(I23:I43)</f>
        <v>222500</v>
      </c>
      <c r="H13" s="400"/>
      <c r="I13" s="1" t="s">
        <v>30</v>
      </c>
      <c r="J13" s="4">
        <f>+F12*1.1</f>
        <v>230930.33333333334</v>
      </c>
      <c r="K13" s="1" t="s">
        <v>70</v>
      </c>
    </row>
    <row r="14" spans="1:11" x14ac:dyDescent="0.25">
      <c r="H14" s="11"/>
    </row>
    <row r="15" spans="1:11" x14ac:dyDescent="0.25">
      <c r="D15" s="2" t="s">
        <v>8</v>
      </c>
      <c r="F15" s="4"/>
      <c r="G15" s="1" t="s">
        <v>9</v>
      </c>
      <c r="H15" s="11"/>
      <c r="I15" t="s">
        <v>15</v>
      </c>
      <c r="J15" s="7" t="e">
        <f>+F16/F15</f>
        <v>#DIV/0!</v>
      </c>
    </row>
    <row r="16" spans="1:11" x14ac:dyDescent="0.25">
      <c r="F16" s="4"/>
      <c r="G16" s="1" t="s">
        <v>10</v>
      </c>
      <c r="H16" s="11"/>
      <c r="I16" t="s">
        <v>14</v>
      </c>
      <c r="J16" s="7" t="e">
        <f>+F17/F16</f>
        <v>#DIV/0!</v>
      </c>
    </row>
    <row r="17" spans="3:15" x14ac:dyDescent="0.25">
      <c r="F17" s="4"/>
      <c r="G17" s="1" t="s">
        <v>11</v>
      </c>
      <c r="H17" s="11"/>
      <c r="I17" t="s">
        <v>13</v>
      </c>
      <c r="J17" s="7" t="e">
        <f>+F18/F17</f>
        <v>#DIV/0!</v>
      </c>
      <c r="M17" s="21"/>
      <c r="N17" s="21"/>
      <c r="O17" s="21"/>
    </row>
    <row r="18" spans="3:15" x14ac:dyDescent="0.25">
      <c r="F18" s="4"/>
      <c r="G18" s="1" t="s">
        <v>12</v>
      </c>
      <c r="H18" s="11"/>
      <c r="I18" t="s">
        <v>16</v>
      </c>
      <c r="J18" s="7" t="e">
        <f>+F8/F18</f>
        <v>#DIV/0!</v>
      </c>
      <c r="M18" s="21"/>
      <c r="N18" s="21"/>
      <c r="O18" s="21"/>
    </row>
    <row r="19" spans="3:15" x14ac:dyDescent="0.25">
      <c r="F19" s="2" t="s">
        <v>51</v>
      </c>
      <c r="G19">
        <v>0</v>
      </c>
      <c r="H19" s="11" t="s">
        <v>52</v>
      </c>
      <c r="I19" t="s">
        <v>41</v>
      </c>
      <c r="J19" s="7" t="e">
        <f>+F8/F15</f>
        <v>#DIV/0!</v>
      </c>
      <c r="M19" s="21"/>
      <c r="N19" s="21"/>
      <c r="O19" s="21"/>
    </row>
    <row r="20" spans="3:15" x14ac:dyDescent="0.25">
      <c r="H20" s="11"/>
      <c r="M20" s="21"/>
      <c r="N20" s="21"/>
      <c r="O20" s="21"/>
    </row>
    <row r="21" spans="3:15" x14ac:dyDescent="0.25">
      <c r="C21" s="9"/>
      <c r="D21" s="13" t="s">
        <v>21</v>
      </c>
      <c r="E21" s="9"/>
      <c r="F21" s="9" t="s">
        <v>22</v>
      </c>
      <c r="G21" s="9" t="s">
        <v>23</v>
      </c>
      <c r="H21" s="13" t="s">
        <v>27</v>
      </c>
      <c r="I21" s="10" t="s">
        <v>24</v>
      </c>
      <c r="J21" s="9"/>
      <c r="K21" s="9"/>
      <c r="L21" s="9"/>
      <c r="M21" s="21"/>
      <c r="N21" s="21"/>
      <c r="O21" s="21"/>
    </row>
    <row r="22" spans="3:15" ht="6" customHeight="1" x14ac:dyDescent="0.25">
      <c r="M22" s="21"/>
      <c r="N22" s="21"/>
      <c r="O22" s="21"/>
    </row>
    <row r="23" spans="3:15" x14ac:dyDescent="0.25">
      <c r="C23" s="33" t="str">
        <f>IF(H23=1,"u","")</f>
        <v>u</v>
      </c>
      <c r="D23" s="11" t="s">
        <v>942</v>
      </c>
      <c r="E23" s="33"/>
      <c r="F23" t="s">
        <v>943</v>
      </c>
      <c r="G23" t="s">
        <v>25</v>
      </c>
      <c r="H23">
        <f t="shared" ref="H23:H28" si="0">RANK(I23,I$23:I$43,1)</f>
        <v>1</v>
      </c>
      <c r="I23" s="4">
        <v>97300</v>
      </c>
      <c r="J23" s="4"/>
      <c r="K23" s="4"/>
      <c r="L23" s="4"/>
      <c r="M23" s="22"/>
      <c r="N23" s="22"/>
      <c r="O23" s="22"/>
    </row>
    <row r="24" spans="3:15" x14ac:dyDescent="0.25">
      <c r="C24" s="33" t="str">
        <f>IF(H24=1,"u","")</f>
        <v/>
      </c>
      <c r="D24" s="11" t="s">
        <v>944</v>
      </c>
      <c r="E24" s="33"/>
      <c r="F24" t="s">
        <v>139</v>
      </c>
      <c r="G24" t="s">
        <v>25</v>
      </c>
      <c r="H24">
        <f t="shared" si="0"/>
        <v>5</v>
      </c>
      <c r="I24" s="4">
        <v>249000</v>
      </c>
      <c r="J24" s="4"/>
      <c r="K24" s="4"/>
      <c r="L24" s="4"/>
      <c r="M24" s="22"/>
      <c r="N24" s="22"/>
      <c r="O24" s="22"/>
    </row>
    <row r="25" spans="3:15" x14ac:dyDescent="0.25">
      <c r="C25" s="33" t="str">
        <f>IF(H25=1,"u","")</f>
        <v/>
      </c>
      <c r="D25" s="11" t="s">
        <v>945</v>
      </c>
      <c r="E25" s="33"/>
      <c r="F25" t="s">
        <v>532</v>
      </c>
      <c r="G25" t="s">
        <v>93</v>
      </c>
      <c r="H25">
        <f t="shared" si="0"/>
        <v>3</v>
      </c>
      <c r="I25" s="4">
        <v>210000</v>
      </c>
      <c r="J25" s="4"/>
      <c r="K25" s="4"/>
      <c r="L25" s="4"/>
      <c r="M25" s="22"/>
      <c r="N25" s="22"/>
      <c r="O25" s="22"/>
    </row>
    <row r="26" spans="3:15" x14ac:dyDescent="0.25">
      <c r="C26" s="33" t="str">
        <f t="shared" ref="C26:C43" si="1">IF(H26=1,"u","")</f>
        <v/>
      </c>
      <c r="D26" s="11" t="s">
        <v>641</v>
      </c>
      <c r="E26" s="33"/>
      <c r="F26" t="s">
        <v>147</v>
      </c>
      <c r="G26" t="s">
        <v>93</v>
      </c>
      <c r="H26">
        <f t="shared" si="0"/>
        <v>2</v>
      </c>
      <c r="I26" s="4">
        <v>142000</v>
      </c>
      <c r="J26" s="4"/>
      <c r="K26" s="4"/>
      <c r="L26" s="4"/>
      <c r="M26" s="22"/>
      <c r="N26" s="22"/>
      <c r="O26" s="22"/>
    </row>
    <row r="27" spans="3:15" x14ac:dyDescent="0.25">
      <c r="C27" s="33" t="str">
        <f t="shared" si="1"/>
        <v/>
      </c>
      <c r="D27" s="11" t="s">
        <v>946</v>
      </c>
      <c r="E27" s="33"/>
      <c r="F27" t="s">
        <v>181</v>
      </c>
      <c r="G27" t="s">
        <v>93</v>
      </c>
      <c r="H27">
        <f t="shared" si="0"/>
        <v>6</v>
      </c>
      <c r="I27" s="4">
        <v>326320</v>
      </c>
      <c r="J27" s="4"/>
      <c r="K27" s="4"/>
      <c r="L27" s="4"/>
      <c r="M27" s="22"/>
      <c r="N27" s="22"/>
      <c r="O27" s="22"/>
    </row>
    <row r="28" spans="3:15" x14ac:dyDescent="0.25">
      <c r="C28" s="33" t="str">
        <f t="shared" si="1"/>
        <v/>
      </c>
      <c r="D28" s="11" t="s">
        <v>708</v>
      </c>
      <c r="E28" s="33"/>
      <c r="F28" t="s">
        <v>709</v>
      </c>
      <c r="G28" t="s">
        <v>93</v>
      </c>
      <c r="H28">
        <f t="shared" si="0"/>
        <v>4</v>
      </c>
      <c r="I28" s="4">
        <v>235000</v>
      </c>
      <c r="J28" s="4"/>
      <c r="K28" s="4"/>
      <c r="L28" s="4"/>
      <c r="M28" s="22"/>
      <c r="N28" s="22"/>
      <c r="O28" s="22"/>
    </row>
    <row r="29" spans="3:15" x14ac:dyDescent="0.25">
      <c r="C29" s="33" t="str">
        <f t="shared" si="1"/>
        <v/>
      </c>
      <c r="D29" s="11"/>
      <c r="E29" s="33"/>
      <c r="I29" s="4"/>
      <c r="J29" s="4"/>
      <c r="K29" s="4"/>
      <c r="L29" s="4"/>
      <c r="M29" s="22"/>
      <c r="N29" s="22"/>
      <c r="O29" s="22"/>
    </row>
    <row r="30" spans="3:15" x14ac:dyDescent="0.25">
      <c r="C30" s="33" t="str">
        <f t="shared" si="1"/>
        <v/>
      </c>
      <c r="D30" s="11"/>
      <c r="E30" s="33"/>
      <c r="I30" s="4"/>
      <c r="J30" s="4"/>
      <c r="K30" s="4"/>
      <c r="L30" s="4"/>
      <c r="M30" s="22"/>
      <c r="N30" s="22"/>
      <c r="O30" s="22"/>
    </row>
    <row r="31" spans="3:15" x14ac:dyDescent="0.25">
      <c r="C31" s="33" t="str">
        <f t="shared" si="1"/>
        <v/>
      </c>
      <c r="D31" s="11"/>
      <c r="E31" s="33"/>
      <c r="I31" s="4"/>
      <c r="J31" s="4"/>
      <c r="K31" s="4"/>
      <c r="L31" s="4"/>
      <c r="M31" s="22"/>
      <c r="N31" s="22"/>
      <c r="O31" s="22"/>
    </row>
    <row r="32" spans="3:15" x14ac:dyDescent="0.25">
      <c r="C32" s="33" t="str">
        <f t="shared" si="1"/>
        <v/>
      </c>
      <c r="D32" s="11"/>
      <c r="E32" s="33"/>
      <c r="I32" s="4"/>
      <c r="J32" s="4"/>
      <c r="K32" s="4"/>
      <c r="L32" s="4"/>
      <c r="M32" s="22"/>
      <c r="N32" s="22"/>
      <c r="O32" s="22"/>
    </row>
    <row r="33" spans="3:15" x14ac:dyDescent="0.25">
      <c r="C33" s="33" t="str">
        <f t="shared" si="1"/>
        <v/>
      </c>
      <c r="D33" s="11"/>
      <c r="E33" s="33"/>
      <c r="I33" s="4"/>
      <c r="M33" s="21"/>
      <c r="N33" s="21"/>
      <c r="O33" s="21"/>
    </row>
    <row r="34" spans="3:15" x14ac:dyDescent="0.25">
      <c r="C34" s="33" t="str">
        <f t="shared" si="1"/>
        <v/>
      </c>
      <c r="D34" s="11"/>
      <c r="E34" s="33"/>
      <c r="I34" s="4"/>
      <c r="M34" s="21"/>
      <c r="N34" s="21"/>
      <c r="O34" s="21"/>
    </row>
    <row r="35" spans="3:15" x14ac:dyDescent="0.25">
      <c r="C35" s="33" t="str">
        <f t="shared" si="1"/>
        <v/>
      </c>
      <c r="D35" s="11"/>
      <c r="E35" s="33"/>
      <c r="I35" s="4"/>
      <c r="M35" s="21"/>
      <c r="N35" s="21"/>
      <c r="O35" s="21"/>
    </row>
    <row r="36" spans="3:15" x14ac:dyDescent="0.25">
      <c r="C36" s="33" t="str">
        <f t="shared" si="1"/>
        <v/>
      </c>
      <c r="D36" s="11"/>
      <c r="E36" s="33"/>
      <c r="I36" s="4"/>
      <c r="M36" s="21"/>
      <c r="N36" s="21"/>
      <c r="O36" s="21"/>
    </row>
    <row r="37" spans="3:15" x14ac:dyDescent="0.25">
      <c r="C37" s="33" t="str">
        <f t="shared" si="1"/>
        <v/>
      </c>
      <c r="D37" s="11"/>
      <c r="E37" s="33" t="str">
        <f t="shared" ref="E37:E43" si="2">IF(H37=1,"t","")</f>
        <v/>
      </c>
      <c r="M37" s="21"/>
      <c r="N37" s="21"/>
      <c r="O37" s="21"/>
    </row>
    <row r="38" spans="3:15" x14ac:dyDescent="0.25">
      <c r="C38" s="33" t="str">
        <f t="shared" si="1"/>
        <v/>
      </c>
      <c r="D38" s="11"/>
      <c r="E38" s="33" t="str">
        <f t="shared" si="2"/>
        <v/>
      </c>
      <c r="M38" s="21"/>
      <c r="N38" s="21"/>
      <c r="O38" s="21"/>
    </row>
    <row r="39" spans="3:15" x14ac:dyDescent="0.25">
      <c r="C39" s="33" t="str">
        <f t="shared" si="1"/>
        <v/>
      </c>
      <c r="D39" s="11"/>
      <c r="E39" s="33" t="str">
        <f t="shared" si="2"/>
        <v/>
      </c>
      <c r="M39" s="21"/>
      <c r="N39" s="21"/>
      <c r="O39" s="21"/>
    </row>
    <row r="40" spans="3:15" x14ac:dyDescent="0.25">
      <c r="C40" s="33" t="str">
        <f t="shared" si="1"/>
        <v/>
      </c>
      <c r="D40" s="11"/>
      <c r="E40" s="33" t="str">
        <f t="shared" si="2"/>
        <v/>
      </c>
      <c r="M40" s="21"/>
      <c r="N40" s="21"/>
      <c r="O40" s="21"/>
    </row>
    <row r="41" spans="3:15" x14ac:dyDescent="0.25">
      <c r="C41" s="33" t="str">
        <f t="shared" si="1"/>
        <v/>
      </c>
      <c r="D41" s="11"/>
      <c r="E41" s="33" t="str">
        <f t="shared" si="2"/>
        <v/>
      </c>
      <c r="M41" s="21"/>
      <c r="N41" s="21"/>
      <c r="O41" s="21"/>
    </row>
    <row r="42" spans="3:15" x14ac:dyDescent="0.25">
      <c r="C42" s="33" t="str">
        <f t="shared" si="1"/>
        <v/>
      </c>
      <c r="D42" s="11"/>
      <c r="E42" s="33" t="str">
        <f t="shared" si="2"/>
        <v/>
      </c>
      <c r="M42" s="21"/>
      <c r="N42" s="21"/>
      <c r="O42" s="21"/>
    </row>
    <row r="43" spans="3:15" x14ac:dyDescent="0.25">
      <c r="C43" s="33" t="str">
        <f t="shared" si="1"/>
        <v/>
      </c>
      <c r="D43" s="11"/>
      <c r="E43" s="33" t="str">
        <f t="shared" si="2"/>
        <v/>
      </c>
      <c r="M43" s="21"/>
      <c r="N43" s="21"/>
      <c r="O43" s="21"/>
    </row>
    <row r="44" spans="3:15" ht="6" customHeight="1" x14ac:dyDescent="0.25">
      <c r="C44" s="9"/>
      <c r="D44" s="9"/>
      <c r="E44" s="9"/>
      <c r="F44" s="9"/>
      <c r="G44" s="9"/>
      <c r="H44" s="9"/>
      <c r="I44" s="9"/>
      <c r="J44" s="9"/>
      <c r="K44" s="9"/>
      <c r="L44" s="9"/>
      <c r="M44" s="21"/>
      <c r="N44" s="21"/>
      <c r="O44" s="21"/>
    </row>
    <row r="45" spans="3:15" ht="6" customHeight="1" x14ac:dyDescent="0.25">
      <c r="M45" s="21"/>
      <c r="N45" s="21"/>
      <c r="O45" s="21"/>
    </row>
    <row r="46" spans="3:15" x14ac:dyDescent="0.25">
      <c r="C46" s="15" t="s">
        <v>79</v>
      </c>
      <c r="M46" s="21"/>
      <c r="N46" s="21"/>
      <c r="O46" s="21"/>
    </row>
    <row r="47" spans="3:15" x14ac:dyDescent="0.25">
      <c r="C47" s="15" t="s">
        <v>78</v>
      </c>
    </row>
  </sheetData>
  <mergeCells count="1">
    <mergeCell ref="G13:H13"/>
  </mergeCells>
  <conditionalFormatting sqref="I9">
    <cfRule type="containsText" dxfId="1417" priority="17" operator="containsText" text="FAIL">
      <formula>NOT(ISERROR(SEARCH("FAIL",I9)))</formula>
    </cfRule>
  </conditionalFormatting>
  <conditionalFormatting sqref="I9">
    <cfRule type="containsText" dxfId="1416" priority="16" operator="containsText" text="GOOD">
      <formula>NOT(ISERROR(SEARCH("GOOD",I9)))</formula>
    </cfRule>
  </conditionalFormatting>
  <conditionalFormatting sqref="F11">
    <cfRule type="containsText" dxfId="1415" priority="15" operator="containsText" text="FAIL">
      <formula>NOT(ISERROR(SEARCH("FAIL",F11)))</formula>
    </cfRule>
  </conditionalFormatting>
  <conditionalFormatting sqref="F11">
    <cfRule type="containsText" dxfId="1414" priority="14" operator="containsText" text="GOOD">
      <formula>NOT(ISERROR(SEARCH("GOOD",F11)))</formula>
    </cfRule>
  </conditionalFormatting>
  <conditionalFormatting sqref="D25">
    <cfRule type="expression" dxfId="1413" priority="13" stopIfTrue="1">
      <formula>IF($H$25=1,0)</formula>
    </cfRule>
  </conditionalFormatting>
  <conditionalFormatting sqref="D23:D25 D32:D43">
    <cfRule type="expression" dxfId="1412" priority="12">
      <formula>H23=1</formula>
    </cfRule>
  </conditionalFormatting>
  <conditionalFormatting sqref="C23:C26 C32:C43">
    <cfRule type="expression" dxfId="1411" priority="11">
      <formula>H23=1</formula>
    </cfRule>
  </conditionalFormatting>
  <conditionalFormatting sqref="E23:E26 E32:E43">
    <cfRule type="expression" dxfId="1410" priority="10">
      <formula>H23=1</formula>
    </cfRule>
  </conditionalFormatting>
  <conditionalFormatting sqref="F11">
    <cfRule type="containsText" dxfId="1409" priority="9" operator="containsText" text="FAIL">
      <formula>NOT(ISERROR(SEARCH("FAIL",F11)))</formula>
    </cfRule>
  </conditionalFormatting>
  <conditionalFormatting sqref="F11">
    <cfRule type="containsText" dxfId="1408" priority="8" operator="containsText" text="GOOD">
      <formula>NOT(ISERROR(SEARCH("GOOD",F11)))</formula>
    </cfRule>
  </conditionalFormatting>
  <conditionalFormatting sqref="D27:D28">
    <cfRule type="expression" dxfId="1407" priority="7">
      <formula>H27=1</formula>
    </cfRule>
  </conditionalFormatting>
  <conditionalFormatting sqref="C27:C28">
    <cfRule type="expression" dxfId="1406" priority="6">
      <formula>H27=1</formula>
    </cfRule>
  </conditionalFormatting>
  <conditionalFormatting sqref="E27:E28">
    <cfRule type="expression" dxfId="1405" priority="5">
      <formula>H27=1</formula>
    </cfRule>
  </conditionalFormatting>
  <conditionalFormatting sqref="D26">
    <cfRule type="expression" dxfId="1404" priority="4">
      <formula>H26=1</formula>
    </cfRule>
  </conditionalFormatting>
  <conditionalFormatting sqref="D29:D31">
    <cfRule type="expression" dxfId="1403" priority="3">
      <formula>H29=1</formula>
    </cfRule>
  </conditionalFormatting>
  <conditionalFormatting sqref="C29:C31">
    <cfRule type="expression" dxfId="1402" priority="2">
      <formula>H29=1</formula>
    </cfRule>
  </conditionalFormatting>
  <conditionalFormatting sqref="E29:E31">
    <cfRule type="expression" dxfId="1401" priority="1">
      <formula>H29=1</formula>
    </cfRule>
  </conditionalFormatting>
  <pageMargins left="0.7" right="0.7" top="0.75" bottom="0.75" header="0.3" footer="0.3"/>
  <pageSetup scale="68"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sheetPr codeName="Sheet90"/>
  <dimension ref="A2:O47"/>
  <sheetViews>
    <sheetView workbookViewId="0">
      <selection activeCell="D26" sqref="D26"/>
    </sheetView>
  </sheetViews>
  <sheetFormatPr defaultRowHeight="15" x14ac:dyDescent="0.25"/>
  <cols>
    <col min="1" max="2" width="4.42578125" customWidth="1"/>
    <col min="3" max="3" width="3" customWidth="1"/>
    <col min="4" max="4" width="24.7109375" customWidth="1"/>
    <col min="5" max="5" width="3" customWidth="1"/>
    <col min="6" max="6" width="15.7109375" customWidth="1"/>
    <col min="7" max="7" width="8.5703125" customWidth="1"/>
    <col min="8" max="8" width="5.85546875" customWidth="1"/>
    <col min="9" max="15" width="15.7109375" customWidth="1"/>
  </cols>
  <sheetData>
    <row r="2" spans="1:11" x14ac:dyDescent="0.25">
      <c r="C2" s="15" t="s">
        <v>32</v>
      </c>
      <c r="E2" s="15"/>
      <c r="F2" s="15"/>
      <c r="G2" s="15" t="s">
        <v>33</v>
      </c>
      <c r="H2" s="15"/>
      <c r="I2" s="15"/>
      <c r="J2" s="15"/>
      <c r="K2" s="15"/>
    </row>
    <row r="3" spans="1:11" ht="18.75" x14ac:dyDescent="0.3">
      <c r="C3" s="3" t="s">
        <v>26</v>
      </c>
      <c r="J3" s="8" t="s">
        <v>47</v>
      </c>
    </row>
    <row r="4" spans="1:11" x14ac:dyDescent="0.25">
      <c r="D4" s="2" t="s">
        <v>0</v>
      </c>
      <c r="E4" s="1"/>
      <c r="F4" t="s">
        <v>770</v>
      </c>
      <c r="I4" s="2" t="s">
        <v>4</v>
      </c>
      <c r="J4" t="s">
        <v>630</v>
      </c>
    </row>
    <row r="5" spans="1:11" x14ac:dyDescent="0.25">
      <c r="D5" s="2" t="s">
        <v>1</v>
      </c>
      <c r="F5" t="s">
        <v>771</v>
      </c>
    </row>
    <row r="6" spans="1:11" x14ac:dyDescent="0.25">
      <c r="D6" s="2" t="s">
        <v>2</v>
      </c>
      <c r="F6" s="6">
        <v>42681</v>
      </c>
      <c r="H6" s="11"/>
    </row>
    <row r="7" spans="1:11" x14ac:dyDescent="0.25">
      <c r="D7" s="2" t="s">
        <v>3</v>
      </c>
      <c r="F7" s="5">
        <f>+I7+J7</f>
        <v>850000</v>
      </c>
      <c r="G7" s="2" t="s">
        <v>190</v>
      </c>
      <c r="H7" s="11"/>
      <c r="I7" s="19">
        <v>221000</v>
      </c>
      <c r="J7" s="19">
        <v>629000</v>
      </c>
    </row>
    <row r="8" spans="1:11" x14ac:dyDescent="0.25">
      <c r="D8" s="2" t="s">
        <v>18</v>
      </c>
      <c r="F8" s="5">
        <f>MIN(K23:K43)</f>
        <v>651800</v>
      </c>
      <c r="H8" s="11"/>
      <c r="I8" s="18" t="s">
        <v>43</v>
      </c>
      <c r="J8" s="18" t="s">
        <v>44</v>
      </c>
    </row>
    <row r="9" spans="1:11" x14ac:dyDescent="0.25">
      <c r="D9" s="2" t="s">
        <v>19</v>
      </c>
      <c r="F9" s="4">
        <f>+F8-F7</f>
        <v>-198200</v>
      </c>
      <c r="G9" s="16">
        <f>+F9/F7</f>
        <v>-0.23317647058823529</v>
      </c>
      <c r="H9" s="12" t="s">
        <v>20</v>
      </c>
      <c r="I9" s="11" t="str">
        <f>(IF(G9&lt;-0.1,"FAIL",IF(G9&gt;0.05,"FAIL","GOOD")))</f>
        <v>FAIL</v>
      </c>
      <c r="J9" s="14" t="s">
        <v>72</v>
      </c>
    </row>
    <row r="10" spans="1:11" x14ac:dyDescent="0.25">
      <c r="D10" s="2" t="s">
        <v>68</v>
      </c>
      <c r="F10" s="4">
        <f>+F7-F12</f>
        <v>-181448.11111111112</v>
      </c>
      <c r="H10" s="11"/>
    </row>
    <row r="11" spans="1:11" x14ac:dyDescent="0.25">
      <c r="A11" s="30"/>
      <c r="D11" s="2" t="s">
        <v>71</v>
      </c>
      <c r="F11" s="11" t="str">
        <f>(IF(F7&lt;J12,"FAIL",IF(F7&gt;J13,"FAIL","GOOD")))</f>
        <v>GOOD</v>
      </c>
      <c r="H11" s="11"/>
    </row>
    <row r="12" spans="1:11" x14ac:dyDescent="0.25">
      <c r="D12" s="2" t="s">
        <v>28</v>
      </c>
      <c r="F12" s="4">
        <f>SUM(K23:K43)/H12</f>
        <v>1031448.1111111111</v>
      </c>
      <c r="G12" s="14"/>
      <c r="H12" s="11">
        <f>COUNT(K23:K43)</f>
        <v>9</v>
      </c>
      <c r="I12" s="1" t="s">
        <v>31</v>
      </c>
      <c r="J12" s="4">
        <f>+F8*0.9</f>
        <v>586620</v>
      </c>
      <c r="K12" s="1" t="s">
        <v>69</v>
      </c>
    </row>
    <row r="13" spans="1:11" x14ac:dyDescent="0.25">
      <c r="D13" s="2" t="s">
        <v>29</v>
      </c>
      <c r="F13" s="4">
        <f>MAX(K23:K43)-MIN(K23:K43)</f>
        <v>797339</v>
      </c>
      <c r="G13" s="399">
        <f>MEDIAN(K23:K43)</f>
        <v>983974</v>
      </c>
      <c r="H13" s="400"/>
      <c r="I13" s="1" t="s">
        <v>30</v>
      </c>
      <c r="J13" s="4">
        <f>+F12*1.1</f>
        <v>1134592.9222222224</v>
      </c>
      <c r="K13" s="1" t="s">
        <v>70</v>
      </c>
    </row>
    <row r="14" spans="1:11" x14ac:dyDescent="0.25">
      <c r="H14" s="11"/>
    </row>
    <row r="15" spans="1:11" x14ac:dyDescent="0.25">
      <c r="D15" s="2" t="s">
        <v>8</v>
      </c>
      <c r="F15" s="4">
        <v>30000000</v>
      </c>
      <c r="G15" s="1" t="s">
        <v>9</v>
      </c>
      <c r="H15" s="11"/>
      <c r="I15" t="s">
        <v>15</v>
      </c>
      <c r="J15" s="7">
        <f>+F16/F15</f>
        <v>0.93333333333333335</v>
      </c>
    </row>
    <row r="16" spans="1:11" x14ac:dyDescent="0.25">
      <c r="F16" s="4">
        <v>28000000</v>
      </c>
      <c r="G16" s="1" t="s">
        <v>10</v>
      </c>
      <c r="H16" s="11"/>
      <c r="I16" t="s">
        <v>14</v>
      </c>
      <c r="J16" s="7">
        <f>+F17/F16</f>
        <v>1.0535714285714286</v>
      </c>
    </row>
    <row r="17" spans="3:15" x14ac:dyDescent="0.25">
      <c r="F17" s="4">
        <v>29500000</v>
      </c>
      <c r="G17" s="1" t="s">
        <v>11</v>
      </c>
      <c r="H17" s="11"/>
      <c r="I17" t="s">
        <v>13</v>
      </c>
      <c r="J17" s="7">
        <f>+F18/F17</f>
        <v>2.8813559322033899E-2</v>
      </c>
    </row>
    <row r="18" spans="3:15" x14ac:dyDescent="0.25">
      <c r="F18" s="4">
        <f>+F7</f>
        <v>850000</v>
      </c>
      <c r="G18" s="1" t="s">
        <v>12</v>
      </c>
      <c r="H18" s="11"/>
      <c r="I18" t="s">
        <v>16</v>
      </c>
      <c r="J18" s="7">
        <f>+F8/F18</f>
        <v>0.76682352941176468</v>
      </c>
    </row>
    <row r="19" spans="3:15" x14ac:dyDescent="0.25">
      <c r="F19" s="2" t="s">
        <v>51</v>
      </c>
      <c r="G19">
        <v>0</v>
      </c>
      <c r="H19" s="11" t="s">
        <v>52</v>
      </c>
      <c r="I19" t="s">
        <v>41</v>
      </c>
      <c r="J19" s="7">
        <f>+F8/F15</f>
        <v>2.1726666666666665E-2</v>
      </c>
    </row>
    <row r="20" spans="3:15" x14ac:dyDescent="0.25">
      <c r="H20" s="11"/>
      <c r="M20" s="21"/>
      <c r="N20" s="21"/>
      <c r="O20" s="21"/>
    </row>
    <row r="21" spans="3:15" x14ac:dyDescent="0.25">
      <c r="C21" s="9"/>
      <c r="D21" s="13" t="s">
        <v>21</v>
      </c>
      <c r="E21" s="9"/>
      <c r="F21" s="9" t="s">
        <v>22</v>
      </c>
      <c r="G21" s="9" t="s">
        <v>23</v>
      </c>
      <c r="H21" s="13" t="s">
        <v>27</v>
      </c>
      <c r="I21" s="10" t="s">
        <v>38</v>
      </c>
      <c r="J21" s="10" t="s">
        <v>37</v>
      </c>
      <c r="K21" s="10" t="s">
        <v>39</v>
      </c>
      <c r="L21" s="9"/>
      <c r="M21" s="21"/>
      <c r="N21" s="21"/>
      <c r="O21" s="21"/>
    </row>
    <row r="22" spans="3:15" ht="6" customHeight="1" x14ac:dyDescent="0.25">
      <c r="M22" s="21"/>
      <c r="N22" s="21"/>
      <c r="O22" s="21"/>
    </row>
    <row r="23" spans="3:15" x14ac:dyDescent="0.25">
      <c r="C23" s="33" t="str">
        <f>IF(H23=1,"u","")</f>
        <v/>
      </c>
      <c r="D23" s="11" t="s">
        <v>772</v>
      </c>
      <c r="E23" s="33"/>
      <c r="F23" t="s">
        <v>222</v>
      </c>
      <c r="G23" t="s">
        <v>25</v>
      </c>
      <c r="H23">
        <f>RANK(K23,K$23:K$43,1)</f>
        <v>9</v>
      </c>
      <c r="I23" s="4">
        <v>193725</v>
      </c>
      <c r="J23" s="4">
        <v>1255414</v>
      </c>
      <c r="K23" s="4">
        <f>+J23+I23</f>
        <v>1449139</v>
      </c>
      <c r="L23" s="4"/>
      <c r="M23" s="22"/>
      <c r="N23" s="22"/>
      <c r="O23" s="22"/>
    </row>
    <row r="24" spans="3:15" x14ac:dyDescent="0.25">
      <c r="C24" s="33" t="str">
        <f>IF(H24=1,"u","")</f>
        <v/>
      </c>
      <c r="D24" s="11" t="s">
        <v>440</v>
      </c>
      <c r="E24" s="33"/>
      <c r="F24" t="s">
        <v>193</v>
      </c>
      <c r="G24" t="s">
        <v>25</v>
      </c>
      <c r="H24">
        <f t="shared" ref="H24:H29" si="0">RANK(K24,K$23:K$43,1)</f>
        <v>2</v>
      </c>
      <c r="I24" s="4">
        <v>174036</v>
      </c>
      <c r="J24" s="4">
        <v>524335</v>
      </c>
      <c r="K24" s="4">
        <f t="shared" ref="K24:K29" si="1">+J24+I24</f>
        <v>698371</v>
      </c>
      <c r="L24" s="4"/>
      <c r="M24" s="22"/>
      <c r="N24" s="22"/>
      <c r="O24" s="22"/>
    </row>
    <row r="25" spans="3:15" x14ac:dyDescent="0.25">
      <c r="C25" s="33" t="str">
        <f>IF(H25=1,"u","")</f>
        <v/>
      </c>
      <c r="D25" s="11" t="s">
        <v>773</v>
      </c>
      <c r="E25" s="33"/>
      <c r="F25" t="s">
        <v>407</v>
      </c>
      <c r="G25" t="s">
        <v>93</v>
      </c>
      <c r="H25">
        <f t="shared" si="0"/>
        <v>8</v>
      </c>
      <c r="I25" s="4">
        <v>315975</v>
      </c>
      <c r="J25" s="4">
        <v>1107000</v>
      </c>
      <c r="K25" s="4">
        <f t="shared" si="1"/>
        <v>1422975</v>
      </c>
      <c r="L25" s="4"/>
      <c r="M25" s="22"/>
      <c r="N25" s="22"/>
      <c r="O25" s="22"/>
    </row>
    <row r="26" spans="3:15" x14ac:dyDescent="0.25">
      <c r="C26" s="33"/>
      <c r="D26" s="11" t="s">
        <v>438</v>
      </c>
      <c r="E26" s="33"/>
      <c r="F26" t="s">
        <v>131</v>
      </c>
      <c r="G26" t="s">
        <v>25</v>
      </c>
      <c r="H26">
        <f t="shared" si="0"/>
        <v>1</v>
      </c>
      <c r="I26" s="4">
        <v>199575</v>
      </c>
      <c r="J26" s="4">
        <v>452225</v>
      </c>
      <c r="K26" s="4">
        <f t="shared" si="1"/>
        <v>651800</v>
      </c>
      <c r="L26" s="4"/>
      <c r="M26" s="22"/>
      <c r="N26" s="22"/>
      <c r="O26" s="22"/>
    </row>
    <row r="27" spans="3:15" x14ac:dyDescent="0.25">
      <c r="C27" s="33"/>
      <c r="D27" s="11" t="s">
        <v>774</v>
      </c>
      <c r="E27" s="33"/>
      <c r="F27" t="s">
        <v>147</v>
      </c>
      <c r="G27" t="s">
        <v>93</v>
      </c>
      <c r="H27">
        <f t="shared" si="0"/>
        <v>4</v>
      </c>
      <c r="I27" s="4">
        <v>201500</v>
      </c>
      <c r="J27" s="4">
        <v>706260</v>
      </c>
      <c r="K27" s="4">
        <f t="shared" si="1"/>
        <v>907760</v>
      </c>
      <c r="L27" s="4"/>
      <c r="M27" s="22"/>
      <c r="N27" s="22"/>
      <c r="O27" s="22"/>
    </row>
    <row r="28" spans="3:15" x14ac:dyDescent="0.25">
      <c r="C28" s="33"/>
      <c r="D28" s="11" t="s">
        <v>665</v>
      </c>
      <c r="E28" s="33"/>
      <c r="F28" t="s">
        <v>413</v>
      </c>
      <c r="G28" t="s">
        <v>93</v>
      </c>
      <c r="H28">
        <f t="shared" si="0"/>
        <v>3</v>
      </c>
      <c r="I28" s="4">
        <v>178650</v>
      </c>
      <c r="J28" s="4">
        <v>590207</v>
      </c>
      <c r="K28" s="4">
        <f t="shared" si="1"/>
        <v>768857</v>
      </c>
      <c r="L28" s="4"/>
      <c r="M28" s="22"/>
      <c r="N28" s="22"/>
      <c r="O28" s="22"/>
    </row>
    <row r="29" spans="3:15" x14ac:dyDescent="0.25">
      <c r="C29" s="33"/>
      <c r="D29" s="11" t="s">
        <v>439</v>
      </c>
      <c r="E29" s="33"/>
      <c r="F29" t="s">
        <v>147</v>
      </c>
      <c r="G29" t="s">
        <v>93</v>
      </c>
      <c r="H29">
        <f t="shared" si="0"/>
        <v>5</v>
      </c>
      <c r="I29" s="4">
        <v>215385</v>
      </c>
      <c r="J29" s="4">
        <v>768589</v>
      </c>
      <c r="K29" s="4">
        <f t="shared" si="1"/>
        <v>983974</v>
      </c>
      <c r="L29" s="4"/>
      <c r="M29" s="22"/>
      <c r="N29" s="22"/>
      <c r="O29" s="22"/>
    </row>
    <row r="30" spans="3:15" x14ac:dyDescent="0.25">
      <c r="C30" s="33"/>
      <c r="D30" s="11" t="s">
        <v>676</v>
      </c>
      <c r="E30" s="33"/>
      <c r="F30" t="s">
        <v>85</v>
      </c>
      <c r="G30" t="s">
        <v>25</v>
      </c>
      <c r="H30">
        <f>RANK(K30,K$23:K$43,1)</f>
        <v>7</v>
      </c>
      <c r="I30" s="4">
        <v>422875</v>
      </c>
      <c r="J30" s="4">
        <v>934662</v>
      </c>
      <c r="K30" s="4">
        <f>+J30+I30</f>
        <v>1357537</v>
      </c>
      <c r="L30" s="4"/>
      <c r="M30" s="22"/>
      <c r="N30" s="22"/>
      <c r="O30" s="22"/>
    </row>
    <row r="31" spans="3:15" x14ac:dyDescent="0.25">
      <c r="C31" s="33"/>
      <c r="D31" s="11" t="s">
        <v>542</v>
      </c>
      <c r="E31" s="33"/>
      <c r="F31" t="s">
        <v>161</v>
      </c>
      <c r="G31" t="s">
        <v>93</v>
      </c>
      <c r="H31">
        <f>RANK(K31,K$23:K$43,1)</f>
        <v>6</v>
      </c>
      <c r="I31" s="4">
        <v>145020</v>
      </c>
      <c r="J31" s="4">
        <v>897600</v>
      </c>
      <c r="K31" s="4">
        <f>+J31+I31</f>
        <v>1042620</v>
      </c>
      <c r="L31" s="4"/>
      <c r="M31" s="22"/>
      <c r="N31" s="22"/>
      <c r="O31" s="22"/>
    </row>
    <row r="32" spans="3:15" x14ac:dyDescent="0.25">
      <c r="C32" s="33"/>
      <c r="D32" s="11"/>
      <c r="E32" s="33"/>
      <c r="I32" s="4"/>
      <c r="J32" s="4"/>
      <c r="K32" s="4"/>
      <c r="L32" s="4"/>
      <c r="M32" s="22"/>
      <c r="N32" s="22"/>
      <c r="O32" s="22"/>
    </row>
    <row r="33" spans="3:15" x14ac:dyDescent="0.25">
      <c r="C33" s="33"/>
      <c r="D33" s="11"/>
      <c r="E33" s="33"/>
      <c r="I33" s="4"/>
      <c r="J33" s="4"/>
      <c r="K33" s="4"/>
      <c r="M33" s="21"/>
      <c r="N33" s="21"/>
      <c r="O33" s="21"/>
    </row>
    <row r="34" spans="3:15" x14ac:dyDescent="0.25">
      <c r="C34" s="33"/>
      <c r="D34" s="11"/>
      <c r="E34" s="33"/>
      <c r="I34" s="4"/>
      <c r="J34" s="4"/>
      <c r="K34" s="4"/>
      <c r="M34" s="21"/>
      <c r="N34" s="21"/>
      <c r="O34" s="21"/>
    </row>
    <row r="35" spans="3:15" x14ac:dyDescent="0.25">
      <c r="C35" s="33"/>
      <c r="D35" s="11"/>
      <c r="E35" s="33"/>
      <c r="I35" s="4"/>
      <c r="J35" s="4"/>
      <c r="K35" s="4"/>
      <c r="M35" s="21"/>
      <c r="N35" s="21"/>
      <c r="O35" s="21"/>
    </row>
    <row r="36" spans="3:15" x14ac:dyDescent="0.25">
      <c r="C36" s="33" t="str">
        <f t="shared" ref="C36:C43" si="2">IF(H36=1,"u","")</f>
        <v/>
      </c>
      <c r="D36" s="11"/>
      <c r="E36" s="33" t="str">
        <f t="shared" ref="E36:E43" si="3">IF(H36=1,"t","")</f>
        <v/>
      </c>
      <c r="K36" s="4"/>
      <c r="M36" s="21"/>
      <c r="N36" s="21"/>
      <c r="O36" s="21"/>
    </row>
    <row r="37" spans="3:15" x14ac:dyDescent="0.25">
      <c r="C37" s="33" t="str">
        <f t="shared" si="2"/>
        <v/>
      </c>
      <c r="D37" s="11"/>
      <c r="E37" s="33" t="str">
        <f t="shared" si="3"/>
        <v/>
      </c>
      <c r="K37" s="4"/>
      <c r="M37" s="21"/>
      <c r="N37" s="21"/>
      <c r="O37" s="21"/>
    </row>
    <row r="38" spans="3:15" x14ac:dyDescent="0.25">
      <c r="C38" s="33" t="str">
        <f t="shared" si="2"/>
        <v/>
      </c>
      <c r="D38" s="11"/>
      <c r="E38" s="33" t="str">
        <f t="shared" si="3"/>
        <v/>
      </c>
      <c r="K38" s="4"/>
      <c r="M38" s="21"/>
      <c r="N38" s="21"/>
      <c r="O38" s="21"/>
    </row>
    <row r="39" spans="3:15" x14ac:dyDescent="0.25">
      <c r="C39" s="33" t="str">
        <f t="shared" si="2"/>
        <v/>
      </c>
      <c r="D39" s="11"/>
      <c r="E39" s="33" t="str">
        <f t="shared" si="3"/>
        <v/>
      </c>
      <c r="K39" s="4"/>
      <c r="M39" s="21"/>
      <c r="N39" s="21"/>
      <c r="O39" s="21"/>
    </row>
    <row r="40" spans="3:15" x14ac:dyDescent="0.25">
      <c r="C40" s="33" t="str">
        <f t="shared" si="2"/>
        <v/>
      </c>
      <c r="D40" s="11"/>
      <c r="E40" s="33" t="str">
        <f t="shared" si="3"/>
        <v/>
      </c>
      <c r="K40" s="4"/>
      <c r="M40" s="21"/>
      <c r="N40" s="21"/>
      <c r="O40" s="21"/>
    </row>
    <row r="41" spans="3:15" x14ac:dyDescent="0.25">
      <c r="C41" s="33" t="str">
        <f t="shared" si="2"/>
        <v/>
      </c>
      <c r="D41" s="11"/>
      <c r="E41" s="33" t="str">
        <f t="shared" si="3"/>
        <v/>
      </c>
      <c r="K41" s="4"/>
      <c r="M41" s="21"/>
      <c r="N41" s="21"/>
      <c r="O41" s="21"/>
    </row>
    <row r="42" spans="3:15" x14ac:dyDescent="0.25">
      <c r="C42" s="33" t="str">
        <f t="shared" si="2"/>
        <v/>
      </c>
      <c r="D42" s="11"/>
      <c r="E42" s="33" t="str">
        <f t="shared" si="3"/>
        <v/>
      </c>
      <c r="K42" s="4"/>
      <c r="M42" s="21"/>
      <c r="N42" s="21"/>
      <c r="O42" s="21"/>
    </row>
    <row r="43" spans="3:15" x14ac:dyDescent="0.25">
      <c r="C43" s="33" t="str">
        <f t="shared" si="2"/>
        <v/>
      </c>
      <c r="D43" s="11"/>
      <c r="E43" s="33" t="str">
        <f t="shared" si="3"/>
        <v/>
      </c>
      <c r="K43" s="4"/>
      <c r="M43" s="21"/>
      <c r="N43" s="21"/>
      <c r="O43" s="21"/>
    </row>
    <row r="44" spans="3:15" ht="6" customHeight="1" x14ac:dyDescent="0.25">
      <c r="C44" s="9"/>
      <c r="D44" s="9"/>
      <c r="E44" s="9"/>
      <c r="F44" s="9"/>
      <c r="G44" s="9"/>
      <c r="H44" s="9"/>
      <c r="I44" s="9"/>
      <c r="J44" s="9"/>
      <c r="K44" s="9"/>
      <c r="L44" s="9"/>
      <c r="M44" s="21"/>
      <c r="N44" s="21"/>
      <c r="O44" s="21"/>
    </row>
    <row r="45" spans="3:15" ht="6" customHeight="1" x14ac:dyDescent="0.25">
      <c r="M45" s="21"/>
      <c r="N45" s="21"/>
      <c r="O45" s="21"/>
    </row>
    <row r="46" spans="3:15" x14ac:dyDescent="0.25">
      <c r="C46" s="15" t="s">
        <v>79</v>
      </c>
      <c r="M46" s="21"/>
      <c r="N46" s="21"/>
      <c r="O46" s="21"/>
    </row>
    <row r="47" spans="3:15" x14ac:dyDescent="0.25">
      <c r="C47" s="15" t="s">
        <v>78</v>
      </c>
    </row>
  </sheetData>
  <mergeCells count="1">
    <mergeCell ref="G13:H13"/>
  </mergeCells>
  <conditionalFormatting sqref="I9">
    <cfRule type="containsText" dxfId="1062" priority="27" operator="containsText" text="FAIL">
      <formula>NOT(ISERROR(SEARCH("FAIL",I9)))</formula>
    </cfRule>
  </conditionalFormatting>
  <conditionalFormatting sqref="I9">
    <cfRule type="containsText" dxfId="1061" priority="26" operator="containsText" text="GOOD">
      <formula>NOT(ISERROR(SEARCH("GOOD",I9)))</formula>
    </cfRule>
  </conditionalFormatting>
  <conditionalFormatting sqref="I9">
    <cfRule type="containsText" dxfId="1060" priority="25" operator="containsText" text="FAIL">
      <formula>NOT(ISERROR(SEARCH("FAIL",I9)))</formula>
    </cfRule>
  </conditionalFormatting>
  <conditionalFormatting sqref="I9">
    <cfRule type="containsText" dxfId="1059" priority="24" operator="containsText" text="GOOD">
      <formula>NOT(ISERROR(SEARCH("GOOD",I9)))</formula>
    </cfRule>
  </conditionalFormatting>
  <conditionalFormatting sqref="I9">
    <cfRule type="containsText" dxfId="1058" priority="23" operator="containsText" text="FAIL">
      <formula>NOT(ISERROR(SEARCH("FAIL",I9)))</formula>
    </cfRule>
  </conditionalFormatting>
  <conditionalFormatting sqref="I9">
    <cfRule type="containsText" dxfId="1057" priority="22" operator="containsText" text="GOOD">
      <formula>NOT(ISERROR(SEARCH("GOOD",I9)))</formula>
    </cfRule>
  </conditionalFormatting>
  <conditionalFormatting sqref="F11">
    <cfRule type="containsText" dxfId="1056" priority="21" operator="containsText" text="FAIL">
      <formula>NOT(ISERROR(SEARCH("FAIL",F11)))</formula>
    </cfRule>
  </conditionalFormatting>
  <conditionalFormatting sqref="F11">
    <cfRule type="containsText" dxfId="1055" priority="20" operator="containsText" text="GOOD">
      <formula>NOT(ISERROR(SEARCH("GOOD",F11)))</formula>
    </cfRule>
  </conditionalFormatting>
  <conditionalFormatting sqref="I9">
    <cfRule type="containsText" dxfId="1054" priority="19" operator="containsText" text="FAIL">
      <formula>NOT(ISERROR(SEARCH("FAIL",I9)))</formula>
    </cfRule>
  </conditionalFormatting>
  <conditionalFormatting sqref="I9">
    <cfRule type="containsText" dxfId="1053" priority="18" operator="containsText" text="GOOD">
      <formula>NOT(ISERROR(SEARCH("GOOD",I9)))</formula>
    </cfRule>
  </conditionalFormatting>
  <conditionalFormatting sqref="F11">
    <cfRule type="containsText" dxfId="1052" priority="17" operator="containsText" text="FAIL">
      <formula>NOT(ISERROR(SEARCH("FAIL",F11)))</formula>
    </cfRule>
  </conditionalFormatting>
  <conditionalFormatting sqref="F11">
    <cfRule type="containsText" dxfId="1051" priority="16" operator="containsText" text="GOOD">
      <formula>NOT(ISERROR(SEARCH("GOOD",F11)))</formula>
    </cfRule>
  </conditionalFormatting>
  <conditionalFormatting sqref="D25">
    <cfRule type="expression" dxfId="1050" priority="15" stopIfTrue="1">
      <formula>IF($H$25=1,0)</formula>
    </cfRule>
  </conditionalFormatting>
  <conditionalFormatting sqref="D23:D29 D36:D43 D32:D33">
    <cfRule type="expression" dxfId="1049" priority="14">
      <formula>H23=1</formula>
    </cfRule>
  </conditionalFormatting>
  <conditionalFormatting sqref="C23:C29 C36:C43 C32:C33">
    <cfRule type="expression" dxfId="1048" priority="13">
      <formula>H23=1</formula>
    </cfRule>
  </conditionalFormatting>
  <conditionalFormatting sqref="E23:E29 E36:E43 E32:E33">
    <cfRule type="expression" dxfId="1047" priority="12">
      <formula>H23=1</formula>
    </cfRule>
  </conditionalFormatting>
  <conditionalFormatting sqref="E23:E29 E36:E43 E32:E33">
    <cfRule type="expression" dxfId="1046" priority="11">
      <formula>H23=1</formula>
    </cfRule>
  </conditionalFormatting>
  <conditionalFormatting sqref="F11">
    <cfRule type="containsText" dxfId="1045" priority="10" operator="containsText" text="FAIL">
      <formula>NOT(ISERROR(SEARCH("FAIL",F11)))</formula>
    </cfRule>
  </conditionalFormatting>
  <conditionalFormatting sqref="F11">
    <cfRule type="containsText" dxfId="1044" priority="9" operator="containsText" text="GOOD">
      <formula>NOT(ISERROR(SEARCH("GOOD",F11)))</formula>
    </cfRule>
  </conditionalFormatting>
  <conditionalFormatting sqref="D34:D35">
    <cfRule type="expression" dxfId="1043" priority="8">
      <formula>H34=1</formula>
    </cfRule>
  </conditionalFormatting>
  <conditionalFormatting sqref="C34:C35">
    <cfRule type="expression" dxfId="1042" priority="7">
      <formula>H34=1</formula>
    </cfRule>
  </conditionalFormatting>
  <conditionalFormatting sqref="E34:E35">
    <cfRule type="expression" dxfId="1041" priority="6">
      <formula>H34=1</formula>
    </cfRule>
  </conditionalFormatting>
  <conditionalFormatting sqref="E34:E35">
    <cfRule type="expression" dxfId="1040" priority="5">
      <formula>H34=1</formula>
    </cfRule>
  </conditionalFormatting>
  <conditionalFormatting sqref="D30:D31">
    <cfRule type="expression" dxfId="1039" priority="4">
      <formula>H30=1</formula>
    </cfRule>
  </conditionalFormatting>
  <conditionalFormatting sqref="C30:C31">
    <cfRule type="expression" dxfId="1038" priority="3">
      <formula>H30=1</formula>
    </cfRule>
  </conditionalFormatting>
  <conditionalFormatting sqref="E30:E31">
    <cfRule type="expression" dxfId="1037" priority="2">
      <formula>H30=1</formula>
    </cfRule>
  </conditionalFormatting>
  <conditionalFormatting sqref="E30:E31">
    <cfRule type="expression" dxfId="1036" priority="1">
      <formula>H30=1</formula>
    </cfRule>
  </conditionalFormatting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300-000000000000}">
  <sheetPr codeName="Sheet133"/>
  <dimension ref="A2:O46"/>
  <sheetViews>
    <sheetView workbookViewId="0">
      <selection activeCell="J5" sqref="J5"/>
    </sheetView>
  </sheetViews>
  <sheetFormatPr defaultRowHeight="15" x14ac:dyDescent="0.25"/>
  <cols>
    <col min="1" max="2" width="4.42578125" customWidth="1"/>
    <col min="3" max="3" width="3" customWidth="1"/>
    <col min="4" max="4" width="24.85546875" customWidth="1"/>
    <col min="5" max="5" width="3" customWidth="1"/>
    <col min="6" max="6" width="15.7109375" customWidth="1"/>
    <col min="7" max="7" width="8.5703125" customWidth="1"/>
    <col min="8" max="8" width="5.85546875" customWidth="1"/>
    <col min="9" max="15" width="15.7109375" customWidth="1"/>
  </cols>
  <sheetData>
    <row r="2" spans="1:11" x14ac:dyDescent="0.25">
      <c r="C2" s="15" t="s">
        <v>32</v>
      </c>
      <c r="E2" s="15"/>
      <c r="F2" s="15"/>
      <c r="G2" s="15" t="s">
        <v>33</v>
      </c>
      <c r="H2" s="15"/>
      <c r="I2" s="15"/>
      <c r="J2" s="15"/>
      <c r="K2" s="15"/>
    </row>
    <row r="3" spans="1:11" ht="18.75" x14ac:dyDescent="0.3">
      <c r="C3" s="3" t="s">
        <v>26</v>
      </c>
      <c r="J3" s="8" t="s">
        <v>17</v>
      </c>
    </row>
    <row r="4" spans="1:11" x14ac:dyDescent="0.25">
      <c r="D4" s="2" t="s">
        <v>0</v>
      </c>
      <c r="E4" s="1"/>
      <c r="F4" t="s">
        <v>224</v>
      </c>
      <c r="I4" s="2" t="s">
        <v>4</v>
      </c>
      <c r="J4" t="s">
        <v>616</v>
      </c>
    </row>
    <row r="5" spans="1:11" x14ac:dyDescent="0.25">
      <c r="D5" s="2" t="s">
        <v>1</v>
      </c>
      <c r="F5" t="s">
        <v>80</v>
      </c>
    </row>
    <row r="6" spans="1:11" x14ac:dyDescent="0.25">
      <c r="D6" s="2" t="s">
        <v>2</v>
      </c>
      <c r="F6" s="6">
        <v>42312</v>
      </c>
      <c r="H6" s="11"/>
    </row>
    <row r="7" spans="1:11" x14ac:dyDescent="0.25">
      <c r="D7" s="2" t="s">
        <v>3</v>
      </c>
      <c r="F7" s="5">
        <v>8700000</v>
      </c>
      <c r="G7" s="2" t="s">
        <v>34</v>
      </c>
      <c r="H7" s="11"/>
    </row>
    <row r="8" spans="1:11" x14ac:dyDescent="0.25">
      <c r="D8" s="2" t="s">
        <v>18</v>
      </c>
      <c r="F8" s="5">
        <f>MIN(I23:I42)</f>
        <v>10162935</v>
      </c>
      <c r="H8" s="11"/>
    </row>
    <row r="9" spans="1:11" x14ac:dyDescent="0.25">
      <c r="D9" s="2" t="s">
        <v>67</v>
      </c>
      <c r="F9" s="4">
        <f>+F8-F7</f>
        <v>1462935</v>
      </c>
      <c r="G9" s="16">
        <f>+F9/F7</f>
        <v>0.16815344827586207</v>
      </c>
      <c r="H9" s="12" t="s">
        <v>20</v>
      </c>
      <c r="I9" s="11" t="str">
        <f>(IF(G9&lt;-0.1,"FAIL",IF(G9&gt;0.05,"FAIL","GOOD")))</f>
        <v>FAIL</v>
      </c>
      <c r="J9" s="14" t="s">
        <v>72</v>
      </c>
    </row>
    <row r="10" spans="1:11" x14ac:dyDescent="0.25">
      <c r="D10" s="2" t="s">
        <v>68</v>
      </c>
      <c r="F10" s="4">
        <f>+F7-F12</f>
        <v>-2268524</v>
      </c>
      <c r="H10" s="11"/>
    </row>
    <row r="11" spans="1:11" x14ac:dyDescent="0.25">
      <c r="A11" s="30"/>
      <c r="D11" s="2" t="s">
        <v>71</v>
      </c>
      <c r="F11" s="11" t="str">
        <f>(IF(F7&lt;J12,"FAIL",IF(F7&gt;J13,"FAIL","GOOD")))</f>
        <v>FAIL</v>
      </c>
      <c r="H11" s="11"/>
    </row>
    <row r="12" spans="1:11" x14ac:dyDescent="0.25">
      <c r="D12" s="2" t="s">
        <v>28</v>
      </c>
      <c r="F12" s="4">
        <f>SUM(I23:I42)/H12</f>
        <v>10968524</v>
      </c>
      <c r="G12" s="14"/>
      <c r="H12" s="11">
        <f>COUNT(I23:I42)</f>
        <v>3</v>
      </c>
      <c r="I12" s="1" t="s">
        <v>31</v>
      </c>
      <c r="J12" s="4">
        <f>+F8*0.9</f>
        <v>9146641.5</v>
      </c>
      <c r="K12" s="1" t="s">
        <v>69</v>
      </c>
    </row>
    <row r="13" spans="1:11" x14ac:dyDescent="0.25">
      <c r="D13" s="2" t="s">
        <v>29</v>
      </c>
      <c r="F13" s="4">
        <f>MAX(I23:I42)-MIN(I23:I42)</f>
        <v>1819702</v>
      </c>
      <c r="G13" s="399">
        <f>MEDIAN(I23:I42)</f>
        <v>10760000</v>
      </c>
      <c r="H13" s="400"/>
      <c r="I13" s="1" t="s">
        <v>30</v>
      </c>
      <c r="J13" s="4">
        <f>+F12*1.1</f>
        <v>12065376.4</v>
      </c>
      <c r="K13" s="1" t="s">
        <v>70</v>
      </c>
    </row>
    <row r="14" spans="1:11" x14ac:dyDescent="0.25">
      <c r="H14" s="11"/>
    </row>
    <row r="15" spans="1:11" x14ac:dyDescent="0.25">
      <c r="D15" s="2" t="s">
        <v>8</v>
      </c>
      <c r="F15" s="4"/>
      <c r="G15" s="1" t="s">
        <v>9</v>
      </c>
      <c r="H15" s="11"/>
      <c r="I15" t="s">
        <v>15</v>
      </c>
      <c r="J15" s="7" t="e">
        <f>+F16/F15</f>
        <v>#DIV/0!</v>
      </c>
    </row>
    <row r="16" spans="1:11" x14ac:dyDescent="0.25">
      <c r="F16" s="4"/>
      <c r="G16" s="1" t="s">
        <v>10</v>
      </c>
      <c r="H16" s="11"/>
      <c r="I16" t="s">
        <v>14</v>
      </c>
      <c r="J16" s="7" t="e">
        <f>+F17/F16</f>
        <v>#DIV/0!</v>
      </c>
    </row>
    <row r="17" spans="3:15" x14ac:dyDescent="0.25">
      <c r="F17" s="4"/>
      <c r="G17" s="1" t="s">
        <v>11</v>
      </c>
      <c r="H17" s="11"/>
      <c r="I17" t="s">
        <v>13</v>
      </c>
      <c r="J17" s="7" t="e">
        <f>+F18/F17</f>
        <v>#DIV/0!</v>
      </c>
      <c r="M17" s="21"/>
      <c r="N17" s="21"/>
      <c r="O17" s="21"/>
    </row>
    <row r="18" spans="3:15" x14ac:dyDescent="0.25">
      <c r="F18" s="4"/>
      <c r="G18" s="1" t="s">
        <v>12</v>
      </c>
      <c r="H18" s="11"/>
      <c r="I18" t="s">
        <v>16</v>
      </c>
      <c r="J18" s="7" t="e">
        <f>+F8/F18</f>
        <v>#DIV/0!</v>
      </c>
      <c r="M18" s="21"/>
      <c r="N18" s="21"/>
      <c r="O18" s="21"/>
    </row>
    <row r="19" spans="3:15" x14ac:dyDescent="0.25">
      <c r="F19" s="2" t="s">
        <v>51</v>
      </c>
      <c r="H19" s="11" t="s">
        <v>52</v>
      </c>
      <c r="I19" t="s">
        <v>41</v>
      </c>
      <c r="J19" s="7" t="e">
        <f>+F8/F15</f>
        <v>#DIV/0!</v>
      </c>
      <c r="M19" s="21"/>
      <c r="N19" s="21"/>
      <c r="O19" s="21"/>
    </row>
    <row r="20" spans="3:15" x14ac:dyDescent="0.25">
      <c r="H20" s="11"/>
      <c r="M20" s="21"/>
      <c r="N20" s="21"/>
      <c r="O20" s="21"/>
    </row>
    <row r="21" spans="3:15" x14ac:dyDescent="0.25">
      <c r="C21" s="9"/>
      <c r="D21" s="13" t="s">
        <v>21</v>
      </c>
      <c r="E21" s="9"/>
      <c r="F21" s="9" t="s">
        <v>22</v>
      </c>
      <c r="G21" s="9" t="s">
        <v>23</v>
      </c>
      <c r="H21" s="13" t="s">
        <v>27</v>
      </c>
      <c r="I21" s="10" t="s">
        <v>24</v>
      </c>
      <c r="J21" s="9"/>
      <c r="K21" s="9"/>
      <c r="L21" s="9"/>
      <c r="M21" s="21"/>
      <c r="N21" s="21"/>
      <c r="O21" s="21"/>
    </row>
    <row r="22" spans="3:15" ht="6" customHeight="1" x14ac:dyDescent="0.25">
      <c r="M22" s="21"/>
      <c r="N22" s="21"/>
      <c r="O22" s="21"/>
    </row>
    <row r="23" spans="3:15" x14ac:dyDescent="0.25">
      <c r="C23" s="33" t="str">
        <f>IF(H23=1,"u","")</f>
        <v>u</v>
      </c>
      <c r="D23" s="23" t="s">
        <v>81</v>
      </c>
      <c r="E23" s="33"/>
      <c r="F23" t="s">
        <v>82</v>
      </c>
      <c r="G23" t="s">
        <v>25</v>
      </c>
      <c r="H23">
        <f>RANK(I23,I$23:I$42,1)</f>
        <v>1</v>
      </c>
      <c r="I23" s="4">
        <v>10162935</v>
      </c>
      <c r="J23" s="4"/>
      <c r="K23" s="4"/>
      <c r="L23" s="4"/>
      <c r="M23" s="22"/>
      <c r="N23" s="22"/>
      <c r="O23" s="22"/>
    </row>
    <row r="24" spans="3:15" x14ac:dyDescent="0.25">
      <c r="C24" s="33" t="str">
        <f>IF(H24=1,"u","")</f>
        <v/>
      </c>
      <c r="D24" s="23" t="s">
        <v>83</v>
      </c>
      <c r="E24" s="33"/>
      <c r="F24" t="s">
        <v>40</v>
      </c>
      <c r="G24" t="s">
        <v>25</v>
      </c>
      <c r="H24">
        <f>RANK(I24,I$23:I$42,1)</f>
        <v>2</v>
      </c>
      <c r="I24" s="4">
        <v>10760000</v>
      </c>
      <c r="J24" s="4"/>
      <c r="K24" s="4"/>
      <c r="L24" s="4"/>
      <c r="M24" s="22"/>
      <c r="N24" s="22"/>
      <c r="O24" s="22"/>
    </row>
    <row r="25" spans="3:15" x14ac:dyDescent="0.25">
      <c r="C25" s="33" t="str">
        <f>IF(H25=1,"u","")</f>
        <v/>
      </c>
      <c r="D25" s="23" t="s">
        <v>84</v>
      </c>
      <c r="E25" s="33"/>
      <c r="F25" t="s">
        <v>85</v>
      </c>
      <c r="G25" t="s">
        <v>25</v>
      </c>
      <c r="H25">
        <f>RANK(I25,I$23:I$42,1)</f>
        <v>3</v>
      </c>
      <c r="I25" s="4">
        <v>11982637</v>
      </c>
      <c r="J25" s="4"/>
      <c r="K25" s="4"/>
      <c r="L25" s="4"/>
      <c r="M25" s="22"/>
      <c r="N25" s="22"/>
      <c r="O25" s="22"/>
    </row>
    <row r="26" spans="3:15" x14ac:dyDescent="0.25">
      <c r="C26" s="33" t="str">
        <f t="shared" ref="C26:C42" si="0">IF(H26=1,"u","")</f>
        <v/>
      </c>
      <c r="D26" s="11"/>
      <c r="E26" s="33" t="str">
        <f t="shared" ref="E26:E42" si="1">IF(H26=1,"t","")</f>
        <v/>
      </c>
      <c r="I26" s="4"/>
      <c r="J26" s="4"/>
      <c r="K26" s="4"/>
      <c r="L26" s="4"/>
      <c r="M26" s="22"/>
      <c r="N26" s="22"/>
      <c r="O26" s="22"/>
    </row>
    <row r="27" spans="3:15" x14ac:dyDescent="0.25">
      <c r="C27" s="33" t="str">
        <f t="shared" si="0"/>
        <v/>
      </c>
      <c r="D27" s="11"/>
      <c r="E27" s="33" t="str">
        <f t="shared" si="1"/>
        <v/>
      </c>
      <c r="I27" s="4"/>
      <c r="J27" s="4"/>
      <c r="K27" s="4"/>
      <c r="L27" s="4"/>
      <c r="M27" s="22"/>
      <c r="N27" s="22"/>
      <c r="O27" s="22"/>
    </row>
    <row r="28" spans="3:15" x14ac:dyDescent="0.25">
      <c r="C28" s="33" t="str">
        <f t="shared" si="0"/>
        <v/>
      </c>
      <c r="D28" s="11"/>
      <c r="E28" s="33" t="str">
        <f t="shared" si="1"/>
        <v/>
      </c>
      <c r="I28" s="4"/>
      <c r="J28" s="4"/>
      <c r="K28" s="4"/>
      <c r="L28" s="4"/>
      <c r="M28" s="22"/>
      <c r="N28" s="22"/>
      <c r="O28" s="22"/>
    </row>
    <row r="29" spans="3:15" x14ac:dyDescent="0.25">
      <c r="C29" s="33" t="str">
        <f t="shared" si="0"/>
        <v/>
      </c>
      <c r="D29" s="11"/>
      <c r="E29" s="33" t="str">
        <f t="shared" si="1"/>
        <v/>
      </c>
      <c r="I29" s="4"/>
      <c r="J29" s="4"/>
      <c r="K29" s="4"/>
      <c r="L29" s="4"/>
      <c r="M29" s="22"/>
      <c r="N29" s="22"/>
      <c r="O29" s="22"/>
    </row>
    <row r="30" spans="3:15" x14ac:dyDescent="0.25">
      <c r="C30" s="33" t="str">
        <f t="shared" si="0"/>
        <v/>
      </c>
      <c r="D30" s="11"/>
      <c r="E30" s="33" t="str">
        <f t="shared" si="1"/>
        <v/>
      </c>
      <c r="I30" s="4"/>
      <c r="J30" s="4"/>
      <c r="K30" s="4"/>
      <c r="L30" s="4"/>
      <c r="M30" s="22"/>
      <c r="N30" s="22"/>
      <c r="O30" s="22"/>
    </row>
    <row r="31" spans="3:15" x14ac:dyDescent="0.25">
      <c r="C31" s="33" t="str">
        <f t="shared" si="0"/>
        <v/>
      </c>
      <c r="D31" s="11"/>
      <c r="E31" s="33" t="str">
        <f t="shared" si="1"/>
        <v/>
      </c>
      <c r="I31" s="4"/>
      <c r="J31" s="4"/>
      <c r="K31" s="4"/>
      <c r="L31" s="4"/>
      <c r="M31" s="22"/>
      <c r="N31" s="22"/>
      <c r="O31" s="22"/>
    </row>
    <row r="32" spans="3:15" x14ac:dyDescent="0.25">
      <c r="C32" s="33" t="str">
        <f t="shared" si="0"/>
        <v/>
      </c>
      <c r="D32" s="11"/>
      <c r="E32" s="33" t="str">
        <f t="shared" si="1"/>
        <v/>
      </c>
      <c r="M32" s="21"/>
      <c r="N32" s="21"/>
      <c r="O32" s="21"/>
    </row>
    <row r="33" spans="3:15" x14ac:dyDescent="0.25">
      <c r="C33" s="33" t="str">
        <f t="shared" si="0"/>
        <v/>
      </c>
      <c r="D33" s="11"/>
      <c r="E33" s="33" t="str">
        <f t="shared" si="1"/>
        <v/>
      </c>
      <c r="M33" s="21"/>
      <c r="N33" s="21"/>
      <c r="O33" s="21"/>
    </row>
    <row r="34" spans="3:15" x14ac:dyDescent="0.25">
      <c r="C34" s="33" t="str">
        <f t="shared" si="0"/>
        <v/>
      </c>
      <c r="D34" s="11"/>
      <c r="E34" s="33" t="str">
        <f t="shared" si="1"/>
        <v/>
      </c>
      <c r="M34" s="21"/>
      <c r="N34" s="21"/>
      <c r="O34" s="21"/>
    </row>
    <row r="35" spans="3:15" x14ac:dyDescent="0.25">
      <c r="C35" s="33" t="str">
        <f t="shared" si="0"/>
        <v/>
      </c>
      <c r="D35" s="11"/>
      <c r="E35" s="33" t="str">
        <f t="shared" si="1"/>
        <v/>
      </c>
      <c r="M35" s="21"/>
      <c r="N35" s="21"/>
      <c r="O35" s="21"/>
    </row>
    <row r="36" spans="3:15" x14ac:dyDescent="0.25">
      <c r="C36" s="33" t="str">
        <f t="shared" si="0"/>
        <v/>
      </c>
      <c r="D36" s="11"/>
      <c r="E36" s="33" t="str">
        <f t="shared" si="1"/>
        <v/>
      </c>
      <c r="M36" s="21"/>
      <c r="N36" s="21"/>
      <c r="O36" s="21"/>
    </row>
    <row r="37" spans="3:15" x14ac:dyDescent="0.25">
      <c r="C37" s="33" t="str">
        <f t="shared" si="0"/>
        <v/>
      </c>
      <c r="D37" s="11"/>
      <c r="E37" s="33" t="str">
        <f t="shared" si="1"/>
        <v/>
      </c>
      <c r="M37" s="21"/>
      <c r="N37" s="21"/>
      <c r="O37" s="21"/>
    </row>
    <row r="38" spans="3:15" x14ac:dyDescent="0.25">
      <c r="C38" s="33" t="str">
        <f t="shared" si="0"/>
        <v/>
      </c>
      <c r="D38" s="11"/>
      <c r="E38" s="33" t="str">
        <f t="shared" si="1"/>
        <v/>
      </c>
      <c r="M38" s="21"/>
      <c r="N38" s="21"/>
      <c r="O38" s="21"/>
    </row>
    <row r="39" spans="3:15" x14ac:dyDescent="0.25">
      <c r="C39" s="33" t="str">
        <f t="shared" si="0"/>
        <v/>
      </c>
      <c r="D39" s="11"/>
      <c r="E39" s="33" t="str">
        <f t="shared" si="1"/>
        <v/>
      </c>
      <c r="M39" s="21"/>
      <c r="N39" s="21"/>
      <c r="O39" s="21"/>
    </row>
    <row r="40" spans="3:15" x14ac:dyDescent="0.25">
      <c r="C40" s="33" t="str">
        <f t="shared" si="0"/>
        <v/>
      </c>
      <c r="D40" s="11"/>
      <c r="E40" s="33" t="str">
        <f t="shared" si="1"/>
        <v/>
      </c>
      <c r="M40" s="21"/>
      <c r="N40" s="21"/>
      <c r="O40" s="21"/>
    </row>
    <row r="41" spans="3:15" x14ac:dyDescent="0.25">
      <c r="C41" s="33" t="str">
        <f t="shared" si="0"/>
        <v/>
      </c>
      <c r="D41" s="11"/>
      <c r="E41" s="33" t="str">
        <f t="shared" si="1"/>
        <v/>
      </c>
      <c r="M41" s="21"/>
      <c r="N41" s="21"/>
      <c r="O41" s="21"/>
    </row>
    <row r="42" spans="3:15" x14ac:dyDescent="0.25">
      <c r="C42" s="33" t="str">
        <f t="shared" si="0"/>
        <v/>
      </c>
      <c r="D42" s="11"/>
      <c r="E42" s="33" t="str">
        <f t="shared" si="1"/>
        <v/>
      </c>
      <c r="M42" s="21"/>
      <c r="N42" s="21"/>
      <c r="O42" s="21"/>
    </row>
    <row r="43" spans="3:15" ht="6" customHeight="1" x14ac:dyDescent="0.25">
      <c r="C43" s="9"/>
      <c r="D43" s="9"/>
      <c r="E43" s="9"/>
      <c r="F43" s="9"/>
      <c r="G43" s="9"/>
      <c r="H43" s="9"/>
      <c r="I43" s="9"/>
      <c r="J43" s="9"/>
      <c r="K43" s="9"/>
      <c r="L43" s="9"/>
      <c r="M43" s="21"/>
      <c r="N43" s="21"/>
      <c r="O43" s="21"/>
    </row>
    <row r="44" spans="3:15" ht="6" customHeight="1" x14ac:dyDescent="0.25">
      <c r="M44" s="21"/>
      <c r="N44" s="21"/>
      <c r="O44" s="21"/>
    </row>
    <row r="45" spans="3:15" x14ac:dyDescent="0.25">
      <c r="C45" s="15" t="s">
        <v>79</v>
      </c>
      <c r="M45" s="21"/>
      <c r="N45" s="21"/>
      <c r="O45" s="21"/>
    </row>
    <row r="46" spans="3:15" x14ac:dyDescent="0.25">
      <c r="C46" s="15" t="s">
        <v>78</v>
      </c>
    </row>
  </sheetData>
  <mergeCells count="1">
    <mergeCell ref="G13:H13"/>
  </mergeCells>
  <conditionalFormatting sqref="I9">
    <cfRule type="containsText" dxfId="497" priority="10" operator="containsText" text="FAIL">
      <formula>NOT(ISERROR(SEARCH("FAIL",I9)))</formula>
    </cfRule>
  </conditionalFormatting>
  <conditionalFormatting sqref="I9">
    <cfRule type="containsText" dxfId="496" priority="9" operator="containsText" text="GOOD">
      <formula>NOT(ISERROR(SEARCH("GOOD",I9)))</formula>
    </cfRule>
  </conditionalFormatting>
  <conditionalFormatting sqref="F11">
    <cfRule type="containsText" dxfId="495" priority="8" operator="containsText" text="FAIL">
      <formula>NOT(ISERROR(SEARCH("FAIL",F11)))</formula>
    </cfRule>
  </conditionalFormatting>
  <conditionalFormatting sqref="F11">
    <cfRule type="containsText" dxfId="494" priority="7" operator="containsText" text="GOOD">
      <formula>NOT(ISERROR(SEARCH("GOOD",F11)))</formula>
    </cfRule>
  </conditionalFormatting>
  <conditionalFormatting sqref="D25">
    <cfRule type="expression" dxfId="493" priority="6" stopIfTrue="1">
      <formula>IF($H$25=1,0)</formula>
    </cfRule>
  </conditionalFormatting>
  <conditionalFormatting sqref="D23:D42">
    <cfRule type="expression" dxfId="492" priority="5">
      <formula>H23=1</formula>
    </cfRule>
  </conditionalFormatting>
  <conditionalFormatting sqref="C23:C42">
    <cfRule type="expression" dxfId="491" priority="4">
      <formula>H23=1</formula>
    </cfRule>
  </conditionalFormatting>
  <conditionalFormatting sqref="E23:E42">
    <cfRule type="expression" dxfId="490" priority="3">
      <formula>H23=1</formula>
    </cfRule>
  </conditionalFormatting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600-000000000000}">
  <sheetPr codeName="Sheet136"/>
  <dimension ref="A2:O47"/>
  <sheetViews>
    <sheetView workbookViewId="0">
      <selection activeCell="F6" sqref="F6"/>
    </sheetView>
  </sheetViews>
  <sheetFormatPr defaultRowHeight="15" x14ac:dyDescent="0.25"/>
  <cols>
    <col min="1" max="2" width="4.42578125" customWidth="1"/>
    <col min="3" max="3" width="3" customWidth="1"/>
    <col min="4" max="4" width="24.85546875" customWidth="1"/>
    <col min="5" max="5" width="3" customWidth="1"/>
    <col min="6" max="6" width="15.7109375" customWidth="1"/>
    <col min="7" max="7" width="8.5703125" customWidth="1"/>
    <col min="8" max="8" width="5.85546875" customWidth="1"/>
    <col min="9" max="15" width="15.7109375" customWidth="1"/>
  </cols>
  <sheetData>
    <row r="2" spans="1:11" x14ac:dyDescent="0.25">
      <c r="C2" s="15" t="s">
        <v>32</v>
      </c>
      <c r="E2" s="15"/>
      <c r="F2" s="15"/>
      <c r="G2" s="15" t="s">
        <v>33</v>
      </c>
      <c r="H2" s="15"/>
      <c r="I2" s="15"/>
      <c r="J2" s="15"/>
      <c r="K2" s="15"/>
    </row>
    <row r="3" spans="1:11" ht="18.75" x14ac:dyDescent="0.3">
      <c r="C3" s="3" t="s">
        <v>26</v>
      </c>
      <c r="J3" s="8" t="s">
        <v>17</v>
      </c>
    </row>
    <row r="4" spans="1:11" x14ac:dyDescent="0.25">
      <c r="D4" s="2" t="s">
        <v>0</v>
      </c>
      <c r="E4" s="1"/>
      <c r="F4" t="s">
        <v>86</v>
      </c>
      <c r="I4" s="2" t="s">
        <v>4</v>
      </c>
    </row>
    <row r="5" spans="1:11" x14ac:dyDescent="0.25">
      <c r="D5" s="2" t="s">
        <v>1</v>
      </c>
      <c r="F5" t="s">
        <v>416</v>
      </c>
    </row>
    <row r="6" spans="1:11" x14ac:dyDescent="0.25">
      <c r="D6" s="2" t="s">
        <v>2</v>
      </c>
      <c r="F6" s="6">
        <v>42304</v>
      </c>
      <c r="H6" s="11"/>
    </row>
    <row r="7" spans="1:11" x14ac:dyDescent="0.25">
      <c r="D7" s="2" t="s">
        <v>3</v>
      </c>
      <c r="F7" s="5">
        <v>1340000</v>
      </c>
      <c r="G7" s="2" t="s">
        <v>34</v>
      </c>
      <c r="H7" s="11"/>
    </row>
    <row r="8" spans="1:11" x14ac:dyDescent="0.25">
      <c r="D8" s="2" t="s">
        <v>18</v>
      </c>
      <c r="F8" s="5">
        <f>MIN(I23:I43)</f>
        <v>1850000</v>
      </c>
      <c r="H8" s="11"/>
    </row>
    <row r="9" spans="1:11" x14ac:dyDescent="0.25">
      <c r="D9" s="2" t="s">
        <v>67</v>
      </c>
      <c r="F9" s="4">
        <f>+F8-F7</f>
        <v>510000</v>
      </c>
      <c r="G9" s="16">
        <f>+F9/F7</f>
        <v>0.38059701492537312</v>
      </c>
      <c r="H9" s="12" t="s">
        <v>20</v>
      </c>
      <c r="I9" s="11" t="str">
        <f>(IF(G9&lt;-0.1,"FAIL",IF(G9&gt;0.05,"FAIL","GOOD")))</f>
        <v>FAIL</v>
      </c>
      <c r="J9" s="14" t="s">
        <v>72</v>
      </c>
    </row>
    <row r="10" spans="1:11" x14ac:dyDescent="0.25">
      <c r="D10" s="2" t="s">
        <v>68</v>
      </c>
      <c r="F10" s="4">
        <f>+F7-F12</f>
        <v>-1627192.5</v>
      </c>
      <c r="H10" s="11"/>
    </row>
    <row r="11" spans="1:11" x14ac:dyDescent="0.25">
      <c r="A11" s="30"/>
      <c r="D11" s="2" t="s">
        <v>71</v>
      </c>
      <c r="F11" s="11" t="str">
        <f>(IF(F7&lt;J12,"FAIL",IF(F7&gt;J13,"FAIL","GOOD")))</f>
        <v>FAIL</v>
      </c>
      <c r="H11" s="11"/>
    </row>
    <row r="12" spans="1:11" x14ac:dyDescent="0.25">
      <c r="D12" s="2" t="s">
        <v>28</v>
      </c>
      <c r="F12" s="4">
        <f>SUM(I23:I43)/H12</f>
        <v>2967192.5</v>
      </c>
      <c r="G12" s="14"/>
      <c r="H12" s="11">
        <f>COUNT(I23:I43)</f>
        <v>4</v>
      </c>
      <c r="I12" s="1" t="s">
        <v>31</v>
      </c>
      <c r="J12" s="4">
        <f>+F8*0.9</f>
        <v>1665000</v>
      </c>
      <c r="K12" s="1" t="s">
        <v>69</v>
      </c>
    </row>
    <row r="13" spans="1:11" x14ac:dyDescent="0.25">
      <c r="D13" s="2" t="s">
        <v>29</v>
      </c>
      <c r="F13" s="4">
        <f>MAX(I23:I43)-MIN(I23:I43)</f>
        <v>3129000</v>
      </c>
      <c r="G13" s="399">
        <f>MEDIAN(I23:I43)</f>
        <v>2519885</v>
      </c>
      <c r="H13" s="400"/>
      <c r="I13" s="1" t="s">
        <v>30</v>
      </c>
      <c r="J13" s="4">
        <f>+F12*1.1</f>
        <v>3263911.7500000005</v>
      </c>
      <c r="K13" s="1" t="s">
        <v>70</v>
      </c>
    </row>
    <row r="14" spans="1:11" x14ac:dyDescent="0.25">
      <c r="H14" s="11"/>
    </row>
    <row r="15" spans="1:11" x14ac:dyDescent="0.25">
      <c r="D15" s="2" t="s">
        <v>8</v>
      </c>
      <c r="F15" s="4"/>
      <c r="G15" s="1" t="s">
        <v>9</v>
      </c>
      <c r="H15" s="11"/>
      <c r="I15" t="s">
        <v>15</v>
      </c>
      <c r="J15" s="7" t="e">
        <f>+F16/F15</f>
        <v>#DIV/0!</v>
      </c>
    </row>
    <row r="16" spans="1:11" x14ac:dyDescent="0.25">
      <c r="F16" s="4"/>
      <c r="G16" s="1" t="s">
        <v>10</v>
      </c>
      <c r="H16" s="11"/>
      <c r="I16" t="s">
        <v>14</v>
      </c>
      <c r="J16" s="7" t="e">
        <f>+F17/F16</f>
        <v>#DIV/0!</v>
      </c>
    </row>
    <row r="17" spans="3:15" x14ac:dyDescent="0.25">
      <c r="F17" s="4"/>
      <c r="G17" s="1" t="s">
        <v>11</v>
      </c>
      <c r="H17" s="11"/>
      <c r="I17" t="s">
        <v>13</v>
      </c>
      <c r="J17" s="7" t="e">
        <f>+F18/F17</f>
        <v>#DIV/0!</v>
      </c>
      <c r="M17" s="21"/>
      <c r="N17" s="21"/>
      <c r="O17" s="21"/>
    </row>
    <row r="18" spans="3:15" x14ac:dyDescent="0.25">
      <c r="F18" s="4"/>
      <c r="G18" s="1" t="s">
        <v>12</v>
      </c>
      <c r="H18" s="11"/>
      <c r="I18" t="s">
        <v>16</v>
      </c>
      <c r="J18" s="7" t="e">
        <f>+F8/F18</f>
        <v>#DIV/0!</v>
      </c>
      <c r="M18" s="21"/>
      <c r="N18" s="21"/>
      <c r="O18" s="21"/>
    </row>
    <row r="19" spans="3:15" x14ac:dyDescent="0.25">
      <c r="F19" s="2" t="s">
        <v>51</v>
      </c>
      <c r="G19">
        <v>0</v>
      </c>
      <c r="H19" s="11" t="s">
        <v>52</v>
      </c>
      <c r="I19" t="s">
        <v>41</v>
      </c>
      <c r="J19" s="7" t="e">
        <f>+F8/F15</f>
        <v>#DIV/0!</v>
      </c>
      <c r="M19" s="21"/>
      <c r="N19" s="21"/>
      <c r="O19" s="21"/>
    </row>
    <row r="20" spans="3:15" x14ac:dyDescent="0.25">
      <c r="H20" s="11"/>
      <c r="M20" s="21"/>
      <c r="N20" s="21"/>
      <c r="O20" s="21"/>
    </row>
    <row r="21" spans="3:15" x14ac:dyDescent="0.25">
      <c r="C21" s="9"/>
      <c r="D21" s="13" t="s">
        <v>21</v>
      </c>
      <c r="E21" s="9"/>
      <c r="F21" s="9" t="s">
        <v>22</v>
      </c>
      <c r="G21" s="9" t="s">
        <v>23</v>
      </c>
      <c r="H21" s="13" t="s">
        <v>27</v>
      </c>
      <c r="I21" s="10" t="s">
        <v>24</v>
      </c>
      <c r="J21" s="9"/>
      <c r="K21" s="9"/>
      <c r="L21" s="9"/>
      <c r="M21" s="21"/>
      <c r="N21" s="21"/>
      <c r="O21" s="21"/>
    </row>
    <row r="22" spans="3:15" ht="6" customHeight="1" x14ac:dyDescent="0.25">
      <c r="M22" s="21"/>
      <c r="N22" s="21"/>
      <c r="O22" s="21"/>
    </row>
    <row r="23" spans="3:15" x14ac:dyDescent="0.25">
      <c r="C23" s="33" t="str">
        <f>IF(H23=1,"u","")</f>
        <v>u</v>
      </c>
      <c r="D23" s="23" t="s">
        <v>87</v>
      </c>
      <c r="E23" s="33"/>
      <c r="F23" t="s">
        <v>88</v>
      </c>
      <c r="G23" t="s">
        <v>25</v>
      </c>
      <c r="H23">
        <f>RANK(I23,I$23:I$43,1)</f>
        <v>1</v>
      </c>
      <c r="I23" s="4">
        <v>1850000</v>
      </c>
      <c r="J23" s="4"/>
      <c r="K23" s="4"/>
      <c r="L23" s="4"/>
      <c r="M23" s="22"/>
      <c r="N23" s="22"/>
      <c r="O23" s="22"/>
    </row>
    <row r="24" spans="3:15" x14ac:dyDescent="0.25">
      <c r="C24" s="33" t="str">
        <f>IF(H24=1,"u","")</f>
        <v/>
      </c>
      <c r="D24" s="23" t="s">
        <v>89</v>
      </c>
      <c r="E24" s="33"/>
      <c r="F24" t="s">
        <v>90</v>
      </c>
      <c r="G24" t="s">
        <v>25</v>
      </c>
      <c r="H24">
        <f>RANK(I24,I$23:I$43,1)</f>
        <v>2</v>
      </c>
      <c r="I24" s="4">
        <v>2174000</v>
      </c>
      <c r="J24" s="4"/>
      <c r="K24" s="4"/>
      <c r="L24" s="4"/>
      <c r="M24" s="22"/>
      <c r="N24" s="22"/>
      <c r="O24" s="22"/>
    </row>
    <row r="25" spans="3:15" x14ac:dyDescent="0.25">
      <c r="C25" s="33" t="str">
        <f>IF(H25=1,"u","")</f>
        <v/>
      </c>
      <c r="D25" s="23" t="s">
        <v>91</v>
      </c>
      <c r="E25" s="33"/>
      <c r="F25" t="s">
        <v>92</v>
      </c>
      <c r="G25" t="s">
        <v>93</v>
      </c>
      <c r="H25">
        <f>RANK(I25,I$23:I$43,1)</f>
        <v>3</v>
      </c>
      <c r="I25" s="4">
        <v>2865770</v>
      </c>
      <c r="J25" s="4"/>
      <c r="K25" s="4"/>
      <c r="L25" s="4"/>
      <c r="M25" s="22"/>
      <c r="N25" s="22"/>
      <c r="O25" s="22"/>
    </row>
    <row r="26" spans="3:15" x14ac:dyDescent="0.25">
      <c r="C26" s="33" t="str">
        <f t="shared" ref="C26:C43" si="0">IF(H26=1,"u","")</f>
        <v/>
      </c>
      <c r="D26" s="23" t="s">
        <v>94</v>
      </c>
      <c r="E26" s="33"/>
      <c r="F26" t="s">
        <v>95</v>
      </c>
      <c r="G26" t="s">
        <v>93</v>
      </c>
      <c r="H26">
        <f>RANK(I26,I$23:I$43,1)</f>
        <v>4</v>
      </c>
      <c r="I26" s="4">
        <v>4979000</v>
      </c>
      <c r="J26" s="4"/>
      <c r="K26" s="4"/>
      <c r="L26" s="4"/>
      <c r="M26" s="22"/>
      <c r="N26" s="22"/>
      <c r="O26" s="22"/>
    </row>
    <row r="27" spans="3:15" x14ac:dyDescent="0.25">
      <c r="C27" s="33" t="str">
        <f t="shared" si="0"/>
        <v/>
      </c>
      <c r="D27" s="11"/>
      <c r="E27" s="33" t="str">
        <f t="shared" ref="E27:E43" si="1">IF(H27=1,"t","")</f>
        <v/>
      </c>
      <c r="I27" s="4"/>
      <c r="J27" s="4"/>
      <c r="K27" s="4"/>
      <c r="L27" s="4"/>
      <c r="M27" s="22"/>
      <c r="N27" s="22"/>
      <c r="O27" s="22"/>
    </row>
    <row r="28" spans="3:15" x14ac:dyDescent="0.25">
      <c r="C28" s="33" t="str">
        <f t="shared" si="0"/>
        <v/>
      </c>
      <c r="D28" s="11"/>
      <c r="E28" s="33" t="str">
        <f t="shared" si="1"/>
        <v/>
      </c>
      <c r="I28" s="4"/>
      <c r="J28" s="4"/>
      <c r="K28" s="4"/>
      <c r="L28" s="4"/>
      <c r="M28" s="22"/>
      <c r="N28" s="22"/>
      <c r="O28" s="22"/>
    </row>
    <row r="29" spans="3:15" x14ac:dyDescent="0.25">
      <c r="C29" s="33" t="str">
        <f t="shared" si="0"/>
        <v/>
      </c>
      <c r="D29" s="11"/>
      <c r="E29" s="33" t="str">
        <f t="shared" si="1"/>
        <v/>
      </c>
      <c r="I29" s="4"/>
      <c r="J29" s="4"/>
      <c r="K29" s="4"/>
      <c r="L29" s="4"/>
      <c r="M29" s="22"/>
      <c r="N29" s="22"/>
      <c r="O29" s="22"/>
    </row>
    <row r="30" spans="3:15" x14ac:dyDescent="0.25">
      <c r="C30" s="33" t="str">
        <f t="shared" si="0"/>
        <v/>
      </c>
      <c r="D30" s="11"/>
      <c r="E30" s="33" t="str">
        <f t="shared" si="1"/>
        <v/>
      </c>
      <c r="I30" s="4"/>
      <c r="J30" s="4"/>
      <c r="K30" s="4"/>
      <c r="L30" s="4"/>
      <c r="M30" s="22"/>
      <c r="N30" s="22"/>
      <c r="O30" s="22"/>
    </row>
    <row r="31" spans="3:15" x14ac:dyDescent="0.25">
      <c r="C31" s="33" t="str">
        <f t="shared" si="0"/>
        <v/>
      </c>
      <c r="D31" s="11"/>
      <c r="E31" s="33" t="str">
        <f t="shared" si="1"/>
        <v/>
      </c>
      <c r="I31" s="4"/>
      <c r="J31" s="4"/>
      <c r="K31" s="4"/>
      <c r="L31" s="4"/>
      <c r="M31" s="22"/>
      <c r="N31" s="22"/>
      <c r="O31" s="22"/>
    </row>
    <row r="32" spans="3:15" x14ac:dyDescent="0.25">
      <c r="C32" s="33" t="str">
        <f t="shared" si="0"/>
        <v/>
      </c>
      <c r="D32" s="11"/>
      <c r="E32" s="33" t="str">
        <f t="shared" si="1"/>
        <v/>
      </c>
      <c r="I32" s="4"/>
      <c r="J32" s="4"/>
      <c r="K32" s="4"/>
      <c r="L32" s="4"/>
      <c r="M32" s="22"/>
      <c r="N32" s="22"/>
      <c r="O32" s="22"/>
    </row>
    <row r="33" spans="3:15" x14ac:dyDescent="0.25">
      <c r="C33" s="33" t="str">
        <f t="shared" si="0"/>
        <v/>
      </c>
      <c r="D33" s="11"/>
      <c r="E33" s="33" t="str">
        <f t="shared" si="1"/>
        <v/>
      </c>
      <c r="M33" s="21"/>
      <c r="N33" s="21"/>
      <c r="O33" s="21"/>
    </row>
    <row r="34" spans="3:15" x14ac:dyDescent="0.25">
      <c r="C34" s="33" t="str">
        <f t="shared" si="0"/>
        <v/>
      </c>
      <c r="D34" s="11"/>
      <c r="E34" s="33" t="str">
        <f t="shared" si="1"/>
        <v/>
      </c>
      <c r="M34" s="21"/>
      <c r="N34" s="21"/>
      <c r="O34" s="21"/>
    </row>
    <row r="35" spans="3:15" x14ac:dyDescent="0.25">
      <c r="C35" s="33" t="str">
        <f t="shared" si="0"/>
        <v/>
      </c>
      <c r="D35" s="11"/>
      <c r="E35" s="33" t="str">
        <f t="shared" si="1"/>
        <v/>
      </c>
      <c r="M35" s="21"/>
      <c r="N35" s="21"/>
      <c r="O35" s="21"/>
    </row>
    <row r="36" spans="3:15" x14ac:dyDescent="0.25">
      <c r="C36" s="33" t="str">
        <f t="shared" si="0"/>
        <v/>
      </c>
      <c r="D36" s="11"/>
      <c r="E36" s="33" t="str">
        <f t="shared" si="1"/>
        <v/>
      </c>
      <c r="M36" s="21"/>
      <c r="N36" s="21"/>
      <c r="O36" s="21"/>
    </row>
    <row r="37" spans="3:15" x14ac:dyDescent="0.25">
      <c r="C37" s="33" t="str">
        <f t="shared" si="0"/>
        <v/>
      </c>
      <c r="D37" s="11"/>
      <c r="E37" s="33" t="str">
        <f t="shared" si="1"/>
        <v/>
      </c>
      <c r="M37" s="21"/>
      <c r="N37" s="21"/>
      <c r="O37" s="21"/>
    </row>
    <row r="38" spans="3:15" x14ac:dyDescent="0.25">
      <c r="C38" s="33" t="str">
        <f t="shared" si="0"/>
        <v/>
      </c>
      <c r="D38" s="11"/>
      <c r="E38" s="33" t="str">
        <f t="shared" si="1"/>
        <v/>
      </c>
      <c r="M38" s="21"/>
      <c r="N38" s="21"/>
      <c r="O38" s="21"/>
    </row>
    <row r="39" spans="3:15" x14ac:dyDescent="0.25">
      <c r="C39" s="33" t="str">
        <f t="shared" si="0"/>
        <v/>
      </c>
      <c r="D39" s="11"/>
      <c r="E39" s="33" t="str">
        <f t="shared" si="1"/>
        <v/>
      </c>
      <c r="M39" s="21"/>
      <c r="N39" s="21"/>
      <c r="O39" s="21"/>
    </row>
    <row r="40" spans="3:15" x14ac:dyDescent="0.25">
      <c r="C40" s="33" t="str">
        <f t="shared" si="0"/>
        <v/>
      </c>
      <c r="D40" s="11"/>
      <c r="E40" s="33" t="str">
        <f t="shared" si="1"/>
        <v/>
      </c>
      <c r="M40" s="21"/>
      <c r="N40" s="21"/>
      <c r="O40" s="21"/>
    </row>
    <row r="41" spans="3:15" x14ac:dyDescent="0.25">
      <c r="C41" s="33" t="str">
        <f t="shared" si="0"/>
        <v/>
      </c>
      <c r="D41" s="11"/>
      <c r="E41" s="33" t="str">
        <f t="shared" si="1"/>
        <v/>
      </c>
      <c r="M41" s="21"/>
      <c r="N41" s="21"/>
      <c r="O41" s="21"/>
    </row>
    <row r="42" spans="3:15" x14ac:dyDescent="0.25">
      <c r="C42" s="33" t="str">
        <f t="shared" si="0"/>
        <v/>
      </c>
      <c r="D42" s="11"/>
      <c r="E42" s="33" t="str">
        <f t="shared" si="1"/>
        <v/>
      </c>
      <c r="M42" s="21"/>
      <c r="N42" s="21"/>
      <c r="O42" s="21"/>
    </row>
    <row r="43" spans="3:15" x14ac:dyDescent="0.25">
      <c r="C43" s="33" t="str">
        <f t="shared" si="0"/>
        <v/>
      </c>
      <c r="D43" s="11"/>
      <c r="E43" s="33" t="str">
        <f t="shared" si="1"/>
        <v/>
      </c>
      <c r="M43" s="21"/>
      <c r="N43" s="21"/>
      <c r="O43" s="21"/>
    </row>
    <row r="44" spans="3:15" ht="6" customHeight="1" x14ac:dyDescent="0.25">
      <c r="C44" s="9"/>
      <c r="D44" s="9"/>
      <c r="E44" s="9"/>
      <c r="F44" s="9"/>
      <c r="G44" s="9"/>
      <c r="H44" s="9"/>
      <c r="I44" s="9"/>
      <c r="J44" s="9"/>
      <c r="K44" s="9"/>
      <c r="L44" s="9"/>
      <c r="M44" s="21"/>
      <c r="N44" s="21"/>
      <c r="O44" s="21"/>
    </row>
    <row r="45" spans="3:15" ht="6" customHeight="1" x14ac:dyDescent="0.25">
      <c r="M45" s="21"/>
      <c r="N45" s="21"/>
      <c r="O45" s="21"/>
    </row>
    <row r="46" spans="3:15" x14ac:dyDescent="0.25">
      <c r="C46" s="15" t="s">
        <v>79</v>
      </c>
      <c r="M46" s="21"/>
      <c r="N46" s="21"/>
      <c r="O46" s="21"/>
    </row>
    <row r="47" spans="3:15" x14ac:dyDescent="0.25">
      <c r="C47" s="15" t="s">
        <v>78</v>
      </c>
    </row>
  </sheetData>
  <mergeCells count="1">
    <mergeCell ref="G13:H13"/>
  </mergeCells>
  <conditionalFormatting sqref="I9">
    <cfRule type="containsText" dxfId="462" priority="10" operator="containsText" text="FAIL">
      <formula>NOT(ISERROR(SEARCH("FAIL",I9)))</formula>
    </cfRule>
  </conditionalFormatting>
  <conditionalFormatting sqref="I9">
    <cfRule type="containsText" dxfId="461" priority="9" operator="containsText" text="GOOD">
      <formula>NOT(ISERROR(SEARCH("GOOD",I9)))</formula>
    </cfRule>
  </conditionalFormatting>
  <conditionalFormatting sqref="F11">
    <cfRule type="containsText" dxfId="460" priority="8" operator="containsText" text="FAIL">
      <formula>NOT(ISERROR(SEARCH("FAIL",F11)))</formula>
    </cfRule>
  </conditionalFormatting>
  <conditionalFormatting sqref="F11">
    <cfRule type="containsText" dxfId="459" priority="7" operator="containsText" text="GOOD">
      <formula>NOT(ISERROR(SEARCH("GOOD",F11)))</formula>
    </cfRule>
  </conditionalFormatting>
  <conditionalFormatting sqref="D25">
    <cfRule type="expression" dxfId="458" priority="6" stopIfTrue="1">
      <formula>IF($H$25=1,0)</formula>
    </cfRule>
  </conditionalFormatting>
  <conditionalFormatting sqref="D23:D43">
    <cfRule type="expression" dxfId="457" priority="5">
      <formula>H23=1</formula>
    </cfRule>
  </conditionalFormatting>
  <conditionalFormatting sqref="C23:C43">
    <cfRule type="expression" dxfId="456" priority="4">
      <formula>H23=1</formula>
    </cfRule>
  </conditionalFormatting>
  <conditionalFormatting sqref="E23:E43">
    <cfRule type="expression" dxfId="455" priority="3">
      <formula>H23=1</formula>
    </cfRule>
  </conditionalFormatting>
  <conditionalFormatting sqref="F11">
    <cfRule type="containsText" dxfId="454" priority="2" operator="containsText" text="FAIL">
      <formula>NOT(ISERROR(SEARCH("FAIL",F11)))</formula>
    </cfRule>
  </conditionalFormatting>
  <conditionalFormatting sqref="F11">
    <cfRule type="containsText" dxfId="453" priority="1" operator="containsText" text="GOOD">
      <formula>NOT(ISERROR(SEARCH("GOOD",F11)))</formula>
    </cfRule>
  </conditionalFormatting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B00-000000000000}">
  <sheetPr codeName="Sheet157"/>
  <dimension ref="A2:O47"/>
  <sheetViews>
    <sheetView workbookViewId="0">
      <selection activeCell="I27" sqref="I27"/>
    </sheetView>
  </sheetViews>
  <sheetFormatPr defaultRowHeight="15" x14ac:dyDescent="0.25"/>
  <cols>
    <col min="1" max="2" width="4.42578125" customWidth="1"/>
    <col min="3" max="3" width="3" customWidth="1"/>
    <col min="4" max="4" width="24.85546875" customWidth="1"/>
    <col min="5" max="5" width="3" customWidth="1"/>
    <col min="6" max="6" width="15.7109375" customWidth="1"/>
    <col min="7" max="7" width="8.5703125" customWidth="1"/>
    <col min="8" max="8" width="5.85546875" customWidth="1"/>
    <col min="9" max="15" width="15.7109375" customWidth="1"/>
  </cols>
  <sheetData>
    <row r="2" spans="1:11" x14ac:dyDescent="0.25">
      <c r="C2" s="15" t="s">
        <v>32</v>
      </c>
      <c r="E2" s="15"/>
      <c r="F2" s="15"/>
      <c r="G2" s="15" t="s">
        <v>33</v>
      </c>
      <c r="H2" s="15"/>
      <c r="I2" s="15"/>
      <c r="J2" s="15"/>
      <c r="K2" s="15"/>
    </row>
    <row r="3" spans="1:11" ht="18.75" x14ac:dyDescent="0.3">
      <c r="C3" s="3" t="s">
        <v>26</v>
      </c>
      <c r="J3" s="8" t="s">
        <v>17</v>
      </c>
    </row>
    <row r="4" spans="1:11" x14ac:dyDescent="0.25">
      <c r="D4" s="2" t="s">
        <v>0</v>
      </c>
      <c r="E4" s="1"/>
      <c r="F4" t="s">
        <v>418</v>
      </c>
      <c r="I4" s="2" t="s">
        <v>4</v>
      </c>
    </row>
    <row r="5" spans="1:11" x14ac:dyDescent="0.25">
      <c r="D5" s="2" t="s">
        <v>1</v>
      </c>
      <c r="F5" t="s">
        <v>419</v>
      </c>
    </row>
    <row r="6" spans="1:11" x14ac:dyDescent="0.25">
      <c r="D6" s="2" t="s">
        <v>2</v>
      </c>
      <c r="F6" s="6">
        <v>42142</v>
      </c>
      <c r="H6" s="11"/>
    </row>
    <row r="7" spans="1:11" x14ac:dyDescent="0.25">
      <c r="D7" s="2" t="s">
        <v>3</v>
      </c>
      <c r="F7" s="5">
        <v>830000</v>
      </c>
      <c r="G7" s="2" t="s">
        <v>299</v>
      </c>
      <c r="H7" s="11"/>
    </row>
    <row r="8" spans="1:11" x14ac:dyDescent="0.25">
      <c r="D8" s="2" t="s">
        <v>18</v>
      </c>
      <c r="F8" s="5">
        <f>MIN(I23:I43)</f>
        <v>1650000</v>
      </c>
      <c r="H8" s="11"/>
    </row>
    <row r="9" spans="1:11" x14ac:dyDescent="0.25">
      <c r="D9" s="2" t="s">
        <v>67</v>
      </c>
      <c r="F9" s="4">
        <f>+F8-F7</f>
        <v>820000</v>
      </c>
      <c r="G9" s="16">
        <f>+F9/F7</f>
        <v>0.98795180722891562</v>
      </c>
      <c r="H9" s="12" t="s">
        <v>20</v>
      </c>
      <c r="I9" s="11" t="str">
        <f>(IF(G9&lt;-0.1,"FAIL",IF(G9&gt;0.05,"FAIL","GOOD")))</f>
        <v>FAIL</v>
      </c>
      <c r="J9" s="14" t="s">
        <v>72</v>
      </c>
    </row>
    <row r="10" spans="1:11" x14ac:dyDescent="0.25">
      <c r="D10" s="2" t="s">
        <v>68</v>
      </c>
      <c r="F10" s="4">
        <f>+F7-F12</f>
        <v>-820000</v>
      </c>
      <c r="H10" s="11"/>
    </row>
    <row r="11" spans="1:11" x14ac:dyDescent="0.25">
      <c r="A11" s="30"/>
      <c r="D11" s="2" t="s">
        <v>71</v>
      </c>
      <c r="F11" s="11" t="str">
        <f>(IF(F7&lt;J12,"FAIL",IF(F7&gt;J13,"FAIL","GOOD")))</f>
        <v>FAIL</v>
      </c>
      <c r="H11" s="11"/>
    </row>
    <row r="12" spans="1:11" x14ac:dyDescent="0.25">
      <c r="D12" s="2" t="s">
        <v>28</v>
      </c>
      <c r="F12" s="4">
        <f>SUM(I23:I43)/H12</f>
        <v>1650000</v>
      </c>
      <c r="G12" s="14"/>
      <c r="H12" s="11">
        <f>COUNT(I23:I43)</f>
        <v>1</v>
      </c>
      <c r="I12" s="1" t="s">
        <v>31</v>
      </c>
      <c r="J12" s="4">
        <f>+F8*0.9</f>
        <v>1485000</v>
      </c>
      <c r="K12" s="1" t="s">
        <v>69</v>
      </c>
    </row>
    <row r="13" spans="1:11" x14ac:dyDescent="0.25">
      <c r="D13" s="2" t="s">
        <v>29</v>
      </c>
      <c r="F13" s="4">
        <f>MAX(I23:I43)-MIN(I23:I43)</f>
        <v>0</v>
      </c>
      <c r="G13" s="399">
        <f>MEDIAN(I23:I43)</f>
        <v>1650000</v>
      </c>
      <c r="H13" s="400"/>
      <c r="I13" s="1" t="s">
        <v>30</v>
      </c>
      <c r="J13" s="4">
        <f>+F12*1.1</f>
        <v>1815000.0000000002</v>
      </c>
      <c r="K13" s="1" t="s">
        <v>70</v>
      </c>
    </row>
    <row r="14" spans="1:11" x14ac:dyDescent="0.25">
      <c r="H14" s="11"/>
    </row>
    <row r="15" spans="1:11" x14ac:dyDescent="0.25">
      <c r="D15" s="2" t="s">
        <v>8</v>
      </c>
      <c r="F15" s="4"/>
      <c r="G15" s="1" t="s">
        <v>9</v>
      </c>
      <c r="H15" s="11"/>
      <c r="I15" t="s">
        <v>15</v>
      </c>
      <c r="J15" s="7" t="e">
        <f>+F16/F15</f>
        <v>#DIV/0!</v>
      </c>
    </row>
    <row r="16" spans="1:11" x14ac:dyDescent="0.25">
      <c r="F16" s="4"/>
      <c r="G16" s="1" t="s">
        <v>10</v>
      </c>
      <c r="H16" s="11"/>
      <c r="I16" t="s">
        <v>14</v>
      </c>
      <c r="J16" s="7" t="e">
        <f>+F17/F16</f>
        <v>#DIV/0!</v>
      </c>
    </row>
    <row r="17" spans="3:15" x14ac:dyDescent="0.25">
      <c r="F17" s="4"/>
      <c r="G17" s="1" t="s">
        <v>11</v>
      </c>
      <c r="H17" s="11"/>
      <c r="I17" t="s">
        <v>13</v>
      </c>
      <c r="J17" s="7" t="e">
        <f>+F18/F17</f>
        <v>#DIV/0!</v>
      </c>
      <c r="M17" s="21"/>
      <c r="N17" s="21"/>
      <c r="O17" s="21"/>
    </row>
    <row r="18" spans="3:15" x14ac:dyDescent="0.25">
      <c r="F18" s="4"/>
      <c r="G18" s="1" t="s">
        <v>12</v>
      </c>
      <c r="H18" s="11"/>
      <c r="I18" t="s">
        <v>16</v>
      </c>
      <c r="J18" s="7" t="e">
        <f>+F8/F18</f>
        <v>#DIV/0!</v>
      </c>
      <c r="M18" s="21"/>
      <c r="N18" s="21"/>
      <c r="O18" s="21"/>
    </row>
    <row r="19" spans="3:15" x14ac:dyDescent="0.25">
      <c r="F19" s="2" t="s">
        <v>51</v>
      </c>
      <c r="G19">
        <v>0</v>
      </c>
      <c r="H19" s="11" t="s">
        <v>52</v>
      </c>
      <c r="I19" t="s">
        <v>41</v>
      </c>
      <c r="J19" s="7" t="e">
        <f>+F8/F15</f>
        <v>#DIV/0!</v>
      </c>
      <c r="M19" s="21"/>
      <c r="N19" s="21"/>
      <c r="O19" s="21"/>
    </row>
    <row r="20" spans="3:15" x14ac:dyDescent="0.25">
      <c r="H20" s="11"/>
      <c r="M20" s="21"/>
      <c r="N20" s="21"/>
      <c r="O20" s="21"/>
    </row>
    <row r="21" spans="3:15" x14ac:dyDescent="0.25">
      <c r="C21" s="9"/>
      <c r="D21" s="13" t="s">
        <v>21</v>
      </c>
      <c r="E21" s="9"/>
      <c r="F21" s="9" t="s">
        <v>22</v>
      </c>
      <c r="G21" s="9" t="s">
        <v>23</v>
      </c>
      <c r="H21" s="13" t="s">
        <v>27</v>
      </c>
      <c r="I21" s="10" t="s">
        <v>24</v>
      </c>
      <c r="J21" s="9"/>
      <c r="K21" s="9"/>
      <c r="L21" s="9"/>
      <c r="M21" s="21"/>
      <c r="N21" s="21"/>
      <c r="O21" s="21"/>
    </row>
    <row r="22" spans="3:15" ht="6" customHeight="1" x14ac:dyDescent="0.25">
      <c r="M22" s="21"/>
      <c r="N22" s="21"/>
      <c r="O22" s="21"/>
    </row>
    <row r="23" spans="3:15" x14ac:dyDescent="0.25">
      <c r="C23" s="33" t="str">
        <f>IF(H23=1,"u","")</f>
        <v>u</v>
      </c>
      <c r="D23" s="11" t="s">
        <v>231</v>
      </c>
      <c r="E23" s="33"/>
      <c r="F23" t="s">
        <v>193</v>
      </c>
      <c r="G23" t="s">
        <v>303</v>
      </c>
      <c r="H23">
        <f>RANK(I23,I$23:I$43,1)</f>
        <v>1</v>
      </c>
      <c r="I23" s="4">
        <v>1650000</v>
      </c>
      <c r="J23" s="4"/>
      <c r="K23" s="4"/>
      <c r="L23" s="4"/>
      <c r="M23" s="22"/>
      <c r="N23" s="22"/>
      <c r="O23" s="22"/>
    </row>
    <row r="24" spans="3:15" x14ac:dyDescent="0.25">
      <c r="C24" s="33"/>
      <c r="D24" s="11"/>
      <c r="E24" s="33"/>
      <c r="I24" s="4"/>
      <c r="J24" s="4"/>
      <c r="K24" s="4"/>
      <c r="L24" s="4"/>
      <c r="M24" s="22"/>
      <c r="N24" s="22"/>
      <c r="O24" s="22"/>
    </row>
    <row r="25" spans="3:15" x14ac:dyDescent="0.25">
      <c r="C25" s="33"/>
      <c r="D25" s="11"/>
      <c r="E25" s="33"/>
      <c r="I25" s="4"/>
      <c r="J25" s="4"/>
      <c r="K25" s="4"/>
      <c r="L25" s="4"/>
      <c r="M25" s="22"/>
      <c r="N25" s="22"/>
      <c r="O25" s="22"/>
    </row>
    <row r="26" spans="3:15" x14ac:dyDescent="0.25">
      <c r="C26" s="33"/>
      <c r="D26" s="11"/>
      <c r="E26" s="33"/>
      <c r="I26" s="4"/>
      <c r="J26" s="4"/>
      <c r="K26" s="4"/>
      <c r="L26" s="4"/>
      <c r="M26" s="22"/>
      <c r="N26" s="22"/>
      <c r="O26" s="22"/>
    </row>
    <row r="27" spans="3:15" x14ac:dyDescent="0.25">
      <c r="C27" s="33" t="str">
        <f t="shared" ref="C27:C43" si="0">IF(H27=1,"u","")</f>
        <v/>
      </c>
      <c r="D27" s="11"/>
      <c r="E27" s="33" t="str">
        <f t="shared" ref="E27:E43" si="1">IF(H27=1,"t","")</f>
        <v/>
      </c>
      <c r="I27" s="4"/>
      <c r="J27" s="4"/>
      <c r="K27" s="4"/>
      <c r="L27" s="4"/>
      <c r="M27" s="22"/>
      <c r="N27" s="22"/>
      <c r="O27" s="22"/>
    </row>
    <row r="28" spans="3:15" x14ac:dyDescent="0.25">
      <c r="C28" s="33" t="str">
        <f t="shared" si="0"/>
        <v/>
      </c>
      <c r="D28" s="11"/>
      <c r="E28" s="33" t="str">
        <f t="shared" si="1"/>
        <v/>
      </c>
      <c r="I28" s="4"/>
      <c r="J28" s="4"/>
      <c r="K28" s="4"/>
      <c r="L28" s="4"/>
      <c r="M28" s="22"/>
      <c r="N28" s="22"/>
      <c r="O28" s="22"/>
    </row>
    <row r="29" spans="3:15" x14ac:dyDescent="0.25">
      <c r="C29" s="33" t="str">
        <f t="shared" si="0"/>
        <v/>
      </c>
      <c r="D29" s="11"/>
      <c r="E29" s="33" t="str">
        <f t="shared" si="1"/>
        <v/>
      </c>
      <c r="I29" s="4"/>
      <c r="J29" s="4"/>
      <c r="K29" s="4"/>
      <c r="L29" s="4"/>
      <c r="M29" s="22"/>
      <c r="N29" s="22"/>
      <c r="O29" s="22"/>
    </row>
    <row r="30" spans="3:15" x14ac:dyDescent="0.25">
      <c r="C30" s="33" t="str">
        <f t="shared" si="0"/>
        <v/>
      </c>
      <c r="D30" s="11"/>
      <c r="E30" s="33" t="str">
        <f t="shared" si="1"/>
        <v/>
      </c>
      <c r="I30" s="4"/>
      <c r="J30" s="4"/>
      <c r="K30" s="4"/>
      <c r="L30" s="4"/>
      <c r="M30" s="22"/>
      <c r="N30" s="22"/>
      <c r="O30" s="22"/>
    </row>
    <row r="31" spans="3:15" x14ac:dyDescent="0.25">
      <c r="C31" s="33" t="str">
        <f t="shared" si="0"/>
        <v/>
      </c>
      <c r="D31" s="11"/>
      <c r="E31" s="33" t="str">
        <f t="shared" si="1"/>
        <v/>
      </c>
      <c r="I31" s="4"/>
      <c r="J31" s="4"/>
      <c r="K31" s="4"/>
      <c r="L31" s="4"/>
      <c r="M31" s="22"/>
      <c r="N31" s="22"/>
      <c r="O31" s="22"/>
    </row>
    <row r="32" spans="3:15" x14ac:dyDescent="0.25">
      <c r="C32" s="33" t="str">
        <f t="shared" si="0"/>
        <v/>
      </c>
      <c r="D32" s="11"/>
      <c r="E32" s="33" t="str">
        <f t="shared" si="1"/>
        <v/>
      </c>
      <c r="I32" s="4"/>
      <c r="J32" s="4"/>
      <c r="K32" s="4"/>
      <c r="L32" s="4"/>
      <c r="M32" s="22"/>
      <c r="N32" s="22"/>
      <c r="O32" s="22"/>
    </row>
    <row r="33" spans="3:15" x14ac:dyDescent="0.25">
      <c r="C33" s="33" t="str">
        <f t="shared" si="0"/>
        <v/>
      </c>
      <c r="D33" s="11"/>
      <c r="E33" s="33" t="str">
        <f t="shared" si="1"/>
        <v/>
      </c>
      <c r="M33" s="21"/>
      <c r="N33" s="21"/>
      <c r="O33" s="21"/>
    </row>
    <row r="34" spans="3:15" x14ac:dyDescent="0.25">
      <c r="C34" s="33" t="str">
        <f t="shared" si="0"/>
        <v/>
      </c>
      <c r="D34" s="11"/>
      <c r="E34" s="33" t="str">
        <f t="shared" si="1"/>
        <v/>
      </c>
      <c r="M34" s="21"/>
      <c r="N34" s="21"/>
      <c r="O34" s="21"/>
    </row>
    <row r="35" spans="3:15" x14ac:dyDescent="0.25">
      <c r="C35" s="33" t="str">
        <f t="shared" si="0"/>
        <v/>
      </c>
      <c r="D35" s="11"/>
      <c r="E35" s="33" t="str">
        <f t="shared" si="1"/>
        <v/>
      </c>
      <c r="M35" s="21"/>
      <c r="N35" s="21"/>
      <c r="O35" s="21"/>
    </row>
    <row r="36" spans="3:15" x14ac:dyDescent="0.25">
      <c r="C36" s="33" t="str">
        <f t="shared" si="0"/>
        <v/>
      </c>
      <c r="D36" s="11"/>
      <c r="E36" s="33" t="str">
        <f t="shared" si="1"/>
        <v/>
      </c>
      <c r="M36" s="21"/>
      <c r="N36" s="21"/>
      <c r="O36" s="21"/>
    </row>
    <row r="37" spans="3:15" x14ac:dyDescent="0.25">
      <c r="C37" s="33" t="str">
        <f t="shared" si="0"/>
        <v/>
      </c>
      <c r="D37" s="11"/>
      <c r="E37" s="33" t="str">
        <f t="shared" si="1"/>
        <v/>
      </c>
      <c r="M37" s="21"/>
      <c r="N37" s="21"/>
      <c r="O37" s="21"/>
    </row>
    <row r="38" spans="3:15" x14ac:dyDescent="0.25">
      <c r="C38" s="33" t="str">
        <f t="shared" si="0"/>
        <v/>
      </c>
      <c r="D38" s="11"/>
      <c r="E38" s="33" t="str">
        <f t="shared" si="1"/>
        <v/>
      </c>
      <c r="M38" s="21"/>
      <c r="N38" s="21"/>
      <c r="O38" s="21"/>
    </row>
    <row r="39" spans="3:15" x14ac:dyDescent="0.25">
      <c r="C39" s="33" t="str">
        <f t="shared" si="0"/>
        <v/>
      </c>
      <c r="D39" s="11"/>
      <c r="E39" s="33" t="str">
        <f t="shared" si="1"/>
        <v/>
      </c>
      <c r="M39" s="21"/>
      <c r="N39" s="21"/>
      <c r="O39" s="21"/>
    </row>
    <row r="40" spans="3:15" x14ac:dyDescent="0.25">
      <c r="C40" s="33" t="str">
        <f t="shared" si="0"/>
        <v/>
      </c>
      <c r="D40" s="11"/>
      <c r="E40" s="33" t="str">
        <f t="shared" si="1"/>
        <v/>
      </c>
      <c r="M40" s="21"/>
      <c r="N40" s="21"/>
      <c r="O40" s="21"/>
    </row>
    <row r="41" spans="3:15" x14ac:dyDescent="0.25">
      <c r="C41" s="33" t="str">
        <f t="shared" si="0"/>
        <v/>
      </c>
      <c r="D41" s="11"/>
      <c r="E41" s="33" t="str">
        <f t="shared" si="1"/>
        <v/>
      </c>
      <c r="M41" s="21"/>
      <c r="N41" s="21"/>
      <c r="O41" s="21"/>
    </row>
    <row r="42" spans="3:15" x14ac:dyDescent="0.25">
      <c r="C42" s="33" t="str">
        <f t="shared" si="0"/>
        <v/>
      </c>
      <c r="D42" s="11"/>
      <c r="E42" s="33" t="str">
        <f t="shared" si="1"/>
        <v/>
      </c>
      <c r="M42" s="21"/>
      <c r="N42" s="21"/>
      <c r="O42" s="21"/>
    </row>
    <row r="43" spans="3:15" x14ac:dyDescent="0.25">
      <c r="C43" s="33" t="str">
        <f t="shared" si="0"/>
        <v/>
      </c>
      <c r="D43" s="11"/>
      <c r="E43" s="33" t="str">
        <f t="shared" si="1"/>
        <v/>
      </c>
      <c r="M43" s="21"/>
      <c r="N43" s="21"/>
      <c r="O43" s="21"/>
    </row>
    <row r="44" spans="3:15" ht="6" customHeight="1" x14ac:dyDescent="0.25">
      <c r="C44" s="9"/>
      <c r="D44" s="9"/>
      <c r="E44" s="9"/>
      <c r="F44" s="9"/>
      <c r="G44" s="9"/>
      <c r="H44" s="9"/>
      <c r="I44" s="9"/>
      <c r="J44" s="9"/>
      <c r="K44" s="9"/>
      <c r="L44" s="9"/>
      <c r="M44" s="21"/>
      <c r="N44" s="21"/>
      <c r="O44" s="21"/>
    </row>
    <row r="45" spans="3:15" ht="6" customHeight="1" x14ac:dyDescent="0.25">
      <c r="M45" s="21"/>
      <c r="N45" s="21"/>
      <c r="O45" s="21"/>
    </row>
    <row r="46" spans="3:15" x14ac:dyDescent="0.25">
      <c r="C46" s="15" t="s">
        <v>79</v>
      </c>
      <c r="M46" s="21"/>
      <c r="N46" s="21"/>
      <c r="O46" s="21"/>
    </row>
    <row r="47" spans="3:15" x14ac:dyDescent="0.25">
      <c r="C47" s="15" t="s">
        <v>78</v>
      </c>
    </row>
  </sheetData>
  <mergeCells count="1">
    <mergeCell ref="G13:H13"/>
  </mergeCells>
  <conditionalFormatting sqref="I9">
    <cfRule type="containsText" dxfId="224" priority="10" operator="containsText" text="FAIL">
      <formula>NOT(ISERROR(SEARCH("FAIL",I9)))</formula>
    </cfRule>
  </conditionalFormatting>
  <conditionalFormatting sqref="I9">
    <cfRule type="containsText" dxfId="223" priority="9" operator="containsText" text="GOOD">
      <formula>NOT(ISERROR(SEARCH("GOOD",I9)))</formula>
    </cfRule>
  </conditionalFormatting>
  <conditionalFormatting sqref="F11">
    <cfRule type="containsText" dxfId="222" priority="8" operator="containsText" text="FAIL">
      <formula>NOT(ISERROR(SEARCH("FAIL",F11)))</formula>
    </cfRule>
  </conditionalFormatting>
  <conditionalFormatting sqref="F11">
    <cfRule type="containsText" dxfId="221" priority="7" operator="containsText" text="GOOD">
      <formula>NOT(ISERROR(SEARCH("GOOD",F11)))</formula>
    </cfRule>
  </conditionalFormatting>
  <conditionalFormatting sqref="D25">
    <cfRule type="expression" dxfId="220" priority="6" stopIfTrue="1">
      <formula>IF($H$25=1,0)</formula>
    </cfRule>
  </conditionalFormatting>
  <conditionalFormatting sqref="D23:D43">
    <cfRule type="expression" dxfId="219" priority="5">
      <formula>H23=1</formula>
    </cfRule>
  </conditionalFormatting>
  <conditionalFormatting sqref="C23:C43">
    <cfRule type="expression" dxfId="218" priority="4">
      <formula>H23=1</formula>
    </cfRule>
  </conditionalFormatting>
  <conditionalFormatting sqref="E23:E43">
    <cfRule type="expression" dxfId="217" priority="3">
      <formula>H23=1</formula>
    </cfRule>
  </conditionalFormatting>
  <conditionalFormatting sqref="F11">
    <cfRule type="containsText" dxfId="216" priority="2" operator="containsText" text="FAIL">
      <formula>NOT(ISERROR(SEARCH("FAIL",F11)))</formula>
    </cfRule>
  </conditionalFormatting>
  <conditionalFormatting sqref="F11">
    <cfRule type="containsText" dxfId="215" priority="1" operator="containsText" text="GOOD">
      <formula>NOT(ISERROR(SEARCH("GOOD",F11)))</formula>
    </cfRule>
  </conditionalFormatting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800-000000000000}">
  <sheetPr codeName="Sheet138"/>
  <dimension ref="A2:O47"/>
  <sheetViews>
    <sheetView workbookViewId="0">
      <selection activeCell="K31" sqref="K31"/>
    </sheetView>
  </sheetViews>
  <sheetFormatPr defaultRowHeight="15" x14ac:dyDescent="0.25"/>
  <cols>
    <col min="1" max="2" width="4.42578125" customWidth="1"/>
    <col min="3" max="3" width="3" customWidth="1"/>
    <col min="4" max="4" width="24.7109375" customWidth="1"/>
    <col min="5" max="5" width="3" customWidth="1"/>
    <col min="6" max="6" width="15.7109375" customWidth="1"/>
    <col min="7" max="7" width="8.5703125" customWidth="1"/>
    <col min="8" max="8" width="5.85546875" customWidth="1"/>
    <col min="9" max="15" width="15.7109375" customWidth="1"/>
  </cols>
  <sheetData>
    <row r="2" spans="1:11" x14ac:dyDescent="0.25">
      <c r="C2" s="15" t="s">
        <v>32</v>
      </c>
      <c r="E2" s="15"/>
      <c r="F2" s="15"/>
      <c r="G2" s="15" t="s">
        <v>33</v>
      </c>
      <c r="H2" s="15"/>
      <c r="I2" s="15"/>
      <c r="J2" s="15"/>
      <c r="K2" s="15"/>
    </row>
    <row r="3" spans="1:11" ht="18.75" x14ac:dyDescent="0.3">
      <c r="C3" s="3" t="s">
        <v>26</v>
      </c>
      <c r="J3" s="8" t="s">
        <v>47</v>
      </c>
    </row>
    <row r="4" spans="1:11" x14ac:dyDescent="0.25">
      <c r="D4" s="2" t="s">
        <v>0</v>
      </c>
      <c r="E4" s="1"/>
      <c r="F4" t="s">
        <v>101</v>
      </c>
      <c r="I4" s="2" t="s">
        <v>4</v>
      </c>
    </row>
    <row r="5" spans="1:11" x14ac:dyDescent="0.25">
      <c r="D5" s="2" t="s">
        <v>1</v>
      </c>
      <c r="F5" t="s">
        <v>211</v>
      </c>
    </row>
    <row r="6" spans="1:11" x14ac:dyDescent="0.25">
      <c r="D6" s="2" t="s">
        <v>2</v>
      </c>
      <c r="F6" s="6">
        <v>42297</v>
      </c>
      <c r="H6" s="11"/>
    </row>
    <row r="7" spans="1:11" x14ac:dyDescent="0.25">
      <c r="D7" s="2" t="s">
        <v>3</v>
      </c>
      <c r="F7" s="5">
        <f>+I7+J7</f>
        <v>1290000</v>
      </c>
      <c r="G7" s="2" t="s">
        <v>34</v>
      </c>
      <c r="H7" s="11"/>
      <c r="I7" s="19">
        <v>36000</v>
      </c>
      <c r="J7" s="19">
        <v>1254000</v>
      </c>
    </row>
    <row r="8" spans="1:11" x14ac:dyDescent="0.25">
      <c r="D8" s="2" t="s">
        <v>18</v>
      </c>
      <c r="F8" s="5">
        <f>MIN(K23:K43)</f>
        <v>1552600</v>
      </c>
      <c r="H8" s="11"/>
      <c r="I8" s="18" t="s">
        <v>43</v>
      </c>
      <c r="J8" s="18" t="s">
        <v>44</v>
      </c>
    </row>
    <row r="9" spans="1:11" x14ac:dyDescent="0.25">
      <c r="D9" s="2" t="s">
        <v>19</v>
      </c>
      <c r="F9" s="4">
        <f>+F8-F7</f>
        <v>262600</v>
      </c>
      <c r="G9" s="16">
        <f>+F9/F7</f>
        <v>0.20356589147286822</v>
      </c>
      <c r="H9" s="12" t="s">
        <v>20</v>
      </c>
      <c r="I9" s="11" t="str">
        <f>(IF(G9&lt;-0.1,"FAIL",IF(G9&gt;0.05,"FAIL","GOOD")))</f>
        <v>FAIL</v>
      </c>
      <c r="J9" s="14" t="s">
        <v>72</v>
      </c>
    </row>
    <row r="10" spans="1:11" x14ac:dyDescent="0.25">
      <c r="D10" s="2" t="s">
        <v>68</v>
      </c>
      <c r="F10" s="4">
        <f>+F7-F12</f>
        <v>-708639.99</v>
      </c>
      <c r="H10" s="11"/>
    </row>
    <row r="11" spans="1:11" x14ac:dyDescent="0.25">
      <c r="A11" s="30"/>
      <c r="D11" s="2" t="s">
        <v>71</v>
      </c>
      <c r="F11" s="11" t="str">
        <f>(IF(F7&lt;J12,"FAIL",IF(F7&gt;J13,"FAIL","GOOD")))</f>
        <v>FAIL</v>
      </c>
      <c r="H11" s="11"/>
    </row>
    <row r="12" spans="1:11" x14ac:dyDescent="0.25">
      <c r="D12" s="2" t="s">
        <v>28</v>
      </c>
      <c r="F12" s="4">
        <f>SUM(K23:K43)/H12</f>
        <v>1998639.99</v>
      </c>
      <c r="G12" s="14"/>
      <c r="H12" s="11">
        <f>COUNT(K23:K43)</f>
        <v>9</v>
      </c>
      <c r="I12" s="1" t="s">
        <v>31</v>
      </c>
      <c r="J12" s="4">
        <f>+F8*0.9</f>
        <v>1397340</v>
      </c>
      <c r="K12" s="1" t="s">
        <v>69</v>
      </c>
    </row>
    <row r="13" spans="1:11" x14ac:dyDescent="0.25">
      <c r="D13" s="2" t="s">
        <v>29</v>
      </c>
      <c r="F13" s="4">
        <f>MAX(K23:K43)-MIN(K23:K43)</f>
        <v>1780733</v>
      </c>
      <c r="G13" s="399">
        <f>MEDIAN(K23:K43)</f>
        <v>1856000</v>
      </c>
      <c r="H13" s="400"/>
      <c r="I13" s="1" t="s">
        <v>30</v>
      </c>
      <c r="J13" s="4">
        <f>+F12*1.1</f>
        <v>2198503.9890000001</v>
      </c>
      <c r="K13" s="1" t="s">
        <v>70</v>
      </c>
    </row>
    <row r="14" spans="1:11" x14ac:dyDescent="0.25">
      <c r="H14" s="11"/>
    </row>
    <row r="15" spans="1:11" x14ac:dyDescent="0.25">
      <c r="D15" s="2" t="s">
        <v>8</v>
      </c>
      <c r="F15" s="4"/>
      <c r="G15" s="1" t="s">
        <v>9</v>
      </c>
      <c r="H15" s="11"/>
      <c r="I15" t="s">
        <v>15</v>
      </c>
      <c r="J15" s="7" t="e">
        <f>+F16/F15</f>
        <v>#DIV/0!</v>
      </c>
    </row>
    <row r="16" spans="1:11" x14ac:dyDescent="0.25">
      <c r="F16" s="4"/>
      <c r="G16" s="1" t="s">
        <v>10</v>
      </c>
      <c r="H16" s="11"/>
      <c r="I16" t="s">
        <v>14</v>
      </c>
      <c r="J16" s="7" t="e">
        <f>+F17/F16</f>
        <v>#DIV/0!</v>
      </c>
    </row>
    <row r="17" spans="3:15" x14ac:dyDescent="0.25">
      <c r="F17" s="4"/>
      <c r="G17" s="1" t="s">
        <v>11</v>
      </c>
      <c r="H17" s="11"/>
      <c r="I17" t="s">
        <v>13</v>
      </c>
      <c r="J17" s="7" t="e">
        <f>+F18/F17</f>
        <v>#DIV/0!</v>
      </c>
    </row>
    <row r="18" spans="3:15" x14ac:dyDescent="0.25">
      <c r="F18" s="4"/>
      <c r="G18" s="1" t="s">
        <v>12</v>
      </c>
      <c r="H18" s="11"/>
      <c r="I18" t="s">
        <v>16</v>
      </c>
      <c r="J18" s="7" t="e">
        <f>+F8/F18</f>
        <v>#DIV/0!</v>
      </c>
    </row>
    <row r="19" spans="3:15" x14ac:dyDescent="0.25">
      <c r="F19" s="2" t="s">
        <v>51</v>
      </c>
      <c r="G19">
        <v>0</v>
      </c>
      <c r="H19" s="11" t="s">
        <v>52</v>
      </c>
      <c r="I19" t="s">
        <v>41</v>
      </c>
      <c r="J19" s="7" t="e">
        <f>+F8/F15</f>
        <v>#DIV/0!</v>
      </c>
    </row>
    <row r="20" spans="3:15" x14ac:dyDescent="0.25">
      <c r="H20" s="11"/>
      <c r="M20" s="21"/>
      <c r="N20" s="21"/>
      <c r="O20" s="21"/>
    </row>
    <row r="21" spans="3:15" x14ac:dyDescent="0.25">
      <c r="C21" s="9"/>
      <c r="D21" s="13" t="s">
        <v>21</v>
      </c>
      <c r="E21" s="9"/>
      <c r="F21" s="9" t="s">
        <v>22</v>
      </c>
      <c r="G21" s="9" t="s">
        <v>23</v>
      </c>
      <c r="H21" s="13" t="s">
        <v>27</v>
      </c>
      <c r="I21" s="10" t="s">
        <v>38</v>
      </c>
      <c r="J21" s="10" t="s">
        <v>37</v>
      </c>
      <c r="K21" s="10" t="s">
        <v>39</v>
      </c>
      <c r="L21" s="9"/>
      <c r="M21" s="21"/>
      <c r="N21" s="21"/>
      <c r="O21" s="21"/>
    </row>
    <row r="22" spans="3:15" ht="6" customHeight="1" x14ac:dyDescent="0.25">
      <c r="M22" s="21"/>
      <c r="N22" s="21"/>
      <c r="O22" s="21"/>
    </row>
    <row r="23" spans="3:15" x14ac:dyDescent="0.25">
      <c r="C23" s="33" t="str">
        <f>IF(H23=1,"u","")</f>
        <v>u</v>
      </c>
      <c r="D23" s="23" t="s">
        <v>178</v>
      </c>
      <c r="E23" s="33"/>
      <c r="F23" t="s">
        <v>179</v>
      </c>
      <c r="G23" t="s">
        <v>25</v>
      </c>
      <c r="H23">
        <f>RANK(K23,K$23:K$43,1)</f>
        <v>1</v>
      </c>
      <c r="I23" s="4">
        <v>63000</v>
      </c>
      <c r="J23" s="4">
        <v>1489600</v>
      </c>
      <c r="K23" s="4">
        <f>+J23+I23</f>
        <v>1552600</v>
      </c>
      <c r="L23" s="4"/>
      <c r="M23" s="22"/>
      <c r="N23" s="22"/>
      <c r="O23" s="22"/>
    </row>
    <row r="24" spans="3:15" x14ac:dyDescent="0.25">
      <c r="C24" s="33" t="str">
        <f>IF(H24=1,"u","")</f>
        <v/>
      </c>
      <c r="D24" s="23" t="s">
        <v>212</v>
      </c>
      <c r="E24" s="33"/>
      <c r="F24" t="s">
        <v>129</v>
      </c>
      <c r="G24" t="s">
        <v>25</v>
      </c>
      <c r="H24">
        <f t="shared" ref="H24:H31" si="0">RANK(K24,K$23:K$43,1)</f>
        <v>2</v>
      </c>
      <c r="I24" s="4">
        <v>52500</v>
      </c>
      <c r="J24" s="4">
        <v>1505057.5</v>
      </c>
      <c r="K24" s="4">
        <f t="shared" ref="K24:K31" si="1">+J24+I24</f>
        <v>1557557.5</v>
      </c>
      <c r="L24" s="4"/>
      <c r="M24" s="22"/>
      <c r="N24" s="22"/>
      <c r="O24" s="22"/>
    </row>
    <row r="25" spans="3:15" x14ac:dyDescent="0.25">
      <c r="C25" s="33" t="str">
        <f>IF(H25=1,"u","")</f>
        <v/>
      </c>
      <c r="D25" s="23" t="s">
        <v>213</v>
      </c>
      <c r="E25" s="33"/>
      <c r="F25" t="s">
        <v>131</v>
      </c>
      <c r="G25" t="s">
        <v>25</v>
      </c>
      <c r="H25">
        <f t="shared" si="0"/>
        <v>3</v>
      </c>
      <c r="I25" s="4">
        <v>15750</v>
      </c>
      <c r="J25" s="4">
        <v>1616049</v>
      </c>
      <c r="K25" s="4">
        <f t="shared" si="1"/>
        <v>1631799</v>
      </c>
      <c r="L25" s="4"/>
      <c r="M25" s="22"/>
      <c r="N25" s="22"/>
      <c r="O25" s="22"/>
    </row>
    <row r="26" spans="3:15" x14ac:dyDescent="0.25">
      <c r="C26" s="33" t="str">
        <f t="shared" ref="C26:C43" si="2">IF(H26=1,"u","")</f>
        <v/>
      </c>
      <c r="D26" s="23" t="s">
        <v>214</v>
      </c>
      <c r="E26" s="33"/>
      <c r="F26" t="s">
        <v>215</v>
      </c>
      <c r="G26" t="s">
        <v>25</v>
      </c>
      <c r="H26">
        <f t="shared" si="0"/>
        <v>4</v>
      </c>
      <c r="I26" s="4">
        <v>26428.5</v>
      </c>
      <c r="J26" s="4">
        <v>1639020.66</v>
      </c>
      <c r="K26" s="4">
        <f t="shared" si="1"/>
        <v>1665449.16</v>
      </c>
      <c r="L26" s="4"/>
      <c r="M26" s="22"/>
      <c r="N26" s="22"/>
      <c r="O26" s="22"/>
    </row>
    <row r="27" spans="3:15" x14ac:dyDescent="0.25">
      <c r="C27" s="33" t="str">
        <f t="shared" si="2"/>
        <v/>
      </c>
      <c r="D27" s="23" t="s">
        <v>216</v>
      </c>
      <c r="E27" s="33"/>
      <c r="F27" t="s">
        <v>95</v>
      </c>
      <c r="G27" t="s">
        <v>93</v>
      </c>
      <c r="H27">
        <f t="shared" si="0"/>
        <v>5</v>
      </c>
      <c r="I27" s="4">
        <v>42000</v>
      </c>
      <c r="J27" s="4">
        <v>1814000</v>
      </c>
      <c r="K27" s="4">
        <f t="shared" si="1"/>
        <v>1856000</v>
      </c>
      <c r="L27" s="4"/>
      <c r="M27" s="22"/>
      <c r="N27" s="22"/>
      <c r="O27" s="22"/>
    </row>
    <row r="28" spans="3:15" x14ac:dyDescent="0.25">
      <c r="C28" s="33" t="str">
        <f t="shared" si="2"/>
        <v/>
      </c>
      <c r="D28" s="23" t="s">
        <v>217</v>
      </c>
      <c r="E28" s="33"/>
      <c r="F28" t="s">
        <v>186</v>
      </c>
      <c r="G28" t="s">
        <v>25</v>
      </c>
      <c r="H28">
        <f t="shared" si="0"/>
        <v>6</v>
      </c>
      <c r="I28" s="4">
        <v>42000</v>
      </c>
      <c r="J28" s="4">
        <v>2031199</v>
      </c>
      <c r="K28" s="4">
        <f t="shared" si="1"/>
        <v>2073199</v>
      </c>
      <c r="L28" s="4"/>
      <c r="M28" s="22"/>
      <c r="N28" s="22"/>
      <c r="O28" s="22"/>
    </row>
    <row r="29" spans="3:15" x14ac:dyDescent="0.25">
      <c r="C29" s="33" t="str">
        <f t="shared" si="2"/>
        <v/>
      </c>
      <c r="D29" s="23" t="s">
        <v>138</v>
      </c>
      <c r="E29" s="33"/>
      <c r="F29" t="s">
        <v>193</v>
      </c>
      <c r="G29" t="s">
        <v>25</v>
      </c>
      <c r="H29">
        <f t="shared" si="0"/>
        <v>7</v>
      </c>
      <c r="I29" s="4">
        <v>53550</v>
      </c>
      <c r="J29" s="4">
        <v>2023272.25</v>
      </c>
      <c r="K29" s="4">
        <f t="shared" si="1"/>
        <v>2076822.25</v>
      </c>
      <c r="L29" s="4"/>
      <c r="M29" s="22"/>
      <c r="N29" s="22"/>
      <c r="O29" s="22"/>
    </row>
    <row r="30" spans="3:15" x14ac:dyDescent="0.25">
      <c r="C30" s="33" t="str">
        <f t="shared" si="2"/>
        <v/>
      </c>
      <c r="D30" s="23" t="s">
        <v>182</v>
      </c>
      <c r="E30" s="33"/>
      <c r="F30" t="s">
        <v>131</v>
      </c>
      <c r="G30" t="s">
        <v>25</v>
      </c>
      <c r="H30">
        <f t="shared" si="0"/>
        <v>8</v>
      </c>
      <c r="I30" s="4">
        <v>21000</v>
      </c>
      <c r="J30" s="4">
        <v>2220000</v>
      </c>
      <c r="K30" s="4">
        <f t="shared" si="1"/>
        <v>2241000</v>
      </c>
      <c r="L30" s="4"/>
      <c r="M30" s="22"/>
      <c r="N30" s="22"/>
      <c r="O30" s="22"/>
    </row>
    <row r="31" spans="3:15" x14ac:dyDescent="0.25">
      <c r="C31" s="33" t="str">
        <f t="shared" si="2"/>
        <v/>
      </c>
      <c r="D31" s="23" t="s">
        <v>218</v>
      </c>
      <c r="E31" s="33"/>
      <c r="F31" t="s">
        <v>95</v>
      </c>
      <c r="G31" t="s">
        <v>93</v>
      </c>
      <c r="H31">
        <f t="shared" si="0"/>
        <v>9</v>
      </c>
      <c r="I31" s="4">
        <v>63000</v>
      </c>
      <c r="J31" s="4">
        <v>3270333</v>
      </c>
      <c r="K31" s="4">
        <f t="shared" si="1"/>
        <v>3333333</v>
      </c>
      <c r="L31" s="4"/>
      <c r="M31" s="22"/>
      <c r="N31" s="22"/>
      <c r="O31" s="22"/>
    </row>
    <row r="32" spans="3:15" x14ac:dyDescent="0.25">
      <c r="C32" s="33"/>
      <c r="D32" s="11"/>
      <c r="E32" s="33"/>
      <c r="I32" s="4"/>
      <c r="J32" s="4"/>
      <c r="K32" s="4"/>
      <c r="L32" s="4"/>
      <c r="M32" s="22"/>
      <c r="N32" s="22"/>
      <c r="O32" s="22"/>
    </row>
    <row r="33" spans="3:15" x14ac:dyDescent="0.25">
      <c r="C33" s="33"/>
      <c r="D33" s="11"/>
      <c r="E33" s="33"/>
      <c r="I33" s="4"/>
      <c r="J33" s="4"/>
      <c r="K33" s="4"/>
      <c r="M33" s="21"/>
      <c r="N33" s="21"/>
      <c r="O33" s="21"/>
    </row>
    <row r="34" spans="3:15" x14ac:dyDescent="0.25">
      <c r="C34" s="33" t="str">
        <f t="shared" si="2"/>
        <v/>
      </c>
      <c r="D34" s="11"/>
      <c r="E34" s="33" t="str">
        <f t="shared" ref="E34:E43" si="3">IF(H34=1,"t","")</f>
        <v/>
      </c>
      <c r="K34" s="4"/>
      <c r="M34" s="21"/>
      <c r="N34" s="21"/>
      <c r="O34" s="21"/>
    </row>
    <row r="35" spans="3:15" x14ac:dyDescent="0.25">
      <c r="C35" s="33" t="str">
        <f t="shared" si="2"/>
        <v/>
      </c>
      <c r="D35" s="11"/>
      <c r="E35" s="33" t="str">
        <f t="shared" si="3"/>
        <v/>
      </c>
      <c r="K35" s="4"/>
      <c r="M35" s="21"/>
      <c r="N35" s="21"/>
      <c r="O35" s="21"/>
    </row>
    <row r="36" spans="3:15" x14ac:dyDescent="0.25">
      <c r="C36" s="33" t="str">
        <f t="shared" si="2"/>
        <v/>
      </c>
      <c r="D36" s="11"/>
      <c r="E36" s="33" t="str">
        <f t="shared" si="3"/>
        <v/>
      </c>
      <c r="K36" s="4"/>
      <c r="M36" s="21"/>
      <c r="N36" s="21"/>
      <c r="O36" s="21"/>
    </row>
    <row r="37" spans="3:15" x14ac:dyDescent="0.25">
      <c r="C37" s="33" t="str">
        <f t="shared" si="2"/>
        <v/>
      </c>
      <c r="D37" s="11"/>
      <c r="E37" s="33" t="str">
        <f t="shared" si="3"/>
        <v/>
      </c>
      <c r="K37" s="4"/>
      <c r="M37" s="21"/>
      <c r="N37" s="21"/>
      <c r="O37" s="21"/>
    </row>
    <row r="38" spans="3:15" x14ac:dyDescent="0.25">
      <c r="C38" s="33" t="str">
        <f t="shared" si="2"/>
        <v/>
      </c>
      <c r="D38" s="11"/>
      <c r="E38" s="33" t="str">
        <f t="shared" si="3"/>
        <v/>
      </c>
      <c r="K38" s="4"/>
      <c r="M38" s="21"/>
      <c r="N38" s="21"/>
      <c r="O38" s="21"/>
    </row>
    <row r="39" spans="3:15" x14ac:dyDescent="0.25">
      <c r="C39" s="33" t="str">
        <f t="shared" si="2"/>
        <v/>
      </c>
      <c r="D39" s="11"/>
      <c r="E39" s="33" t="str">
        <f t="shared" si="3"/>
        <v/>
      </c>
      <c r="K39" s="4"/>
      <c r="M39" s="21"/>
      <c r="N39" s="21"/>
      <c r="O39" s="21"/>
    </row>
    <row r="40" spans="3:15" x14ac:dyDescent="0.25">
      <c r="C40" s="33" t="str">
        <f t="shared" si="2"/>
        <v/>
      </c>
      <c r="D40" s="11"/>
      <c r="E40" s="33" t="str">
        <f t="shared" si="3"/>
        <v/>
      </c>
      <c r="K40" s="4"/>
      <c r="M40" s="21"/>
      <c r="N40" s="21"/>
      <c r="O40" s="21"/>
    </row>
    <row r="41" spans="3:15" x14ac:dyDescent="0.25">
      <c r="C41" s="33" t="str">
        <f t="shared" si="2"/>
        <v/>
      </c>
      <c r="D41" s="11"/>
      <c r="E41" s="33" t="str">
        <f t="shared" si="3"/>
        <v/>
      </c>
      <c r="K41" s="4"/>
      <c r="M41" s="21"/>
      <c r="N41" s="21"/>
      <c r="O41" s="21"/>
    </row>
    <row r="42" spans="3:15" x14ac:dyDescent="0.25">
      <c r="C42" s="33" t="str">
        <f t="shared" si="2"/>
        <v/>
      </c>
      <c r="D42" s="11"/>
      <c r="E42" s="33" t="str">
        <f t="shared" si="3"/>
        <v/>
      </c>
      <c r="K42" s="4"/>
      <c r="M42" s="21"/>
      <c r="N42" s="21"/>
      <c r="O42" s="21"/>
    </row>
    <row r="43" spans="3:15" x14ac:dyDescent="0.25">
      <c r="C43" s="33" t="str">
        <f t="shared" si="2"/>
        <v/>
      </c>
      <c r="D43" s="11"/>
      <c r="E43" s="33" t="str">
        <f t="shared" si="3"/>
        <v/>
      </c>
      <c r="K43" s="4"/>
      <c r="M43" s="21"/>
      <c r="N43" s="21"/>
      <c r="O43" s="21"/>
    </row>
    <row r="44" spans="3:15" ht="6" customHeight="1" x14ac:dyDescent="0.25">
      <c r="C44" s="9"/>
      <c r="D44" s="9"/>
      <c r="E44" s="9"/>
      <c r="F44" s="9"/>
      <c r="G44" s="9"/>
      <c r="H44" s="9"/>
      <c r="I44" s="9"/>
      <c r="J44" s="9"/>
      <c r="K44" s="9"/>
      <c r="L44" s="9"/>
      <c r="M44" s="21"/>
      <c r="N44" s="21"/>
      <c r="O44" s="21"/>
    </row>
    <row r="45" spans="3:15" ht="6" customHeight="1" x14ac:dyDescent="0.25">
      <c r="M45" s="21"/>
      <c r="N45" s="21"/>
      <c r="O45" s="21"/>
    </row>
    <row r="46" spans="3:15" x14ac:dyDescent="0.25">
      <c r="C46" s="15" t="s">
        <v>79</v>
      </c>
      <c r="M46" s="21"/>
      <c r="N46" s="21"/>
      <c r="O46" s="21"/>
    </row>
    <row r="47" spans="3:15" x14ac:dyDescent="0.25">
      <c r="C47" s="15" t="s">
        <v>78</v>
      </c>
    </row>
  </sheetData>
  <mergeCells count="1">
    <mergeCell ref="G13:H13"/>
  </mergeCells>
  <conditionalFormatting sqref="I9">
    <cfRule type="containsText" dxfId="445" priority="19" operator="containsText" text="FAIL">
      <formula>NOT(ISERROR(SEARCH("FAIL",I9)))</formula>
    </cfRule>
  </conditionalFormatting>
  <conditionalFormatting sqref="I9">
    <cfRule type="containsText" dxfId="444" priority="18" operator="containsText" text="GOOD">
      <formula>NOT(ISERROR(SEARCH("GOOD",I9)))</formula>
    </cfRule>
  </conditionalFormatting>
  <conditionalFormatting sqref="I9">
    <cfRule type="containsText" dxfId="443" priority="17" operator="containsText" text="FAIL">
      <formula>NOT(ISERROR(SEARCH("FAIL",I9)))</formula>
    </cfRule>
  </conditionalFormatting>
  <conditionalFormatting sqref="I9">
    <cfRule type="containsText" dxfId="442" priority="16" operator="containsText" text="GOOD">
      <formula>NOT(ISERROR(SEARCH("GOOD",I9)))</formula>
    </cfRule>
  </conditionalFormatting>
  <conditionalFormatting sqref="I9">
    <cfRule type="containsText" dxfId="441" priority="15" operator="containsText" text="FAIL">
      <formula>NOT(ISERROR(SEARCH("FAIL",I9)))</formula>
    </cfRule>
  </conditionalFormatting>
  <conditionalFormatting sqref="I9">
    <cfRule type="containsText" dxfId="440" priority="14" operator="containsText" text="GOOD">
      <formula>NOT(ISERROR(SEARCH("GOOD",I9)))</formula>
    </cfRule>
  </conditionalFormatting>
  <conditionalFormatting sqref="F11">
    <cfRule type="containsText" dxfId="439" priority="13" operator="containsText" text="FAIL">
      <formula>NOT(ISERROR(SEARCH("FAIL",F11)))</formula>
    </cfRule>
  </conditionalFormatting>
  <conditionalFormatting sqref="F11">
    <cfRule type="containsText" dxfId="438" priority="12" operator="containsText" text="GOOD">
      <formula>NOT(ISERROR(SEARCH("GOOD",F11)))</formula>
    </cfRule>
  </conditionalFormatting>
  <conditionalFormatting sqref="I9">
    <cfRule type="containsText" dxfId="437" priority="11" operator="containsText" text="FAIL">
      <formula>NOT(ISERROR(SEARCH("FAIL",I9)))</formula>
    </cfRule>
  </conditionalFormatting>
  <conditionalFormatting sqref="I9">
    <cfRule type="containsText" dxfId="436" priority="10" operator="containsText" text="GOOD">
      <formula>NOT(ISERROR(SEARCH("GOOD",I9)))</formula>
    </cfRule>
  </conditionalFormatting>
  <conditionalFormatting sqref="F11">
    <cfRule type="containsText" dxfId="435" priority="9" operator="containsText" text="FAIL">
      <formula>NOT(ISERROR(SEARCH("FAIL",F11)))</formula>
    </cfRule>
  </conditionalFormatting>
  <conditionalFormatting sqref="F11">
    <cfRule type="containsText" dxfId="434" priority="8" operator="containsText" text="GOOD">
      <formula>NOT(ISERROR(SEARCH("GOOD",F11)))</formula>
    </cfRule>
  </conditionalFormatting>
  <conditionalFormatting sqref="D25">
    <cfRule type="expression" dxfId="433" priority="7" stopIfTrue="1">
      <formula>IF($H$25=1,0)</formula>
    </cfRule>
  </conditionalFormatting>
  <conditionalFormatting sqref="D23:D43">
    <cfRule type="expression" dxfId="432" priority="6">
      <formula>H23=1</formula>
    </cfRule>
  </conditionalFormatting>
  <conditionalFormatting sqref="C23:C43">
    <cfRule type="expression" dxfId="431" priority="5">
      <formula>H23=1</formula>
    </cfRule>
  </conditionalFormatting>
  <conditionalFormatting sqref="E23:E43">
    <cfRule type="expression" dxfId="430" priority="4">
      <formula>H23=1</formula>
    </cfRule>
  </conditionalFormatting>
  <conditionalFormatting sqref="E23:E43">
    <cfRule type="expression" dxfId="429" priority="3">
      <formula>H23=1</formula>
    </cfRule>
  </conditionalFormatting>
  <conditionalFormatting sqref="F11">
    <cfRule type="containsText" dxfId="428" priority="2" operator="containsText" text="FAIL">
      <formula>NOT(ISERROR(SEARCH("FAIL",F11)))</formula>
    </cfRule>
  </conditionalFormatting>
  <conditionalFormatting sqref="F11">
    <cfRule type="containsText" dxfId="427" priority="1" operator="containsText" text="GOOD">
      <formula>NOT(ISERROR(SEARCH("GOOD",F11)))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">
    <tabColor theme="6" tint="-0.249977111117893"/>
  </sheetPr>
  <dimension ref="B2:AF782"/>
  <sheetViews>
    <sheetView zoomScaleNormal="100" workbookViewId="0">
      <pane ySplit="5" topLeftCell="A456" activePane="bottomLeft" state="frozen"/>
      <selection pane="bottomLeft" activeCell="F462" sqref="F462:H471"/>
    </sheetView>
  </sheetViews>
  <sheetFormatPr defaultRowHeight="15" x14ac:dyDescent="0.25"/>
  <cols>
    <col min="1" max="1" width="3.140625" customWidth="1"/>
    <col min="2" max="2" width="2.85546875" customWidth="1"/>
    <col min="3" max="3" width="5.28515625" customWidth="1"/>
    <col min="4" max="4" width="13.42578125" customWidth="1"/>
    <col min="5" max="5" width="51.5703125" customWidth="1"/>
    <col min="6" max="6" width="9.5703125" customWidth="1"/>
    <col min="7" max="7" width="9.42578125" customWidth="1"/>
    <col min="8" max="8" width="15.85546875" customWidth="1"/>
    <col min="9" max="9" width="16.140625" customWidth="1"/>
    <col min="10" max="10" width="13.7109375" customWidth="1"/>
    <col min="11" max="11" width="9.5703125" customWidth="1"/>
    <col min="12" max="12" width="7" customWidth="1"/>
    <col min="13" max="13" width="6.42578125" customWidth="1"/>
    <col min="14" max="14" width="5.7109375" style="11" customWidth="1"/>
    <col min="15" max="15" width="3.42578125" customWidth="1"/>
    <col min="16" max="16" width="6.140625" customWidth="1"/>
    <col min="17" max="17" width="3.42578125" customWidth="1"/>
    <col min="18" max="18" width="13.5703125" customWidth="1"/>
    <col min="19" max="19" width="27" customWidth="1"/>
    <col min="22" max="22" width="11.140625" bestFit="1" customWidth="1"/>
    <col min="23" max="23" width="12.42578125" bestFit="1" customWidth="1"/>
    <col min="24" max="24" width="12" bestFit="1" customWidth="1"/>
    <col min="26" max="27" width="12.140625" bestFit="1" customWidth="1"/>
  </cols>
  <sheetData>
    <row r="2" spans="3:26" ht="27.75" customHeight="1" x14ac:dyDescent="0.25">
      <c r="D2" s="21"/>
      <c r="E2" s="15"/>
      <c r="F2" s="15" t="s">
        <v>32</v>
      </c>
      <c r="I2" s="15"/>
      <c r="J2" s="15"/>
      <c r="L2" s="15" t="s">
        <v>33</v>
      </c>
    </row>
    <row r="3" spans="3:26" ht="18.75" x14ac:dyDescent="0.3">
      <c r="D3" s="3"/>
      <c r="F3" s="3" t="s">
        <v>53</v>
      </c>
      <c r="K3" s="36" t="s">
        <v>54</v>
      </c>
      <c r="L3" s="37">
        <v>2017</v>
      </c>
    </row>
    <row r="5" spans="3:26" x14ac:dyDescent="0.25">
      <c r="C5" s="40" t="s">
        <v>423</v>
      </c>
      <c r="D5" s="49" t="s">
        <v>55</v>
      </c>
      <c r="E5" s="49" t="s">
        <v>56</v>
      </c>
      <c r="F5" s="49" t="s">
        <v>57</v>
      </c>
      <c r="G5" s="50" t="s">
        <v>424</v>
      </c>
      <c r="H5" s="47" t="s">
        <v>58</v>
      </c>
      <c r="I5" s="47" t="s">
        <v>59</v>
      </c>
      <c r="J5" s="42" t="s">
        <v>456</v>
      </c>
      <c r="K5" s="47" t="s">
        <v>60</v>
      </c>
      <c r="L5" s="48" t="s">
        <v>61</v>
      </c>
      <c r="M5" s="47" t="s">
        <v>62</v>
      </c>
      <c r="N5" s="43" t="s">
        <v>225</v>
      </c>
      <c r="O5" s="43" t="s">
        <v>422</v>
      </c>
      <c r="P5" s="43" t="s">
        <v>454</v>
      </c>
      <c r="Q5" s="43"/>
      <c r="R5" s="41" t="s">
        <v>63</v>
      </c>
      <c r="S5" s="9" t="s">
        <v>551</v>
      </c>
      <c r="T5" s="9"/>
      <c r="U5" s="9"/>
      <c r="V5" s="9"/>
    </row>
    <row r="6" spans="3:26" ht="7.5" customHeight="1" x14ac:dyDescent="0.25">
      <c r="C6" s="39"/>
      <c r="G6" s="45"/>
    </row>
    <row r="7" spans="3:26" x14ac:dyDescent="0.25">
      <c r="C7" s="39">
        <v>2017</v>
      </c>
      <c r="D7" s="102" t="str">
        <f>+'GWB-244.261'!$F$4</f>
        <v>GWB-244.261</v>
      </c>
      <c r="E7" s="63" t="str">
        <f>+'GWB-244.261'!$F$5</f>
        <v>Rehab of Low Voltage Power Systems</v>
      </c>
      <c r="F7" s="64">
        <f>+'GWB-244.261'!$F$6</f>
        <v>43088</v>
      </c>
      <c r="G7" s="65" t="str">
        <f>+'GWB-244.261'!$G$7</f>
        <v>MWBE</v>
      </c>
      <c r="H7" s="94">
        <f>+'GWB-244.261'!$F$7</f>
        <v>795000</v>
      </c>
      <c r="I7" s="27">
        <f>+'GWB-244.261'!$F$8</f>
        <v>353700</v>
      </c>
      <c r="J7" s="27"/>
      <c r="K7" s="26">
        <f>+'GWB-244.261'!$G$9</f>
        <v>-0.55509433962264154</v>
      </c>
      <c r="L7" s="11" t="str">
        <f>+'GWB-244.261'!$F$11</f>
        <v>GOOD</v>
      </c>
      <c r="M7" s="62">
        <f>+'GWB-244.261'!$H$12</f>
        <v>8</v>
      </c>
      <c r="N7" s="35" t="s">
        <v>226</v>
      </c>
      <c r="O7" s="15">
        <v>4</v>
      </c>
      <c r="P7" s="35" t="s">
        <v>457</v>
      </c>
      <c r="Q7" s="15"/>
      <c r="R7" s="24"/>
      <c r="S7" s="62" t="str">
        <f>+'GWB-244.261'!$J$4</f>
        <v>Gennadiy Zavokovsky</v>
      </c>
      <c r="T7" s="15"/>
      <c r="U7" s="15"/>
      <c r="V7" s="54">
        <f t="shared" ref="V7:V10" si="0">+H7</f>
        <v>795000</v>
      </c>
      <c r="W7" s="54">
        <f t="shared" ref="W7:W10" si="1">+I7</f>
        <v>353700</v>
      </c>
      <c r="X7" s="54">
        <f t="shared" ref="X7:X10" si="2">+V7-W7</f>
        <v>441300</v>
      </c>
      <c r="Z7" s="11" t="str">
        <f>(IF(Z3&lt;AD8,"FAIL",IF(Z3&gt;AD9,"FAIL","GOOD")))</f>
        <v>GOOD</v>
      </c>
    </row>
    <row r="8" spans="3:26" x14ac:dyDescent="0.25">
      <c r="C8" s="39">
        <v>2017</v>
      </c>
      <c r="D8" s="102" t="str">
        <f>+'TEB-144.056'!$F$4</f>
        <v>TEB-144.056</v>
      </c>
      <c r="E8" s="63" t="str">
        <f>+'TEB-144.056'!$F$5</f>
        <v>Rehabilitation of Sewage Pumps</v>
      </c>
      <c r="F8" s="64">
        <f>+'TEB-144.056'!$F$6</f>
        <v>43083</v>
      </c>
      <c r="G8" s="65" t="str">
        <f>+'TEB-144.056'!$G$7</f>
        <v>MWBE</v>
      </c>
      <c r="H8" s="94">
        <f>+'TEB-144.056'!$F$7</f>
        <v>979000</v>
      </c>
      <c r="I8" s="27">
        <f>+'TEB-144.056'!$F$8</f>
        <v>1168000</v>
      </c>
      <c r="J8" s="27"/>
      <c r="K8" s="26">
        <f>+'TEB-144.056'!$G$9</f>
        <v>0.1930541368743616</v>
      </c>
      <c r="L8" s="11" t="str">
        <f>+'TEB-144.056'!$F$11</f>
        <v>FAIL</v>
      </c>
      <c r="M8" s="62">
        <f>+'TEB-144.056'!$H$12</f>
        <v>2</v>
      </c>
      <c r="N8" s="35" t="s">
        <v>25</v>
      </c>
      <c r="O8" s="15">
        <v>4</v>
      </c>
      <c r="P8" s="35" t="s">
        <v>458</v>
      </c>
      <c r="Q8" s="15"/>
      <c r="R8" s="24"/>
      <c r="S8" s="62" t="str">
        <f>+'TEB-144.056'!$J$4</f>
        <v>Joe Lucin</v>
      </c>
      <c r="T8" s="15"/>
      <c r="U8" s="15"/>
      <c r="V8" s="54">
        <f t="shared" si="0"/>
        <v>979000</v>
      </c>
      <c r="W8" s="54">
        <f t="shared" si="1"/>
        <v>1168000</v>
      </c>
      <c r="X8" s="54">
        <f t="shared" si="2"/>
        <v>-189000</v>
      </c>
    </row>
    <row r="9" spans="3:26" x14ac:dyDescent="0.25">
      <c r="C9" s="39">
        <v>2017</v>
      </c>
      <c r="D9" s="102" t="str">
        <f>+'PN-654.562'!$F$4</f>
        <v>PN-654.562</v>
      </c>
      <c r="E9" s="63" t="str">
        <f>+'PN-654.562'!$F$5</f>
        <v>Building 267 Roof Collapse Repair</v>
      </c>
      <c r="F9" s="64">
        <f>+'PN-654.562'!$F$6</f>
        <v>43083</v>
      </c>
      <c r="G9" s="65"/>
      <c r="H9" s="94"/>
      <c r="I9" s="27"/>
      <c r="J9" s="27"/>
      <c r="K9" s="26"/>
      <c r="L9" s="11"/>
      <c r="M9" s="62"/>
      <c r="N9" s="35"/>
      <c r="O9" s="15"/>
      <c r="P9" s="35"/>
      <c r="Q9" s="15"/>
      <c r="R9" s="24" t="s">
        <v>227</v>
      </c>
      <c r="S9" s="62" t="str">
        <f>+'PN-654.562'!$J$4</f>
        <v>Ed Minall</v>
      </c>
      <c r="T9" s="15"/>
      <c r="U9" s="15"/>
      <c r="V9" s="54">
        <f t="shared" si="0"/>
        <v>0</v>
      </c>
      <c r="W9" s="54">
        <f t="shared" si="1"/>
        <v>0</v>
      </c>
      <c r="X9" s="54">
        <f t="shared" si="2"/>
        <v>0</v>
      </c>
    </row>
    <row r="10" spans="3:26" x14ac:dyDescent="0.25">
      <c r="C10" s="39">
        <v>2017</v>
      </c>
      <c r="D10" s="102" t="str">
        <f>+'LGA-924.287'!$F$4</f>
        <v>LGA-924.287</v>
      </c>
      <c r="E10" s="63" t="str">
        <f>+'LGA-924.287'!$F$5</f>
        <v>Airside Asphalt Paving Repairs via Work Order</v>
      </c>
      <c r="F10" s="64">
        <f>+'LGA-924.287'!$F$6</f>
        <v>43083</v>
      </c>
      <c r="G10" s="65" t="str">
        <f>+'LGA-924.287'!$G$7</f>
        <v>PQL</v>
      </c>
      <c r="H10" s="94">
        <f>+'LGA-924.287'!$F$7</f>
        <v>4872000</v>
      </c>
      <c r="I10" s="27">
        <f>+'LGA-924.287'!$F$8</f>
        <v>3997350</v>
      </c>
      <c r="J10" s="27"/>
      <c r="K10" s="26">
        <f>+'LGA-924.287'!$G$9</f>
        <v>-0.17952586206896551</v>
      </c>
      <c r="L10" s="11" t="str">
        <f>+'LGA-924.287'!$F$11</f>
        <v>GOOD</v>
      </c>
      <c r="M10" s="62">
        <f>+'LGA-924.287'!$H$12</f>
        <v>5</v>
      </c>
      <c r="N10" s="35" t="s">
        <v>93</v>
      </c>
      <c r="O10" s="15">
        <v>4</v>
      </c>
      <c r="P10" s="35" t="s">
        <v>458</v>
      </c>
      <c r="Q10" s="15"/>
      <c r="R10" s="24"/>
      <c r="S10" s="62" t="str">
        <f>+'LGA-924.287'!$J$4</f>
        <v>Joe Lucin</v>
      </c>
      <c r="T10" s="15"/>
      <c r="U10" s="15"/>
      <c r="V10" s="54">
        <f t="shared" si="0"/>
        <v>4872000</v>
      </c>
      <c r="W10" s="54">
        <f t="shared" si="1"/>
        <v>3997350</v>
      </c>
      <c r="X10" s="54">
        <f t="shared" si="2"/>
        <v>874650</v>
      </c>
    </row>
    <row r="11" spans="3:26" x14ac:dyDescent="0.25">
      <c r="C11" s="39">
        <v>2017</v>
      </c>
      <c r="D11" s="102" t="str">
        <f>+'EWR-154.263'!$F$4</f>
        <v>EWR-154.263</v>
      </c>
      <c r="E11" s="63" t="str">
        <f>+'EWR-154.263'!$F$5</f>
        <v>Terminal B Satellite B2 Sterile Corridor Glass Door Replacement</v>
      </c>
      <c r="F11" s="64">
        <f>+'EWR-154.263'!$F$6</f>
        <v>43074</v>
      </c>
      <c r="G11" s="65" t="str">
        <f>+'EWR-154.263'!$G$7</f>
        <v>Public</v>
      </c>
      <c r="H11" s="94">
        <f>+'EWR-154.263'!$F$7</f>
        <v>1530000</v>
      </c>
      <c r="I11" s="27">
        <f>+'EWR-154.263'!$F$8</f>
        <v>1189000</v>
      </c>
      <c r="J11" s="27"/>
      <c r="K11" s="26">
        <f>+'EWR-154.263'!$G$9</f>
        <v>-0.22287581699346407</v>
      </c>
      <c r="L11" s="11" t="str">
        <f>+'EWR-154.263'!$F$11</f>
        <v>GOOD</v>
      </c>
      <c r="M11" s="62">
        <f>+'EWR-154.263'!$H$12</f>
        <v>3</v>
      </c>
      <c r="N11" s="35" t="s">
        <v>25</v>
      </c>
      <c r="O11" s="15">
        <v>4</v>
      </c>
      <c r="P11" s="35" t="s">
        <v>458</v>
      </c>
      <c r="Q11" s="15"/>
      <c r="R11" s="24"/>
      <c r="S11" s="62" t="str">
        <f>+'EWR-154.263'!$J$4</f>
        <v>Henry Yu</v>
      </c>
      <c r="T11" s="15"/>
      <c r="U11" s="15"/>
      <c r="V11" s="54">
        <f t="shared" ref="V11:W23" si="3">+H11</f>
        <v>1530000</v>
      </c>
      <c r="W11" s="54">
        <f t="shared" si="3"/>
        <v>1189000</v>
      </c>
      <c r="X11" s="54">
        <f t="shared" ref="X11:X23" si="4">+V11-W11</f>
        <v>341000</v>
      </c>
    </row>
    <row r="12" spans="3:26" x14ac:dyDescent="0.25">
      <c r="C12" s="39">
        <v>2017</v>
      </c>
      <c r="D12" s="102" t="str">
        <f>+'JFK-144.023'!$F$4</f>
        <v>JFK-144.023</v>
      </c>
      <c r="E12" s="63" t="str">
        <f>+'JFK-144.023'!$F$5</f>
        <v>AOA Light Circuit Replacement</v>
      </c>
      <c r="F12" s="64">
        <f>+'JFK-144.023'!$F$6</f>
        <v>43074</v>
      </c>
      <c r="G12" s="65" t="str">
        <f>+'JFK-144.023'!$G$7</f>
        <v>Public</v>
      </c>
      <c r="H12" s="94">
        <f>+'JFK-144.023'!$F$7</f>
        <v>38000000</v>
      </c>
      <c r="I12" s="27">
        <f>+'JFK-144.023'!$F$8</f>
        <v>28470000</v>
      </c>
      <c r="J12" s="105" t="s">
        <v>519</v>
      </c>
      <c r="K12" s="26">
        <f>+'JFK-144.023'!$G$9</f>
        <v>-0.25078947368421051</v>
      </c>
      <c r="L12" s="11" t="str">
        <f>+'JFK-144.023'!$F$11</f>
        <v>GOOD</v>
      </c>
      <c r="M12" s="62">
        <f>+'JFK-144.023'!$H$12</f>
        <v>4</v>
      </c>
      <c r="N12" s="35" t="s">
        <v>93</v>
      </c>
      <c r="O12" s="15">
        <v>4</v>
      </c>
      <c r="P12" s="35" t="s">
        <v>458</v>
      </c>
      <c r="Q12" s="15"/>
      <c r="R12" s="24" t="s">
        <v>1221</v>
      </c>
      <c r="S12" s="62" t="str">
        <f>+'JFK-144.023'!$J$4</f>
        <v>Henry Yu</v>
      </c>
      <c r="T12" s="15"/>
      <c r="U12" s="15"/>
      <c r="V12" s="54">
        <f t="shared" si="3"/>
        <v>38000000</v>
      </c>
      <c r="W12" s="54">
        <f t="shared" si="3"/>
        <v>28470000</v>
      </c>
      <c r="X12" s="54">
        <f t="shared" si="4"/>
        <v>9530000</v>
      </c>
    </row>
    <row r="13" spans="3:26" x14ac:dyDescent="0.25">
      <c r="C13" s="39">
        <v>2017</v>
      </c>
      <c r="D13" s="102" t="str">
        <f>+'EWR-154.235'!$F$4</f>
        <v>EWR-154.235</v>
      </c>
      <c r="E13" s="63" t="str">
        <f>+'EWR-154.235'!$F$5</f>
        <v>Rehab CTA Entrance and Bridges N1, N2, N5, N6</v>
      </c>
      <c r="F13" s="64">
        <f>+'EWR-154.235'!$F$6</f>
        <v>43068</v>
      </c>
      <c r="G13" s="65" t="str">
        <f>+'EWR-154.235'!$G$7</f>
        <v>Public</v>
      </c>
      <c r="H13" s="94">
        <f>+'EWR-154.235'!$F$7</f>
        <v>6600000</v>
      </c>
      <c r="I13" s="27">
        <f>+'EWR-154.235'!$F$8</f>
        <v>5189333</v>
      </c>
      <c r="J13" s="94" t="s">
        <v>519</v>
      </c>
      <c r="K13" s="26">
        <f>+'EWR-154.235'!$G$9</f>
        <v>-0.21373742424242423</v>
      </c>
      <c r="L13" s="11" t="str">
        <f>+'EWR-154.235'!$F$11</f>
        <v>GOOD</v>
      </c>
      <c r="M13" s="62">
        <f>+'EWR-154.235'!$H$12</f>
        <v>7</v>
      </c>
      <c r="N13" s="35" t="s">
        <v>25</v>
      </c>
      <c r="O13" s="15">
        <v>4</v>
      </c>
      <c r="P13" s="35" t="s">
        <v>458</v>
      </c>
      <c r="Q13" s="15"/>
      <c r="R13" s="24"/>
      <c r="S13" s="62" t="str">
        <f>+'EWR-154.235'!$J$4</f>
        <v>Henry Yu</v>
      </c>
      <c r="T13" s="15"/>
      <c r="U13" s="15"/>
      <c r="V13" s="54">
        <f t="shared" si="3"/>
        <v>6600000</v>
      </c>
      <c r="W13" s="54">
        <f t="shared" si="3"/>
        <v>5189333</v>
      </c>
      <c r="X13" s="54">
        <f t="shared" si="4"/>
        <v>1410667</v>
      </c>
    </row>
    <row r="14" spans="3:26" x14ac:dyDescent="0.25">
      <c r="C14" s="39">
        <v>2017</v>
      </c>
      <c r="D14" s="102" t="str">
        <f>+'LT-234.193'!$F$4</f>
        <v>LT-234.193</v>
      </c>
      <c r="E14" s="63" t="str">
        <f>+'LT-234.193'!$F$5</f>
        <v>Latent Salt Damage Repairs</v>
      </c>
      <c r="F14" s="64">
        <f>+'LT-234.193'!$F$6</f>
        <v>43054</v>
      </c>
      <c r="G14" s="65" t="str">
        <f>+'LT-234.193'!$G$7</f>
        <v>Public</v>
      </c>
      <c r="H14" s="94">
        <f>+'LT-234.193'!$F$7</f>
        <v>1350000</v>
      </c>
      <c r="I14" s="27">
        <f>+'LT-234.193'!$F$8</f>
        <v>2629000</v>
      </c>
      <c r="J14" s="27"/>
      <c r="K14" s="26">
        <f>+'LT-234.193'!$G$9</f>
        <v>0.94740740740740736</v>
      </c>
      <c r="L14" s="11" t="str">
        <f>+'LT-234.193'!$F$11</f>
        <v>FAIL</v>
      </c>
      <c r="M14" s="62">
        <f>+'LT-234.193'!$H$12</f>
        <v>1</v>
      </c>
      <c r="N14" s="35" t="s">
        <v>226</v>
      </c>
      <c r="O14" s="15">
        <v>4</v>
      </c>
      <c r="P14" s="35" t="s">
        <v>457</v>
      </c>
      <c r="Q14" s="15"/>
      <c r="R14" s="24" t="s">
        <v>782</v>
      </c>
      <c r="S14" s="62" t="str">
        <f>+'LT-234.193'!$J$4</f>
        <v>Joe Lucin</v>
      </c>
      <c r="T14" s="15"/>
      <c r="U14" s="15"/>
      <c r="V14" s="54">
        <f t="shared" si="3"/>
        <v>1350000</v>
      </c>
      <c r="W14" s="54">
        <f t="shared" si="3"/>
        <v>2629000</v>
      </c>
      <c r="X14" s="54">
        <f t="shared" si="4"/>
        <v>-1279000</v>
      </c>
    </row>
    <row r="15" spans="3:26" x14ac:dyDescent="0.25">
      <c r="C15" s="39">
        <v>2017</v>
      </c>
      <c r="D15" s="102" t="str">
        <f>+'BT-254.085'!$F$4</f>
        <v>BT-254.085</v>
      </c>
      <c r="E15" s="63" t="str">
        <f>+'BT-254.085'!$F$5</f>
        <v>Internal Structural Enhancements (Column Hardening)</v>
      </c>
      <c r="F15" s="64">
        <f>+'BT-254.085'!$F$6</f>
        <v>43053</v>
      </c>
      <c r="G15" s="65" t="str">
        <f>+'BT-254.085'!$G$7</f>
        <v>VVP</v>
      </c>
      <c r="H15" s="94">
        <f>+'BT-254.085'!$F$7</f>
        <v>17250000</v>
      </c>
      <c r="I15" s="27">
        <f>+'BT-254.085'!$F$8</f>
        <v>22616488</v>
      </c>
      <c r="J15" s="105" t="s">
        <v>519</v>
      </c>
      <c r="K15" s="26">
        <f>+'BT-254.085'!$G$9</f>
        <v>0.3111007536231884</v>
      </c>
      <c r="L15" s="11" t="str">
        <f>+'BT-254.085'!$F$11</f>
        <v>FAIL</v>
      </c>
      <c r="M15" s="62">
        <f>+'BT-254.085'!$H$12</f>
        <v>4</v>
      </c>
      <c r="N15" s="35" t="s">
        <v>93</v>
      </c>
      <c r="O15" s="15">
        <v>4</v>
      </c>
      <c r="P15" s="35" t="s">
        <v>457</v>
      </c>
      <c r="Q15" s="15"/>
      <c r="R15" s="24"/>
      <c r="S15" s="62" t="str">
        <f>+'BT-254.085'!$J$4</f>
        <v>Nathan Demaisip</v>
      </c>
      <c r="T15" s="15"/>
      <c r="U15" s="15"/>
      <c r="V15" s="54">
        <f t="shared" si="3"/>
        <v>17250000</v>
      </c>
      <c r="W15" s="54">
        <f t="shared" si="3"/>
        <v>22616488</v>
      </c>
      <c r="X15" s="54">
        <f t="shared" si="4"/>
        <v>-5366488</v>
      </c>
    </row>
    <row r="16" spans="3:26" x14ac:dyDescent="0.25">
      <c r="C16" s="39">
        <v>2017</v>
      </c>
      <c r="D16" s="62" t="str">
        <f>+'EWR-154.247'!$F$4</f>
        <v>EWR-154.247</v>
      </c>
      <c r="E16" s="63" t="str">
        <f>+'EWR-154.247'!$F$5</f>
        <v>Terminal B Automated Passport System Kiosks</v>
      </c>
      <c r="F16" s="64">
        <f>+'EWR-154.247'!$F$6</f>
        <v>43053</v>
      </c>
      <c r="G16" s="65" t="str">
        <f>+'EWR-154.247'!$G$7</f>
        <v>MWBE</v>
      </c>
      <c r="H16" s="94">
        <f>+'EWR-154.247'!$F$7</f>
        <v>820000</v>
      </c>
      <c r="I16" s="27">
        <f>+'EWR-154.247'!$F$8</f>
        <v>861500</v>
      </c>
      <c r="J16" s="27"/>
      <c r="K16" s="26">
        <f>+'EWR-154.247'!$G$9</f>
        <v>5.0609756097560979E-2</v>
      </c>
      <c r="L16" s="11" t="str">
        <f>+'EWR-154.247'!$F$11</f>
        <v>GOOD</v>
      </c>
      <c r="M16" s="62">
        <f>+'EWR-154.247'!$H$12</f>
        <v>4</v>
      </c>
      <c r="N16" s="35" t="s">
        <v>25</v>
      </c>
      <c r="O16" s="15">
        <v>4</v>
      </c>
      <c r="P16" s="35" t="s">
        <v>458</v>
      </c>
      <c r="Q16" s="15"/>
      <c r="R16" s="24"/>
      <c r="S16" s="62" t="str">
        <f>+'EWR-154.247'!$J$4</f>
        <v>Henry Yu</v>
      </c>
      <c r="T16" s="15"/>
      <c r="U16" s="15"/>
      <c r="V16" s="54">
        <f t="shared" si="3"/>
        <v>820000</v>
      </c>
      <c r="W16" s="54">
        <f t="shared" si="3"/>
        <v>861500</v>
      </c>
      <c r="X16" s="54">
        <f t="shared" si="4"/>
        <v>-41500</v>
      </c>
    </row>
    <row r="17" spans="3:24" x14ac:dyDescent="0.25">
      <c r="C17" s="39">
        <v>2017</v>
      </c>
      <c r="D17" s="62" t="str">
        <f>+'PJ-654.502'!$F$4</f>
        <v>PJ-654.502</v>
      </c>
      <c r="E17" s="63" t="str">
        <f>+'PJ-654.502'!$F$5</f>
        <v>Greenville Yard phase 2</v>
      </c>
      <c r="F17" s="64">
        <f>+'PJ-654.502'!$F$6</f>
        <v>43048</v>
      </c>
      <c r="G17" s="65" t="str">
        <f>+'PJ-654.502'!$G$7</f>
        <v>Public</v>
      </c>
      <c r="H17" s="94">
        <f>+'PJ-654.502'!$F$7</f>
        <v>4860000</v>
      </c>
      <c r="I17" s="27">
        <f>+'PJ-654.502'!$F$8</f>
        <v>3418000</v>
      </c>
      <c r="J17" s="27"/>
      <c r="K17" s="26">
        <f>+'PJ-654.502'!$G$9</f>
        <v>-0.29670781893004117</v>
      </c>
      <c r="L17" s="11" t="str">
        <f>+'PJ-654.502'!$F$11</f>
        <v>GOOD</v>
      </c>
      <c r="M17" s="62">
        <f>+'PJ-654.502'!$H$12</f>
        <v>8</v>
      </c>
      <c r="N17" s="35" t="s">
        <v>25</v>
      </c>
      <c r="O17" s="15">
        <v>4</v>
      </c>
      <c r="P17" s="35" t="s">
        <v>492</v>
      </c>
      <c r="Q17" s="15"/>
      <c r="R17" s="24"/>
      <c r="S17" s="62" t="str">
        <f>+'PJ-654.502'!$J$4</f>
        <v>Ed Minall</v>
      </c>
      <c r="T17" s="15"/>
      <c r="U17" s="15"/>
      <c r="V17" s="54">
        <f t="shared" si="3"/>
        <v>4860000</v>
      </c>
      <c r="W17" s="54">
        <f t="shared" si="3"/>
        <v>3418000</v>
      </c>
      <c r="X17" s="54">
        <f t="shared" si="4"/>
        <v>1442000</v>
      </c>
    </row>
    <row r="18" spans="3:24" x14ac:dyDescent="0.25">
      <c r="C18" s="39">
        <v>2017</v>
      </c>
      <c r="D18" s="62" t="str">
        <f>+'EWR-154.383'!$F$4</f>
        <v>EWR-154.383</v>
      </c>
      <c r="E18" s="63" t="str">
        <f>+'EWR-154.383'!$F$5</f>
        <v>Terminal A Redev - Airside Paving and Utilities South phase 1</v>
      </c>
      <c r="F18" s="64">
        <f>+'EWR-154.383'!$F$6</f>
        <v>43047</v>
      </c>
      <c r="G18" s="65" t="str">
        <f>+'EWR-154.383'!$G$7</f>
        <v>PQL</v>
      </c>
      <c r="H18" s="94">
        <f>+'EWR-154.383'!$F$7</f>
        <v>26900000</v>
      </c>
      <c r="I18" s="27">
        <f>+'EWR-154.383'!$F$8</f>
        <v>26600000</v>
      </c>
      <c r="J18" s="27" t="s">
        <v>519</v>
      </c>
      <c r="K18" s="26">
        <f>+'EWR-154.383'!$G$9</f>
        <v>-1.1152416356877323E-2</v>
      </c>
      <c r="L18" s="11" t="str">
        <f>+'EWR-154.383'!$F$11</f>
        <v>GOOD</v>
      </c>
      <c r="M18" s="62">
        <f>+'EWR-154.383'!$H$12</f>
        <v>3</v>
      </c>
      <c r="N18" s="35" t="s">
        <v>25</v>
      </c>
      <c r="O18" s="15">
        <v>4</v>
      </c>
      <c r="P18" s="35" t="s">
        <v>458</v>
      </c>
      <c r="Q18" s="15"/>
      <c r="R18" s="24"/>
      <c r="S18" s="62" t="str">
        <f>+'EWR-154.383'!$J$4</f>
        <v>Henry Yu</v>
      </c>
      <c r="T18" s="15"/>
      <c r="U18" s="15"/>
      <c r="V18" s="54">
        <f t="shared" si="3"/>
        <v>26900000</v>
      </c>
      <c r="W18" s="54">
        <f t="shared" si="3"/>
        <v>26600000</v>
      </c>
      <c r="X18" s="54">
        <f t="shared" si="4"/>
        <v>300000</v>
      </c>
    </row>
    <row r="19" spans="3:24" x14ac:dyDescent="0.25">
      <c r="C19" s="39">
        <v>2017</v>
      </c>
      <c r="D19" s="62" t="str">
        <f>+'LT-234.194'!$F$4</f>
        <v>LT-234.194</v>
      </c>
      <c r="E19" s="63" t="str">
        <f>+'LT-234.194'!$F$5</f>
        <v>Flood Protection for Ventilation Bldgs and Emergency Generators</v>
      </c>
      <c r="F19" s="64">
        <f>+'LT-234.194'!$F$6</f>
        <v>43047</v>
      </c>
      <c r="G19" s="65" t="str">
        <f>+'LT-234.194'!$G$7</f>
        <v>Public</v>
      </c>
      <c r="H19" s="94">
        <f>+'LT-234.194'!$F$7</f>
        <v>1650000</v>
      </c>
      <c r="I19" s="27">
        <f>+'LT-234.194'!$F$8</f>
        <v>2278990</v>
      </c>
      <c r="J19" s="27"/>
      <c r="K19" s="26">
        <f>+'LT-234.194'!$G$9</f>
        <v>0.3812060606060606</v>
      </c>
      <c r="L19" s="11" t="str">
        <f>+'LT-234.194'!$F$11</f>
        <v>FAIL</v>
      </c>
      <c r="M19" s="62">
        <f>+'LT-234.194'!$H$12</f>
        <v>5</v>
      </c>
      <c r="N19" s="35" t="s">
        <v>226</v>
      </c>
      <c r="O19" s="15">
        <v>4</v>
      </c>
      <c r="P19" s="35" t="s">
        <v>457</v>
      </c>
      <c r="Q19" s="15"/>
      <c r="R19" s="24"/>
      <c r="S19" s="62" t="str">
        <f>+'LT-234.194'!$J$4</f>
        <v>Joe Lucin</v>
      </c>
      <c r="T19" s="15"/>
      <c r="U19" s="15"/>
      <c r="V19" s="54">
        <f t="shared" si="3"/>
        <v>1650000</v>
      </c>
      <c r="W19" s="54">
        <f t="shared" si="3"/>
        <v>2278990</v>
      </c>
      <c r="X19" s="54">
        <f t="shared" si="4"/>
        <v>-628990</v>
      </c>
    </row>
    <row r="20" spans="3:24" x14ac:dyDescent="0.25">
      <c r="C20" s="39">
        <v>2017</v>
      </c>
      <c r="D20" s="62" t="str">
        <f>+'PAT-534.316A'!$F$4</f>
        <v>PAT-534.316A</v>
      </c>
      <c r="E20" s="63" t="str">
        <f>+'PAT-534.316A'!$F$5</f>
        <v>JSQ Transportation Center - Hardening Phase 2</v>
      </c>
      <c r="F20" s="64">
        <f>+'PAT-534.316A'!$F$6</f>
        <v>43034</v>
      </c>
      <c r="G20" s="65" t="str">
        <f>+'PAT-534.316A'!$G$7</f>
        <v>VVP</v>
      </c>
      <c r="H20" s="94">
        <f>+'PAT-534.316A'!$F$7</f>
        <v>2194000</v>
      </c>
      <c r="I20" s="27">
        <f>+'PAT-534.316A'!$F$8</f>
        <v>1361078</v>
      </c>
      <c r="J20" s="27"/>
      <c r="K20" s="26">
        <f>+'PAT-534.316A'!$G$9</f>
        <v>-0.3796362807657247</v>
      </c>
      <c r="L20" s="11" t="str">
        <f>+'PAT-534.316A'!$F$11</f>
        <v>FAIL</v>
      </c>
      <c r="M20" s="62">
        <f>+'PAT-534.316A'!$H$12</f>
        <v>6</v>
      </c>
      <c r="N20" s="35" t="s">
        <v>25</v>
      </c>
      <c r="O20" s="15">
        <v>4</v>
      </c>
      <c r="P20" s="35" t="s">
        <v>459</v>
      </c>
      <c r="Q20" s="15"/>
      <c r="R20" s="24"/>
      <c r="S20" s="62" t="str">
        <f>+'PAT-534.316A'!$J$4</f>
        <v>Nathan Demaisip</v>
      </c>
      <c r="T20" s="15"/>
      <c r="U20" s="15"/>
      <c r="V20" s="54">
        <f t="shared" si="3"/>
        <v>2194000</v>
      </c>
      <c r="W20" s="54">
        <f t="shared" si="3"/>
        <v>1361078</v>
      </c>
      <c r="X20" s="54">
        <f t="shared" si="4"/>
        <v>832922</v>
      </c>
    </row>
    <row r="21" spans="3:24" x14ac:dyDescent="0.25">
      <c r="C21" s="39">
        <v>2017</v>
      </c>
      <c r="D21" s="62" t="str">
        <f>+'JFK-154.021'!$F$4</f>
        <v>JFK-154.021</v>
      </c>
      <c r="E21" s="63" t="str">
        <f>+'JFK-154.021'!$F$5</f>
        <v>Airside Switchgear Replacement</v>
      </c>
      <c r="F21" s="64">
        <f>+'JFK-154.021'!$F$6</f>
        <v>43025</v>
      </c>
      <c r="G21" s="65" t="str">
        <f>+'JFK-154.021'!$G$7</f>
        <v>Public</v>
      </c>
      <c r="H21" s="94">
        <f>+'JFK-154.021'!$F$7</f>
        <v>2800000</v>
      </c>
      <c r="I21" s="27">
        <f>+'JFK-154.021'!$F$8</f>
        <v>2847000</v>
      </c>
      <c r="J21" s="27"/>
      <c r="K21" s="26">
        <f>+'JFK-154.021'!$G$9</f>
        <v>1.6785714285714286E-2</v>
      </c>
      <c r="L21" s="11" t="str">
        <f>+'JFK-154.021'!$F$11</f>
        <v>GOOD</v>
      </c>
      <c r="M21" s="62">
        <f>+'JFK-154.021'!$H$12</f>
        <v>9</v>
      </c>
      <c r="N21" s="35" t="s">
        <v>93</v>
      </c>
      <c r="O21" s="15">
        <v>4</v>
      </c>
      <c r="P21" s="35" t="s">
        <v>458</v>
      </c>
      <c r="Q21" s="15"/>
      <c r="R21" s="24"/>
      <c r="S21" s="62" t="str">
        <f>+'JFK-154.021'!$J$4</f>
        <v>Henry Yu</v>
      </c>
      <c r="T21" s="15"/>
      <c r="U21" s="15"/>
      <c r="V21" s="54">
        <f t="shared" si="3"/>
        <v>2800000</v>
      </c>
      <c r="W21" s="54">
        <f t="shared" si="3"/>
        <v>2847000</v>
      </c>
      <c r="X21" s="54">
        <f t="shared" si="4"/>
        <v>-47000</v>
      </c>
    </row>
    <row r="22" spans="3:24" x14ac:dyDescent="0.25">
      <c r="C22" s="39">
        <v>2017</v>
      </c>
      <c r="D22" s="62" t="str">
        <f>+'EWR-154.254'!$F$4</f>
        <v>EWR-154.254</v>
      </c>
      <c r="E22" s="63" t="str">
        <f>+'EWR-154.254'!$F$5</f>
        <v>Rehab of Terminal Frontage Bridges - Ph1 - Bridge N18, N20 Pier Caps</v>
      </c>
      <c r="F22" s="64">
        <f>+'EWR-154.254'!$F$6</f>
        <v>43025</v>
      </c>
      <c r="G22" s="65" t="str">
        <f>+'EWR-154.254'!$G$7</f>
        <v>Public</v>
      </c>
      <c r="H22" s="94">
        <f>+'EWR-154.254'!$F$7</f>
        <v>3000000</v>
      </c>
      <c r="I22" s="27">
        <f>+'EWR-154.254'!$F$8</f>
        <v>2812500</v>
      </c>
      <c r="J22" s="27"/>
      <c r="K22" s="26">
        <f>+'EWR-154.254'!$G$9</f>
        <v>-6.25E-2</v>
      </c>
      <c r="L22" s="11" t="str">
        <f>+'EWR-154.254'!$F$11</f>
        <v>GOOD</v>
      </c>
      <c r="M22" s="62">
        <f>+'EWR-154.254'!$H$12</f>
        <v>2</v>
      </c>
      <c r="N22" s="35" t="s">
        <v>25</v>
      </c>
      <c r="O22" s="15">
        <v>4</v>
      </c>
      <c r="P22" s="35" t="s">
        <v>458</v>
      </c>
      <c r="Q22" s="15"/>
      <c r="R22" s="24"/>
      <c r="S22" s="62" t="str">
        <f>+'EWR-154.254'!$J$4</f>
        <v>Henry Yu</v>
      </c>
      <c r="T22" s="15"/>
      <c r="U22" s="15"/>
      <c r="V22" s="54">
        <f t="shared" si="3"/>
        <v>3000000</v>
      </c>
      <c r="W22" s="54">
        <f t="shared" si="3"/>
        <v>2812500</v>
      </c>
      <c r="X22" s="54">
        <f t="shared" si="4"/>
        <v>187500</v>
      </c>
    </row>
    <row r="23" spans="3:24" x14ac:dyDescent="0.25">
      <c r="C23" s="39">
        <v>2017</v>
      </c>
      <c r="D23" s="62" t="str">
        <f>+'EWR-924.384'!$F$4</f>
        <v>EWR-924.384</v>
      </c>
      <c r="E23" s="63" t="str">
        <f>+'EWR-924.384'!$F$5</f>
        <v>Bus Canopy B1, C1 and Gas Island Improvements and Roofing</v>
      </c>
      <c r="F23" s="64">
        <f>+'EWR-924.384'!$F$6</f>
        <v>43013</v>
      </c>
      <c r="G23" s="65" t="str">
        <f>+'EWR-924.384'!$G$7</f>
        <v>Public</v>
      </c>
      <c r="H23" s="94">
        <f>+'EWR-924.384'!$F$7</f>
        <v>970000</v>
      </c>
      <c r="I23" s="27">
        <f>+'EWR-924.384'!$F$8</f>
        <v>1285000</v>
      </c>
      <c r="J23" s="27"/>
      <c r="K23" s="26">
        <f>+'EWR-924.384'!$G$9</f>
        <v>0.32474226804123713</v>
      </c>
      <c r="L23" s="11" t="str">
        <f>+'EWR-924.384'!$F$11</f>
        <v>FAIL</v>
      </c>
      <c r="M23" s="62">
        <f>+'EWR-924.384'!$H$12</f>
        <v>6</v>
      </c>
      <c r="N23" s="35" t="s">
        <v>25</v>
      </c>
      <c r="O23" s="15">
        <v>4</v>
      </c>
      <c r="P23" s="35" t="s">
        <v>458</v>
      </c>
      <c r="Q23" s="15"/>
      <c r="R23" s="24"/>
      <c r="S23" s="62" t="str">
        <f>+'EWR-924.384'!$J$4</f>
        <v>Henry Yu</v>
      </c>
      <c r="T23" s="15"/>
      <c r="U23" s="15"/>
      <c r="V23" s="54">
        <f t="shared" si="3"/>
        <v>970000</v>
      </c>
      <c r="W23" s="54">
        <f t="shared" si="3"/>
        <v>1285000</v>
      </c>
      <c r="X23" s="54">
        <f t="shared" si="4"/>
        <v>-315000</v>
      </c>
    </row>
    <row r="24" spans="3:24" ht="7.5" customHeight="1" x14ac:dyDescent="0.25">
      <c r="C24" s="39"/>
      <c r="G24" s="45"/>
      <c r="M24" s="52"/>
      <c r="P24" s="11"/>
      <c r="S24" s="15"/>
      <c r="V24" s="54"/>
      <c r="W24" s="54"/>
      <c r="X24" s="54"/>
    </row>
    <row r="25" spans="3:24" x14ac:dyDescent="0.25">
      <c r="C25" s="39">
        <v>2017</v>
      </c>
      <c r="D25" s="62" t="str">
        <f>+'HT-924.144'!$F$4</f>
        <v>HT-924.144</v>
      </c>
      <c r="E25" s="63" t="str">
        <f>+'HT-924.144'!$F$5</f>
        <v>Heat Tracing and Insulation in Discharge Pipes, N&amp;S Tubes</v>
      </c>
      <c r="F25" s="64">
        <f>+'HT-924.144'!$F$6</f>
        <v>43006</v>
      </c>
      <c r="G25" s="65" t="str">
        <f>+'HT-924.144'!$G$7</f>
        <v>MWBE</v>
      </c>
      <c r="H25" s="94">
        <f>+'HT-924.144'!$F$7</f>
        <v>609000</v>
      </c>
      <c r="I25" s="27">
        <f>+'HT-924.144'!$F$8</f>
        <v>579300</v>
      </c>
      <c r="J25" s="27"/>
      <c r="K25" s="26">
        <f>+'HT-924.144'!$G$9</f>
        <v>-4.8768472906403938E-2</v>
      </c>
      <c r="L25" s="11" t="str">
        <f>+'HT-924.144'!$F$11</f>
        <v>GOOD</v>
      </c>
      <c r="M25" s="62">
        <f>+'HT-924.144'!$H$12</f>
        <v>4</v>
      </c>
      <c r="N25" s="35" t="s">
        <v>226</v>
      </c>
      <c r="O25" s="15">
        <v>3</v>
      </c>
      <c r="P25" s="35" t="s">
        <v>457</v>
      </c>
      <c r="Q25" s="15"/>
      <c r="R25" s="24"/>
      <c r="S25" s="62" t="str">
        <f>+'HT-924.144'!$J$4</f>
        <v>Gennadiy Zavolkovskiy</v>
      </c>
      <c r="T25" s="15"/>
      <c r="U25" s="15"/>
      <c r="V25" s="54">
        <f t="shared" ref="V25:W36" si="5">+H25</f>
        <v>609000</v>
      </c>
      <c r="W25" s="54">
        <f t="shared" si="5"/>
        <v>579300</v>
      </c>
      <c r="X25" s="54">
        <f t="shared" ref="X25:X36" si="6">+V25-W25</f>
        <v>29700</v>
      </c>
    </row>
    <row r="26" spans="3:24" x14ac:dyDescent="0.25">
      <c r="C26" s="39">
        <v>2017</v>
      </c>
      <c r="D26" s="62" t="str">
        <f>+'HT-924.106'!$F$4</f>
        <v>HT-924.106</v>
      </c>
      <c r="E26" s="63" t="str">
        <f>+'HT-924.106'!$F$5</f>
        <v>Replace Missing Tiles at Walls and Ceiling</v>
      </c>
      <c r="F26" s="64">
        <f>+'HT-924.106'!$F$6</f>
        <v>43005</v>
      </c>
      <c r="G26" s="65" t="str">
        <f>+'HT-924.106'!$G$7</f>
        <v>Public</v>
      </c>
      <c r="H26" s="94">
        <f>+'HT-924.106'!$F$7</f>
        <v>1250000</v>
      </c>
      <c r="I26" s="27">
        <f>+'HT-924.106'!$F$8</f>
        <v>1068000</v>
      </c>
      <c r="J26" s="27"/>
      <c r="K26" s="26">
        <f>+'HT-924.106'!$G$9</f>
        <v>-0.14560000000000001</v>
      </c>
      <c r="L26" s="11" t="str">
        <f>+'HT-924.106'!$F$11</f>
        <v>GOOD</v>
      </c>
      <c r="M26" s="62">
        <f>+'HT-924.106'!$H$12</f>
        <v>6</v>
      </c>
      <c r="N26" s="35" t="s">
        <v>226</v>
      </c>
      <c r="O26" s="15">
        <v>3</v>
      </c>
      <c r="P26" s="35" t="s">
        <v>457</v>
      </c>
      <c r="Q26" s="15"/>
      <c r="R26" s="24"/>
      <c r="S26" s="62" t="str">
        <f>+'HT-924.106'!$J$4</f>
        <v>Joe Lucin</v>
      </c>
      <c r="T26" s="15"/>
      <c r="U26" s="15"/>
      <c r="V26" s="54">
        <f t="shared" si="5"/>
        <v>1250000</v>
      </c>
      <c r="W26" s="54">
        <f t="shared" si="5"/>
        <v>1068000</v>
      </c>
      <c r="X26" s="54">
        <f t="shared" si="6"/>
        <v>182000</v>
      </c>
    </row>
    <row r="27" spans="3:24" x14ac:dyDescent="0.25">
      <c r="C27" s="39">
        <v>2017</v>
      </c>
      <c r="D27" s="62" t="str">
        <f>+'GWB-244.042'!$F$4</f>
        <v>GWB-244.042</v>
      </c>
      <c r="E27" s="63" t="str">
        <f>+'GWB-244.042'!$F$5</f>
        <v>Replacement of 178/179 St Ramps, Bus Ramps and Bus Turnaround</v>
      </c>
      <c r="F27" s="64">
        <f>+'GWB-244.042'!$F$6</f>
        <v>43004</v>
      </c>
      <c r="G27" s="65" t="str">
        <f>+'GWB-244.042'!$G$7</f>
        <v>PQL</v>
      </c>
      <c r="H27" s="94">
        <f>+'GWB-244.042'!$F$7</f>
        <v>189900000</v>
      </c>
      <c r="I27" s="27">
        <f>+'GWB-244.042'!$F$8</f>
        <v>154487000</v>
      </c>
      <c r="J27" s="27" t="s">
        <v>519</v>
      </c>
      <c r="K27" s="26">
        <f>+'GWB-244.042'!$G$9</f>
        <v>-0.18648235913638758</v>
      </c>
      <c r="L27" s="11" t="str">
        <f>+'GWB-244.042'!$F$11</f>
        <v>GOOD</v>
      </c>
      <c r="M27" s="62">
        <f>+'GWB-244.042'!$H$12</f>
        <v>5</v>
      </c>
      <c r="N27" s="35" t="s">
        <v>93</v>
      </c>
      <c r="O27" s="15">
        <v>3</v>
      </c>
      <c r="P27" s="35" t="s">
        <v>457</v>
      </c>
      <c r="Q27" s="15"/>
      <c r="R27" s="24"/>
      <c r="S27" s="62" t="str">
        <f>+'GWB-244.042'!$J$4</f>
        <v>Ed Minall</v>
      </c>
      <c r="T27" s="15"/>
      <c r="U27" s="15"/>
      <c r="V27" s="54">
        <f t="shared" si="5"/>
        <v>189900000</v>
      </c>
      <c r="W27" s="54">
        <f t="shared" si="5"/>
        <v>154487000</v>
      </c>
      <c r="X27" s="54">
        <f t="shared" si="6"/>
        <v>35413000</v>
      </c>
    </row>
    <row r="28" spans="3:24" x14ac:dyDescent="0.25">
      <c r="C28" s="39">
        <v>2017</v>
      </c>
      <c r="D28" s="62" t="str">
        <f>+'BP-694.510'!$F$4</f>
        <v>BP-694.510</v>
      </c>
      <c r="E28" s="63" t="str">
        <f>+'BP-694.510'!$F$5</f>
        <v>Brooklyn Pier 10 Concrete Girder Repairs</v>
      </c>
      <c r="F28" s="64">
        <f>+'BP-694.510'!$F$6</f>
        <v>42999</v>
      </c>
      <c r="G28" s="65" t="str">
        <f>+'BP-694.510'!$G$7</f>
        <v>Public</v>
      </c>
      <c r="H28" s="94">
        <f>+'BP-694.510'!$F$7</f>
        <v>1250000</v>
      </c>
      <c r="I28" s="27">
        <f>+'BP-694.510'!$F$8</f>
        <v>876947</v>
      </c>
      <c r="J28" s="27"/>
      <c r="K28" s="26">
        <f>+'BP-694.510'!$G$9</f>
        <v>-0.2984424</v>
      </c>
      <c r="L28" s="11" t="str">
        <f>+'BP-694.510'!$F$11</f>
        <v>GOOD</v>
      </c>
      <c r="M28" s="62">
        <f>+'BP-694.510'!$H$12</f>
        <v>13</v>
      </c>
      <c r="N28" s="35" t="s">
        <v>93</v>
      </c>
      <c r="O28" s="15">
        <v>3</v>
      </c>
      <c r="P28" s="35" t="s">
        <v>492</v>
      </c>
      <c r="Q28" s="15"/>
      <c r="R28" s="24"/>
      <c r="S28" s="62" t="str">
        <f>+'BP-694.510'!$J$4</f>
        <v>Ed Minall</v>
      </c>
      <c r="T28" s="15"/>
      <c r="U28" s="15"/>
      <c r="V28" s="54">
        <f t="shared" si="5"/>
        <v>1250000</v>
      </c>
      <c r="W28" s="54">
        <f t="shared" si="5"/>
        <v>876947</v>
      </c>
      <c r="X28" s="54">
        <f t="shared" si="6"/>
        <v>373053</v>
      </c>
    </row>
    <row r="29" spans="3:24" x14ac:dyDescent="0.25">
      <c r="C29" s="39">
        <v>2017</v>
      </c>
      <c r="D29" s="62" t="str">
        <f>+'MF-924.022'!$F$4</f>
        <v>MF-924.022</v>
      </c>
      <c r="E29" s="63" t="str">
        <f>+'MF-924.022'!$F$5</f>
        <v>LT and GWB - Rock Slope Priority Repairs</v>
      </c>
      <c r="F29" s="64">
        <f>+'MF-924.022'!$F$6</f>
        <v>42997</v>
      </c>
      <c r="G29" s="65" t="str">
        <f>+'MF-924.022'!$G$7</f>
        <v>Public</v>
      </c>
      <c r="H29" s="94">
        <f>+'MF-924.022'!$F$7</f>
        <v>1326000</v>
      </c>
      <c r="I29" s="27">
        <f>+'MF-924.022'!$F$8</f>
        <v>1976491</v>
      </c>
      <c r="J29" s="27"/>
      <c r="K29" s="26">
        <f>+'MF-924.022'!$G$9</f>
        <v>0.49056636500754147</v>
      </c>
      <c r="L29" s="11" t="str">
        <f>+'MF-924.022'!$F$11</f>
        <v>FAIL</v>
      </c>
      <c r="M29" s="62">
        <f>+'MF-924.022'!$H$12</f>
        <v>4</v>
      </c>
      <c r="N29" s="35" t="s">
        <v>25</v>
      </c>
      <c r="O29" s="15">
        <v>3</v>
      </c>
      <c r="P29" s="35" t="s">
        <v>457</v>
      </c>
      <c r="Q29" s="15"/>
      <c r="R29" s="24"/>
      <c r="S29" s="62" t="str">
        <f>+'MF-924.022'!$J$4</f>
        <v>Joe Lucin</v>
      </c>
      <c r="T29" s="15"/>
      <c r="U29" s="15"/>
      <c r="V29" s="54">
        <f t="shared" si="5"/>
        <v>1326000</v>
      </c>
      <c r="W29" s="54">
        <f t="shared" si="5"/>
        <v>1976491</v>
      </c>
      <c r="X29" s="54">
        <f t="shared" si="6"/>
        <v>-650491</v>
      </c>
    </row>
    <row r="30" spans="3:24" x14ac:dyDescent="0.25">
      <c r="C30" s="39">
        <v>2017</v>
      </c>
      <c r="D30" s="62" t="str">
        <f>+'EWR-251'!$F$4</f>
        <v>EWR-251</v>
      </c>
      <c r="E30" s="63" t="str">
        <f>+'EWR-251'!$F$5</f>
        <v>Rehab of Taxiway Z from Runway 11 Edge to UA</v>
      </c>
      <c r="F30" s="64">
        <f>+'EWR-251'!$F$6</f>
        <v>42964</v>
      </c>
      <c r="G30" s="65" t="str">
        <f>+'EWR-251'!$G$7</f>
        <v>PQL</v>
      </c>
      <c r="H30" s="94">
        <f>+'EWR-251'!$F$7</f>
        <v>8500000</v>
      </c>
      <c r="I30" s="27">
        <f>+'EWR-251'!$F$8</f>
        <v>5682000</v>
      </c>
      <c r="J30" s="105" t="s">
        <v>519</v>
      </c>
      <c r="K30" s="26">
        <f>+'EWR-251'!$G$9</f>
        <v>-0.33152941176470591</v>
      </c>
      <c r="L30" s="11" t="str">
        <f>+'EWR-251'!$F$11</f>
        <v>FAIL</v>
      </c>
      <c r="M30" s="62">
        <f>+'EWR-251'!$H$12</f>
        <v>3</v>
      </c>
      <c r="N30" s="35" t="s">
        <v>25</v>
      </c>
      <c r="O30" s="15">
        <v>3</v>
      </c>
      <c r="P30" s="35" t="s">
        <v>458</v>
      </c>
      <c r="Q30" s="15"/>
      <c r="R30" s="24"/>
      <c r="S30" s="62" t="str">
        <f>+'EWR-251'!$J$4</f>
        <v>Henry Yu</v>
      </c>
      <c r="T30" s="15"/>
      <c r="U30" s="15"/>
      <c r="V30" s="54">
        <f t="shared" si="5"/>
        <v>8500000</v>
      </c>
      <c r="W30" s="54">
        <f t="shared" si="5"/>
        <v>5682000</v>
      </c>
      <c r="X30" s="54">
        <f t="shared" si="6"/>
        <v>2818000</v>
      </c>
    </row>
    <row r="31" spans="3:24" x14ac:dyDescent="0.25">
      <c r="C31" s="39">
        <v>2017</v>
      </c>
      <c r="D31" s="62" t="str">
        <f>+'LGA-154.251'!$F$4</f>
        <v>LGA-154.251</v>
      </c>
      <c r="E31" s="63" t="str">
        <f>+'LGA-154.251'!$F$5</f>
        <v>Rehab of Runway Deck Structural Elements phase 3</v>
      </c>
      <c r="F31" s="64">
        <f>+'LGA-154.251'!$F$6</f>
        <v>42951</v>
      </c>
      <c r="G31" s="65" t="str">
        <f>+'LGA-154.251'!$G$7</f>
        <v>Public</v>
      </c>
      <c r="H31" s="94">
        <f>+'LGA-154.251'!$F$7</f>
        <v>6040000</v>
      </c>
      <c r="I31" s="27">
        <f>+'LGA-154.251'!$F$8</f>
        <v>4845475</v>
      </c>
      <c r="J31" s="27" t="s">
        <v>519</v>
      </c>
      <c r="K31" s="26">
        <f>+'LGA-154.251'!$G$9</f>
        <v>-0.19776903973509935</v>
      </c>
      <c r="L31" s="11" t="str">
        <f>+'LGA-154.251'!$F$11</f>
        <v>GOOD</v>
      </c>
      <c r="M31" s="62">
        <f>+'LGA-154.251'!$H$12</f>
        <v>8</v>
      </c>
      <c r="N31" s="35" t="s">
        <v>93</v>
      </c>
      <c r="O31" s="15">
        <v>3</v>
      </c>
      <c r="P31" s="35" t="s">
        <v>458</v>
      </c>
      <c r="Q31" s="15"/>
      <c r="R31" s="24"/>
      <c r="S31" s="62" t="str">
        <f>+'LGA-154.251'!$J$4</f>
        <v>Joe Lucin</v>
      </c>
      <c r="T31" s="15"/>
      <c r="U31" s="15"/>
      <c r="V31" s="54">
        <f t="shared" si="5"/>
        <v>6040000</v>
      </c>
      <c r="W31" s="54">
        <f t="shared" si="5"/>
        <v>4845475</v>
      </c>
      <c r="X31" s="54">
        <f t="shared" si="6"/>
        <v>1194525</v>
      </c>
    </row>
    <row r="32" spans="3:24" x14ac:dyDescent="0.25">
      <c r="C32" s="39">
        <v>2017</v>
      </c>
      <c r="D32" s="62" t="str">
        <f>+'MFP-924.662'!$F$4</f>
        <v>MFP-924.662</v>
      </c>
      <c r="E32" s="63" t="str">
        <f>+'MFP-924.662'!$F$5</f>
        <v>NJ Marine Terminals - Maintenance Dredging via Work Order</v>
      </c>
      <c r="F32" s="64">
        <f>+'MFP-924.662'!$F$6</f>
        <v>42950</v>
      </c>
      <c r="G32" s="65" t="str">
        <f>+'MFP-924.662'!$G$7</f>
        <v>PQL</v>
      </c>
      <c r="H32" s="94">
        <f>+'MFP-924.662'!$F$7</f>
        <v>13720000</v>
      </c>
      <c r="I32" s="27">
        <f>+'MFP-924.662'!$F$8</f>
        <v>11539200</v>
      </c>
      <c r="J32" s="27" t="s">
        <v>519</v>
      </c>
      <c r="K32" s="26">
        <f>+'MFP-924.662'!$G$9</f>
        <v>-0.15895043731778424</v>
      </c>
      <c r="L32" s="11" t="str">
        <f>+'MFP-924.662'!$F$11</f>
        <v>GOOD</v>
      </c>
      <c r="M32" s="62">
        <f>+'MFP-924.662'!$H$12</f>
        <v>4</v>
      </c>
      <c r="N32" s="35" t="s">
        <v>25</v>
      </c>
      <c r="O32" s="15">
        <v>3</v>
      </c>
      <c r="P32" s="35" t="s">
        <v>492</v>
      </c>
      <c r="Q32" s="15"/>
      <c r="R32" s="24"/>
      <c r="S32" s="62" t="str">
        <f>+'MFP-924.662'!$J$4</f>
        <v>Ed Minall</v>
      </c>
      <c r="T32" s="15"/>
      <c r="U32" s="15"/>
      <c r="V32" s="54">
        <f t="shared" si="5"/>
        <v>13720000</v>
      </c>
      <c r="W32" s="54">
        <f t="shared" si="5"/>
        <v>11539200</v>
      </c>
      <c r="X32" s="54">
        <f t="shared" si="6"/>
        <v>2180800</v>
      </c>
    </row>
    <row r="33" spans="3:24" x14ac:dyDescent="0.25">
      <c r="C33" s="39">
        <v>2017</v>
      </c>
      <c r="D33" s="62" t="str">
        <f>+'JFK-1070'!$F$4</f>
        <v>JFK-1070</v>
      </c>
      <c r="E33" s="63" t="str">
        <f>+'JFK-1070'!$F$5</f>
        <v>Landside Asphalt Repairs via Work Ouder</v>
      </c>
      <c r="F33" s="64">
        <f>+'JFK-1070'!$F$6</f>
        <v>42949</v>
      </c>
      <c r="G33" s="65" t="str">
        <f>+'JFK-1070'!$G$7</f>
        <v>Public</v>
      </c>
      <c r="H33" s="94">
        <f>+'JFK-1070'!$F$7</f>
        <v>1650000</v>
      </c>
      <c r="I33" s="27">
        <f>+'JFK-1070'!$F$8</f>
        <v>1320718</v>
      </c>
      <c r="J33" s="27"/>
      <c r="K33" s="26">
        <f>+'JFK-1070'!$G$9</f>
        <v>-0.19956484848484848</v>
      </c>
      <c r="L33" s="11" t="str">
        <f>+'JFK-1070'!$F$11</f>
        <v>GOOD</v>
      </c>
      <c r="M33" s="62">
        <f>+'JFK-1070'!$H$12</f>
        <v>4</v>
      </c>
      <c r="N33" s="35" t="s">
        <v>93</v>
      </c>
      <c r="O33" s="15">
        <v>3</v>
      </c>
      <c r="P33" s="35" t="s">
        <v>458</v>
      </c>
      <c r="Q33" s="15"/>
      <c r="R33" s="24"/>
      <c r="S33" s="62" t="str">
        <f>+'JFK-1070'!$J$4</f>
        <v>Henry Yu</v>
      </c>
      <c r="T33" s="15"/>
      <c r="U33" s="15"/>
      <c r="V33" s="54">
        <f t="shared" si="5"/>
        <v>1650000</v>
      </c>
      <c r="W33" s="54">
        <f t="shared" si="5"/>
        <v>1320718</v>
      </c>
      <c r="X33" s="54">
        <f t="shared" si="6"/>
        <v>329282</v>
      </c>
    </row>
    <row r="34" spans="3:24" x14ac:dyDescent="0.25">
      <c r="C34" s="39">
        <v>2017</v>
      </c>
      <c r="D34" s="62" t="str">
        <f>+'JFK-154.024'!$F$4</f>
        <v>JFK-154.024</v>
      </c>
      <c r="E34" s="63" t="str">
        <f>+'JFK-154.024'!$F$5</f>
        <v>Backflow Prevention &amp; Water Meters Phase 4</v>
      </c>
      <c r="F34" s="64">
        <f>+'JFK-154.024'!$F$6</f>
        <v>42948</v>
      </c>
      <c r="G34" s="65" t="str">
        <f>+'JFK-154.024'!$G$7</f>
        <v>Public</v>
      </c>
      <c r="H34" s="94">
        <f>+'JFK-154.024'!$F$7</f>
        <v>1330000</v>
      </c>
      <c r="I34" s="27">
        <f>+'JFK-154.024'!$F$8</f>
        <v>936000</v>
      </c>
      <c r="J34" s="27"/>
      <c r="K34" s="26">
        <f>+'JFK-154.024'!$G$9</f>
        <v>-0.29624060150375942</v>
      </c>
      <c r="L34" s="11" t="str">
        <f>+'JFK-154.024'!$F$11</f>
        <v>GOOD</v>
      </c>
      <c r="M34" s="62">
        <f>+'JFK-154.024'!$H$12</f>
        <v>6</v>
      </c>
      <c r="N34" s="35" t="s">
        <v>93</v>
      </c>
      <c r="O34" s="15">
        <v>3</v>
      </c>
      <c r="P34" s="35" t="s">
        <v>458</v>
      </c>
      <c r="Q34" s="15"/>
      <c r="R34" s="24"/>
      <c r="S34" s="62" t="str">
        <f>+'JFK-154.024'!$J$4</f>
        <v>Henry Yu</v>
      </c>
      <c r="T34" s="15"/>
      <c r="U34" s="15"/>
      <c r="V34" s="54">
        <f t="shared" si="5"/>
        <v>1330000</v>
      </c>
      <c r="W34" s="54">
        <f t="shared" si="5"/>
        <v>936000</v>
      </c>
      <c r="X34" s="54">
        <f t="shared" si="6"/>
        <v>394000</v>
      </c>
    </row>
    <row r="35" spans="3:24" x14ac:dyDescent="0.25">
      <c r="C35" s="39">
        <v>2017</v>
      </c>
      <c r="D35" s="62" t="str">
        <f>+'HT-224.120'!$F$4</f>
        <v>HT-224.120</v>
      </c>
      <c r="E35" s="63" t="str">
        <f>+'HT-224.120'!$F$5</f>
        <v>Rehabilitation of Bronze Doors at Spring Street</v>
      </c>
      <c r="F35" s="64">
        <f>+'HT-224.120'!$F$6</f>
        <v>42942</v>
      </c>
      <c r="G35" s="65" t="str">
        <f>+'HT-224.120'!$G$7</f>
        <v>Public</v>
      </c>
      <c r="H35" s="94">
        <f>+'HT-224.120'!$F$7</f>
        <v>700000</v>
      </c>
      <c r="I35" s="27">
        <f>+'HT-224.120'!$F$8</f>
        <v>614770</v>
      </c>
      <c r="J35" s="27"/>
      <c r="K35" s="26">
        <f>+'HT-224.120'!$G$9</f>
        <v>-0.12175714285714286</v>
      </c>
      <c r="L35" s="11" t="str">
        <f>+'HT-224.120'!$F$11</f>
        <v>GOOD</v>
      </c>
      <c r="M35" s="62">
        <f>+'HT-224.120'!$H$12</f>
        <v>2</v>
      </c>
      <c r="N35" s="35" t="s">
        <v>93</v>
      </c>
      <c r="O35" s="15">
        <v>3</v>
      </c>
      <c r="P35" s="35" t="s">
        <v>457</v>
      </c>
      <c r="Q35" s="15"/>
      <c r="R35" s="24"/>
      <c r="S35" s="62" t="str">
        <f>+'HT-224.120'!$J$4</f>
        <v>Andy Victors</v>
      </c>
      <c r="T35" s="15"/>
      <c r="U35" s="15"/>
      <c r="V35" s="54">
        <f t="shared" si="5"/>
        <v>700000</v>
      </c>
      <c r="W35" s="54">
        <f t="shared" si="5"/>
        <v>614770</v>
      </c>
      <c r="X35" s="54">
        <f t="shared" si="6"/>
        <v>85230</v>
      </c>
    </row>
    <row r="36" spans="3:24" x14ac:dyDescent="0.25">
      <c r="C36" s="39">
        <v>2017</v>
      </c>
      <c r="D36" s="62" t="str">
        <f>+'LGA-124.244'!$F$4</f>
        <v>LGA-124.244</v>
      </c>
      <c r="E36" s="63" t="str">
        <f>+'LGA-124.244'!$F$5</f>
        <v>AOA Light Circuit Replacement</v>
      </c>
      <c r="F36" s="64">
        <f>+'LGA-124.244'!$F$6</f>
        <v>42941</v>
      </c>
      <c r="G36" s="65" t="str">
        <f>+'LGA-124.244'!$G$7</f>
        <v>Public</v>
      </c>
      <c r="H36" s="94">
        <f>+'LGA-124.244'!$F$7</f>
        <v>7200000</v>
      </c>
      <c r="I36" s="27">
        <f>+'LGA-124.244'!$F$8</f>
        <v>1936000</v>
      </c>
      <c r="J36" s="105" t="s">
        <v>519</v>
      </c>
      <c r="K36" s="26">
        <f>+'LGA-124.244'!$G$9</f>
        <v>-0.73111111111111116</v>
      </c>
      <c r="L36" s="11" t="str">
        <f>+'LGA-124.244'!$F$11</f>
        <v>FAIL</v>
      </c>
      <c r="M36" s="62">
        <f>+'LGA-124.244'!$H$12</f>
        <v>4</v>
      </c>
      <c r="N36" s="35" t="s">
        <v>93</v>
      </c>
      <c r="O36" s="15">
        <v>3</v>
      </c>
      <c r="P36" s="35" t="s">
        <v>458</v>
      </c>
      <c r="Q36" s="15"/>
      <c r="R36" s="24"/>
      <c r="S36" s="62" t="str">
        <f>+'LGA-124.244'!$J$4</f>
        <v>Henry Yu</v>
      </c>
      <c r="T36" s="15"/>
      <c r="U36" s="15"/>
      <c r="V36" s="54">
        <f t="shared" si="5"/>
        <v>7200000</v>
      </c>
      <c r="W36" s="54">
        <f t="shared" si="5"/>
        <v>1936000</v>
      </c>
      <c r="X36" s="54">
        <f t="shared" si="6"/>
        <v>5264000</v>
      </c>
    </row>
    <row r="37" spans="3:24" ht="7.5" customHeight="1" x14ac:dyDescent="0.25">
      <c r="C37" s="39"/>
      <c r="G37" s="45"/>
      <c r="M37" s="52"/>
      <c r="P37" s="11"/>
      <c r="S37" s="15"/>
      <c r="V37" s="54"/>
      <c r="W37" s="54"/>
      <c r="X37" s="54"/>
    </row>
    <row r="38" spans="3:24" x14ac:dyDescent="0.25">
      <c r="C38" s="101">
        <v>2017</v>
      </c>
      <c r="D38" s="62" t="str">
        <f>+'PAT-024.002'!$F$4</f>
        <v>PAT-024.002</v>
      </c>
      <c r="E38" s="63" t="str">
        <f>+'PAT-024.002'!$F$5</f>
        <v>Exchange Place Underwater Netting</v>
      </c>
      <c r="F38" s="64">
        <f>+'PAT-024.002'!$F$6</f>
        <v>42913</v>
      </c>
      <c r="G38" s="65" t="str">
        <f>+'PAT-024.002'!$G$7</f>
        <v>PQL</v>
      </c>
      <c r="H38" s="94">
        <f>+'PAT-024.002'!$F$7</f>
        <v>1480000</v>
      </c>
      <c r="I38" s="27">
        <f>+'PAT-024.002'!$F$8</f>
        <v>1483000</v>
      </c>
      <c r="J38" s="27"/>
      <c r="K38" s="26">
        <f>+'PAT-024.002'!$G$9</f>
        <v>2.0270270270270271E-3</v>
      </c>
      <c r="L38" s="11" t="str">
        <f>+'PAT-024.002'!$F$11</f>
        <v>GOOD</v>
      </c>
      <c r="M38" s="62">
        <f>+'PAT-024.002'!$H$12</f>
        <v>7</v>
      </c>
      <c r="N38" s="35" t="s">
        <v>25</v>
      </c>
      <c r="O38" s="15">
        <v>2</v>
      </c>
      <c r="P38" s="35" t="s">
        <v>459</v>
      </c>
      <c r="Q38" s="15"/>
      <c r="R38" s="24"/>
      <c r="S38" s="62" t="str">
        <f>+'PAT-024.002'!$J$4</f>
        <v>Nathan Demaisip</v>
      </c>
      <c r="T38" s="15"/>
      <c r="U38" s="15"/>
      <c r="V38" s="54">
        <f t="shared" ref="V38:W53" si="7">+H38</f>
        <v>1480000</v>
      </c>
      <c r="W38" s="54">
        <f t="shared" si="7"/>
        <v>1483000</v>
      </c>
      <c r="X38" s="54">
        <f t="shared" ref="X38:X57" si="8">+V38-W38</f>
        <v>-3000</v>
      </c>
    </row>
    <row r="39" spans="3:24" x14ac:dyDescent="0.25">
      <c r="C39" s="101">
        <v>2017</v>
      </c>
      <c r="D39" s="62" t="str">
        <f>+'EWR-154.240'!$F$4</f>
        <v>EWR-154.240</v>
      </c>
      <c r="E39" s="63" t="str">
        <f>+'EWR-154.240'!$F$5</f>
        <v>Meeter-Greeter Queuing Area Modifications</v>
      </c>
      <c r="F39" s="64">
        <f>+'EWR-154.240'!$F$6</f>
        <v>42901</v>
      </c>
      <c r="G39" s="65" t="str">
        <f>+'EWR-154.240'!$G$7</f>
        <v>MWBE</v>
      </c>
      <c r="H39" s="94">
        <f>+'EWR-154.240'!$F$7</f>
        <v>850000</v>
      </c>
      <c r="I39" s="27">
        <f>+'EWR-154.240'!$F$8</f>
        <v>887000</v>
      </c>
      <c r="J39" s="27"/>
      <c r="K39" s="26">
        <f>+'EWR-154.240'!$G$9</f>
        <v>4.3529411764705879E-2</v>
      </c>
      <c r="L39" s="11" t="str">
        <f>+'EWR-154.240'!$F$11</f>
        <v>GOOD</v>
      </c>
      <c r="M39" s="62">
        <f>+'EWR-154.240'!$H$12</f>
        <v>3</v>
      </c>
      <c r="N39" s="35" t="s">
        <v>25</v>
      </c>
      <c r="O39" s="15">
        <v>2</v>
      </c>
      <c r="P39" s="35" t="s">
        <v>458</v>
      </c>
      <c r="Q39" s="15"/>
      <c r="R39" s="24"/>
      <c r="S39" s="62" t="str">
        <f>+'EWR-154.240'!$J$4</f>
        <v>Henry Yu</v>
      </c>
      <c r="T39" s="15"/>
      <c r="U39" s="15"/>
      <c r="V39" s="54">
        <f t="shared" si="7"/>
        <v>850000</v>
      </c>
      <c r="W39" s="54">
        <f t="shared" si="7"/>
        <v>887000</v>
      </c>
      <c r="X39" s="54">
        <f t="shared" si="8"/>
        <v>-37000</v>
      </c>
    </row>
    <row r="40" spans="3:24" x14ac:dyDescent="0.25">
      <c r="C40" s="39">
        <v>2017</v>
      </c>
      <c r="D40" s="62" t="str">
        <f>+'EWR-154.227'!$F$4</f>
        <v>EWR-154.227</v>
      </c>
      <c r="E40" s="63" t="str">
        <f>+'EWR-154.227'!$F$5</f>
        <v>Terminal B CCTV at Baggage Areas</v>
      </c>
      <c r="F40" s="64">
        <f>+'EWR-154.227'!$F$6</f>
        <v>42900</v>
      </c>
      <c r="G40" s="65" t="str">
        <f>+'EWR-154.227'!$G$7</f>
        <v>VVP</v>
      </c>
      <c r="H40" s="94">
        <f>+'EWR-154.227'!$F$7</f>
        <v>2900000</v>
      </c>
      <c r="I40" s="27">
        <f>+'EWR-154.227'!$F$8</f>
        <v>1157000</v>
      </c>
      <c r="J40" s="27"/>
      <c r="K40" s="26">
        <f>+'EWR-154.227'!$G$9</f>
        <v>-0.6010344827586207</v>
      </c>
      <c r="L40" s="11" t="str">
        <f>+'EWR-154.227'!$F$11</f>
        <v>FAIL</v>
      </c>
      <c r="M40" s="62">
        <f>+'EWR-154.227'!$H$12</f>
        <v>5</v>
      </c>
      <c r="N40" s="35" t="s">
        <v>25</v>
      </c>
      <c r="O40" s="15">
        <v>2</v>
      </c>
      <c r="P40" s="35" t="s">
        <v>458</v>
      </c>
      <c r="Q40" s="15"/>
      <c r="R40" s="24"/>
      <c r="S40" s="62" t="str">
        <f>+'EWR-154.227'!$J$4</f>
        <v>Nathan Demaisip</v>
      </c>
      <c r="T40" s="15"/>
      <c r="U40" s="15"/>
      <c r="V40" s="54">
        <f t="shared" si="7"/>
        <v>2900000</v>
      </c>
      <c r="W40" s="54">
        <f t="shared" si="7"/>
        <v>1157000</v>
      </c>
      <c r="X40" s="54">
        <f t="shared" si="8"/>
        <v>1743000</v>
      </c>
    </row>
    <row r="41" spans="3:24" x14ac:dyDescent="0.25">
      <c r="C41" s="39">
        <v>2017</v>
      </c>
      <c r="D41" s="62" t="str">
        <f>+'LGA-774.235'!$F$4</f>
        <v>LGA-774.235</v>
      </c>
      <c r="E41" s="63" t="str">
        <f>+'LGA-774.235'!$F$5</f>
        <v>Emergency Generators at Various Locations</v>
      </c>
      <c r="F41" s="64">
        <f>+'LGA-774.235'!$F$6</f>
        <v>42894</v>
      </c>
      <c r="G41" s="65" t="str">
        <f>+'LGA-774.235'!$G$7</f>
        <v>VVP</v>
      </c>
      <c r="H41" s="94">
        <f>+'LGA-774.235'!$F$7</f>
        <v>6445000</v>
      </c>
      <c r="I41" s="27">
        <f>+'LGA-774.235'!$F$8</f>
        <v>7166666</v>
      </c>
      <c r="J41" s="105" t="s">
        <v>519</v>
      </c>
      <c r="K41" s="26">
        <f>+'LGA-774.235'!$G$9</f>
        <v>0.11197300232738557</v>
      </c>
      <c r="L41" s="11" t="str">
        <f>+'LGA-774.235'!$F$11</f>
        <v>FAIL</v>
      </c>
      <c r="M41" s="62">
        <f>+'LGA-774.235'!$H$12</f>
        <v>11</v>
      </c>
      <c r="N41" s="35" t="s">
        <v>93</v>
      </c>
      <c r="O41" s="15">
        <v>2</v>
      </c>
      <c r="P41" s="35" t="s">
        <v>458</v>
      </c>
      <c r="Q41" s="15"/>
      <c r="R41" s="24"/>
      <c r="S41" s="62" t="str">
        <f>+'LGA-774.235'!$J$4</f>
        <v>Joe Lucin</v>
      </c>
      <c r="T41" s="15"/>
      <c r="U41" s="15"/>
      <c r="V41" s="54">
        <f t="shared" si="7"/>
        <v>6445000</v>
      </c>
      <c r="W41" s="54">
        <f t="shared" si="7"/>
        <v>7166666</v>
      </c>
      <c r="X41" s="54">
        <f t="shared" si="8"/>
        <v>-721666</v>
      </c>
    </row>
    <row r="42" spans="3:24" x14ac:dyDescent="0.25">
      <c r="C42" s="39">
        <v>2017</v>
      </c>
      <c r="D42" s="62" t="str">
        <f>+'EWR-154.271'!$F$4</f>
        <v>EWR-154.271</v>
      </c>
      <c r="E42" s="63" t="str">
        <f>+'EWR-154.271'!$F$5</f>
        <v>Central Heating and Refrigeration Plant South Substation Roof Replacement</v>
      </c>
      <c r="F42" s="64">
        <f>+'EWR-154.271'!$F$6</f>
        <v>42893</v>
      </c>
      <c r="G42" s="65" t="str">
        <f>+'EWR-154.271'!$G$7</f>
        <v>MWBE</v>
      </c>
      <c r="H42" s="94">
        <f>+'EWR-154.271'!$F$7</f>
        <v>650000</v>
      </c>
      <c r="I42" s="27">
        <f>+'EWR-154.271'!$F$8</f>
        <v>865508</v>
      </c>
      <c r="J42" s="27"/>
      <c r="K42" s="26">
        <f>+'EWR-154.271'!$G$9</f>
        <v>0.3315507692307692</v>
      </c>
      <c r="L42" s="11" t="str">
        <f>+'EWR-154.271'!$F$11</f>
        <v>FAIL</v>
      </c>
      <c r="M42" s="62">
        <f>+'EWR-154.271'!$H$12</f>
        <v>3</v>
      </c>
      <c r="N42" s="35" t="s">
        <v>25</v>
      </c>
      <c r="O42" s="15">
        <v>2</v>
      </c>
      <c r="P42" s="35" t="s">
        <v>458</v>
      </c>
      <c r="Q42" s="15"/>
      <c r="R42" s="24"/>
      <c r="S42" s="62" t="str">
        <f>+'EWR-154.271'!$J$4</f>
        <v>Henry Yu</v>
      </c>
      <c r="T42" s="15"/>
      <c r="U42" s="15"/>
      <c r="V42" s="54">
        <f t="shared" si="7"/>
        <v>650000</v>
      </c>
      <c r="W42" s="54">
        <f t="shared" si="7"/>
        <v>865508</v>
      </c>
      <c r="X42" s="54">
        <f t="shared" si="8"/>
        <v>-215508</v>
      </c>
    </row>
    <row r="43" spans="3:24" x14ac:dyDescent="0.25">
      <c r="C43" s="39">
        <v>2017</v>
      </c>
      <c r="D43" s="62" t="str">
        <f>+'EWR-154.264'!$F$4</f>
        <v>EWR-154.264</v>
      </c>
      <c r="E43" s="63" t="str">
        <f>+'EWR-154.264'!$F$5</f>
        <v>Rehab CTA Frontage Bridges N18 and N20 Longitudinal Joints</v>
      </c>
      <c r="F43" s="64">
        <f>+'EWR-154.264'!$F$6</f>
        <v>42893</v>
      </c>
      <c r="G43" s="65" t="str">
        <f>+'EWR-154.264'!$G$7</f>
        <v>MWBE</v>
      </c>
      <c r="H43" s="94">
        <f>+'EWR-154.264'!$F$7</f>
        <v>1070000</v>
      </c>
      <c r="I43" s="27">
        <f>+'EWR-154.264'!$F$8</f>
        <v>758000</v>
      </c>
      <c r="J43" s="27"/>
      <c r="K43" s="26">
        <f>+'EWR-154.264'!$G$9</f>
        <v>-0.29158878504672897</v>
      </c>
      <c r="L43" s="11" t="str">
        <f>+'EWR-154.264'!$F$11</f>
        <v>FAIL</v>
      </c>
      <c r="M43" s="62">
        <f>+'EWR-154.264'!$H$12</f>
        <v>5</v>
      </c>
      <c r="N43" s="35" t="s">
        <v>25</v>
      </c>
      <c r="O43" s="15">
        <v>2</v>
      </c>
      <c r="P43" s="35" t="s">
        <v>458</v>
      </c>
      <c r="Q43" s="15"/>
      <c r="R43" s="24"/>
      <c r="S43" s="62" t="str">
        <f>+'EWR-154.264'!$J$4</f>
        <v>Henry Yu</v>
      </c>
      <c r="T43" s="15"/>
      <c r="U43" s="15"/>
      <c r="V43" s="54">
        <f t="shared" si="7"/>
        <v>1070000</v>
      </c>
      <c r="W43" s="54">
        <f t="shared" si="7"/>
        <v>758000</v>
      </c>
      <c r="X43" s="54">
        <f t="shared" si="8"/>
        <v>312000</v>
      </c>
    </row>
    <row r="44" spans="3:24" x14ac:dyDescent="0.25">
      <c r="C44" s="39">
        <v>2017</v>
      </c>
      <c r="D44" s="62" t="str">
        <f>+'GWB-924.159B'!$F$4</f>
        <v>GWB-924.159B</v>
      </c>
      <c r="E44" s="63" t="str">
        <f>+'GWB-924.159B'!$F$5</f>
        <v>NJ Admin Bldg HW/CW Piping Replacement</v>
      </c>
      <c r="F44" s="64">
        <f>+'GWB-924.159B'!$F$6</f>
        <v>42892</v>
      </c>
      <c r="G44" s="65" t="str">
        <f>+'GWB-924.159B'!$G$7</f>
        <v>Public</v>
      </c>
      <c r="H44" s="94">
        <f>+'GWB-924.159B'!$F$7</f>
        <v>771000</v>
      </c>
      <c r="I44" s="27">
        <f>+'GWB-924.159B'!$F$8</f>
        <v>946600</v>
      </c>
      <c r="J44" s="27"/>
      <c r="K44" s="26">
        <f>+'GWB-924.159B'!$G$9</f>
        <v>0.22775616083009079</v>
      </c>
      <c r="L44" s="11" t="str">
        <f>+'GWB-924.159B'!$F$11</f>
        <v>FAIL</v>
      </c>
      <c r="M44" s="62">
        <f>+'GWB-924.159B'!$H$12</f>
        <v>2</v>
      </c>
      <c r="N44" s="35" t="s">
        <v>25</v>
      </c>
      <c r="O44" s="15">
        <v>2</v>
      </c>
      <c r="P44" s="35" t="s">
        <v>457</v>
      </c>
      <c r="Q44" s="15"/>
      <c r="R44" s="24"/>
      <c r="S44" s="62" t="str">
        <f>+'GWB-924.159B'!$J$4</f>
        <v>Reddy Gunda</v>
      </c>
      <c r="T44" s="15"/>
      <c r="U44" s="15"/>
      <c r="V44" s="54">
        <f t="shared" si="7"/>
        <v>771000</v>
      </c>
      <c r="W44" s="54">
        <f t="shared" si="7"/>
        <v>946600</v>
      </c>
      <c r="X44" s="54">
        <f t="shared" si="8"/>
        <v>-175600</v>
      </c>
    </row>
    <row r="45" spans="3:24" x14ac:dyDescent="0.25">
      <c r="C45" s="39">
        <v>2017</v>
      </c>
      <c r="D45" s="62" t="str">
        <f>+'EWR-924.233'!$F$4</f>
        <v>EWR-924.233</v>
      </c>
      <c r="E45" s="63" t="str">
        <f>+'EWR-924.233'!$F$5</f>
        <v>Priority Repair of Bridges N14, N15, N18, N19, N21, N42, N43</v>
      </c>
      <c r="F45" s="64">
        <f>+'EWR-924.233'!$F$6</f>
        <v>42886</v>
      </c>
      <c r="G45" s="65" t="str">
        <f>+'EWR-924.233'!$G$7</f>
        <v>Public</v>
      </c>
      <c r="H45" s="94">
        <f>+'EWR-924.233'!$F$7</f>
        <v>1140000</v>
      </c>
      <c r="I45" s="27">
        <f>+'EWR-924.233'!$F$8</f>
        <v>904780</v>
      </c>
      <c r="J45" s="27"/>
      <c r="K45" s="26">
        <f>+'EWR-924.233'!$G$9</f>
        <v>-0.20633333333333334</v>
      </c>
      <c r="L45" s="11" t="str">
        <f>+'EWR-924.233'!$F$11</f>
        <v>GOOD</v>
      </c>
      <c r="M45" s="62">
        <f>+'EWR-924.233'!$H$12</f>
        <v>9</v>
      </c>
      <c r="N45" s="35" t="s">
        <v>25</v>
      </c>
      <c r="O45" s="15">
        <v>2</v>
      </c>
      <c r="P45" s="35" t="s">
        <v>458</v>
      </c>
      <c r="Q45" s="15"/>
      <c r="R45" s="24"/>
      <c r="S45" s="62" t="str">
        <f>+'EWR-924.233'!$J$4</f>
        <v>Henry Yu</v>
      </c>
      <c r="T45" s="15"/>
      <c r="U45" s="15"/>
      <c r="V45" s="54">
        <f t="shared" si="7"/>
        <v>1140000</v>
      </c>
      <c r="W45" s="54">
        <f t="shared" si="7"/>
        <v>904780</v>
      </c>
      <c r="X45" s="54">
        <f t="shared" si="8"/>
        <v>235220</v>
      </c>
    </row>
    <row r="46" spans="3:24" x14ac:dyDescent="0.25">
      <c r="C46" s="39">
        <v>2017</v>
      </c>
      <c r="D46" s="62" t="str">
        <f>+'JFK-154.019'!$F$4</f>
        <v>JFK-154.019</v>
      </c>
      <c r="E46" s="63" t="str">
        <f>+'JFK-154.019'!$F$5</f>
        <v>Install Gate/Check Valves for Exist Stormwater Outfalls 2-3-4-5-6</v>
      </c>
      <c r="F46" s="64">
        <f>+'JFK-154.019'!$F$6</f>
        <v>42880</v>
      </c>
      <c r="G46" s="65" t="str">
        <f>+'JFK-154.019'!$G$7</f>
        <v>Public</v>
      </c>
      <c r="H46" s="94">
        <f>+'JFK-154.019'!$F$7</f>
        <v>2850000</v>
      </c>
      <c r="I46" s="27">
        <f>+'JFK-154.019'!$F$8</f>
        <v>1808548</v>
      </c>
      <c r="J46" s="27"/>
      <c r="K46" s="26">
        <f>+'JFK-154.019'!$G$9</f>
        <v>-0.36542175438596491</v>
      </c>
      <c r="L46" s="11" t="str">
        <f>+'JFK-154.019'!$F$11</f>
        <v>FAIL</v>
      </c>
      <c r="M46" s="62">
        <f>+'JFK-154.019'!$H$12</f>
        <v>11</v>
      </c>
      <c r="N46" s="35" t="s">
        <v>93</v>
      </c>
      <c r="O46" s="15">
        <v>2</v>
      </c>
      <c r="P46" s="35" t="s">
        <v>458</v>
      </c>
      <c r="Q46" s="15"/>
      <c r="R46" s="24"/>
      <c r="S46" s="62" t="str">
        <f>+'JFK-154.019'!$J$4</f>
        <v>Wen Chang</v>
      </c>
      <c r="T46" s="15"/>
      <c r="U46" s="15"/>
      <c r="V46" s="54">
        <f t="shared" si="7"/>
        <v>2850000</v>
      </c>
      <c r="W46" s="54">
        <f t="shared" si="7"/>
        <v>1808548</v>
      </c>
      <c r="X46" s="54">
        <f t="shared" si="8"/>
        <v>1041452</v>
      </c>
    </row>
    <row r="47" spans="3:24" x14ac:dyDescent="0.25">
      <c r="C47" s="39">
        <v>2017</v>
      </c>
      <c r="D47" s="62" t="str">
        <f>+'PAT-024.031'!$F$4</f>
        <v>PAT-024.031</v>
      </c>
      <c r="E47" s="63" t="str">
        <f>+'PAT-024.031'!$F$5</f>
        <v>Replacement of Substation 7</v>
      </c>
      <c r="F47" s="64">
        <f>+'PAT-024.031'!$F$6</f>
        <v>42873</v>
      </c>
      <c r="G47" s="65" t="str">
        <f>+'PAT-024.031'!$G$7</f>
        <v>VVP</v>
      </c>
      <c r="H47" s="94">
        <f>+'PAT-024.031'!$F$7</f>
        <v>29400000</v>
      </c>
      <c r="I47" s="27">
        <f>+'PAT-024.031'!$F$8</f>
        <v>40981000</v>
      </c>
      <c r="J47" s="105" t="s">
        <v>519</v>
      </c>
      <c r="K47" s="26">
        <f>+'PAT-024.031'!$G$9</f>
        <v>0.39391156462585036</v>
      </c>
      <c r="L47" s="11" t="str">
        <f>+'PAT-024.031'!$F$11</f>
        <v>FAIL</v>
      </c>
      <c r="M47" s="62">
        <f>+'PAT-024.031'!$H$12</f>
        <v>2</v>
      </c>
      <c r="N47" s="35" t="s">
        <v>25</v>
      </c>
      <c r="O47" s="15">
        <v>2</v>
      </c>
      <c r="P47" s="35" t="s">
        <v>459</v>
      </c>
      <c r="Q47" s="15"/>
      <c r="R47" s="24"/>
      <c r="S47" s="62" t="str">
        <f>+'PAT-024.031'!$J$4</f>
        <v>Nathan Demaisip</v>
      </c>
      <c r="T47" s="15"/>
      <c r="U47" s="15"/>
      <c r="V47" s="54">
        <f t="shared" si="7"/>
        <v>29400000</v>
      </c>
      <c r="W47" s="54">
        <f t="shared" si="7"/>
        <v>40981000</v>
      </c>
      <c r="X47" s="54">
        <f t="shared" si="8"/>
        <v>-11581000</v>
      </c>
    </row>
    <row r="48" spans="3:24" x14ac:dyDescent="0.25">
      <c r="C48" s="39">
        <v>2017</v>
      </c>
      <c r="D48" s="62" t="str">
        <f>+'MFP-924.641'!$F$4</f>
        <v>MFP-924.641</v>
      </c>
      <c r="E48" s="63" t="str">
        <f>+'MFP-924.641'!$F$5</f>
        <v>NY &amp; NJ Marine Terminals - Multi-Facility Fender System Rehab via WO</v>
      </c>
      <c r="F48" s="64">
        <f>+'MFP-924.641'!$F$6</f>
        <v>42872</v>
      </c>
      <c r="G48" s="65" t="str">
        <f>+'MFP-924.641'!$G$7</f>
        <v>Public</v>
      </c>
      <c r="H48" s="94">
        <f>+'MFP-924.641'!$F$7</f>
        <v>5000000</v>
      </c>
      <c r="I48" s="27">
        <f>+'MFP-924.641'!$F$8</f>
        <v>5210665</v>
      </c>
      <c r="J48" s="27" t="s">
        <v>519</v>
      </c>
      <c r="K48" s="26">
        <f>+'MFP-924.641'!$G$9</f>
        <v>4.2132999999999997E-2</v>
      </c>
      <c r="L48" s="11" t="str">
        <f>+'MFP-924.641'!$F$11</f>
        <v>GOOD</v>
      </c>
      <c r="M48" s="62">
        <f>+'MFP-924.641'!$H$12</f>
        <v>9</v>
      </c>
      <c r="N48" s="35" t="s">
        <v>226</v>
      </c>
      <c r="O48" s="15">
        <v>2</v>
      </c>
      <c r="P48" s="35" t="s">
        <v>492</v>
      </c>
      <c r="Q48" s="15"/>
      <c r="R48" s="24"/>
      <c r="S48" s="62" t="str">
        <f>+'MFP-924.641'!$J$4</f>
        <v>Ed Minall</v>
      </c>
      <c r="T48" s="15"/>
      <c r="U48" s="15"/>
      <c r="V48" s="54">
        <f t="shared" si="7"/>
        <v>5000000</v>
      </c>
      <c r="W48" s="54">
        <f t="shared" si="7"/>
        <v>5210665</v>
      </c>
      <c r="X48" s="54">
        <f t="shared" si="8"/>
        <v>-210665</v>
      </c>
    </row>
    <row r="49" spans="3:24" x14ac:dyDescent="0.25">
      <c r="C49" s="39">
        <v>2017</v>
      </c>
      <c r="D49" s="62" t="str">
        <f>+'EP-924.643'!$F$4</f>
        <v>EP-924.643</v>
      </c>
      <c r="E49" s="63" t="str">
        <f>+'EP-924.643'!$F$5</f>
        <v>Priority Marine Rehab via Work Order</v>
      </c>
      <c r="F49" s="64">
        <f>+'EP-924.643'!$F$6</f>
        <v>42871</v>
      </c>
      <c r="G49" s="65" t="str">
        <f>+'EP-924.643'!$G$7</f>
        <v>Public</v>
      </c>
      <c r="H49" s="94">
        <f>+'EP-924.643'!$F$7</f>
        <v>9000000</v>
      </c>
      <c r="I49" s="27">
        <f>+'EP-924.643'!$F$8</f>
        <v>10805265</v>
      </c>
      <c r="J49" s="105" t="s">
        <v>519</v>
      </c>
      <c r="K49" s="26">
        <f>+'EP-924.643'!$G$9</f>
        <v>0.20058500000000001</v>
      </c>
      <c r="L49" s="11" t="str">
        <f>+'EP-924.643'!$F$11</f>
        <v>FAIL</v>
      </c>
      <c r="M49" s="62">
        <f>+'EP-924.643'!$H$12</f>
        <v>2</v>
      </c>
      <c r="N49" s="35" t="s">
        <v>25</v>
      </c>
      <c r="O49" s="15">
        <v>2</v>
      </c>
      <c r="P49" s="35" t="s">
        <v>492</v>
      </c>
      <c r="Q49" s="15"/>
      <c r="R49" s="24"/>
      <c r="S49" s="62" t="str">
        <f>+'EP-924.643'!$J$4</f>
        <v>Ed Minall</v>
      </c>
      <c r="T49" s="15"/>
      <c r="U49" s="15"/>
      <c r="V49" s="54">
        <f t="shared" si="7"/>
        <v>9000000</v>
      </c>
      <c r="W49" s="54">
        <f t="shared" si="7"/>
        <v>10805265</v>
      </c>
      <c r="X49" s="54">
        <f t="shared" si="8"/>
        <v>-1805265</v>
      </c>
    </row>
    <row r="50" spans="3:24" x14ac:dyDescent="0.25">
      <c r="C50" s="39">
        <v>2017</v>
      </c>
      <c r="D50" s="62" t="str">
        <f>+'LT-234.179'!$F$4</f>
        <v>LT-234.179</v>
      </c>
      <c r="E50" s="63" t="str">
        <f>+'LT-234.179'!$F$5</f>
        <v>Waterside Buffer Zone Protection</v>
      </c>
      <c r="F50" s="64">
        <f>+'LT-234.179'!$F$6</f>
        <v>42851</v>
      </c>
      <c r="G50" s="65" t="str">
        <f>+'LT-234.179'!$G$7</f>
        <v>PQL</v>
      </c>
      <c r="H50" s="94">
        <f>+'LT-234.179'!$F$7</f>
        <v>3589000</v>
      </c>
      <c r="I50" s="27">
        <f>+'LT-234.179'!$F$8</f>
        <v>3875045</v>
      </c>
      <c r="J50" s="27"/>
      <c r="K50" s="26">
        <f>+'LT-234.179'!$G$9</f>
        <v>7.9700473669545829E-2</v>
      </c>
      <c r="L50" s="11" t="str">
        <f>+'LT-234.179'!$F$11</f>
        <v>GOOD</v>
      </c>
      <c r="M50" s="62">
        <f>+'LT-234.179'!$H$12</f>
        <v>3</v>
      </c>
      <c r="N50" s="35" t="s">
        <v>93</v>
      </c>
      <c r="O50" s="15">
        <v>2</v>
      </c>
      <c r="P50" s="35" t="s">
        <v>457</v>
      </c>
      <c r="Q50" s="15"/>
      <c r="R50" s="24"/>
      <c r="S50" s="62" t="str">
        <f>+'LT-234.179'!$J$4</f>
        <v>Nathan Demaisip</v>
      </c>
      <c r="T50" s="15"/>
      <c r="U50" s="15"/>
      <c r="V50" s="54">
        <f t="shared" si="7"/>
        <v>3589000</v>
      </c>
      <c r="W50" s="54">
        <f t="shared" si="7"/>
        <v>3875045</v>
      </c>
      <c r="X50" s="54">
        <f t="shared" si="8"/>
        <v>-286045</v>
      </c>
    </row>
    <row r="51" spans="3:24" x14ac:dyDescent="0.25">
      <c r="C51" s="39">
        <v>2017</v>
      </c>
      <c r="D51" s="62" t="str">
        <f>+'GWB-924.176'!$F$4</f>
        <v>GWB-924.176</v>
      </c>
      <c r="E51" s="63" t="str">
        <f>+'GWB-924.176'!$F$5</f>
        <v>Upper Level Sidewalk Repairs via Work Order</v>
      </c>
      <c r="F51" s="64">
        <f>+'GWB-924.176'!$F$6</f>
        <v>42846</v>
      </c>
      <c r="G51" s="65" t="str">
        <f>+'GWB-924.176'!$G$7</f>
        <v>Public</v>
      </c>
      <c r="H51" s="94">
        <f>+'GWB-924.176'!$F$7</f>
        <v>2060000</v>
      </c>
      <c r="I51" s="27">
        <f>+'GWB-924.176'!$F$8</f>
        <v>2614625</v>
      </c>
      <c r="J51" s="27"/>
      <c r="K51" s="26">
        <f>+'GWB-924.176'!$G$9</f>
        <v>0.26923543689320389</v>
      </c>
      <c r="L51" s="11" t="str">
        <f>+'GWB-924.176'!$F$11</f>
        <v>FAIL</v>
      </c>
      <c r="M51" s="62">
        <f>+'GWB-924.176'!$H$12</f>
        <v>5</v>
      </c>
      <c r="N51" s="35" t="s">
        <v>226</v>
      </c>
      <c r="O51" s="15">
        <v>2</v>
      </c>
      <c r="P51" s="35" t="s">
        <v>457</v>
      </c>
      <c r="Q51" s="15"/>
      <c r="R51" s="24"/>
      <c r="S51" s="62" t="str">
        <f>+'GWB-924.176'!$J$4</f>
        <v>Reddy Gunda</v>
      </c>
      <c r="T51" s="15"/>
      <c r="U51" s="15"/>
      <c r="V51" s="54">
        <f t="shared" si="7"/>
        <v>2060000</v>
      </c>
      <c r="W51" s="54">
        <f t="shared" si="7"/>
        <v>2614625</v>
      </c>
      <c r="X51" s="54">
        <f t="shared" si="8"/>
        <v>-554625</v>
      </c>
    </row>
    <row r="52" spans="3:24" x14ac:dyDescent="0.25">
      <c r="C52" s="39">
        <v>2017</v>
      </c>
      <c r="D52" s="62" t="str">
        <f>+'MFP-924.645A'!$F$4</f>
        <v>MFP-924.645A</v>
      </c>
      <c r="E52" s="63" t="str">
        <f>+'MFP-924.645A'!$F$5</f>
        <v>NJ Paving and Utility Rehab by Work Order</v>
      </c>
      <c r="F52" s="64">
        <f>+'MFP-924.645A'!$F$6</f>
        <v>42845</v>
      </c>
      <c r="G52" s="65" t="str">
        <f>+'MFP-924.645A'!$G$7</f>
        <v>MWBE</v>
      </c>
      <c r="H52" s="94">
        <f>+'MFP-924.645A'!$F$7</f>
        <v>2625000</v>
      </c>
      <c r="I52" s="27">
        <f>+'MFP-924.645A'!$F$8</f>
        <v>2472675</v>
      </c>
      <c r="J52" s="27"/>
      <c r="K52" s="26">
        <f>+'MFP-924.645A'!$G$9</f>
        <v>-5.8028571428571429E-2</v>
      </c>
      <c r="L52" s="11" t="str">
        <f>+'MFP-924.645A'!$F$11</f>
        <v>GOOD</v>
      </c>
      <c r="M52" s="62">
        <f>+'MFP-924.645A'!$H$12</f>
        <v>6</v>
      </c>
      <c r="N52" s="35" t="s">
        <v>25</v>
      </c>
      <c r="O52" s="15">
        <v>2</v>
      </c>
      <c r="P52" s="35" t="s">
        <v>492</v>
      </c>
      <c r="Q52" s="15"/>
      <c r="R52" s="24"/>
      <c r="S52" s="62" t="str">
        <f>+'MFP-924.645A'!$J$4</f>
        <v>Ed Minall</v>
      </c>
      <c r="T52" s="15"/>
      <c r="U52" s="15"/>
      <c r="V52" s="54">
        <f t="shared" si="7"/>
        <v>2625000</v>
      </c>
      <c r="W52" s="54">
        <f t="shared" si="7"/>
        <v>2472675</v>
      </c>
      <c r="X52" s="54">
        <f t="shared" si="8"/>
        <v>152325</v>
      </c>
    </row>
    <row r="53" spans="3:24" x14ac:dyDescent="0.25">
      <c r="C53" s="39">
        <v>2017</v>
      </c>
      <c r="D53" s="62" t="str">
        <f>+'PN-654.558'!$F$4</f>
        <v>PN-654.558</v>
      </c>
      <c r="E53" s="63" t="str">
        <f>+'PN-654.558'!$F$5</f>
        <v>Berths 26, 28, 32, 34 Dredging</v>
      </c>
      <c r="F53" s="64">
        <f>+'PN-654.558'!$F$6</f>
        <v>42845</v>
      </c>
      <c r="G53" s="65" t="str">
        <f>+'PN-654.558'!$G$7</f>
        <v>Public</v>
      </c>
      <c r="H53" s="94">
        <f>+'PN-654.558'!$F$7</f>
        <v>1520000</v>
      </c>
      <c r="I53" s="27">
        <f>+'PN-654.558'!$F$8</f>
        <v>994200</v>
      </c>
      <c r="J53" s="27"/>
      <c r="K53" s="26">
        <f>+'PN-654.558'!$G$9</f>
        <v>-0.34592105263157896</v>
      </c>
      <c r="L53" s="11" t="str">
        <f>+'PN-654.558'!$F$11</f>
        <v>GOOD</v>
      </c>
      <c r="M53" s="62">
        <f>+'PN-654.558'!$H$12</f>
        <v>4</v>
      </c>
      <c r="N53" s="35" t="s">
        <v>25</v>
      </c>
      <c r="O53" s="15">
        <v>2</v>
      </c>
      <c r="P53" s="35" t="s">
        <v>492</v>
      </c>
      <c r="Q53" s="15"/>
      <c r="R53" s="24"/>
      <c r="S53" s="62" t="str">
        <f>+'PN-654.558'!$J$4</f>
        <v>Ed Minall</v>
      </c>
      <c r="T53" s="15"/>
      <c r="U53" s="15"/>
      <c r="V53" s="54">
        <f t="shared" si="7"/>
        <v>1520000</v>
      </c>
      <c r="W53" s="54">
        <f t="shared" si="7"/>
        <v>994200</v>
      </c>
      <c r="X53" s="54">
        <f t="shared" si="8"/>
        <v>525800</v>
      </c>
    </row>
    <row r="54" spans="3:24" x14ac:dyDescent="0.25">
      <c r="C54" s="39">
        <v>2017</v>
      </c>
      <c r="D54" s="62" t="str">
        <f>+'TEB-144.048'!$F$4</f>
        <v>TEB-144.048</v>
      </c>
      <c r="E54" s="63" t="str">
        <f>+'TEB-144.048'!$F$5</f>
        <v>AOA Light Circuit Replacement</v>
      </c>
      <c r="F54" s="64">
        <f>+'TEB-144.048'!$F$6</f>
        <v>42845</v>
      </c>
      <c r="G54" s="65" t="str">
        <f>+'TEB-144.048'!$G$7</f>
        <v>PQL</v>
      </c>
      <c r="H54" s="94">
        <f>+'TEB-144.048'!$F$7</f>
        <v>12630000</v>
      </c>
      <c r="I54" s="27">
        <f>+'TEB-144.048'!$F$8</f>
        <v>10849023</v>
      </c>
      <c r="J54" s="27" t="s">
        <v>519</v>
      </c>
      <c r="K54" s="26">
        <f>+'TEB-144.048'!$G$9</f>
        <v>-0.14101163895486934</v>
      </c>
      <c r="L54" s="11" t="str">
        <f>+'TEB-144.048'!$F$11</f>
        <v>GOOD</v>
      </c>
      <c r="M54" s="62">
        <f>+'TEB-144.048'!$H$12</f>
        <v>2</v>
      </c>
      <c r="N54" s="35" t="s">
        <v>25</v>
      </c>
      <c r="O54" s="15">
        <v>2</v>
      </c>
      <c r="P54" s="35" t="s">
        <v>458</v>
      </c>
      <c r="Q54" s="15"/>
      <c r="R54" s="24"/>
      <c r="S54" s="62" t="str">
        <f>+'TEB-144.048'!$J$4</f>
        <v>Henry Yu</v>
      </c>
      <c r="T54" s="15"/>
      <c r="U54" s="15"/>
      <c r="V54" s="54">
        <f t="shared" ref="V54:W57" si="9">+H54</f>
        <v>12630000</v>
      </c>
      <c r="W54" s="54">
        <f t="shared" si="9"/>
        <v>10849023</v>
      </c>
      <c r="X54" s="54">
        <f t="shared" si="8"/>
        <v>1780977</v>
      </c>
    </row>
    <row r="55" spans="3:24" x14ac:dyDescent="0.25">
      <c r="C55" s="39">
        <v>2017</v>
      </c>
      <c r="D55" s="62" t="str">
        <f>+'PAT-084.001'!$F$4</f>
        <v>PAT-084.001</v>
      </c>
      <c r="E55" s="63" t="str">
        <f>+'PAT-084.001'!$F$5</f>
        <v>Replacement of Substation 9</v>
      </c>
      <c r="F55" s="64">
        <f>+'PAT-084.001'!$F$6</f>
        <v>42844</v>
      </c>
      <c r="G55" s="65" t="str">
        <f>+'PAT-084.001'!$G$7</f>
        <v>PQL</v>
      </c>
      <c r="H55" s="94">
        <f>+'PAT-084.001'!$F$7</f>
        <v>30360000</v>
      </c>
      <c r="I55" s="27">
        <f>+'PAT-084.001'!$F$8</f>
        <v>32920674</v>
      </c>
      <c r="J55" s="27" t="s">
        <v>519</v>
      </c>
      <c r="K55" s="26">
        <f>+'PAT-084.001'!$G$9</f>
        <v>8.4343675889328062E-2</v>
      </c>
      <c r="L55" s="11" t="str">
        <f>+'PAT-084.001'!$F$11</f>
        <v>GOOD</v>
      </c>
      <c r="M55" s="62">
        <f>+'PAT-084.001'!$H$12</f>
        <v>3</v>
      </c>
      <c r="N55" s="35" t="s">
        <v>25</v>
      </c>
      <c r="O55" s="15">
        <v>2</v>
      </c>
      <c r="P55" s="35" t="s">
        <v>459</v>
      </c>
      <c r="Q55" s="15"/>
      <c r="R55" s="24"/>
      <c r="S55" s="62" t="str">
        <f>+'PAT-084.001'!$J$4</f>
        <v>Nathan Demaisip</v>
      </c>
      <c r="T55" s="15"/>
      <c r="U55" s="15"/>
      <c r="V55" s="54">
        <f t="shared" si="9"/>
        <v>30360000</v>
      </c>
      <c r="W55" s="54">
        <f t="shared" si="9"/>
        <v>32920674</v>
      </c>
      <c r="X55" s="54">
        <f t="shared" si="8"/>
        <v>-2560674</v>
      </c>
    </row>
    <row r="56" spans="3:24" x14ac:dyDescent="0.25">
      <c r="C56" s="39">
        <v>2017</v>
      </c>
      <c r="D56" s="62" t="str">
        <f>+'EWR-154.234'!$F$4</f>
        <v>EWR-154.234</v>
      </c>
      <c r="E56" s="63" t="str">
        <f>+'EWR-154.234'!$F$5</f>
        <v>AOA Light Circuit Replacement</v>
      </c>
      <c r="F56" s="64">
        <f>+'EWR-154.234'!$F$6</f>
        <v>42844</v>
      </c>
      <c r="G56" s="65" t="str">
        <f>+'EWR-154.234'!$G$7</f>
        <v>PQL</v>
      </c>
      <c r="H56" s="94">
        <f>+'EWR-154.234'!$F$7</f>
        <v>18870000</v>
      </c>
      <c r="I56" s="27">
        <f>+'EWR-154.234'!$F$8</f>
        <v>19910000</v>
      </c>
      <c r="J56" s="27" t="s">
        <v>519</v>
      </c>
      <c r="K56" s="26">
        <f>+'EWR-154.234'!$G$9</f>
        <v>5.5113937466878642E-2</v>
      </c>
      <c r="L56" s="11" t="str">
        <f>+'EWR-154.234'!$F$11</f>
        <v>GOOD</v>
      </c>
      <c r="M56" s="62">
        <f>+'EWR-154.234'!$H$12</f>
        <v>3</v>
      </c>
      <c r="N56" s="35" t="s">
        <v>25</v>
      </c>
      <c r="O56" s="15">
        <v>2</v>
      </c>
      <c r="P56" s="35" t="s">
        <v>458</v>
      </c>
      <c r="Q56" s="15"/>
      <c r="R56" s="24"/>
      <c r="S56" s="62" t="str">
        <f>+'EWR-154.234'!$J$4</f>
        <v>Henry Yu</v>
      </c>
      <c r="T56" s="15"/>
      <c r="U56" s="15"/>
      <c r="V56" s="54">
        <f t="shared" si="9"/>
        <v>18870000</v>
      </c>
      <c r="W56" s="54">
        <f t="shared" si="9"/>
        <v>19910000</v>
      </c>
      <c r="X56" s="54">
        <f t="shared" si="8"/>
        <v>-1040000</v>
      </c>
    </row>
    <row r="57" spans="3:24" x14ac:dyDescent="0.25">
      <c r="C57" s="39">
        <v>2017</v>
      </c>
      <c r="D57" s="62" t="str">
        <f>+'MFP-924.634'!$F$4</f>
        <v>MFP-924.634</v>
      </c>
      <c r="E57" s="63" t="str">
        <f>+'MFP-924.634'!$F$5</f>
        <v>NY Marine Terminals - Rail Rehab via Work Order</v>
      </c>
      <c r="F57" s="64">
        <f>+'MFP-924.634'!$F$6</f>
        <v>42831</v>
      </c>
      <c r="G57" s="65" t="str">
        <f>+'MFP-924.634'!$G$7</f>
        <v>Public</v>
      </c>
      <c r="H57" s="94">
        <f>+'MFP-924.634'!$F$7</f>
        <v>1655000</v>
      </c>
      <c r="I57" s="27">
        <f>+'MFP-924.634'!$F$8</f>
        <v>1398667</v>
      </c>
      <c r="J57" s="27"/>
      <c r="K57" s="26">
        <f>+'MFP-924.634'!$G$9</f>
        <v>-0.15488398791540786</v>
      </c>
      <c r="L57" s="11" t="str">
        <f>+'MFP-924.634'!$F$11</f>
        <v>GOOD</v>
      </c>
      <c r="M57" s="62">
        <f>+'MFP-924.634'!$H$12</f>
        <v>3</v>
      </c>
      <c r="N57" s="35" t="s">
        <v>93</v>
      </c>
      <c r="O57" s="15">
        <v>2</v>
      </c>
      <c r="P57" s="35" t="s">
        <v>492</v>
      </c>
      <c r="Q57" s="15"/>
      <c r="R57" s="24"/>
      <c r="S57" s="62" t="str">
        <f>+'MFP-924.634'!$J$4</f>
        <v>Ed Minall</v>
      </c>
      <c r="T57" s="15"/>
      <c r="U57" s="15"/>
      <c r="V57" s="54">
        <f t="shared" si="9"/>
        <v>1655000</v>
      </c>
      <c r="W57" s="54">
        <f t="shared" si="9"/>
        <v>1398667</v>
      </c>
      <c r="X57" s="54">
        <f t="shared" si="8"/>
        <v>256333</v>
      </c>
    </row>
    <row r="58" spans="3:24" ht="7.5" customHeight="1" x14ac:dyDescent="0.25">
      <c r="C58" s="39"/>
      <c r="G58" s="45"/>
      <c r="M58" s="52"/>
      <c r="P58" s="11"/>
      <c r="S58" s="15"/>
      <c r="V58" s="54"/>
      <c r="W58" s="54"/>
      <c r="X58" s="54"/>
    </row>
    <row r="59" spans="3:24" x14ac:dyDescent="0.25">
      <c r="C59" s="39">
        <v>2017</v>
      </c>
      <c r="D59" s="62" t="str">
        <f>+'BT-254.123'!$F$4</f>
        <v>BT-254.123</v>
      </c>
      <c r="E59" s="63" t="str">
        <f>+'BT-254.123'!$F$5</f>
        <v>PABT Supplemental Fire Alarm Systems</v>
      </c>
      <c r="F59" s="64">
        <f>+'BT-254.123'!$F$6</f>
        <v>42823</v>
      </c>
      <c r="G59" s="65" t="str">
        <f>+'BT-254.123'!$G$7</f>
        <v>Public</v>
      </c>
      <c r="H59" s="27">
        <f>+'BT-254.123'!$F$7</f>
        <v>3700000</v>
      </c>
      <c r="I59" s="27">
        <f>+'BT-254.123'!$F$8</f>
        <v>2490000</v>
      </c>
      <c r="J59" s="27"/>
      <c r="K59" s="26">
        <f>+'BT-254.123'!$G$9</f>
        <v>-0.32702702702702702</v>
      </c>
      <c r="L59" s="11" t="str">
        <f>+'BT-254.123'!$F$11</f>
        <v>GOOD</v>
      </c>
      <c r="M59" s="62">
        <f>+'BT-254.123'!$H$12</f>
        <v>7</v>
      </c>
      <c r="N59" s="35" t="s">
        <v>93</v>
      </c>
      <c r="O59" s="15">
        <v>1</v>
      </c>
      <c r="P59" s="35" t="s">
        <v>457</v>
      </c>
      <c r="Q59" s="15"/>
      <c r="R59" s="24" t="s">
        <v>976</v>
      </c>
      <c r="S59" s="62" t="str">
        <f>+'BT-254.123'!$J$4</f>
        <v>Reddy Gunda</v>
      </c>
      <c r="T59" s="15"/>
      <c r="U59" s="15"/>
      <c r="V59" s="54">
        <f t="shared" ref="V59:W73" si="10">+H59</f>
        <v>3700000</v>
      </c>
      <c r="W59" s="54">
        <f t="shared" si="10"/>
        <v>2490000</v>
      </c>
      <c r="X59" s="54">
        <f t="shared" ref="X59:X76" si="11">+V59-W59</f>
        <v>1210000</v>
      </c>
    </row>
    <row r="60" spans="3:24" x14ac:dyDescent="0.25">
      <c r="C60" s="39">
        <v>2017</v>
      </c>
      <c r="D60" s="62" t="str">
        <f>+'LGA-124.255'!$F$4</f>
        <v>LGA-124.255</v>
      </c>
      <c r="E60" s="63" t="str">
        <f>+'LGA-124.255'!$F$5</f>
        <v>Rehab of Runway 22 Deck Wearing Course Panel 1A</v>
      </c>
      <c r="F60" s="64">
        <f>+'LGA-124.255'!$F$6</f>
        <v>42815</v>
      </c>
      <c r="G60" s="65" t="str">
        <f>+'LGA-124.255'!$G$7</f>
        <v>PQL</v>
      </c>
      <c r="H60" s="27">
        <f>+'LGA-124.255'!$F$7</f>
        <v>3750000</v>
      </c>
      <c r="I60" s="27">
        <f>+'LGA-124.255'!$F$8</f>
        <v>2468147</v>
      </c>
      <c r="J60" s="27"/>
      <c r="K60" s="26">
        <f>+'LGA-124.255'!$G$9</f>
        <v>-0.34182746666666669</v>
      </c>
      <c r="L60" s="11" t="str">
        <f>+'LGA-124.255'!$F$11</f>
        <v>FAIL</v>
      </c>
      <c r="M60" s="62">
        <f>+'LGA-124.255'!$H$12</f>
        <v>3</v>
      </c>
      <c r="N60" s="35" t="s">
        <v>93</v>
      </c>
      <c r="O60" s="15">
        <v>1</v>
      </c>
      <c r="P60" s="35" t="s">
        <v>458</v>
      </c>
      <c r="Q60" s="15"/>
      <c r="R60" s="24"/>
      <c r="S60" s="62" t="str">
        <f>+'LGA-124.255'!$J$4</f>
        <v>Joe Lucin</v>
      </c>
      <c r="T60" s="15"/>
      <c r="U60" s="15"/>
      <c r="V60" s="54">
        <f t="shared" si="10"/>
        <v>3750000</v>
      </c>
      <c r="W60" s="54">
        <f t="shared" si="10"/>
        <v>2468147</v>
      </c>
      <c r="X60" s="54">
        <f t="shared" si="11"/>
        <v>1281853</v>
      </c>
    </row>
    <row r="61" spans="3:24" x14ac:dyDescent="0.25">
      <c r="C61" s="39">
        <v>2017</v>
      </c>
      <c r="D61" s="62" t="str">
        <f>+'MFP-072.016'!$F$4</f>
        <v>MFP-072.016</v>
      </c>
      <c r="E61" s="63" t="str">
        <f>+'MFP-072.016'!$F$5</f>
        <v>NY Marine Terminals - Paving and Utilities by Work Order</v>
      </c>
      <c r="F61" s="64">
        <f>+'MFP-072.016'!$F$6</f>
        <v>42810</v>
      </c>
      <c r="G61" s="65" t="str">
        <f>+'MFP-072.016'!$G$7</f>
        <v>MWBE</v>
      </c>
      <c r="H61" s="27">
        <f>+'MFP-072.016'!$F$7</f>
        <v>1425000</v>
      </c>
      <c r="I61" s="27">
        <f>+'MFP-072.016'!$F$8</f>
        <v>1087425</v>
      </c>
      <c r="J61" s="27"/>
      <c r="K61" s="26">
        <f>+'MFP-072.016'!$G$9</f>
        <v>-0.23689473684210527</v>
      </c>
      <c r="L61" s="11" t="str">
        <f>+'MFP-072.016'!$F$11</f>
        <v>GOOD</v>
      </c>
      <c r="M61" s="62">
        <f>+'MFP-072.016'!$H$12</f>
        <v>6</v>
      </c>
      <c r="N61" s="35" t="s">
        <v>93</v>
      </c>
      <c r="O61" s="15">
        <v>1</v>
      </c>
      <c r="P61" s="35" t="s">
        <v>492</v>
      </c>
      <c r="Q61" s="15"/>
      <c r="R61" s="24"/>
      <c r="S61" s="62" t="str">
        <f>+'MFP-072.016'!$J$4</f>
        <v>Ed Minall</v>
      </c>
      <c r="T61" s="15"/>
      <c r="U61" s="15"/>
      <c r="V61" s="54">
        <f t="shared" si="10"/>
        <v>1425000</v>
      </c>
      <c r="W61" s="54">
        <f t="shared" si="10"/>
        <v>1087425</v>
      </c>
      <c r="X61" s="54">
        <f t="shared" si="11"/>
        <v>337575</v>
      </c>
    </row>
    <row r="62" spans="3:24" x14ac:dyDescent="0.25">
      <c r="C62" s="39">
        <v>2017</v>
      </c>
      <c r="D62" s="62" t="str">
        <f>+'GWB-244.263'!$F$4</f>
        <v>GWB-244.263</v>
      </c>
      <c r="E62" s="63" t="str">
        <f>+'GWB-244.263'!$F$5</f>
        <v>Replacement of Automatic Transfer Switches</v>
      </c>
      <c r="F62" s="64">
        <f>+'GWB-244.263'!$F$6</f>
        <v>42789</v>
      </c>
      <c r="G62" s="65" t="str">
        <f>+'GWB-244.263'!$G$7</f>
        <v>MWBE</v>
      </c>
      <c r="H62" s="27">
        <f>+'GWB-244.263'!$F$7</f>
        <v>240000</v>
      </c>
      <c r="I62" s="27">
        <f>+'GWB-244.263'!$F$8</f>
        <v>97300</v>
      </c>
      <c r="J62" s="27"/>
      <c r="K62" s="26">
        <f>+'GWB-244.263'!$G$9</f>
        <v>-0.59458333333333335</v>
      </c>
      <c r="L62" s="11" t="str">
        <f>+'GWB-244.263'!$F$11</f>
        <v>FAIL</v>
      </c>
      <c r="M62" s="62">
        <f>+'GWB-244.263'!$H$12</f>
        <v>6</v>
      </c>
      <c r="N62" s="35" t="s">
        <v>25</v>
      </c>
      <c r="O62" s="15">
        <v>1</v>
      </c>
      <c r="P62" s="35" t="s">
        <v>457</v>
      </c>
      <c r="Q62" s="15"/>
      <c r="R62" s="24"/>
      <c r="S62" s="62" t="str">
        <f>+'GWB-244.263'!$J$4</f>
        <v>Reddy Gunda</v>
      </c>
      <c r="T62" s="15"/>
      <c r="U62" s="15"/>
      <c r="V62" s="54">
        <f t="shared" si="10"/>
        <v>240000</v>
      </c>
      <c r="W62" s="54">
        <f t="shared" si="10"/>
        <v>97300</v>
      </c>
      <c r="X62" s="54">
        <f t="shared" si="11"/>
        <v>142700</v>
      </c>
    </row>
    <row r="63" spans="3:24" x14ac:dyDescent="0.25">
      <c r="C63" s="39">
        <v>2017</v>
      </c>
      <c r="D63" s="62" t="str">
        <f>+'GWB-244.048'!$F$4</f>
        <v>GWB-244.048</v>
      </c>
      <c r="E63" s="63" t="str">
        <f>+'GWB-244.048'!$F$5</f>
        <v>Replacement of Suspender Ropes and Rehab of Main Cables &amp; Strands</v>
      </c>
      <c r="F63" s="64">
        <f>+'GWB-244.048'!$F$6</f>
        <v>42789</v>
      </c>
      <c r="G63" s="65" t="str">
        <f>+'GWB-244.048'!$G$7</f>
        <v>PQL</v>
      </c>
      <c r="H63" s="94">
        <f>+'GWB-244.048'!$F$7</f>
        <v>479900000</v>
      </c>
      <c r="I63" s="27">
        <f>+'GWB-244.048'!$F$8</f>
        <v>451841280</v>
      </c>
      <c r="J63" s="27" t="s">
        <v>519</v>
      </c>
      <c r="K63" s="26">
        <f>+'GWB-244.048'!$G$9</f>
        <v>-5.8467847468222547E-2</v>
      </c>
      <c r="L63" s="11" t="str">
        <f>+'GWB-244.048'!$F$11</f>
        <v>GOOD</v>
      </c>
      <c r="M63" s="62">
        <f>+'GWB-244.048'!$H$12</f>
        <v>5</v>
      </c>
      <c r="N63" s="35" t="s">
        <v>226</v>
      </c>
      <c r="O63" s="15">
        <v>1</v>
      </c>
      <c r="P63" s="35" t="s">
        <v>457</v>
      </c>
      <c r="Q63" s="15"/>
      <c r="R63" s="24"/>
      <c r="S63" s="62" t="str">
        <f>+'GWB-244.048'!$J$4</f>
        <v>Reddy Gunda</v>
      </c>
      <c r="T63" s="15"/>
      <c r="U63" s="15"/>
      <c r="V63" s="54">
        <f t="shared" si="10"/>
        <v>479900000</v>
      </c>
      <c r="W63" s="54">
        <f t="shared" si="10"/>
        <v>451841280</v>
      </c>
      <c r="X63" s="54">
        <f t="shared" si="11"/>
        <v>28058720</v>
      </c>
    </row>
    <row r="64" spans="3:24" x14ac:dyDescent="0.25">
      <c r="C64" s="39">
        <v>2017</v>
      </c>
      <c r="D64" s="62" t="str">
        <f>+'LGA-124.250'!$F$4</f>
        <v>LGA-124.250</v>
      </c>
      <c r="E64" s="63" t="str">
        <f>+'LGA-124.250'!$F$5</f>
        <v>Rehab Taxiways B, AA, BB, and Associated Taxiways</v>
      </c>
      <c r="F64" s="64">
        <f>+'LGA-124.250'!$F$6</f>
        <v>42787</v>
      </c>
      <c r="G64" s="65" t="str">
        <f>+'LGA-124.250'!$G$7</f>
        <v>PQL</v>
      </c>
      <c r="H64" s="94">
        <f>+'LGA-124.250'!$F$7</f>
        <v>10393000</v>
      </c>
      <c r="I64" s="27">
        <f>+'LGA-124.250'!$F$8</f>
        <v>7903950</v>
      </c>
      <c r="J64" s="105" t="s">
        <v>519</v>
      </c>
      <c r="K64" s="26">
        <f>+'LGA-124.250'!$G$9</f>
        <v>-0.2394929279322621</v>
      </c>
      <c r="L64" s="11" t="str">
        <f>+'LGA-124.250'!$F$11</f>
        <v>FAIL</v>
      </c>
      <c r="M64" s="62">
        <f>+'LGA-124.250'!$H$12</f>
        <v>3</v>
      </c>
      <c r="N64" s="35" t="s">
        <v>93</v>
      </c>
      <c r="O64" s="15">
        <v>1</v>
      </c>
      <c r="P64" s="35" t="s">
        <v>458</v>
      </c>
      <c r="Q64" s="15"/>
      <c r="R64" s="24" t="s">
        <v>932</v>
      </c>
      <c r="S64" s="62" t="str">
        <f>+'LGA-124.250'!$J$4</f>
        <v>Joe Lucin</v>
      </c>
      <c r="T64" s="15"/>
      <c r="U64" s="15"/>
      <c r="V64" s="54">
        <f t="shared" si="10"/>
        <v>10393000</v>
      </c>
      <c r="W64" s="54">
        <f t="shared" si="10"/>
        <v>7903950</v>
      </c>
      <c r="X64" s="54">
        <f t="shared" si="11"/>
        <v>2489050</v>
      </c>
    </row>
    <row r="65" spans="3:24" x14ac:dyDescent="0.25">
      <c r="C65" s="39">
        <v>2017</v>
      </c>
      <c r="D65" s="62" t="str">
        <f>+'TEB-144.045'!$F$4</f>
        <v>TEB-144.045</v>
      </c>
      <c r="E65" s="63" t="str">
        <f>+'TEB-144.045'!$F$5</f>
        <v>Storm Drainage System Rehab Phase 1</v>
      </c>
      <c r="F65" s="64">
        <f>+'TEB-144.045'!$F$6</f>
        <v>42780</v>
      </c>
      <c r="G65" s="65" t="str">
        <f>+'TEB-144.045'!$G$7</f>
        <v>Public</v>
      </c>
      <c r="H65" s="94">
        <f>+'TEB-144.045'!$F$7</f>
        <v>2580000</v>
      </c>
      <c r="I65" s="27">
        <f>+'TEB-144.045'!$F$8</f>
        <v>1386000</v>
      </c>
      <c r="J65" s="27"/>
      <c r="K65" s="26">
        <f>+'TEB-144.045'!$G$9</f>
        <v>-0.46279069767441861</v>
      </c>
      <c r="L65" s="11" t="str">
        <f>+'TEB-144.045'!$F$11</f>
        <v>GOOD</v>
      </c>
      <c r="M65" s="62">
        <f>+'TEB-144.045'!$H$12</f>
        <v>16</v>
      </c>
      <c r="N65" s="35" t="s">
        <v>25</v>
      </c>
      <c r="O65" s="15">
        <v>1</v>
      </c>
      <c r="P65" s="35" t="s">
        <v>458</v>
      </c>
      <c r="Q65" s="15"/>
      <c r="R65" s="24" t="s">
        <v>1020</v>
      </c>
      <c r="S65" s="62" t="str">
        <f>+'EWR-924.375'!$J$4</f>
        <v>Henry Yu</v>
      </c>
      <c r="T65" s="15"/>
      <c r="U65" s="15"/>
      <c r="V65" s="54">
        <f t="shared" si="10"/>
        <v>2580000</v>
      </c>
      <c r="W65" s="54">
        <f t="shared" si="10"/>
        <v>1386000</v>
      </c>
      <c r="X65" s="54">
        <f t="shared" si="11"/>
        <v>1194000</v>
      </c>
    </row>
    <row r="66" spans="3:24" x14ac:dyDescent="0.25">
      <c r="C66" s="39">
        <v>2017</v>
      </c>
      <c r="D66" s="62" t="str">
        <f>+'EWR-924.375'!$F$4</f>
        <v>EWR-924.375</v>
      </c>
      <c r="E66" s="63" t="str">
        <f>+'EWR-924.375'!$F$5</f>
        <v>Peripheral Ditch Containment Boom Anchor Walls</v>
      </c>
      <c r="F66" s="64">
        <f>+'EWR-924.375'!$F$6</f>
        <v>42774</v>
      </c>
      <c r="G66" s="65" t="str">
        <f>+'EWR-924.375'!$G$7</f>
        <v>Public</v>
      </c>
      <c r="H66" s="94">
        <f>+'EWR-924.375'!$F$7</f>
        <v>970000</v>
      </c>
      <c r="I66" s="27">
        <f>+'EWR-924.375'!$F$8</f>
        <v>756482</v>
      </c>
      <c r="J66" s="27"/>
      <c r="K66" s="26">
        <f>+'EWR-924.375'!$G$9</f>
        <v>-0.22012164948453608</v>
      </c>
      <c r="L66" s="11" t="str">
        <f>+'EWR-924.375'!$F$11</f>
        <v>GOOD</v>
      </c>
      <c r="M66" s="62">
        <f>+'EWR-924.375'!$H$12</f>
        <v>9</v>
      </c>
      <c r="N66" s="35" t="s">
        <v>25</v>
      </c>
      <c r="O66" s="15">
        <v>1</v>
      </c>
      <c r="P66" s="35" t="s">
        <v>458</v>
      </c>
      <c r="Q66" s="15"/>
      <c r="R66" s="24"/>
      <c r="S66" s="62" t="str">
        <f>+'EWR-924.375'!$J$4</f>
        <v>Henry Yu</v>
      </c>
      <c r="T66" s="15"/>
      <c r="U66" s="15"/>
      <c r="V66" s="54">
        <f t="shared" si="10"/>
        <v>970000</v>
      </c>
      <c r="W66" s="54">
        <f t="shared" si="10"/>
        <v>756482</v>
      </c>
      <c r="X66" s="54">
        <f t="shared" si="11"/>
        <v>213518</v>
      </c>
    </row>
    <row r="67" spans="3:24" x14ac:dyDescent="0.25">
      <c r="C67" s="39">
        <v>2017</v>
      </c>
      <c r="D67" s="62" t="str">
        <f>+'GWB-924.170'!$F$4</f>
        <v>GWB-924.170</v>
      </c>
      <c r="E67" s="63" t="str">
        <f>+'GWB-924.170'!$F$5</f>
        <v>Maintenance Pavement Repairs via Work Order</v>
      </c>
      <c r="F67" s="64">
        <f>+'GWB-924.170'!$F$6</f>
        <v>42773</v>
      </c>
      <c r="G67" s="65" t="str">
        <f>+'GWB-924.170'!$G$7</f>
        <v>PQL</v>
      </c>
      <c r="H67" s="94">
        <f>+'GWB-924.170'!$F$7</f>
        <v>1965000</v>
      </c>
      <c r="I67" s="27">
        <f>+'GWB-924.170'!$F$8</f>
        <v>1450000</v>
      </c>
      <c r="J67" s="27"/>
      <c r="K67" s="26">
        <f>+'GWB-924.170'!$G$9</f>
        <v>-0.26208651399491095</v>
      </c>
      <c r="L67" s="11" t="str">
        <f>+'GWB-924.170'!$F$11</f>
        <v>GOOD</v>
      </c>
      <c r="M67" s="62">
        <f>+'GWB-924.170'!$H$12</f>
        <v>6</v>
      </c>
      <c r="N67" s="35" t="s">
        <v>226</v>
      </c>
      <c r="O67" s="15">
        <v>1</v>
      </c>
      <c r="P67" s="35" t="s">
        <v>457</v>
      </c>
      <c r="Q67" s="15"/>
      <c r="R67" s="24" t="s">
        <v>900</v>
      </c>
      <c r="S67" s="62" t="str">
        <f>+'GWB-924.170'!$J$4</f>
        <v>Reddy Gunda</v>
      </c>
      <c r="T67" s="15"/>
      <c r="U67" s="15"/>
      <c r="V67" s="54">
        <f t="shared" si="10"/>
        <v>1965000</v>
      </c>
      <c r="W67" s="54">
        <f t="shared" si="10"/>
        <v>1450000</v>
      </c>
      <c r="X67" s="54">
        <f t="shared" si="11"/>
        <v>515000</v>
      </c>
    </row>
    <row r="68" spans="3:24" x14ac:dyDescent="0.25">
      <c r="C68" s="39">
        <v>2017</v>
      </c>
      <c r="D68" s="62" t="str">
        <f>+'JFK-124.009'!$F$4</f>
        <v>JFK-124.009</v>
      </c>
      <c r="E68" s="63" t="str">
        <f>+'JFK-124.009'!$F$5</f>
        <v>Bldg 14 Roof Replacement, East Wing</v>
      </c>
      <c r="F68" s="64">
        <f>+'JFK-124.009'!$F$6</f>
        <v>42768</v>
      </c>
      <c r="G68" s="65" t="str">
        <f>+'JFK-124.009'!$G$7</f>
        <v>Public</v>
      </c>
      <c r="H68" s="94">
        <f>+'JFK-124.009'!$F$7</f>
        <v>4800000</v>
      </c>
      <c r="I68" s="27">
        <f>+'JFK-124.009'!$F$8</f>
        <v>3901193</v>
      </c>
      <c r="J68" s="27"/>
      <c r="K68" s="26">
        <f>+'JFK-124.009'!$G$9</f>
        <v>-0.18725145833333334</v>
      </c>
      <c r="L68" s="11" t="str">
        <f>+'JFK-124.009'!$F$11</f>
        <v>GOOD</v>
      </c>
      <c r="M68" s="62">
        <f>+'JFK-124.009'!$H$12</f>
        <v>14</v>
      </c>
      <c r="N68" s="35" t="s">
        <v>93</v>
      </c>
      <c r="O68" s="15">
        <v>1</v>
      </c>
      <c r="P68" s="35" t="s">
        <v>458</v>
      </c>
      <c r="Q68" s="15"/>
      <c r="R68" s="24"/>
      <c r="S68" s="62" t="str">
        <f>+'JFK-124.009'!$J$4</f>
        <v>Henry Yu</v>
      </c>
      <c r="T68" s="15"/>
      <c r="U68" s="15"/>
      <c r="V68" s="54">
        <f t="shared" si="10"/>
        <v>4800000</v>
      </c>
      <c r="W68" s="54">
        <f t="shared" si="10"/>
        <v>3901193</v>
      </c>
      <c r="X68" s="54">
        <f t="shared" si="11"/>
        <v>898807</v>
      </c>
    </row>
    <row r="69" spans="3:24" x14ac:dyDescent="0.25">
      <c r="C69" s="39">
        <v>2017</v>
      </c>
      <c r="D69" s="62" t="str">
        <f>+'MFP-924.645 Void'!$F$4</f>
        <v>MFP-924.645</v>
      </c>
      <c r="E69" s="63" t="str">
        <f>+'MFP-924.645 Void'!$F$5</f>
        <v>NJ Paving and Utility Rehab by Work Order</v>
      </c>
      <c r="F69" s="64">
        <f>+'MFP-924.645 Void'!$F$6</f>
        <v>42766</v>
      </c>
      <c r="G69" s="65"/>
      <c r="H69" s="94"/>
      <c r="I69" s="27"/>
      <c r="J69" s="27"/>
      <c r="K69" s="26"/>
      <c r="L69" s="11"/>
      <c r="M69" s="62"/>
      <c r="N69" s="35"/>
      <c r="O69" s="15"/>
      <c r="P69" s="35"/>
      <c r="Q69" s="15"/>
      <c r="R69" s="24" t="s">
        <v>472</v>
      </c>
      <c r="S69" s="62" t="str">
        <f>+'MFP-924.645 Void'!$J$4</f>
        <v>Ed Minall</v>
      </c>
      <c r="T69" s="15"/>
      <c r="U69" s="15"/>
      <c r="V69" s="54">
        <f t="shared" si="10"/>
        <v>0</v>
      </c>
      <c r="W69" s="54">
        <f t="shared" si="10"/>
        <v>0</v>
      </c>
      <c r="X69" s="54">
        <f t="shared" si="11"/>
        <v>0</v>
      </c>
    </row>
    <row r="70" spans="3:24" x14ac:dyDescent="0.25">
      <c r="C70" s="39">
        <v>2017</v>
      </c>
      <c r="D70" s="62" t="str">
        <f>+'JFK-154.022'!$F$4</f>
        <v>JFK-154.022</v>
      </c>
      <c r="E70" s="63" t="str">
        <f>+'JFK-154.022'!$F$5</f>
        <v>Vehicle Gates Security Upgrade</v>
      </c>
      <c r="F70" s="64">
        <f>+'JFK-154.022'!$F$6</f>
        <v>42765</v>
      </c>
      <c r="G70" s="65" t="str">
        <f>+'JFK-154.022'!$G$7</f>
        <v>VVP</v>
      </c>
      <c r="H70" s="94">
        <f>+'JFK-154.022'!$F$7</f>
        <v>6500000</v>
      </c>
      <c r="I70" s="27">
        <f>+'JFK-154.022'!$F$8</f>
        <v>5987000</v>
      </c>
      <c r="J70" s="27" t="s">
        <v>519</v>
      </c>
      <c r="K70" s="26">
        <f>+'JFK-154.022'!$G$9</f>
        <v>-7.8923076923076929E-2</v>
      </c>
      <c r="L70" s="11" t="str">
        <f>+'JFK-154.022'!$F$11</f>
        <v>GOOD</v>
      </c>
      <c r="M70" s="62">
        <f>+'JFK-154.022'!$H$12</f>
        <v>5</v>
      </c>
      <c r="N70" s="35" t="s">
        <v>93</v>
      </c>
      <c r="O70" s="15">
        <v>1</v>
      </c>
      <c r="P70" s="35" t="s">
        <v>458</v>
      </c>
      <c r="Q70" s="15"/>
      <c r="R70" s="24"/>
      <c r="S70" s="62" t="str">
        <f>+'JFK-154.022'!$J$4</f>
        <v>Nathan Demaisip</v>
      </c>
      <c r="T70" s="15"/>
      <c r="U70" s="15"/>
      <c r="V70" s="54">
        <f t="shared" si="10"/>
        <v>6500000</v>
      </c>
      <c r="W70" s="54">
        <f t="shared" si="10"/>
        <v>5987000</v>
      </c>
      <c r="X70" s="54">
        <f t="shared" si="11"/>
        <v>513000</v>
      </c>
    </row>
    <row r="71" spans="3:24" x14ac:dyDescent="0.25">
      <c r="C71" s="39">
        <v>2017</v>
      </c>
      <c r="D71" s="62" t="str">
        <f>+'LGA-103.015'!$F$4</f>
        <v>LGA-103.015</v>
      </c>
      <c r="E71" s="63" t="str">
        <f>+'LGA-103.015'!$F$5</f>
        <v>Pump House 6 Substation</v>
      </c>
      <c r="F71" s="64">
        <f>+'LGA-103.015'!$F$6</f>
        <v>42761</v>
      </c>
      <c r="G71" s="65" t="str">
        <f>+'LGA-103.015'!$G$7</f>
        <v>Public</v>
      </c>
      <c r="H71" s="94">
        <f>+'LGA-103.015'!$F$7</f>
        <v>5100000</v>
      </c>
      <c r="I71" s="27">
        <f>+'LGA-103.015'!$F$8</f>
        <v>4640176</v>
      </c>
      <c r="J71" s="94" t="s">
        <v>519</v>
      </c>
      <c r="K71" s="26">
        <f>+'LGA-103.015'!$G$9</f>
        <v>-9.0161568627450978E-2</v>
      </c>
      <c r="L71" s="11" t="str">
        <f>+'LGA-103.015'!$F$11</f>
        <v>GOOD</v>
      </c>
      <c r="M71" s="62">
        <f>+'LGA-103.015'!$H$12</f>
        <v>7</v>
      </c>
      <c r="N71" s="35" t="s">
        <v>93</v>
      </c>
      <c r="O71" s="15">
        <v>1</v>
      </c>
      <c r="P71" s="35" t="s">
        <v>458</v>
      </c>
      <c r="Q71" s="15"/>
      <c r="R71" s="24"/>
      <c r="S71" s="62" t="str">
        <f>+'LGA-103.015'!$J$4</f>
        <v>Joe Lucin</v>
      </c>
      <c r="T71" s="15"/>
      <c r="U71" s="15"/>
      <c r="V71" s="54">
        <f t="shared" si="10"/>
        <v>5100000</v>
      </c>
      <c r="W71" s="54">
        <f t="shared" si="10"/>
        <v>4640176</v>
      </c>
      <c r="X71" s="54">
        <f t="shared" si="11"/>
        <v>459824</v>
      </c>
    </row>
    <row r="72" spans="3:24" x14ac:dyDescent="0.25">
      <c r="C72" s="39">
        <v>2017</v>
      </c>
      <c r="D72" s="62" t="str">
        <f>+'EWR-154.392'!$F$4</f>
        <v>EWR-154.392</v>
      </c>
      <c r="E72" s="63" t="str">
        <f>+'EWR-154.392'!$F$5</f>
        <v xml:space="preserve">Terminal A Redev - Bridges N57, N58, N59 and Utilities </v>
      </c>
      <c r="F72" s="64">
        <f>+'EWR-154.392'!$F$6</f>
        <v>42759</v>
      </c>
      <c r="G72" s="65" t="str">
        <f>+'EWR-154.392'!$G$7</f>
        <v>PQL</v>
      </c>
      <c r="H72" s="94">
        <f>+'EWR-154.392'!$F$7</f>
        <v>69800000</v>
      </c>
      <c r="I72" s="27">
        <f>+'EWR-154.392'!$F$8</f>
        <v>67107000</v>
      </c>
      <c r="J72" s="27" t="s">
        <v>519</v>
      </c>
      <c r="K72" s="26">
        <f>+'EWR-154.392'!$G$9</f>
        <v>-3.8581661891117482E-2</v>
      </c>
      <c r="L72" s="11" t="str">
        <f>+'EWR-154.392'!$F$11</f>
        <v>GOOD</v>
      </c>
      <c r="M72" s="62">
        <f>+'EWR-154.392'!$H$12</f>
        <v>9</v>
      </c>
      <c r="N72" s="35" t="s">
        <v>25</v>
      </c>
      <c r="O72" s="15">
        <v>1</v>
      </c>
      <c r="P72" s="35" t="s">
        <v>458</v>
      </c>
      <c r="Q72" s="15"/>
      <c r="R72" s="24"/>
      <c r="S72" s="62" t="str">
        <f>+'EWR-154.392'!$J$4</f>
        <v>Henry Yu</v>
      </c>
      <c r="T72" s="15"/>
      <c r="U72" s="15"/>
      <c r="V72" s="54">
        <f t="shared" si="10"/>
        <v>69800000</v>
      </c>
      <c r="W72" s="54">
        <f t="shared" si="10"/>
        <v>67107000</v>
      </c>
      <c r="X72" s="54">
        <f t="shared" si="11"/>
        <v>2693000</v>
      </c>
    </row>
    <row r="73" spans="3:24" x14ac:dyDescent="0.25">
      <c r="C73" s="39">
        <v>2017</v>
      </c>
      <c r="D73" s="62" t="str">
        <f>+'HT-924.089'!$F$4</f>
        <v>HT-924.089</v>
      </c>
      <c r="E73" s="63" t="str">
        <f>+'HT-924.089'!$F$5</f>
        <v>NJ Service Building 1 and 2 Priority Repairs</v>
      </c>
      <c r="F73" s="64">
        <f>+'HT-924.089'!$F$6</f>
        <v>42753</v>
      </c>
      <c r="G73" s="65" t="str">
        <f>+'HT-924.089'!$G$7</f>
        <v>MWBE</v>
      </c>
      <c r="H73" s="94">
        <f>+'HT-924.089'!$F$7</f>
        <v>1410000</v>
      </c>
      <c r="I73" s="27">
        <f>+'HT-924.089'!$F$8</f>
        <v>1399756</v>
      </c>
      <c r="J73" s="27"/>
      <c r="K73" s="26">
        <f>+'HT-924.089'!$G$9</f>
        <v>-7.2652482269503545E-3</v>
      </c>
      <c r="L73" s="11" t="str">
        <f>+'HT-924.089'!$F$11</f>
        <v>GOOD</v>
      </c>
      <c r="M73" s="62">
        <f>+'HT-924.089'!$H$12</f>
        <v>3</v>
      </c>
      <c r="N73" s="35" t="s">
        <v>25</v>
      </c>
      <c r="O73" s="15">
        <v>1</v>
      </c>
      <c r="P73" s="35" t="s">
        <v>457</v>
      </c>
      <c r="Q73" s="15"/>
      <c r="R73" s="24"/>
      <c r="S73" s="62" t="str">
        <f>+'HT-924.089'!$J$4</f>
        <v>Reddy Gunda</v>
      </c>
      <c r="T73" s="15"/>
      <c r="U73" s="15"/>
      <c r="V73" s="54">
        <f t="shared" si="10"/>
        <v>1410000</v>
      </c>
      <c r="W73" s="54">
        <f t="shared" si="10"/>
        <v>1399756</v>
      </c>
      <c r="X73" s="54">
        <f t="shared" si="11"/>
        <v>10244</v>
      </c>
    </row>
    <row r="74" spans="3:24" x14ac:dyDescent="0.25">
      <c r="C74" s="39">
        <v>2017</v>
      </c>
      <c r="D74" s="62" t="str">
        <f>+'MFP-924.644'!$F$4</f>
        <v>MFP-924.644</v>
      </c>
      <c r="E74" s="63" t="str">
        <f>+'MFP-924.644'!$F$5</f>
        <v>NJ Marine Terminals Railroad Rehab via Work Order</v>
      </c>
      <c r="F74" s="64">
        <f>+'MFP-924.644'!$F$6</f>
        <v>42752</v>
      </c>
      <c r="G74" s="65" t="str">
        <f>+'MFP-924.644'!$G$7</f>
        <v>Public</v>
      </c>
      <c r="H74" s="94">
        <f>+'MFP-924.644'!$F$7</f>
        <v>4200000</v>
      </c>
      <c r="I74" s="27">
        <f>+'MFP-924.644'!$F$8</f>
        <v>3987114</v>
      </c>
      <c r="J74" s="27"/>
      <c r="K74" s="26">
        <f>+'MFP-924.644'!$G$9</f>
        <v>-5.0687142857142854E-2</v>
      </c>
      <c r="L74" s="11" t="str">
        <f>+'MFP-924.644'!$F$11</f>
        <v>GOOD</v>
      </c>
      <c r="M74" s="62">
        <f>+'MFP-924.644'!$H$12</f>
        <v>3</v>
      </c>
      <c r="N74" s="35" t="s">
        <v>25</v>
      </c>
      <c r="O74" s="15">
        <v>1</v>
      </c>
      <c r="P74" s="35" t="s">
        <v>492</v>
      </c>
      <c r="Q74" s="15"/>
      <c r="R74" s="24"/>
      <c r="S74" s="62" t="str">
        <f>+'MFP-924.644'!$J$4</f>
        <v>Ed Minall</v>
      </c>
      <c r="T74" s="15"/>
      <c r="U74" s="15"/>
      <c r="V74" s="54">
        <f t="shared" ref="V74:W76" si="12">+H74</f>
        <v>4200000</v>
      </c>
      <c r="W74" s="54">
        <f t="shared" si="12"/>
        <v>3987114</v>
      </c>
      <c r="X74" s="54">
        <f t="shared" si="11"/>
        <v>212886</v>
      </c>
    </row>
    <row r="75" spans="3:24" x14ac:dyDescent="0.25">
      <c r="C75" s="39">
        <v>2017</v>
      </c>
      <c r="D75" s="62" t="str">
        <f>+'JFK-1067'!$F$4</f>
        <v>JFK-1067</v>
      </c>
      <c r="E75" s="63" t="str">
        <f>+'JFK-1067'!$F$5</f>
        <v>Asphalt Pavement Repairs via Work Order</v>
      </c>
      <c r="F75" s="64">
        <f>+'JFK-1067'!$F$6</f>
        <v>42746</v>
      </c>
      <c r="G75" s="65" t="str">
        <f>+'JFK-1067'!$G$7</f>
        <v>PQL</v>
      </c>
      <c r="H75" s="94">
        <f>+'JFK-1067'!$F$7</f>
        <v>12071025</v>
      </c>
      <c r="I75" s="27">
        <f>+'JFK-1067'!$F$8</f>
        <v>9977777</v>
      </c>
      <c r="J75" s="105" t="s">
        <v>519</v>
      </c>
      <c r="K75" s="26">
        <f>+'JFK-1067'!$G$9</f>
        <v>-0.17341095723022693</v>
      </c>
      <c r="L75" s="11" t="str">
        <f>+'JFK-1067'!$F$11</f>
        <v>FAIL</v>
      </c>
      <c r="M75" s="62">
        <f>+'JFK-1067'!$H$12</f>
        <v>3</v>
      </c>
      <c r="N75" s="35" t="s">
        <v>93</v>
      </c>
      <c r="O75" s="15">
        <v>1</v>
      </c>
      <c r="P75" s="35" t="s">
        <v>458</v>
      </c>
      <c r="Q75" s="15"/>
      <c r="R75" s="24"/>
      <c r="S75" s="62" t="str">
        <f>+'JFK-1067'!$J$4</f>
        <v>Henry Yu</v>
      </c>
      <c r="T75" s="15"/>
      <c r="U75" s="15"/>
      <c r="V75" s="54">
        <f t="shared" si="12"/>
        <v>12071025</v>
      </c>
      <c r="W75" s="54">
        <f t="shared" si="12"/>
        <v>9977777</v>
      </c>
      <c r="X75" s="54">
        <f t="shared" si="11"/>
        <v>2093248</v>
      </c>
    </row>
    <row r="76" spans="3:24" x14ac:dyDescent="0.25">
      <c r="C76" s="39">
        <v>2017</v>
      </c>
      <c r="D76" s="62" t="str">
        <f>+'JFK-124.016'!$F$4</f>
        <v>JFK-124.016</v>
      </c>
      <c r="E76" s="63" t="str">
        <f>+'JFK-124.016'!$F$5</f>
        <v>Rehab Taxiway Q, QG and Restricted Vehicle Service Road</v>
      </c>
      <c r="F76" s="64">
        <f>+'JFK-124.016'!$F$6</f>
        <v>42739</v>
      </c>
      <c r="G76" s="65" t="str">
        <f>+'JFK-124.016'!$G$7</f>
        <v>PQL</v>
      </c>
      <c r="H76" s="94">
        <f>+'JFK-124.016'!$F$7</f>
        <v>28695000</v>
      </c>
      <c r="I76" s="27">
        <f>+'JFK-124.016'!$F$8</f>
        <v>31768035</v>
      </c>
      <c r="J76" s="27" t="s">
        <v>519</v>
      </c>
      <c r="K76" s="26">
        <f>+'JFK-124.016'!$G$9</f>
        <v>0.10709304756926294</v>
      </c>
      <c r="L76" s="11" t="str">
        <f>+'JFK-124.016'!$F$11</f>
        <v>GOOD</v>
      </c>
      <c r="M76" s="62">
        <f>+'JFK-124.016'!$H$12</f>
        <v>2</v>
      </c>
      <c r="N76" s="35" t="s">
        <v>93</v>
      </c>
      <c r="O76" s="15">
        <v>1</v>
      </c>
      <c r="P76" s="35" t="s">
        <v>458</v>
      </c>
      <c r="Q76" s="15"/>
      <c r="R76" s="24"/>
      <c r="S76" s="62" t="str">
        <f>+'JFK-124.016'!$J$4</f>
        <v>Henry Yu</v>
      </c>
      <c r="T76" s="15"/>
      <c r="U76" s="15"/>
      <c r="V76" s="54">
        <f t="shared" si="12"/>
        <v>28695000</v>
      </c>
      <c r="W76" s="54">
        <f t="shared" si="12"/>
        <v>31768035</v>
      </c>
      <c r="X76" s="54">
        <f t="shared" si="11"/>
        <v>-3073035</v>
      </c>
    </row>
    <row r="77" spans="3:24" x14ac:dyDescent="0.25">
      <c r="C77" s="39"/>
      <c r="D77" s="15"/>
      <c r="E77" s="24"/>
      <c r="F77" s="25"/>
      <c r="G77" s="46"/>
      <c r="H77" s="27"/>
      <c r="I77" s="27"/>
      <c r="J77" s="27"/>
      <c r="K77" s="26"/>
      <c r="L77" s="11"/>
      <c r="M77" s="62"/>
      <c r="P77" s="11"/>
      <c r="V77" s="54"/>
      <c r="W77" s="54"/>
      <c r="X77" s="54"/>
    </row>
    <row r="78" spans="3:24" x14ac:dyDescent="0.25">
      <c r="C78" s="39"/>
      <c r="D78" s="15"/>
      <c r="E78" s="24"/>
      <c r="F78" s="25"/>
      <c r="G78" s="46"/>
      <c r="H78" s="27"/>
      <c r="I78" s="27"/>
      <c r="J78" s="27"/>
      <c r="K78" s="26"/>
      <c r="L78" s="11"/>
      <c r="M78" s="15"/>
      <c r="P78" s="11"/>
      <c r="V78" s="54"/>
      <c r="W78" s="54"/>
      <c r="X78" s="54"/>
    </row>
    <row r="79" spans="3:24" x14ac:dyDescent="0.25">
      <c r="C79" s="39"/>
      <c r="D79" s="15"/>
      <c r="E79" s="24"/>
      <c r="F79" s="25"/>
      <c r="G79" s="46"/>
      <c r="H79" s="27"/>
      <c r="I79" s="27"/>
      <c r="J79" s="27"/>
      <c r="K79" s="26"/>
      <c r="L79" s="11"/>
      <c r="M79" s="15"/>
      <c r="P79" s="11"/>
      <c r="V79" s="54"/>
      <c r="W79" s="54"/>
      <c r="X79" s="54"/>
    </row>
    <row r="80" spans="3:24" x14ac:dyDescent="0.25">
      <c r="C80" s="39"/>
      <c r="G80" s="46"/>
      <c r="H80" s="68"/>
      <c r="L80">
        <f>COUNTA(L6:L76)</f>
        <v>65</v>
      </c>
      <c r="P80" s="11"/>
      <c r="V80" s="54"/>
      <c r="W80" s="54"/>
      <c r="X80" s="54"/>
    </row>
    <row r="81" spans="3:24" x14ac:dyDescent="0.25">
      <c r="C81" s="39"/>
      <c r="G81" s="45"/>
      <c r="H81" s="69"/>
      <c r="L81">
        <v>22</v>
      </c>
      <c r="M81" t="s">
        <v>789</v>
      </c>
      <c r="N81" s="76" t="s">
        <v>819</v>
      </c>
      <c r="P81" s="11"/>
      <c r="V81" s="54"/>
      <c r="W81" s="54"/>
      <c r="X81" s="54"/>
    </row>
    <row r="82" spans="3:24" x14ac:dyDescent="0.25">
      <c r="C82" s="39"/>
      <c r="G82" s="45"/>
      <c r="H82" s="69"/>
      <c r="L82">
        <f>+L80-L81</f>
        <v>43</v>
      </c>
      <c r="M82" t="s">
        <v>790</v>
      </c>
      <c r="P82" s="11"/>
      <c r="V82" s="54"/>
      <c r="W82" s="54"/>
      <c r="X82" s="54"/>
    </row>
    <row r="83" spans="3:24" x14ac:dyDescent="0.25">
      <c r="C83" s="39"/>
      <c r="G83" s="45"/>
      <c r="H83" s="67"/>
      <c r="L83">
        <f>+L82/L80</f>
        <v>0.66153846153846152</v>
      </c>
      <c r="P83" s="11"/>
    </row>
    <row r="84" spans="3:24" x14ac:dyDescent="0.25">
      <c r="C84" s="39"/>
      <c r="G84" s="45"/>
      <c r="P84" s="11"/>
    </row>
    <row r="85" spans="3:24" x14ac:dyDescent="0.25">
      <c r="C85" s="39"/>
      <c r="G85" s="45"/>
      <c r="H85" s="55">
        <f>SUM(H6:H76)</f>
        <v>1120409025</v>
      </c>
      <c r="I85" s="55">
        <f>SUM(I6:I76)</f>
        <v>1039196416</v>
      </c>
      <c r="J85" s="7">
        <f>+I85/H85</f>
        <v>0.92751521347304389</v>
      </c>
      <c r="L85" s="4">
        <f>COUNTA(L6:L76)-H80</f>
        <v>65</v>
      </c>
      <c r="P85" s="11"/>
    </row>
    <row r="86" spans="3:24" x14ac:dyDescent="0.25">
      <c r="C86" s="39"/>
      <c r="G86" s="45"/>
      <c r="L86">
        <f>+L81-H81</f>
        <v>22</v>
      </c>
      <c r="M86" t="s">
        <v>789</v>
      </c>
      <c r="P86" s="11"/>
    </row>
    <row r="87" spans="3:24" x14ac:dyDescent="0.25">
      <c r="C87" s="39"/>
      <c r="G87" s="45"/>
      <c r="L87">
        <f>+L82-H82</f>
        <v>43</v>
      </c>
      <c r="M87" t="s">
        <v>790</v>
      </c>
      <c r="P87" s="11"/>
    </row>
    <row r="88" spans="3:24" x14ac:dyDescent="0.25">
      <c r="C88" s="39"/>
      <c r="G88" s="45"/>
      <c r="L88">
        <f>+L87/L85</f>
        <v>0.66153846153846152</v>
      </c>
      <c r="P88" s="11"/>
    </row>
    <row r="89" spans="3:24" x14ac:dyDescent="0.25">
      <c r="C89" s="39"/>
      <c r="G89" s="45"/>
      <c r="P89" s="11"/>
    </row>
    <row r="90" spans="3:24" x14ac:dyDescent="0.25">
      <c r="C90" s="39"/>
      <c r="G90" s="45"/>
      <c r="P90" s="11"/>
    </row>
    <row r="91" spans="3:24" x14ac:dyDescent="0.25">
      <c r="C91" s="39"/>
      <c r="E91" s="125" t="s">
        <v>1168</v>
      </c>
      <c r="F91" s="70" t="str">
        <f>"'15 final"</f>
        <v>'15 final</v>
      </c>
      <c r="G91" s="70" t="str">
        <f>"'16 final"</f>
        <v>'16 final</v>
      </c>
      <c r="H91" s="121" t="str">
        <f>"'17 final"</f>
        <v>'17 final</v>
      </c>
      <c r="P91" s="11"/>
    </row>
    <row r="92" spans="3:24" x14ac:dyDescent="0.25">
      <c r="C92" s="39"/>
      <c r="E92" s="71" t="s">
        <v>800</v>
      </c>
      <c r="F92" s="11">
        <v>36</v>
      </c>
      <c r="G92" s="11">
        <v>43</v>
      </c>
      <c r="H92" s="104">
        <f>+L80</f>
        <v>65</v>
      </c>
      <c r="P92" s="11"/>
    </row>
    <row r="93" spans="3:24" x14ac:dyDescent="0.25">
      <c r="C93" s="39"/>
      <c r="E93" s="72" t="s">
        <v>801</v>
      </c>
      <c r="F93" s="11">
        <v>24</v>
      </c>
      <c r="G93" s="11">
        <v>36</v>
      </c>
      <c r="H93" s="104">
        <f>+H92-H94</f>
        <v>41</v>
      </c>
      <c r="P93" s="11"/>
    </row>
    <row r="94" spans="3:24" x14ac:dyDescent="0.25">
      <c r="C94" s="39"/>
      <c r="E94" s="72" t="s">
        <v>802</v>
      </c>
      <c r="F94" s="11">
        <v>12</v>
      </c>
      <c r="G94" s="11">
        <v>7</v>
      </c>
      <c r="H94" s="104">
        <v>24</v>
      </c>
      <c r="P94" s="11"/>
    </row>
    <row r="95" spans="3:24" x14ac:dyDescent="0.25">
      <c r="C95" s="39"/>
      <c r="E95" s="72"/>
      <c r="F95" s="11"/>
      <c r="G95" s="11"/>
      <c r="H95" s="104"/>
      <c r="P95" s="11"/>
    </row>
    <row r="96" spans="3:24" x14ac:dyDescent="0.25">
      <c r="C96" s="39"/>
      <c r="E96" s="72" t="s">
        <v>1144</v>
      </c>
      <c r="F96" s="78">
        <v>170</v>
      </c>
      <c r="G96" s="78">
        <v>348.82968799999998</v>
      </c>
      <c r="H96" s="122">
        <f>+I85/1000000</f>
        <v>1039.196416</v>
      </c>
      <c r="P96" s="11"/>
    </row>
    <row r="97" spans="3:19" x14ac:dyDescent="0.25">
      <c r="C97" s="39"/>
      <c r="E97" s="72" t="s">
        <v>806</v>
      </c>
      <c r="F97" s="75">
        <v>6.416666666666667</v>
      </c>
      <c r="G97" s="75">
        <v>5.8837209302325579</v>
      </c>
      <c r="H97" s="123">
        <f>AVERAGE(M6:M76)</f>
        <v>5.3076923076923075</v>
      </c>
      <c r="P97" s="11"/>
    </row>
    <row r="98" spans="3:19" x14ac:dyDescent="0.25">
      <c r="C98" s="39"/>
      <c r="E98" s="72" t="s">
        <v>807</v>
      </c>
      <c r="F98" s="74">
        <v>1.024</v>
      </c>
      <c r="G98" s="74">
        <v>0.83587858746624299</v>
      </c>
      <c r="H98" s="124">
        <f>+J85</f>
        <v>0.92751521347304389</v>
      </c>
      <c r="P98" s="11"/>
    </row>
    <row r="99" spans="3:19" x14ac:dyDescent="0.25">
      <c r="C99" s="39"/>
      <c r="E99" s="72"/>
      <c r="F99" s="11"/>
      <c r="G99" s="11"/>
      <c r="H99" s="104"/>
      <c r="P99" s="11"/>
    </row>
    <row r="100" spans="3:19" x14ac:dyDescent="0.25">
      <c r="C100" s="39"/>
      <c r="E100" s="72" t="s">
        <v>803</v>
      </c>
      <c r="F100" s="74">
        <v>0.55500000000000005</v>
      </c>
      <c r="G100" s="74">
        <v>0.62790697674418605</v>
      </c>
      <c r="H100" s="151">
        <f>+L83</f>
        <v>0.66153846153846152</v>
      </c>
      <c r="P100" s="11"/>
    </row>
    <row r="101" spans="3:19" x14ac:dyDescent="0.25">
      <c r="C101" s="107">
        <f>+L81-C102</f>
        <v>13</v>
      </c>
      <c r="D101" s="52" t="s">
        <v>789</v>
      </c>
      <c r="E101" s="72" t="s">
        <v>804</v>
      </c>
      <c r="F101" s="74">
        <v>0.5</v>
      </c>
      <c r="G101" s="74">
        <v>0.63888888888888884</v>
      </c>
      <c r="H101" s="152">
        <f>(H93-C101)/H93</f>
        <v>0.68292682926829273</v>
      </c>
      <c r="P101" s="11"/>
    </row>
    <row r="102" spans="3:19" x14ac:dyDescent="0.25">
      <c r="C102" s="107">
        <v>9</v>
      </c>
      <c r="D102" s="52" t="s">
        <v>789</v>
      </c>
      <c r="E102" s="72" t="s">
        <v>805</v>
      </c>
      <c r="F102" s="74">
        <v>0.66700000000000004</v>
      </c>
      <c r="G102" s="74">
        <v>0.5714285714285714</v>
      </c>
      <c r="H102" s="152">
        <f>(H94-C102)/H94</f>
        <v>0.625</v>
      </c>
      <c r="P102" s="11"/>
    </row>
    <row r="103" spans="3:19" x14ac:dyDescent="0.25">
      <c r="C103" s="39"/>
      <c r="E103" s="72"/>
      <c r="F103" s="11"/>
      <c r="G103" s="11"/>
      <c r="H103" s="104"/>
      <c r="P103" s="11"/>
    </row>
    <row r="104" spans="3:19" x14ac:dyDescent="0.25">
      <c r="C104" s="39"/>
      <c r="E104" s="72" t="s">
        <v>1141</v>
      </c>
      <c r="F104" s="11">
        <v>15</v>
      </c>
      <c r="G104" s="11">
        <v>13</v>
      </c>
      <c r="H104" s="104">
        <v>25</v>
      </c>
    </row>
    <row r="105" spans="3:19" x14ac:dyDescent="0.25">
      <c r="E105" s="106" t="s">
        <v>1143</v>
      </c>
      <c r="F105" s="74">
        <f>+F104/F92</f>
        <v>0.41666666666666669</v>
      </c>
      <c r="G105" s="74">
        <f>+G104/G92</f>
        <v>0.30232558139534882</v>
      </c>
      <c r="H105" s="108">
        <f>+H104/H92</f>
        <v>0.38461538461538464</v>
      </c>
    </row>
    <row r="106" spans="3:19" x14ac:dyDescent="0.25">
      <c r="C106" s="39"/>
      <c r="E106" s="72" t="s">
        <v>1142</v>
      </c>
      <c r="F106" s="11">
        <v>5</v>
      </c>
      <c r="G106" s="11">
        <v>3</v>
      </c>
      <c r="H106" s="104">
        <v>2</v>
      </c>
    </row>
    <row r="107" spans="3:19" x14ac:dyDescent="0.25">
      <c r="C107" s="39"/>
      <c r="E107" s="106" t="s">
        <v>1169</v>
      </c>
      <c r="F107" s="74">
        <f>+F106/F92</f>
        <v>0.1388888888888889</v>
      </c>
      <c r="G107" s="74">
        <f>+G106/G92</f>
        <v>6.9767441860465115E-2</v>
      </c>
      <c r="H107" s="108">
        <f>+H106/H92</f>
        <v>3.0769230769230771E-2</v>
      </c>
    </row>
    <row r="108" spans="3:19" x14ac:dyDescent="0.25">
      <c r="C108" s="39"/>
      <c r="E108" s="72"/>
      <c r="F108" s="11"/>
      <c r="G108" s="11"/>
    </row>
    <row r="109" spans="3:19" x14ac:dyDescent="0.25">
      <c r="C109" s="39"/>
      <c r="E109" s="72"/>
      <c r="F109" s="11"/>
      <c r="G109" s="11"/>
    </row>
    <row r="110" spans="3:19" x14ac:dyDescent="0.25">
      <c r="C110" s="79"/>
      <c r="D110" s="80"/>
      <c r="E110" s="81"/>
      <c r="F110" s="82"/>
      <c r="G110" s="82"/>
      <c r="H110" s="80"/>
      <c r="I110" s="80"/>
      <c r="J110" s="80"/>
      <c r="K110" s="80"/>
      <c r="L110" s="80"/>
      <c r="M110" s="80"/>
      <c r="N110" s="82"/>
      <c r="O110" s="80"/>
      <c r="P110" s="80"/>
      <c r="Q110" s="80"/>
      <c r="R110" s="80"/>
      <c r="S110" s="80"/>
    </row>
    <row r="111" spans="3:19" x14ac:dyDescent="0.25">
      <c r="C111" s="39"/>
      <c r="E111" s="36"/>
      <c r="G111" s="45"/>
    </row>
    <row r="112" spans="3:19" x14ac:dyDescent="0.25">
      <c r="C112" s="39"/>
      <c r="G112" s="45"/>
    </row>
    <row r="113" spans="3:24" x14ac:dyDescent="0.25">
      <c r="C113" s="39"/>
      <c r="D113" s="31" t="s">
        <v>837</v>
      </c>
      <c r="G113" s="45"/>
    </row>
    <row r="114" spans="3:24" x14ac:dyDescent="0.25">
      <c r="C114" s="39">
        <v>2017</v>
      </c>
      <c r="D114" s="102" t="s">
        <v>1150</v>
      </c>
      <c r="E114" s="63" t="s">
        <v>1151</v>
      </c>
      <c r="F114" s="64">
        <v>43083</v>
      </c>
      <c r="G114" s="65" t="s">
        <v>693</v>
      </c>
      <c r="H114" s="94">
        <v>979000</v>
      </c>
      <c r="I114" s="27">
        <v>1168000</v>
      </c>
      <c r="J114" s="27"/>
      <c r="K114" s="26">
        <v>0.1930541368743616</v>
      </c>
      <c r="L114" s="11" t="s">
        <v>465</v>
      </c>
      <c r="M114" s="15">
        <v>2</v>
      </c>
      <c r="N114" s="35" t="s">
        <v>25</v>
      </c>
      <c r="O114" s="15">
        <v>4</v>
      </c>
      <c r="P114" s="35" t="s">
        <v>458</v>
      </c>
      <c r="Q114" s="15"/>
      <c r="R114" s="24"/>
      <c r="S114" s="62" t="s">
        <v>784</v>
      </c>
      <c r="T114" s="15"/>
      <c r="U114" s="15"/>
      <c r="V114" s="54">
        <v>979000</v>
      </c>
      <c r="W114" s="54">
        <v>1168000</v>
      </c>
      <c r="X114" s="54">
        <v>-189000</v>
      </c>
    </row>
    <row r="115" spans="3:24" x14ac:dyDescent="0.25">
      <c r="C115" s="39">
        <v>2017</v>
      </c>
      <c r="D115" s="102" t="s">
        <v>1147</v>
      </c>
      <c r="E115" s="63" t="s">
        <v>1148</v>
      </c>
      <c r="F115" s="64">
        <v>43083</v>
      </c>
      <c r="G115" s="65"/>
      <c r="H115" s="94"/>
      <c r="I115" s="27"/>
      <c r="J115" s="27"/>
      <c r="K115" s="26"/>
      <c r="L115" s="11"/>
      <c r="M115" s="15"/>
      <c r="N115" s="35"/>
      <c r="O115" s="15"/>
      <c r="P115" s="35"/>
      <c r="Q115" s="15"/>
      <c r="R115" s="24" t="s">
        <v>227</v>
      </c>
      <c r="S115" s="62" t="s">
        <v>816</v>
      </c>
      <c r="T115" s="15"/>
      <c r="U115" s="15"/>
      <c r="V115" s="54">
        <v>1765000</v>
      </c>
      <c r="W115" s="54">
        <v>2248420</v>
      </c>
      <c r="X115" s="54">
        <v>-483420</v>
      </c>
    </row>
    <row r="116" spans="3:24" x14ac:dyDescent="0.25">
      <c r="C116" s="39">
        <v>2017</v>
      </c>
      <c r="D116" s="102" t="s">
        <v>1136</v>
      </c>
      <c r="E116" s="63" t="s">
        <v>1137</v>
      </c>
      <c r="F116" s="64">
        <v>43074</v>
      </c>
      <c r="G116" s="65" t="s">
        <v>34</v>
      </c>
      <c r="H116" s="94">
        <v>1530000</v>
      </c>
      <c r="I116" s="27">
        <v>1189000</v>
      </c>
      <c r="J116" s="27"/>
      <c r="K116" s="26">
        <v>-0.22287581699346407</v>
      </c>
      <c r="L116" s="11" t="s">
        <v>464</v>
      </c>
      <c r="M116" s="15">
        <v>3</v>
      </c>
      <c r="N116" s="35" t="s">
        <v>25</v>
      </c>
      <c r="O116" s="15">
        <v>4</v>
      </c>
      <c r="P116" s="35" t="s">
        <v>458</v>
      </c>
      <c r="Q116" s="15"/>
      <c r="R116" s="24"/>
      <c r="S116" s="62" t="s">
        <v>616</v>
      </c>
      <c r="T116" s="15"/>
      <c r="U116" s="15"/>
      <c r="V116" s="54">
        <v>1530000</v>
      </c>
      <c r="W116" s="54">
        <v>1189000</v>
      </c>
      <c r="X116" s="54">
        <v>341000</v>
      </c>
    </row>
    <row r="117" spans="3:24" x14ac:dyDescent="0.25">
      <c r="C117" s="39">
        <v>2017</v>
      </c>
      <c r="D117" s="102" t="s">
        <v>1129</v>
      </c>
      <c r="E117" s="63" t="s">
        <v>1130</v>
      </c>
      <c r="F117" s="64">
        <v>43068</v>
      </c>
      <c r="G117" s="65" t="s">
        <v>34</v>
      </c>
      <c r="H117" s="94">
        <v>6600000</v>
      </c>
      <c r="I117" s="27">
        <v>5189333</v>
      </c>
      <c r="J117" s="27" t="s">
        <v>519</v>
      </c>
      <c r="K117" s="26">
        <v>-0.21373742424242423</v>
      </c>
      <c r="L117" s="11" t="s">
        <v>464</v>
      </c>
      <c r="M117" s="15">
        <v>7</v>
      </c>
      <c r="N117" s="35" t="s">
        <v>25</v>
      </c>
      <c r="O117" s="15">
        <v>4</v>
      </c>
      <c r="P117" s="35" t="s">
        <v>458</v>
      </c>
      <c r="Q117" s="15"/>
      <c r="R117" s="24"/>
      <c r="S117" s="62" t="s">
        <v>616</v>
      </c>
      <c r="T117" s="15"/>
      <c r="U117" s="15"/>
      <c r="V117" s="54">
        <v>6600000</v>
      </c>
      <c r="W117" s="54">
        <v>5189333</v>
      </c>
      <c r="X117" s="54">
        <v>1410667</v>
      </c>
    </row>
    <row r="118" spans="3:24" x14ac:dyDescent="0.25">
      <c r="C118" s="39">
        <v>2017</v>
      </c>
      <c r="D118" s="62" t="s">
        <v>1124</v>
      </c>
      <c r="E118" s="63" t="s">
        <v>1125</v>
      </c>
      <c r="F118" s="64">
        <v>43053</v>
      </c>
      <c r="G118" s="65" t="s">
        <v>693</v>
      </c>
      <c r="H118" s="94">
        <v>820000</v>
      </c>
      <c r="I118" s="27">
        <v>861500</v>
      </c>
      <c r="J118" s="27"/>
      <c r="K118" s="26">
        <v>5.0609756097560979E-2</v>
      </c>
      <c r="L118" s="11" t="s">
        <v>464</v>
      </c>
      <c r="M118" s="15">
        <v>4</v>
      </c>
      <c r="N118" s="35" t="s">
        <v>25</v>
      </c>
      <c r="O118" s="15">
        <v>4</v>
      </c>
      <c r="P118" s="35" t="s">
        <v>458</v>
      </c>
      <c r="Q118" s="15"/>
      <c r="R118" s="24"/>
      <c r="S118" s="62" t="s">
        <v>616</v>
      </c>
      <c r="T118" s="15"/>
      <c r="U118" s="15"/>
      <c r="V118" s="54">
        <v>820000</v>
      </c>
      <c r="W118" s="54">
        <v>861500</v>
      </c>
      <c r="X118" s="54">
        <v>-41500</v>
      </c>
    </row>
    <row r="119" spans="3:24" x14ac:dyDescent="0.25">
      <c r="C119" s="39">
        <v>2017</v>
      </c>
      <c r="D119" s="62" t="s">
        <v>1118</v>
      </c>
      <c r="E119" s="63" t="s">
        <v>1119</v>
      </c>
      <c r="F119" s="64">
        <v>43048</v>
      </c>
      <c r="G119" s="65" t="s">
        <v>34</v>
      </c>
      <c r="H119" s="94">
        <v>4860000</v>
      </c>
      <c r="I119" s="27">
        <v>3418000</v>
      </c>
      <c r="J119" s="27"/>
      <c r="K119" s="26">
        <v>-0.29670781893004117</v>
      </c>
      <c r="L119" s="11" t="s">
        <v>464</v>
      </c>
      <c r="M119" s="15">
        <v>8</v>
      </c>
      <c r="N119" s="35" t="s">
        <v>25</v>
      </c>
      <c r="O119" s="15">
        <v>4</v>
      </c>
      <c r="P119" s="35" t="s">
        <v>492</v>
      </c>
      <c r="Q119" s="15"/>
      <c r="R119" s="24"/>
      <c r="S119" s="62" t="s">
        <v>816</v>
      </c>
      <c r="T119" s="15"/>
      <c r="U119" s="15"/>
      <c r="V119" s="54">
        <v>4860000</v>
      </c>
      <c r="W119" s="54">
        <v>3418000</v>
      </c>
      <c r="X119" s="54">
        <v>1442000</v>
      </c>
    </row>
    <row r="120" spans="3:24" x14ac:dyDescent="0.25">
      <c r="C120" s="39">
        <v>2017</v>
      </c>
      <c r="D120" s="62" t="s">
        <v>1116</v>
      </c>
      <c r="E120" s="63" t="s">
        <v>1117</v>
      </c>
      <c r="F120" s="64">
        <v>43047</v>
      </c>
      <c r="G120" s="65" t="s">
        <v>190</v>
      </c>
      <c r="H120" s="94">
        <v>26900000</v>
      </c>
      <c r="I120" s="27">
        <v>26600000</v>
      </c>
      <c r="J120" s="27" t="s">
        <v>519</v>
      </c>
      <c r="K120" s="26">
        <v>-1.1152416356877323E-2</v>
      </c>
      <c r="L120" s="11" t="s">
        <v>464</v>
      </c>
      <c r="M120" s="15">
        <v>3</v>
      </c>
      <c r="N120" s="35" t="s">
        <v>25</v>
      </c>
      <c r="O120" s="15">
        <v>4</v>
      </c>
      <c r="P120" s="35" t="s">
        <v>458</v>
      </c>
      <c r="Q120" s="15"/>
      <c r="R120" s="24"/>
      <c r="S120" s="62" t="s">
        <v>616</v>
      </c>
      <c r="T120" s="15"/>
      <c r="U120" s="15"/>
      <c r="V120" s="54">
        <v>26900000</v>
      </c>
      <c r="W120" s="54">
        <v>26600000</v>
      </c>
      <c r="X120" s="54">
        <v>300000</v>
      </c>
    </row>
    <row r="121" spans="3:24" x14ac:dyDescent="0.25">
      <c r="C121" s="39">
        <v>2017</v>
      </c>
      <c r="D121" s="62" t="s">
        <v>1107</v>
      </c>
      <c r="E121" s="63" t="s">
        <v>1109</v>
      </c>
      <c r="F121" s="64">
        <v>43034</v>
      </c>
      <c r="G121" s="65" t="s">
        <v>756</v>
      </c>
      <c r="H121" s="94">
        <v>2194000</v>
      </c>
      <c r="I121" s="27">
        <v>1361078</v>
      </c>
      <c r="J121" s="27"/>
      <c r="K121" s="26">
        <v>-0.3796362807657247</v>
      </c>
      <c r="L121" s="11" t="s">
        <v>465</v>
      </c>
      <c r="M121" s="15">
        <v>6</v>
      </c>
      <c r="N121" s="35" t="s">
        <v>25</v>
      </c>
      <c r="O121" s="15">
        <v>4</v>
      </c>
      <c r="P121" s="35" t="s">
        <v>459</v>
      </c>
      <c r="Q121" s="15"/>
      <c r="R121" s="24"/>
      <c r="S121" s="62" t="s">
        <v>447</v>
      </c>
      <c r="T121" s="15"/>
      <c r="U121" s="15"/>
      <c r="V121" s="54">
        <v>2194000</v>
      </c>
      <c r="W121" s="54">
        <v>1361078</v>
      </c>
      <c r="X121" s="54">
        <v>832922</v>
      </c>
    </row>
    <row r="122" spans="3:24" x14ac:dyDescent="0.25">
      <c r="C122" s="39">
        <v>2017</v>
      </c>
      <c r="D122" s="62" t="s">
        <v>1099</v>
      </c>
      <c r="E122" s="63" t="s">
        <v>1100</v>
      </c>
      <c r="F122" s="64">
        <v>43025</v>
      </c>
      <c r="G122" s="65" t="s">
        <v>34</v>
      </c>
      <c r="H122" s="94">
        <v>3000000</v>
      </c>
      <c r="I122" s="27">
        <v>2812500</v>
      </c>
      <c r="J122" s="27"/>
      <c r="K122" s="26">
        <v>-6.25E-2</v>
      </c>
      <c r="L122" s="11" t="s">
        <v>464</v>
      </c>
      <c r="M122" s="15">
        <v>2</v>
      </c>
      <c r="N122" s="35" t="s">
        <v>25</v>
      </c>
      <c r="O122" s="15">
        <v>4</v>
      </c>
      <c r="P122" s="35" t="s">
        <v>458</v>
      </c>
      <c r="Q122" s="15"/>
      <c r="R122" s="24"/>
      <c r="S122" s="62" t="s">
        <v>616</v>
      </c>
      <c r="T122" s="15"/>
      <c r="U122" s="15"/>
      <c r="V122" s="54">
        <v>3000000</v>
      </c>
      <c r="W122" s="54">
        <v>2812500</v>
      </c>
      <c r="X122" s="54">
        <v>187500</v>
      </c>
    </row>
    <row r="123" spans="3:24" x14ac:dyDescent="0.25">
      <c r="C123" s="39">
        <v>2017</v>
      </c>
      <c r="D123" s="62" t="s">
        <v>1093</v>
      </c>
      <c r="E123" s="63" t="s">
        <v>1094</v>
      </c>
      <c r="F123" s="64">
        <v>43013</v>
      </c>
      <c r="G123" s="65" t="s">
        <v>34</v>
      </c>
      <c r="H123" s="94">
        <v>970000</v>
      </c>
      <c r="I123" s="27">
        <v>1285000</v>
      </c>
      <c r="J123" s="27"/>
      <c r="K123" s="26">
        <v>0.32474226804123713</v>
      </c>
      <c r="L123" s="11" t="s">
        <v>465</v>
      </c>
      <c r="M123" s="15">
        <v>6</v>
      </c>
      <c r="N123" s="35" t="s">
        <v>25</v>
      </c>
      <c r="O123" s="15">
        <v>4</v>
      </c>
      <c r="P123" s="35" t="s">
        <v>458</v>
      </c>
      <c r="Q123" s="15"/>
      <c r="R123" s="24"/>
      <c r="S123" s="62" t="s">
        <v>616</v>
      </c>
      <c r="T123" s="15"/>
      <c r="U123" s="15"/>
      <c r="V123" s="54">
        <v>970000</v>
      </c>
      <c r="W123" s="54">
        <v>1285000</v>
      </c>
      <c r="X123" s="54">
        <v>-315000</v>
      </c>
    </row>
    <row r="124" spans="3:24" x14ac:dyDescent="0.25">
      <c r="C124" s="39">
        <v>2017</v>
      </c>
      <c r="D124" s="62" t="s">
        <v>1070</v>
      </c>
      <c r="E124" s="63" t="s">
        <v>1071</v>
      </c>
      <c r="F124" s="64">
        <v>42997</v>
      </c>
      <c r="G124" s="65" t="s">
        <v>34</v>
      </c>
      <c r="H124" s="94">
        <v>1326000</v>
      </c>
      <c r="I124" s="27">
        <v>1976491</v>
      </c>
      <c r="J124" s="27"/>
      <c r="K124" s="26">
        <v>0.49056636500754147</v>
      </c>
      <c r="L124" s="11" t="s">
        <v>465</v>
      </c>
      <c r="M124" s="15">
        <v>4</v>
      </c>
      <c r="N124" s="35" t="s">
        <v>25</v>
      </c>
      <c r="O124" s="15">
        <v>3</v>
      </c>
      <c r="P124" s="35" t="s">
        <v>457</v>
      </c>
      <c r="Q124" s="15"/>
      <c r="R124" s="24"/>
      <c r="S124" s="62" t="s">
        <v>784</v>
      </c>
      <c r="T124" s="15"/>
      <c r="U124" s="15"/>
      <c r="V124" s="54">
        <v>1326000</v>
      </c>
      <c r="W124" s="54">
        <v>1976491</v>
      </c>
      <c r="X124" s="54">
        <v>-650491</v>
      </c>
    </row>
    <row r="125" spans="3:24" x14ac:dyDescent="0.25">
      <c r="C125" s="39">
        <v>2017</v>
      </c>
      <c r="D125" s="62" t="s">
        <v>1068</v>
      </c>
      <c r="E125" s="63" t="s">
        <v>1069</v>
      </c>
      <c r="F125" s="64">
        <v>42964</v>
      </c>
      <c r="G125" s="65" t="s">
        <v>190</v>
      </c>
      <c r="H125" s="94">
        <v>8500000</v>
      </c>
      <c r="I125" s="27">
        <v>5682000</v>
      </c>
      <c r="J125" s="105" t="s">
        <v>519</v>
      </c>
      <c r="K125" s="26">
        <v>-0.33152941176470591</v>
      </c>
      <c r="L125" s="11" t="s">
        <v>465</v>
      </c>
      <c r="M125" s="15">
        <v>3</v>
      </c>
      <c r="N125" s="35" t="s">
        <v>25</v>
      </c>
      <c r="O125" s="15">
        <v>3</v>
      </c>
      <c r="P125" s="35" t="s">
        <v>458</v>
      </c>
      <c r="Q125" s="15"/>
      <c r="R125" s="24"/>
      <c r="S125" s="62" t="s">
        <v>616</v>
      </c>
      <c r="T125" s="15"/>
      <c r="U125" s="15"/>
      <c r="V125" s="54">
        <v>8500000</v>
      </c>
      <c r="W125" s="54">
        <v>5682000</v>
      </c>
      <c r="X125" s="54">
        <v>2818000</v>
      </c>
    </row>
    <row r="126" spans="3:24" x14ac:dyDescent="0.25">
      <c r="C126" s="39">
        <v>2017</v>
      </c>
      <c r="D126" s="62" t="s">
        <v>1060</v>
      </c>
      <c r="E126" s="63" t="s">
        <v>1061</v>
      </c>
      <c r="F126" s="64">
        <v>42950</v>
      </c>
      <c r="G126" s="65" t="s">
        <v>190</v>
      </c>
      <c r="H126" s="94">
        <v>13720000</v>
      </c>
      <c r="I126" s="27">
        <v>11539200</v>
      </c>
      <c r="J126" s="27" t="s">
        <v>519</v>
      </c>
      <c r="K126" s="26">
        <v>-0.15895043731778424</v>
      </c>
      <c r="L126" s="11" t="s">
        <v>464</v>
      </c>
      <c r="M126" s="15">
        <v>4</v>
      </c>
      <c r="N126" s="35" t="s">
        <v>25</v>
      </c>
      <c r="O126" s="15">
        <v>3</v>
      </c>
      <c r="P126" s="35" t="s">
        <v>492</v>
      </c>
      <c r="Q126" s="15"/>
      <c r="R126" s="24"/>
      <c r="S126" s="62" t="s">
        <v>816</v>
      </c>
      <c r="T126" s="15"/>
      <c r="U126" s="15"/>
      <c r="V126" s="54">
        <v>13720000</v>
      </c>
      <c r="W126" s="54">
        <v>11539200</v>
      </c>
      <c r="X126" s="54">
        <v>2180800</v>
      </c>
    </row>
    <row r="127" spans="3:24" x14ac:dyDescent="0.25">
      <c r="C127" s="101">
        <v>2017</v>
      </c>
      <c r="D127" s="62" t="s">
        <v>1042</v>
      </c>
      <c r="E127" s="63" t="s">
        <v>1043</v>
      </c>
      <c r="F127" s="64">
        <v>42913</v>
      </c>
      <c r="G127" s="65" t="s">
        <v>190</v>
      </c>
      <c r="H127" s="94">
        <v>1480000</v>
      </c>
      <c r="I127" s="27">
        <v>1483000</v>
      </c>
      <c r="J127" s="27"/>
      <c r="K127" s="26">
        <v>2.0270270270270271E-3</v>
      </c>
      <c r="L127" s="11" t="s">
        <v>464</v>
      </c>
      <c r="M127" s="15">
        <v>7</v>
      </c>
      <c r="N127" s="35" t="s">
        <v>25</v>
      </c>
      <c r="O127" s="15">
        <v>2</v>
      </c>
      <c r="P127" s="35" t="s">
        <v>459</v>
      </c>
      <c r="Q127" s="15"/>
      <c r="R127" s="24"/>
      <c r="S127" s="62" t="s">
        <v>447</v>
      </c>
      <c r="T127" s="15"/>
      <c r="U127" s="15"/>
      <c r="V127" s="54">
        <v>1480000</v>
      </c>
      <c r="W127" s="54">
        <v>1483000</v>
      </c>
      <c r="X127" s="54">
        <v>-3000</v>
      </c>
    </row>
    <row r="128" spans="3:24" x14ac:dyDescent="0.25">
      <c r="C128" s="101">
        <v>2017</v>
      </c>
      <c r="D128" s="62" t="s">
        <v>1038</v>
      </c>
      <c r="E128" s="63" t="s">
        <v>1039</v>
      </c>
      <c r="F128" s="64">
        <v>42901</v>
      </c>
      <c r="G128" s="65" t="s">
        <v>693</v>
      </c>
      <c r="H128" s="94">
        <v>850000</v>
      </c>
      <c r="I128" s="27">
        <v>887000</v>
      </c>
      <c r="J128" s="27"/>
      <c r="K128" s="26">
        <v>4.3529411764705879E-2</v>
      </c>
      <c r="L128" s="11" t="s">
        <v>464</v>
      </c>
      <c r="M128" s="15">
        <v>3</v>
      </c>
      <c r="N128" s="35" t="s">
        <v>25</v>
      </c>
      <c r="O128" s="15">
        <v>2</v>
      </c>
      <c r="P128" s="35" t="s">
        <v>458</v>
      </c>
      <c r="Q128" s="15"/>
      <c r="R128" s="24"/>
      <c r="S128" s="62" t="s">
        <v>616</v>
      </c>
      <c r="T128" s="15"/>
      <c r="U128" s="15"/>
      <c r="V128" s="54">
        <v>850000</v>
      </c>
      <c r="W128" s="54">
        <v>887000</v>
      </c>
      <c r="X128" s="54">
        <v>-37000</v>
      </c>
    </row>
    <row r="129" spans="3:24" x14ac:dyDescent="0.25">
      <c r="C129" s="39">
        <v>2017</v>
      </c>
      <c r="D129" s="62" t="s">
        <v>1035</v>
      </c>
      <c r="E129" s="63" t="s">
        <v>1036</v>
      </c>
      <c r="F129" s="64">
        <v>42900</v>
      </c>
      <c r="G129" s="65" t="s">
        <v>756</v>
      </c>
      <c r="H129" s="94">
        <v>2900000</v>
      </c>
      <c r="I129" s="27">
        <v>1157000</v>
      </c>
      <c r="J129" s="27"/>
      <c r="K129" s="26">
        <v>-0.6010344827586207</v>
      </c>
      <c r="L129" s="11" t="s">
        <v>465</v>
      </c>
      <c r="M129" s="15">
        <v>5</v>
      </c>
      <c r="N129" s="35" t="s">
        <v>25</v>
      </c>
      <c r="O129" s="15">
        <v>2</v>
      </c>
      <c r="P129" s="35" t="s">
        <v>458</v>
      </c>
      <c r="Q129" s="15"/>
      <c r="R129" s="24"/>
      <c r="S129" s="62" t="s">
        <v>447</v>
      </c>
      <c r="T129" s="15"/>
      <c r="U129" s="15"/>
      <c r="V129" s="54">
        <v>2900000</v>
      </c>
      <c r="W129" s="54">
        <v>1157000</v>
      </c>
      <c r="X129" s="54">
        <v>1743000</v>
      </c>
    </row>
    <row r="130" spans="3:24" x14ac:dyDescent="0.25">
      <c r="C130" s="39">
        <v>2017</v>
      </c>
      <c r="D130" s="62" t="s">
        <v>1025</v>
      </c>
      <c r="E130" s="63" t="s">
        <v>1026</v>
      </c>
      <c r="F130" s="64">
        <v>42893</v>
      </c>
      <c r="G130" s="65" t="s">
        <v>693</v>
      </c>
      <c r="H130" s="94">
        <v>650000</v>
      </c>
      <c r="I130" s="27">
        <v>865508</v>
      </c>
      <c r="J130" s="27"/>
      <c r="K130" s="26">
        <v>0.3315507692307692</v>
      </c>
      <c r="L130" s="11" t="s">
        <v>465</v>
      </c>
      <c r="M130" s="15">
        <v>3</v>
      </c>
      <c r="N130" s="35" t="s">
        <v>25</v>
      </c>
      <c r="O130" s="15">
        <v>2</v>
      </c>
      <c r="P130" s="35" t="s">
        <v>458</v>
      </c>
      <c r="Q130" s="15"/>
      <c r="R130" s="24"/>
      <c r="S130" s="62" t="s">
        <v>616</v>
      </c>
      <c r="T130" s="15"/>
      <c r="U130" s="15"/>
      <c r="V130" s="54">
        <v>650000</v>
      </c>
      <c r="W130" s="54">
        <v>865508</v>
      </c>
      <c r="X130" s="54">
        <v>-215508</v>
      </c>
    </row>
    <row r="131" spans="3:24" x14ac:dyDescent="0.25">
      <c r="C131" s="39">
        <v>2017</v>
      </c>
      <c r="D131" s="62" t="s">
        <v>1023</v>
      </c>
      <c r="E131" s="63" t="s">
        <v>1024</v>
      </c>
      <c r="F131" s="64">
        <v>42893</v>
      </c>
      <c r="G131" s="65" t="s">
        <v>693</v>
      </c>
      <c r="H131" s="94">
        <v>1070000</v>
      </c>
      <c r="I131" s="27">
        <v>758000</v>
      </c>
      <c r="J131" s="27"/>
      <c r="K131" s="26">
        <v>-0.29158878504672897</v>
      </c>
      <c r="L131" s="11" t="s">
        <v>465</v>
      </c>
      <c r="M131" s="15">
        <v>5</v>
      </c>
      <c r="N131" s="35" t="s">
        <v>25</v>
      </c>
      <c r="O131" s="15">
        <v>2</v>
      </c>
      <c r="P131" s="35" t="s">
        <v>458</v>
      </c>
      <c r="Q131" s="15"/>
      <c r="R131" s="24"/>
      <c r="S131" s="62" t="s">
        <v>616</v>
      </c>
      <c r="T131" s="15"/>
      <c r="U131" s="15"/>
      <c r="V131" s="54">
        <v>1070000</v>
      </c>
      <c r="W131" s="54">
        <v>758000</v>
      </c>
      <c r="X131" s="54">
        <v>312000</v>
      </c>
    </row>
    <row r="132" spans="3:24" x14ac:dyDescent="0.25">
      <c r="C132" s="39">
        <v>2017</v>
      </c>
      <c r="D132" s="62" t="s">
        <v>1021</v>
      </c>
      <c r="E132" s="63" t="s">
        <v>1022</v>
      </c>
      <c r="F132" s="64">
        <v>42892</v>
      </c>
      <c r="G132" s="65" t="s">
        <v>34</v>
      </c>
      <c r="H132" s="94">
        <v>771000</v>
      </c>
      <c r="I132" s="27">
        <v>946600</v>
      </c>
      <c r="J132" s="27"/>
      <c r="K132" s="26">
        <v>0.22775616083009079</v>
      </c>
      <c r="L132" s="11" t="s">
        <v>465</v>
      </c>
      <c r="M132" s="15">
        <v>2</v>
      </c>
      <c r="N132" s="35" t="s">
        <v>25</v>
      </c>
      <c r="O132" s="15">
        <v>2</v>
      </c>
      <c r="P132" s="35" t="s">
        <v>457</v>
      </c>
      <c r="Q132" s="15"/>
      <c r="R132" s="24"/>
      <c r="S132" s="62" t="s">
        <v>630</v>
      </c>
      <c r="T132" s="15"/>
      <c r="U132" s="15"/>
      <c r="V132" s="54">
        <v>771000</v>
      </c>
      <c r="W132" s="54">
        <v>946600</v>
      </c>
      <c r="X132" s="54">
        <v>-175600</v>
      </c>
    </row>
    <row r="133" spans="3:24" x14ac:dyDescent="0.25">
      <c r="C133" s="39">
        <v>2017</v>
      </c>
      <c r="D133" s="62" t="s">
        <v>1014</v>
      </c>
      <c r="E133" s="63" t="s">
        <v>1015</v>
      </c>
      <c r="F133" s="64">
        <v>42886</v>
      </c>
      <c r="G133" s="65" t="s">
        <v>34</v>
      </c>
      <c r="H133" s="94">
        <v>1140000</v>
      </c>
      <c r="I133" s="27">
        <v>904780</v>
      </c>
      <c r="J133" s="27"/>
      <c r="K133" s="26">
        <v>-0.20633333333333334</v>
      </c>
      <c r="L133" s="11" t="s">
        <v>464</v>
      </c>
      <c r="M133" s="15">
        <v>9</v>
      </c>
      <c r="N133" s="35" t="s">
        <v>25</v>
      </c>
      <c r="O133" s="15">
        <v>2</v>
      </c>
      <c r="P133" s="35" t="s">
        <v>458</v>
      </c>
      <c r="Q133" s="15"/>
      <c r="R133" s="24"/>
      <c r="S133" s="62" t="s">
        <v>616</v>
      </c>
      <c r="T133" s="15"/>
      <c r="U133" s="15"/>
      <c r="V133" s="54">
        <v>1140000</v>
      </c>
      <c r="W133" s="54">
        <v>904780</v>
      </c>
      <c r="X133" s="54">
        <v>235220</v>
      </c>
    </row>
    <row r="134" spans="3:24" x14ac:dyDescent="0.25">
      <c r="C134" s="39">
        <v>2017</v>
      </c>
      <c r="D134" s="62" t="s">
        <v>1018</v>
      </c>
      <c r="E134" s="63" t="s">
        <v>1019</v>
      </c>
      <c r="F134" s="64">
        <v>42873</v>
      </c>
      <c r="G134" s="65" t="s">
        <v>756</v>
      </c>
      <c r="H134" s="94">
        <v>29400000</v>
      </c>
      <c r="I134" s="27">
        <v>40981000</v>
      </c>
      <c r="J134" s="105" t="s">
        <v>519</v>
      </c>
      <c r="K134" s="26">
        <v>0.39391156462585036</v>
      </c>
      <c r="L134" s="11" t="s">
        <v>465</v>
      </c>
      <c r="M134" s="15">
        <v>2</v>
      </c>
      <c r="N134" s="35" t="s">
        <v>25</v>
      </c>
      <c r="O134" s="15">
        <v>2</v>
      </c>
      <c r="P134" s="35" t="s">
        <v>459</v>
      </c>
      <c r="Q134" s="15"/>
      <c r="R134" s="24"/>
      <c r="S134" s="62" t="s">
        <v>447</v>
      </c>
      <c r="T134" s="15"/>
      <c r="U134" s="15"/>
      <c r="V134" s="54">
        <v>29400000</v>
      </c>
      <c r="W134" s="54">
        <v>40981000</v>
      </c>
      <c r="X134" s="54">
        <v>-11581000</v>
      </c>
    </row>
    <row r="135" spans="3:24" x14ac:dyDescent="0.25">
      <c r="C135" s="39">
        <v>2017</v>
      </c>
      <c r="D135" s="62" t="s">
        <v>999</v>
      </c>
      <c r="E135" s="63" t="s">
        <v>1000</v>
      </c>
      <c r="F135" s="64">
        <v>42871</v>
      </c>
      <c r="G135" s="65" t="s">
        <v>34</v>
      </c>
      <c r="H135" s="94">
        <v>9000000</v>
      </c>
      <c r="I135" s="27">
        <v>10805265</v>
      </c>
      <c r="J135" s="105" t="s">
        <v>519</v>
      </c>
      <c r="K135" s="26">
        <v>0.20058500000000001</v>
      </c>
      <c r="L135" s="11" t="s">
        <v>465</v>
      </c>
      <c r="M135" s="15">
        <v>2</v>
      </c>
      <c r="N135" s="35" t="s">
        <v>25</v>
      </c>
      <c r="O135" s="15">
        <v>2</v>
      </c>
      <c r="P135" s="35" t="s">
        <v>492</v>
      </c>
      <c r="Q135" s="15"/>
      <c r="R135" s="24"/>
      <c r="S135" s="62" t="s">
        <v>816</v>
      </c>
      <c r="T135" s="15"/>
      <c r="U135" s="15"/>
      <c r="V135" s="54">
        <v>9000000</v>
      </c>
      <c r="W135" s="54">
        <v>10805265</v>
      </c>
      <c r="X135" s="54">
        <v>-1805265</v>
      </c>
    </row>
    <row r="136" spans="3:24" x14ac:dyDescent="0.25">
      <c r="C136" s="39">
        <v>2017</v>
      </c>
      <c r="D136" s="62" t="s">
        <v>989</v>
      </c>
      <c r="E136" s="63" t="s">
        <v>879</v>
      </c>
      <c r="F136" s="64">
        <v>42845</v>
      </c>
      <c r="G136" s="65" t="s">
        <v>693</v>
      </c>
      <c r="H136" s="94">
        <v>2625000</v>
      </c>
      <c r="I136" s="27">
        <v>2472675</v>
      </c>
      <c r="J136" s="27"/>
      <c r="K136" s="26">
        <v>-5.8028571428571429E-2</v>
      </c>
      <c r="L136" s="11" t="s">
        <v>464</v>
      </c>
      <c r="M136" s="15">
        <v>6</v>
      </c>
      <c r="N136" s="35" t="s">
        <v>25</v>
      </c>
      <c r="O136" s="15">
        <v>2</v>
      </c>
      <c r="P136" s="35" t="s">
        <v>492</v>
      </c>
      <c r="Q136" s="15"/>
      <c r="R136" s="24"/>
      <c r="S136" s="62" t="s">
        <v>816</v>
      </c>
      <c r="T136" s="15"/>
      <c r="U136" s="15"/>
      <c r="V136" s="54">
        <v>2625000</v>
      </c>
      <c r="W136" s="54">
        <v>2472675</v>
      </c>
      <c r="X136" s="54">
        <v>152325</v>
      </c>
    </row>
    <row r="137" spans="3:24" x14ac:dyDescent="0.25">
      <c r="C137" s="39">
        <v>2017</v>
      </c>
      <c r="D137" s="62" t="s">
        <v>987</v>
      </c>
      <c r="E137" s="63" t="s">
        <v>988</v>
      </c>
      <c r="F137" s="64">
        <v>42845</v>
      </c>
      <c r="G137" s="65" t="s">
        <v>34</v>
      </c>
      <c r="H137" s="94">
        <v>1520000</v>
      </c>
      <c r="I137" s="27">
        <v>994200</v>
      </c>
      <c r="J137" s="27"/>
      <c r="K137" s="26">
        <v>-0.34592105263157896</v>
      </c>
      <c r="L137" s="11" t="s">
        <v>464</v>
      </c>
      <c r="M137" s="15">
        <v>4</v>
      </c>
      <c r="N137" s="35" t="s">
        <v>25</v>
      </c>
      <c r="O137" s="15">
        <v>2</v>
      </c>
      <c r="P137" s="35" t="s">
        <v>492</v>
      </c>
      <c r="Q137" s="15"/>
      <c r="R137" s="24"/>
      <c r="S137" s="62" t="s">
        <v>816</v>
      </c>
      <c r="T137" s="15"/>
      <c r="U137" s="15"/>
      <c r="V137" s="54">
        <v>1520000</v>
      </c>
      <c r="W137" s="54">
        <v>994200</v>
      </c>
      <c r="X137" s="54">
        <v>525800</v>
      </c>
    </row>
    <row r="138" spans="3:24" x14ac:dyDescent="0.25">
      <c r="C138" s="39">
        <v>2017</v>
      </c>
      <c r="D138" s="62" t="s">
        <v>986</v>
      </c>
      <c r="E138" s="63" t="s">
        <v>982</v>
      </c>
      <c r="F138" s="64">
        <v>42845</v>
      </c>
      <c r="G138" s="65" t="s">
        <v>190</v>
      </c>
      <c r="H138" s="94">
        <v>12630000</v>
      </c>
      <c r="I138" s="27">
        <v>10849023</v>
      </c>
      <c r="J138" s="27" t="s">
        <v>519</v>
      </c>
      <c r="K138" s="26">
        <v>-0.14101163895486934</v>
      </c>
      <c r="L138" s="11" t="s">
        <v>464</v>
      </c>
      <c r="M138" s="15">
        <v>2</v>
      </c>
      <c r="N138" s="35" t="s">
        <v>25</v>
      </c>
      <c r="O138" s="15">
        <v>2</v>
      </c>
      <c r="P138" s="35" t="s">
        <v>458</v>
      </c>
      <c r="Q138" s="15"/>
      <c r="R138" s="24"/>
      <c r="S138" s="62" t="s">
        <v>616</v>
      </c>
      <c r="T138" s="15"/>
      <c r="U138" s="15"/>
      <c r="V138" s="54">
        <v>12630000</v>
      </c>
      <c r="W138" s="54">
        <v>10849023</v>
      </c>
      <c r="X138" s="54">
        <v>1780977</v>
      </c>
    </row>
    <row r="139" spans="3:24" x14ac:dyDescent="0.25">
      <c r="C139" s="39">
        <v>2017</v>
      </c>
      <c r="D139" s="62" t="s">
        <v>983</v>
      </c>
      <c r="E139" s="63" t="s">
        <v>985</v>
      </c>
      <c r="F139" s="64">
        <v>42844</v>
      </c>
      <c r="G139" s="65" t="s">
        <v>190</v>
      </c>
      <c r="H139" s="94">
        <v>30360000</v>
      </c>
      <c r="I139" s="27">
        <v>32920674</v>
      </c>
      <c r="J139" s="27" t="s">
        <v>519</v>
      </c>
      <c r="K139" s="26">
        <v>8.4343675889328062E-2</v>
      </c>
      <c r="L139" s="11" t="s">
        <v>464</v>
      </c>
      <c r="M139" s="15">
        <v>3</v>
      </c>
      <c r="N139" s="35" t="s">
        <v>25</v>
      </c>
      <c r="O139" s="15">
        <v>2</v>
      </c>
      <c r="P139" s="35" t="s">
        <v>459</v>
      </c>
      <c r="Q139" s="15"/>
      <c r="R139" s="24"/>
      <c r="S139" s="62" t="s">
        <v>447</v>
      </c>
      <c r="T139" s="15"/>
      <c r="U139" s="15"/>
      <c r="V139" s="54">
        <v>30360000</v>
      </c>
      <c r="W139" s="54">
        <v>32920674</v>
      </c>
      <c r="X139" s="54">
        <v>-2560674</v>
      </c>
    </row>
    <row r="140" spans="3:24" x14ac:dyDescent="0.25">
      <c r="C140" s="39">
        <v>2017</v>
      </c>
      <c r="D140" s="62" t="s">
        <v>981</v>
      </c>
      <c r="E140" s="63" t="s">
        <v>982</v>
      </c>
      <c r="F140" s="64">
        <v>42844</v>
      </c>
      <c r="G140" s="65" t="s">
        <v>190</v>
      </c>
      <c r="H140" s="94">
        <v>18870000</v>
      </c>
      <c r="I140" s="27">
        <v>19910000</v>
      </c>
      <c r="J140" s="27" t="s">
        <v>519</v>
      </c>
      <c r="K140" s="26">
        <v>5.5113937466878642E-2</v>
      </c>
      <c r="L140" s="11" t="s">
        <v>464</v>
      </c>
      <c r="M140" s="15">
        <v>3</v>
      </c>
      <c r="N140" s="35" t="s">
        <v>25</v>
      </c>
      <c r="O140" s="15">
        <v>2</v>
      </c>
      <c r="P140" s="35" t="s">
        <v>458</v>
      </c>
      <c r="Q140" s="15"/>
      <c r="R140" s="24"/>
      <c r="S140" s="62" t="s">
        <v>616</v>
      </c>
      <c r="T140" s="15"/>
      <c r="U140" s="15"/>
      <c r="V140" s="54">
        <v>18870000</v>
      </c>
      <c r="W140" s="54">
        <v>19910000</v>
      </c>
      <c r="X140" s="54">
        <v>-1040000</v>
      </c>
    </row>
    <row r="141" spans="3:24" x14ac:dyDescent="0.25">
      <c r="C141" s="39">
        <v>2017</v>
      </c>
      <c r="D141" s="62" t="s">
        <v>941</v>
      </c>
      <c r="E141" s="63" t="s">
        <v>940</v>
      </c>
      <c r="F141" s="64">
        <v>42789</v>
      </c>
      <c r="G141" s="65" t="s">
        <v>693</v>
      </c>
      <c r="H141" s="27">
        <v>240000</v>
      </c>
      <c r="I141" s="27">
        <v>97300</v>
      </c>
      <c r="J141" s="27"/>
      <c r="K141" s="26">
        <v>-0.59458333333333335</v>
      </c>
      <c r="L141" s="11" t="s">
        <v>465</v>
      </c>
      <c r="M141" s="15">
        <v>6</v>
      </c>
      <c r="N141" s="35" t="s">
        <v>25</v>
      </c>
      <c r="O141" s="15">
        <v>1</v>
      </c>
      <c r="P141" s="35" t="s">
        <v>457</v>
      </c>
      <c r="Q141" s="15"/>
      <c r="R141" s="24"/>
      <c r="S141" s="62" t="s">
        <v>630</v>
      </c>
      <c r="T141" s="15"/>
      <c r="U141" s="15"/>
      <c r="V141" s="54">
        <v>240000</v>
      </c>
      <c r="W141" s="54">
        <v>97300</v>
      </c>
      <c r="X141" s="54">
        <v>142700</v>
      </c>
    </row>
    <row r="142" spans="3:24" x14ac:dyDescent="0.25">
      <c r="C142" s="39">
        <v>2017</v>
      </c>
      <c r="D142" s="62" t="s">
        <v>916</v>
      </c>
      <c r="E142" s="63" t="s">
        <v>917</v>
      </c>
      <c r="F142" s="64">
        <v>42780</v>
      </c>
      <c r="G142" s="65" t="s">
        <v>34</v>
      </c>
      <c r="H142" s="94">
        <v>2580000</v>
      </c>
      <c r="I142" s="27">
        <v>1386000</v>
      </c>
      <c r="J142" s="27"/>
      <c r="K142" s="26">
        <v>-0.46279069767441861</v>
      </c>
      <c r="L142" s="11" t="s">
        <v>464</v>
      </c>
      <c r="M142" s="15">
        <v>16</v>
      </c>
      <c r="N142" s="35" t="s">
        <v>25</v>
      </c>
      <c r="O142" s="15">
        <v>1</v>
      </c>
      <c r="P142" s="35" t="s">
        <v>458</v>
      </c>
      <c r="Q142" s="15"/>
      <c r="R142" s="24" t="s">
        <v>1020</v>
      </c>
      <c r="S142" s="62" t="s">
        <v>616</v>
      </c>
      <c r="T142" s="15"/>
      <c r="U142" s="15"/>
      <c r="V142" s="54">
        <v>2580000</v>
      </c>
      <c r="W142" s="54">
        <v>1386000</v>
      </c>
      <c r="X142" s="54">
        <v>1194000</v>
      </c>
    </row>
    <row r="143" spans="3:24" x14ac:dyDescent="0.25">
      <c r="C143" s="39">
        <v>2017</v>
      </c>
      <c r="D143" s="62" t="s">
        <v>901</v>
      </c>
      <c r="E143" s="63" t="s">
        <v>902</v>
      </c>
      <c r="F143" s="64">
        <v>42774</v>
      </c>
      <c r="G143" s="65" t="s">
        <v>34</v>
      </c>
      <c r="H143" s="94">
        <v>970000</v>
      </c>
      <c r="I143" s="27">
        <v>756482</v>
      </c>
      <c r="J143" s="27"/>
      <c r="K143" s="26">
        <v>-0.22012164948453608</v>
      </c>
      <c r="L143" s="11" t="s">
        <v>464</v>
      </c>
      <c r="M143" s="15">
        <v>9</v>
      </c>
      <c r="N143" s="35" t="s">
        <v>25</v>
      </c>
      <c r="O143" s="15">
        <v>1</v>
      </c>
      <c r="P143" s="35" t="s">
        <v>458</v>
      </c>
      <c r="Q143" s="15"/>
      <c r="R143" s="24"/>
      <c r="S143" s="62" t="s">
        <v>616</v>
      </c>
      <c r="T143" s="15"/>
      <c r="U143" s="15"/>
      <c r="V143" s="54">
        <v>970000</v>
      </c>
      <c r="W143" s="54">
        <v>756482</v>
      </c>
      <c r="X143" s="54">
        <v>213518</v>
      </c>
    </row>
    <row r="144" spans="3:24" x14ac:dyDescent="0.25">
      <c r="C144" s="39">
        <v>2017</v>
      </c>
      <c r="D144" s="62" t="s">
        <v>862</v>
      </c>
      <c r="E144" s="63" t="s">
        <v>863</v>
      </c>
      <c r="F144" s="64">
        <v>42759</v>
      </c>
      <c r="G144" s="65" t="s">
        <v>190</v>
      </c>
      <c r="H144" s="94">
        <v>69800000</v>
      </c>
      <c r="I144" s="27">
        <v>67107000</v>
      </c>
      <c r="J144" s="27" t="s">
        <v>519</v>
      </c>
      <c r="K144" s="26">
        <v>-3.8581661891117482E-2</v>
      </c>
      <c r="L144" s="11" t="s">
        <v>464</v>
      </c>
      <c r="M144" s="15">
        <v>9</v>
      </c>
      <c r="N144" s="35" t="s">
        <v>25</v>
      </c>
      <c r="O144" s="15">
        <v>1</v>
      </c>
      <c r="P144" s="35" t="s">
        <v>458</v>
      </c>
      <c r="Q144" s="15"/>
      <c r="R144" s="24"/>
      <c r="S144" s="62" t="s">
        <v>616</v>
      </c>
      <c r="T144" s="15"/>
      <c r="U144" s="15"/>
      <c r="V144" s="54">
        <v>69800000</v>
      </c>
      <c r="W144" s="54">
        <v>67107000</v>
      </c>
      <c r="X144" s="54">
        <v>2693000</v>
      </c>
    </row>
    <row r="145" spans="3:24" x14ac:dyDescent="0.25">
      <c r="C145" s="39">
        <v>2017</v>
      </c>
      <c r="D145" s="62" t="s">
        <v>857</v>
      </c>
      <c r="E145" s="63" t="s">
        <v>858</v>
      </c>
      <c r="F145" s="64">
        <v>42753</v>
      </c>
      <c r="G145" s="65" t="s">
        <v>693</v>
      </c>
      <c r="H145" s="94">
        <v>1410000</v>
      </c>
      <c r="I145" s="27">
        <v>1399756</v>
      </c>
      <c r="J145" s="27"/>
      <c r="K145" s="26">
        <v>-7.2652482269503545E-3</v>
      </c>
      <c r="L145" s="11" t="s">
        <v>464</v>
      </c>
      <c r="M145" s="15">
        <v>3</v>
      </c>
      <c r="N145" s="35" t="s">
        <v>25</v>
      </c>
      <c r="O145" s="15">
        <v>1</v>
      </c>
      <c r="P145" s="35" t="s">
        <v>457</v>
      </c>
      <c r="Q145" s="15"/>
      <c r="R145" s="24"/>
      <c r="S145" s="62" t="s">
        <v>630</v>
      </c>
      <c r="T145" s="15"/>
      <c r="U145" s="15"/>
      <c r="V145" s="54">
        <v>1410000</v>
      </c>
      <c r="W145" s="54">
        <v>1399756</v>
      </c>
      <c r="X145" s="54">
        <v>10244</v>
      </c>
    </row>
    <row r="146" spans="3:24" x14ac:dyDescent="0.25">
      <c r="C146" s="39">
        <v>2017</v>
      </c>
      <c r="D146" s="62" t="s">
        <v>832</v>
      </c>
      <c r="E146" s="63" t="s">
        <v>833</v>
      </c>
      <c r="F146" s="64">
        <v>42752</v>
      </c>
      <c r="G146" s="65" t="s">
        <v>34</v>
      </c>
      <c r="H146" s="94">
        <v>4200000</v>
      </c>
      <c r="I146" s="27">
        <v>3987114</v>
      </c>
      <c r="J146" s="27"/>
      <c r="K146" s="26">
        <v>-5.0687142857142854E-2</v>
      </c>
      <c r="L146" s="11" t="s">
        <v>464</v>
      </c>
      <c r="M146" s="15">
        <v>3</v>
      </c>
      <c r="N146" s="35" t="s">
        <v>25</v>
      </c>
      <c r="O146" s="15">
        <v>1</v>
      </c>
      <c r="P146" s="35" t="s">
        <v>492</v>
      </c>
      <c r="Q146" s="15"/>
      <c r="R146" s="24"/>
      <c r="S146" s="62" t="s">
        <v>816</v>
      </c>
      <c r="T146" s="15"/>
      <c r="U146" s="15"/>
      <c r="V146" s="54">
        <v>4200000</v>
      </c>
      <c r="W146" s="54">
        <v>3987114</v>
      </c>
      <c r="X146" s="54">
        <v>212886</v>
      </c>
    </row>
    <row r="147" spans="3:24" x14ac:dyDescent="0.25">
      <c r="C147" s="39"/>
      <c r="E147" s="85"/>
      <c r="F147" s="85"/>
      <c r="G147" s="85"/>
      <c r="H147" s="86">
        <f>SUM(H114:H146)</f>
        <v>263865000</v>
      </c>
      <c r="I147" s="86">
        <f>SUM(I114:I146)</f>
        <v>263750479</v>
      </c>
      <c r="J147" s="85"/>
      <c r="K147" s="87">
        <f>+I147/H147</f>
        <v>0.99956598639455785</v>
      </c>
      <c r="L147" s="85">
        <f>COUNTA(L113:L146)</f>
        <v>32</v>
      </c>
      <c r="M147" s="88">
        <f>SUM(M114:M146)/L147</f>
        <v>4.8125</v>
      </c>
      <c r="N147" s="89"/>
      <c r="O147" s="85"/>
      <c r="P147" s="119">
        <f>20/L147</f>
        <v>0.625</v>
      </c>
      <c r="Q147" s="85"/>
    </row>
    <row r="148" spans="3:24" x14ac:dyDescent="0.25">
      <c r="C148" s="39"/>
      <c r="G148" s="45"/>
    </row>
    <row r="149" spans="3:24" x14ac:dyDescent="0.25">
      <c r="C149" s="39"/>
      <c r="D149" s="83" t="s">
        <v>838</v>
      </c>
      <c r="G149" s="45"/>
    </row>
    <row r="150" spans="3:24" x14ac:dyDescent="0.25">
      <c r="C150" s="39">
        <v>2017</v>
      </c>
      <c r="D150" s="102" t="s">
        <v>1145</v>
      </c>
      <c r="E150" s="63" t="s">
        <v>1146</v>
      </c>
      <c r="F150" s="64">
        <v>43083</v>
      </c>
      <c r="G150" s="65" t="s">
        <v>190</v>
      </c>
      <c r="H150" s="94">
        <v>4872000</v>
      </c>
      <c r="I150" s="27">
        <v>3997350</v>
      </c>
      <c r="J150" s="27"/>
      <c r="K150" s="26">
        <v>-0.17952586206896551</v>
      </c>
      <c r="L150" s="11" t="s">
        <v>464</v>
      </c>
      <c r="M150" s="15">
        <v>5</v>
      </c>
      <c r="N150" s="35" t="s">
        <v>93</v>
      </c>
      <c r="O150" s="15">
        <v>4</v>
      </c>
      <c r="P150" s="35" t="s">
        <v>458</v>
      </c>
      <c r="Q150" s="15"/>
      <c r="R150" s="24"/>
      <c r="S150" s="62" t="s">
        <v>784</v>
      </c>
      <c r="T150" s="15"/>
      <c r="U150" s="15"/>
      <c r="V150" s="54">
        <v>4872000</v>
      </c>
      <c r="W150" s="54">
        <v>3997350</v>
      </c>
      <c r="X150" s="54">
        <v>874650</v>
      </c>
    </row>
    <row r="151" spans="3:24" x14ac:dyDescent="0.25">
      <c r="C151" s="39">
        <v>2017</v>
      </c>
      <c r="D151" s="102" t="s">
        <v>1135</v>
      </c>
      <c r="E151" s="63" t="s">
        <v>982</v>
      </c>
      <c r="F151" s="64">
        <v>43074</v>
      </c>
      <c r="G151" s="65" t="s">
        <v>34</v>
      </c>
      <c r="H151" s="94">
        <v>38000000</v>
      </c>
      <c r="I151" s="27">
        <f>$I$12</f>
        <v>28470000</v>
      </c>
      <c r="J151" s="27"/>
      <c r="K151" s="26">
        <f>+$K$12</f>
        <v>-0.25078947368421051</v>
      </c>
      <c r="L151" s="78" t="str">
        <f>+$L$12</f>
        <v>GOOD</v>
      </c>
      <c r="M151" s="15">
        <f>+$M$12</f>
        <v>4</v>
      </c>
      <c r="N151" s="35" t="s">
        <v>93</v>
      </c>
      <c r="O151" s="15">
        <v>4</v>
      </c>
      <c r="P151" s="35" t="s">
        <v>458</v>
      </c>
      <c r="Q151" s="15"/>
      <c r="R151" s="24" t="str">
        <f>+$R$12</f>
        <v>1st and 2nd bidders disqualified.</v>
      </c>
      <c r="S151" s="62" t="s">
        <v>616</v>
      </c>
      <c r="T151" s="15"/>
      <c r="U151" s="15"/>
      <c r="V151" s="54">
        <v>38000000</v>
      </c>
      <c r="W151" s="54">
        <v>19988800</v>
      </c>
      <c r="X151" s="54">
        <v>18011200</v>
      </c>
    </row>
    <row r="152" spans="3:24" x14ac:dyDescent="0.25">
      <c r="C152" s="39">
        <v>2017</v>
      </c>
      <c r="D152" s="102" t="s">
        <v>1127</v>
      </c>
      <c r="E152" s="63" t="s">
        <v>1128</v>
      </c>
      <c r="F152" s="64">
        <v>43053</v>
      </c>
      <c r="G152" s="65" t="s">
        <v>756</v>
      </c>
      <c r="H152" s="94">
        <v>17250000</v>
      </c>
      <c r="I152" s="27">
        <v>22616488</v>
      </c>
      <c r="J152" s="105" t="s">
        <v>519</v>
      </c>
      <c r="K152" s="26">
        <v>0.3111007536231884</v>
      </c>
      <c r="L152" s="11" t="s">
        <v>465</v>
      </c>
      <c r="M152" s="15">
        <v>4</v>
      </c>
      <c r="N152" s="35" t="s">
        <v>93</v>
      </c>
      <c r="O152" s="15">
        <v>4</v>
      </c>
      <c r="P152" s="35" t="s">
        <v>457</v>
      </c>
      <c r="Q152" s="15"/>
      <c r="R152" s="24"/>
      <c r="S152" s="62" t="s">
        <v>447</v>
      </c>
      <c r="T152" s="15"/>
      <c r="U152" s="15"/>
      <c r="V152" s="54">
        <v>17250000</v>
      </c>
      <c r="W152" s="54">
        <v>22616488</v>
      </c>
      <c r="X152" s="54">
        <v>-5366488</v>
      </c>
    </row>
    <row r="153" spans="3:24" x14ac:dyDescent="0.25">
      <c r="C153" s="39">
        <v>2017</v>
      </c>
      <c r="D153" s="62" t="s">
        <v>1101</v>
      </c>
      <c r="E153" s="63" t="s">
        <v>1102</v>
      </c>
      <c r="F153" s="64">
        <v>43025</v>
      </c>
      <c r="G153" s="65" t="s">
        <v>34</v>
      </c>
      <c r="H153" s="94">
        <v>2800000</v>
      </c>
      <c r="I153" s="27">
        <v>2847000</v>
      </c>
      <c r="J153" s="27"/>
      <c r="K153" s="26">
        <v>1.6785714285714286E-2</v>
      </c>
      <c r="L153" s="11" t="s">
        <v>464</v>
      </c>
      <c r="M153" s="15">
        <v>9</v>
      </c>
      <c r="N153" s="35" t="s">
        <v>93</v>
      </c>
      <c r="O153" s="15">
        <v>4</v>
      </c>
      <c r="P153" s="35" t="s">
        <v>458</v>
      </c>
      <c r="Q153" s="15"/>
      <c r="R153" s="24"/>
      <c r="S153" s="62" t="s">
        <v>616</v>
      </c>
      <c r="T153" s="15"/>
      <c r="U153" s="15"/>
      <c r="V153" s="54">
        <v>2800000</v>
      </c>
      <c r="W153" s="54">
        <v>2847000</v>
      </c>
      <c r="X153" s="54">
        <v>-47000</v>
      </c>
    </row>
    <row r="154" spans="3:24" x14ac:dyDescent="0.25">
      <c r="C154" s="39">
        <v>2017</v>
      </c>
      <c r="D154" s="62" t="s">
        <v>1084</v>
      </c>
      <c r="E154" s="63" t="s">
        <v>1085</v>
      </c>
      <c r="F154" s="64">
        <v>43004</v>
      </c>
      <c r="G154" s="65" t="s">
        <v>190</v>
      </c>
      <c r="H154" s="94">
        <v>189900000</v>
      </c>
      <c r="I154" s="27">
        <v>154487000</v>
      </c>
      <c r="J154" s="27" t="s">
        <v>519</v>
      </c>
      <c r="K154" s="26">
        <v>-0.18648235913638758</v>
      </c>
      <c r="L154" s="11" t="s">
        <v>464</v>
      </c>
      <c r="M154" s="15">
        <v>5</v>
      </c>
      <c r="N154" s="35" t="s">
        <v>93</v>
      </c>
      <c r="O154" s="15">
        <v>3</v>
      </c>
      <c r="P154" s="35" t="s">
        <v>457</v>
      </c>
      <c r="Q154" s="15"/>
      <c r="R154" s="24"/>
      <c r="S154" s="62" t="s">
        <v>816</v>
      </c>
      <c r="T154" s="15"/>
      <c r="U154" s="15"/>
      <c r="V154" s="54">
        <v>189900000</v>
      </c>
      <c r="W154" s="54">
        <v>154487000</v>
      </c>
      <c r="X154" s="54">
        <v>35413000</v>
      </c>
    </row>
    <row r="155" spans="3:24" x14ac:dyDescent="0.25">
      <c r="C155" s="39">
        <v>2017</v>
      </c>
      <c r="D155" s="62" t="s">
        <v>1075</v>
      </c>
      <c r="E155" s="63" t="s">
        <v>1076</v>
      </c>
      <c r="F155" s="64">
        <v>42999</v>
      </c>
      <c r="G155" s="65" t="s">
        <v>34</v>
      </c>
      <c r="H155" s="94">
        <v>1250000</v>
      </c>
      <c r="I155" s="27">
        <v>876947</v>
      </c>
      <c r="J155" s="27"/>
      <c r="K155" s="26">
        <v>-0.2984424</v>
      </c>
      <c r="L155" s="11" t="s">
        <v>464</v>
      </c>
      <c r="M155" s="15">
        <v>13</v>
      </c>
      <c r="N155" s="35" t="s">
        <v>93</v>
      </c>
      <c r="O155" s="15">
        <v>3</v>
      </c>
      <c r="P155" s="35" t="s">
        <v>492</v>
      </c>
      <c r="Q155" s="15"/>
      <c r="R155" s="24"/>
      <c r="S155" s="62" t="s">
        <v>816</v>
      </c>
      <c r="T155" s="15"/>
      <c r="U155" s="15"/>
      <c r="V155" s="54">
        <v>1250000</v>
      </c>
      <c r="W155" s="54">
        <v>876947</v>
      </c>
      <c r="X155" s="54">
        <v>373053</v>
      </c>
    </row>
    <row r="156" spans="3:24" x14ac:dyDescent="0.25">
      <c r="C156" s="39">
        <v>2017</v>
      </c>
      <c r="D156" s="62" t="s">
        <v>1063</v>
      </c>
      <c r="E156" s="63" t="s">
        <v>1064</v>
      </c>
      <c r="F156" s="64">
        <v>42951</v>
      </c>
      <c r="G156" s="65" t="s">
        <v>34</v>
      </c>
      <c r="H156" s="94">
        <v>6040000</v>
      </c>
      <c r="I156" s="27">
        <v>4845475</v>
      </c>
      <c r="J156" s="27" t="s">
        <v>519</v>
      </c>
      <c r="K156" s="26">
        <v>-0.19776903973509935</v>
      </c>
      <c r="L156" s="11" t="s">
        <v>464</v>
      </c>
      <c r="M156" s="15">
        <v>8</v>
      </c>
      <c r="N156" s="35" t="s">
        <v>93</v>
      </c>
      <c r="O156" s="15">
        <v>3</v>
      </c>
      <c r="P156" s="35" t="s">
        <v>458</v>
      </c>
      <c r="Q156" s="15"/>
      <c r="R156" s="24"/>
      <c r="S156" s="62" t="s">
        <v>784</v>
      </c>
      <c r="T156" s="15"/>
      <c r="U156" s="15"/>
      <c r="V156" s="54">
        <v>6040000</v>
      </c>
      <c r="W156" s="54">
        <v>4845475</v>
      </c>
      <c r="X156" s="54">
        <v>1194525</v>
      </c>
    </row>
    <row r="157" spans="3:24" x14ac:dyDescent="0.25">
      <c r="C157" s="39">
        <v>2017</v>
      </c>
      <c r="D157" s="62" t="s">
        <v>1057</v>
      </c>
      <c r="E157" s="63" t="s">
        <v>1058</v>
      </c>
      <c r="F157" s="64">
        <v>42949</v>
      </c>
      <c r="G157" s="65" t="s">
        <v>34</v>
      </c>
      <c r="H157" s="94">
        <v>1650000</v>
      </c>
      <c r="I157" s="27">
        <v>1320718</v>
      </c>
      <c r="J157" s="27"/>
      <c r="K157" s="26">
        <v>-0.19956484848484848</v>
      </c>
      <c r="L157" s="11" t="s">
        <v>464</v>
      </c>
      <c r="M157" s="15">
        <v>4</v>
      </c>
      <c r="N157" s="35" t="s">
        <v>93</v>
      </c>
      <c r="O157" s="15">
        <v>3</v>
      </c>
      <c r="P157" s="35" t="s">
        <v>458</v>
      </c>
      <c r="Q157" s="15"/>
      <c r="R157" s="24"/>
      <c r="S157" s="62" t="s">
        <v>616</v>
      </c>
      <c r="T157" s="15"/>
      <c r="U157" s="15"/>
      <c r="V157" s="54">
        <v>1650000</v>
      </c>
      <c r="W157" s="54">
        <v>1320718</v>
      </c>
      <c r="X157" s="54">
        <v>329282</v>
      </c>
    </row>
    <row r="158" spans="3:24" x14ac:dyDescent="0.25">
      <c r="C158" s="39">
        <v>2017</v>
      </c>
      <c r="D158" s="62" t="s">
        <v>1052</v>
      </c>
      <c r="E158" s="63" t="s">
        <v>1053</v>
      </c>
      <c r="F158" s="64">
        <v>42948</v>
      </c>
      <c r="G158" s="65" t="s">
        <v>34</v>
      </c>
      <c r="H158" s="94">
        <v>1330000</v>
      </c>
      <c r="I158" s="27">
        <v>936000</v>
      </c>
      <c r="J158" s="27"/>
      <c r="K158" s="26">
        <v>-0.29624060150375942</v>
      </c>
      <c r="L158" s="11" t="s">
        <v>464</v>
      </c>
      <c r="M158" s="15">
        <v>6</v>
      </c>
      <c r="N158" s="35" t="s">
        <v>93</v>
      </c>
      <c r="O158" s="15">
        <v>3</v>
      </c>
      <c r="P158" s="35" t="s">
        <v>458</v>
      </c>
      <c r="Q158" s="15"/>
      <c r="R158" s="24"/>
      <c r="S158" s="62" t="s">
        <v>616</v>
      </c>
      <c r="T158" s="15"/>
      <c r="U158" s="15"/>
      <c r="V158" s="54">
        <v>1330000</v>
      </c>
      <c r="W158" s="54">
        <v>936000</v>
      </c>
      <c r="X158" s="54">
        <v>394000</v>
      </c>
    </row>
    <row r="159" spans="3:24" x14ac:dyDescent="0.25">
      <c r="C159" s="39">
        <v>2017</v>
      </c>
      <c r="D159" s="62" t="s">
        <v>1049</v>
      </c>
      <c r="E159" s="63" t="s">
        <v>1050</v>
      </c>
      <c r="F159" s="64">
        <v>42942</v>
      </c>
      <c r="G159" s="65" t="s">
        <v>34</v>
      </c>
      <c r="H159" s="94">
        <v>700000</v>
      </c>
      <c r="I159" s="27">
        <v>614770</v>
      </c>
      <c r="J159" s="27"/>
      <c r="K159" s="26">
        <v>-0.12175714285714286</v>
      </c>
      <c r="L159" s="11" t="s">
        <v>464</v>
      </c>
      <c r="M159" s="15">
        <v>2</v>
      </c>
      <c r="N159" s="35" t="s">
        <v>93</v>
      </c>
      <c r="O159" s="15">
        <v>3</v>
      </c>
      <c r="P159" s="35" t="s">
        <v>457</v>
      </c>
      <c r="Q159" s="15"/>
      <c r="R159" s="24"/>
      <c r="S159" s="62" t="s">
        <v>536</v>
      </c>
      <c r="T159" s="15"/>
      <c r="U159" s="15"/>
      <c r="V159" s="54">
        <v>700000</v>
      </c>
      <c r="W159" s="54">
        <v>614770</v>
      </c>
      <c r="X159" s="54">
        <v>85230</v>
      </c>
    </row>
    <row r="160" spans="3:24" x14ac:dyDescent="0.25">
      <c r="C160" s="39">
        <v>2017</v>
      </c>
      <c r="D160" s="62" t="s">
        <v>1047</v>
      </c>
      <c r="E160" s="63" t="s">
        <v>982</v>
      </c>
      <c r="F160" s="64">
        <v>42941</v>
      </c>
      <c r="G160" s="65" t="s">
        <v>34</v>
      </c>
      <c r="H160" s="94">
        <v>7200000</v>
      </c>
      <c r="I160" s="27">
        <v>1936000</v>
      </c>
      <c r="J160" s="105" t="s">
        <v>519</v>
      </c>
      <c r="K160" s="26">
        <v>-0.73111111111111116</v>
      </c>
      <c r="L160" s="11" t="s">
        <v>465</v>
      </c>
      <c r="M160" s="15">
        <v>4</v>
      </c>
      <c r="N160" s="35" t="s">
        <v>93</v>
      </c>
      <c r="O160" s="15">
        <v>3</v>
      </c>
      <c r="P160" s="35" t="s">
        <v>458</v>
      </c>
      <c r="Q160" s="15"/>
      <c r="R160" s="24"/>
      <c r="S160" s="62" t="s">
        <v>616</v>
      </c>
      <c r="T160" s="15"/>
      <c r="U160" s="15"/>
      <c r="V160" s="54">
        <v>7200000</v>
      </c>
      <c r="W160" s="54">
        <v>1936000</v>
      </c>
      <c r="X160" s="54">
        <v>5264000</v>
      </c>
    </row>
    <row r="161" spans="3:24" x14ac:dyDescent="0.25">
      <c r="C161" s="39">
        <v>2017</v>
      </c>
      <c r="D161" s="62" t="s">
        <v>1028</v>
      </c>
      <c r="E161" s="63" t="s">
        <v>1029</v>
      </c>
      <c r="F161" s="64">
        <v>42894</v>
      </c>
      <c r="G161" s="65" t="s">
        <v>756</v>
      </c>
      <c r="H161" s="94">
        <v>6445000</v>
      </c>
      <c r="I161" s="27">
        <v>7166666</v>
      </c>
      <c r="J161" s="105" t="s">
        <v>519</v>
      </c>
      <c r="K161" s="26">
        <v>0.11197300232738557</v>
      </c>
      <c r="L161" s="11" t="s">
        <v>465</v>
      </c>
      <c r="M161" s="15">
        <v>11</v>
      </c>
      <c r="N161" s="35" t="s">
        <v>93</v>
      </c>
      <c r="O161" s="15">
        <v>2</v>
      </c>
      <c r="P161" s="35" t="s">
        <v>458</v>
      </c>
      <c r="Q161" s="15"/>
      <c r="R161" s="24"/>
      <c r="S161" s="62" t="s">
        <v>784</v>
      </c>
      <c r="T161" s="15"/>
      <c r="U161" s="15"/>
      <c r="V161" s="54">
        <v>6445000</v>
      </c>
      <c r="W161" s="54">
        <v>7166666</v>
      </c>
      <c r="X161" s="54">
        <v>-721666</v>
      </c>
    </row>
    <row r="162" spans="3:24" x14ac:dyDescent="0.25">
      <c r="C162" s="39">
        <v>2017</v>
      </c>
      <c r="D162" s="62" t="s">
        <v>1009</v>
      </c>
      <c r="E162" s="63" t="s">
        <v>1010</v>
      </c>
      <c r="F162" s="64">
        <v>42880</v>
      </c>
      <c r="G162" s="65" t="s">
        <v>34</v>
      </c>
      <c r="H162" s="94">
        <v>2850000</v>
      </c>
      <c r="I162" s="27">
        <v>1808548</v>
      </c>
      <c r="J162" s="27"/>
      <c r="K162" s="26">
        <v>-0.36542175438596491</v>
      </c>
      <c r="L162" s="11" t="s">
        <v>465</v>
      </c>
      <c r="M162" s="15">
        <v>11</v>
      </c>
      <c r="N162" s="35" t="s">
        <v>93</v>
      </c>
      <c r="O162" s="15">
        <v>2</v>
      </c>
      <c r="P162" s="35" t="s">
        <v>458</v>
      </c>
      <c r="Q162" s="15"/>
      <c r="R162" s="24"/>
      <c r="S162" s="62" t="s">
        <v>442</v>
      </c>
      <c r="T162" s="15"/>
      <c r="U162" s="15"/>
      <c r="V162" s="54">
        <v>2850000</v>
      </c>
      <c r="W162" s="54">
        <v>1808548</v>
      </c>
      <c r="X162" s="54">
        <v>1041452</v>
      </c>
    </row>
    <row r="163" spans="3:24" x14ac:dyDescent="0.25">
      <c r="C163" s="39">
        <v>2017</v>
      </c>
      <c r="D163" s="62" t="s">
        <v>995</v>
      </c>
      <c r="E163" s="63" t="s">
        <v>632</v>
      </c>
      <c r="F163" s="64">
        <v>42851</v>
      </c>
      <c r="G163" s="65" t="s">
        <v>190</v>
      </c>
      <c r="H163" s="94">
        <v>3589000</v>
      </c>
      <c r="I163" s="27">
        <v>3875045</v>
      </c>
      <c r="J163" s="27"/>
      <c r="K163" s="26">
        <v>7.9700473669545829E-2</v>
      </c>
      <c r="L163" s="11" t="s">
        <v>464</v>
      </c>
      <c r="M163" s="15">
        <v>3</v>
      </c>
      <c r="N163" s="35" t="s">
        <v>93</v>
      </c>
      <c r="O163" s="15">
        <v>2</v>
      </c>
      <c r="P163" s="35" t="s">
        <v>457</v>
      </c>
      <c r="Q163" s="15"/>
      <c r="R163" s="24"/>
      <c r="S163" s="62" t="s">
        <v>447</v>
      </c>
      <c r="T163" s="15"/>
      <c r="U163" s="15"/>
      <c r="V163" s="54">
        <v>3589000</v>
      </c>
      <c r="W163" s="54">
        <v>3875045</v>
      </c>
      <c r="X163" s="54">
        <v>-286045</v>
      </c>
    </row>
    <row r="164" spans="3:24" x14ac:dyDescent="0.25">
      <c r="C164" s="39">
        <v>2017</v>
      </c>
      <c r="D164" s="62" t="s">
        <v>977</v>
      </c>
      <c r="E164" s="63" t="s">
        <v>978</v>
      </c>
      <c r="F164" s="64">
        <v>42831</v>
      </c>
      <c r="G164" s="65" t="s">
        <v>34</v>
      </c>
      <c r="H164" s="94">
        <v>1655000</v>
      </c>
      <c r="I164" s="27">
        <v>1398667</v>
      </c>
      <c r="J164" s="27"/>
      <c r="K164" s="26">
        <v>-0.15488398791540786</v>
      </c>
      <c r="L164" s="11" t="s">
        <v>464</v>
      </c>
      <c r="M164" s="15">
        <v>3</v>
      </c>
      <c r="N164" s="35" t="s">
        <v>93</v>
      </c>
      <c r="O164" s="15">
        <v>2</v>
      </c>
      <c r="P164" s="35" t="s">
        <v>492</v>
      </c>
      <c r="Q164" s="15"/>
      <c r="R164" s="24"/>
      <c r="S164" s="62" t="s">
        <v>816</v>
      </c>
      <c r="T164" s="15"/>
      <c r="U164" s="15"/>
      <c r="V164" s="54">
        <v>1655000</v>
      </c>
      <c r="W164" s="54">
        <v>1398667</v>
      </c>
      <c r="X164" s="54">
        <v>256333</v>
      </c>
    </row>
    <row r="165" spans="3:24" x14ac:dyDescent="0.25">
      <c r="C165" s="39">
        <v>2017</v>
      </c>
      <c r="D165" s="62" t="s">
        <v>966</v>
      </c>
      <c r="E165" s="63" t="s">
        <v>967</v>
      </c>
      <c r="F165" s="64">
        <v>42823</v>
      </c>
      <c r="G165" s="65" t="s">
        <v>34</v>
      </c>
      <c r="H165" s="27">
        <v>3700000</v>
      </c>
      <c r="I165" s="27">
        <v>2490000</v>
      </c>
      <c r="J165" s="27"/>
      <c r="K165" s="26">
        <v>-0.32702702702702702</v>
      </c>
      <c r="L165" s="11" t="s">
        <v>464</v>
      </c>
      <c r="M165" s="15">
        <v>7</v>
      </c>
      <c r="N165" s="35" t="s">
        <v>93</v>
      </c>
      <c r="O165" s="15">
        <v>1</v>
      </c>
      <c r="P165" s="35" t="s">
        <v>457</v>
      </c>
      <c r="Q165" s="15"/>
      <c r="R165" s="24" t="s">
        <v>976</v>
      </c>
      <c r="S165" s="62" t="s">
        <v>630</v>
      </c>
      <c r="T165" s="15"/>
      <c r="U165" s="15"/>
      <c r="V165" s="54">
        <v>3700000</v>
      </c>
      <c r="W165" s="54">
        <v>2490000</v>
      </c>
      <c r="X165" s="54">
        <v>1210000</v>
      </c>
    </row>
    <row r="166" spans="3:24" x14ac:dyDescent="0.25">
      <c r="C166" s="39">
        <v>2017</v>
      </c>
      <c r="D166" s="62" t="s">
        <v>964</v>
      </c>
      <c r="E166" s="63" t="s">
        <v>965</v>
      </c>
      <c r="F166" s="64">
        <v>42815</v>
      </c>
      <c r="G166" s="65" t="s">
        <v>190</v>
      </c>
      <c r="H166" s="27">
        <v>3750000</v>
      </c>
      <c r="I166" s="27">
        <v>2468147</v>
      </c>
      <c r="J166" s="27"/>
      <c r="K166" s="26">
        <v>-0.34182746666666669</v>
      </c>
      <c r="L166" s="11" t="s">
        <v>465</v>
      </c>
      <c r="M166" s="15">
        <v>3</v>
      </c>
      <c r="N166" s="35" t="s">
        <v>93</v>
      </c>
      <c r="O166" s="15">
        <v>1</v>
      </c>
      <c r="P166" s="35" t="s">
        <v>458</v>
      </c>
      <c r="Q166" s="15"/>
      <c r="R166" s="24"/>
      <c r="S166" s="62" t="s">
        <v>784</v>
      </c>
      <c r="T166" s="15"/>
      <c r="U166" s="15"/>
      <c r="V166" s="54">
        <v>3750000</v>
      </c>
      <c r="W166" s="54">
        <v>2468147</v>
      </c>
      <c r="X166" s="54">
        <v>1281853</v>
      </c>
    </row>
    <row r="167" spans="3:24" x14ac:dyDescent="0.25">
      <c r="C167" s="39">
        <v>2017</v>
      </c>
      <c r="D167" s="62" t="s">
        <v>981</v>
      </c>
      <c r="E167" s="63" t="s">
        <v>982</v>
      </c>
      <c r="F167" s="64">
        <v>42844</v>
      </c>
      <c r="G167" s="65" t="s">
        <v>190</v>
      </c>
      <c r="H167" s="27">
        <v>18870000</v>
      </c>
      <c r="I167" s="27">
        <v>19910000</v>
      </c>
      <c r="J167" s="27" t="s">
        <v>519</v>
      </c>
      <c r="K167" s="26">
        <v>5.5113937466878642E-2</v>
      </c>
      <c r="L167" s="11" t="s">
        <v>464</v>
      </c>
      <c r="M167" s="15">
        <v>3</v>
      </c>
      <c r="N167" s="35" t="s">
        <v>93</v>
      </c>
      <c r="O167" s="15">
        <v>1</v>
      </c>
      <c r="P167" s="35" t="s">
        <v>458</v>
      </c>
      <c r="Q167" s="15"/>
      <c r="R167" s="24"/>
      <c r="S167" s="62" t="s">
        <v>616</v>
      </c>
      <c r="T167" s="15"/>
      <c r="U167" s="15"/>
      <c r="V167" s="54">
        <v>18870000</v>
      </c>
      <c r="W167" s="54">
        <v>19910000</v>
      </c>
      <c r="X167" s="54">
        <v>-1040000</v>
      </c>
    </row>
    <row r="168" spans="3:24" x14ac:dyDescent="0.25">
      <c r="C168" s="39">
        <v>2017</v>
      </c>
      <c r="D168" s="62" t="s">
        <v>956</v>
      </c>
      <c r="E168" s="63" t="s">
        <v>957</v>
      </c>
      <c r="F168" s="64">
        <v>42810</v>
      </c>
      <c r="G168" s="65" t="s">
        <v>693</v>
      </c>
      <c r="H168" s="27">
        <v>1425000</v>
      </c>
      <c r="I168" s="27">
        <v>1087425</v>
      </c>
      <c r="J168" s="27"/>
      <c r="K168" s="26">
        <v>-0.23689473684210527</v>
      </c>
      <c r="L168" s="11" t="s">
        <v>464</v>
      </c>
      <c r="M168" s="15">
        <v>6</v>
      </c>
      <c r="N168" s="35" t="s">
        <v>93</v>
      </c>
      <c r="O168" s="15">
        <v>1</v>
      </c>
      <c r="P168" s="35" t="s">
        <v>492</v>
      </c>
      <c r="Q168" s="15"/>
      <c r="R168" s="24"/>
      <c r="S168" s="62" t="s">
        <v>816</v>
      </c>
      <c r="T168" s="15"/>
      <c r="U168" s="15"/>
      <c r="V168" s="54">
        <v>1425000</v>
      </c>
      <c r="W168" s="54">
        <v>1087425</v>
      </c>
      <c r="X168" s="54">
        <v>337575</v>
      </c>
    </row>
    <row r="169" spans="3:24" x14ac:dyDescent="0.25">
      <c r="C169" s="39">
        <v>2017</v>
      </c>
      <c r="D169" s="62" t="s">
        <v>914</v>
      </c>
      <c r="E169" s="63" t="s">
        <v>933</v>
      </c>
      <c r="F169" s="64">
        <v>42787</v>
      </c>
      <c r="G169" s="65" t="s">
        <v>190</v>
      </c>
      <c r="H169" s="94">
        <v>10393000</v>
      </c>
      <c r="I169" s="27">
        <v>7903950</v>
      </c>
      <c r="J169" s="105" t="s">
        <v>519</v>
      </c>
      <c r="K169" s="26">
        <v>-0.2394929279322621</v>
      </c>
      <c r="L169" s="11" t="s">
        <v>465</v>
      </c>
      <c r="M169" s="15">
        <v>3</v>
      </c>
      <c r="N169" s="35" t="s">
        <v>93</v>
      </c>
      <c r="O169" s="15">
        <v>1</v>
      </c>
      <c r="P169" s="35" t="s">
        <v>458</v>
      </c>
      <c r="Q169" s="15"/>
      <c r="R169" s="24" t="s">
        <v>932</v>
      </c>
      <c r="S169" s="62" t="s">
        <v>784</v>
      </c>
      <c r="T169" s="15"/>
      <c r="U169" s="15"/>
      <c r="V169" s="54">
        <v>10393000</v>
      </c>
      <c r="W169" s="54">
        <v>7903950</v>
      </c>
      <c r="X169" s="54">
        <v>2489050</v>
      </c>
    </row>
    <row r="170" spans="3:24" x14ac:dyDescent="0.25">
      <c r="C170" s="39">
        <v>2017</v>
      </c>
      <c r="D170" s="62" t="s">
        <v>880</v>
      </c>
      <c r="E170" s="63" t="s">
        <v>881</v>
      </c>
      <c r="F170" s="64">
        <v>42768</v>
      </c>
      <c r="G170" s="65" t="s">
        <v>34</v>
      </c>
      <c r="H170" s="94">
        <v>4800000</v>
      </c>
      <c r="I170" s="27">
        <v>3901193</v>
      </c>
      <c r="J170" s="27"/>
      <c r="K170" s="26">
        <v>-0.18725145833333334</v>
      </c>
      <c r="L170" s="11" t="s">
        <v>464</v>
      </c>
      <c r="M170" s="15">
        <v>14</v>
      </c>
      <c r="N170" s="35" t="s">
        <v>93</v>
      </c>
      <c r="O170" s="15">
        <v>1</v>
      </c>
      <c r="P170" s="35" t="s">
        <v>458</v>
      </c>
      <c r="Q170" s="15"/>
      <c r="R170" s="24"/>
      <c r="S170" s="62" t="s">
        <v>616</v>
      </c>
      <c r="T170" s="15"/>
      <c r="U170" s="15"/>
      <c r="V170" s="54">
        <v>4800000</v>
      </c>
      <c r="W170" s="54">
        <v>3901193</v>
      </c>
      <c r="X170" s="54">
        <v>898807</v>
      </c>
    </row>
    <row r="171" spans="3:24" x14ac:dyDescent="0.25">
      <c r="C171" s="39">
        <v>2017</v>
      </c>
      <c r="D171" s="62" t="s">
        <v>876</v>
      </c>
      <c r="E171" s="63" t="s">
        <v>877</v>
      </c>
      <c r="F171" s="64">
        <v>42765</v>
      </c>
      <c r="G171" s="65" t="s">
        <v>756</v>
      </c>
      <c r="H171" s="94">
        <v>6500000</v>
      </c>
      <c r="I171" s="27">
        <v>5987000</v>
      </c>
      <c r="J171" s="27" t="s">
        <v>519</v>
      </c>
      <c r="K171" s="26">
        <v>-7.8923076923076929E-2</v>
      </c>
      <c r="L171" s="11" t="s">
        <v>464</v>
      </c>
      <c r="M171" s="15">
        <v>5</v>
      </c>
      <c r="N171" s="35" t="s">
        <v>93</v>
      </c>
      <c r="O171" s="15">
        <v>1</v>
      </c>
      <c r="P171" s="35" t="s">
        <v>458</v>
      </c>
      <c r="Q171" s="15"/>
      <c r="R171" s="24"/>
      <c r="S171" s="62" t="s">
        <v>447</v>
      </c>
      <c r="T171" s="15"/>
      <c r="U171" s="15"/>
      <c r="V171" s="54">
        <v>6500000</v>
      </c>
      <c r="W171" s="54">
        <v>5987000</v>
      </c>
      <c r="X171" s="54">
        <v>513000</v>
      </c>
    </row>
    <row r="172" spans="3:24" x14ac:dyDescent="0.25">
      <c r="C172" s="39">
        <v>2017</v>
      </c>
      <c r="D172" s="62" t="s">
        <v>868</v>
      </c>
      <c r="E172" s="63" t="s">
        <v>869</v>
      </c>
      <c r="F172" s="64">
        <v>42761</v>
      </c>
      <c r="G172" s="65" t="s">
        <v>34</v>
      </c>
      <c r="H172" s="94">
        <v>5100000</v>
      </c>
      <c r="I172" s="27">
        <v>4640176</v>
      </c>
      <c r="J172" s="27" t="s">
        <v>519</v>
      </c>
      <c r="K172" s="26">
        <v>-9.0161568627450978E-2</v>
      </c>
      <c r="L172" s="11" t="s">
        <v>464</v>
      </c>
      <c r="M172" s="15">
        <v>7</v>
      </c>
      <c r="N172" s="35" t="s">
        <v>93</v>
      </c>
      <c r="O172" s="15">
        <v>1</v>
      </c>
      <c r="P172" s="35" t="s">
        <v>458</v>
      </c>
      <c r="Q172" s="15"/>
      <c r="R172" s="24"/>
      <c r="S172" s="62" t="s">
        <v>784</v>
      </c>
      <c r="T172" s="15"/>
      <c r="U172" s="15"/>
      <c r="V172" s="54">
        <v>5100000</v>
      </c>
      <c r="W172" s="54">
        <v>4640176</v>
      </c>
      <c r="X172" s="54">
        <v>459824</v>
      </c>
    </row>
    <row r="173" spans="3:24" x14ac:dyDescent="0.25">
      <c r="C173" s="39">
        <v>2017</v>
      </c>
      <c r="D173" s="62" t="s">
        <v>830</v>
      </c>
      <c r="E173" s="63" t="s">
        <v>831</v>
      </c>
      <c r="F173" s="64">
        <v>42746</v>
      </c>
      <c r="G173" s="65" t="s">
        <v>190</v>
      </c>
      <c r="H173" s="94">
        <v>12071025</v>
      </c>
      <c r="I173" s="27">
        <v>9977777</v>
      </c>
      <c r="J173" s="105" t="s">
        <v>519</v>
      </c>
      <c r="K173" s="26">
        <v>-0.17341095723022693</v>
      </c>
      <c r="L173" s="11" t="s">
        <v>465</v>
      </c>
      <c r="M173" s="15">
        <v>3</v>
      </c>
      <c r="N173" s="35" t="s">
        <v>93</v>
      </c>
      <c r="O173" s="15">
        <v>1</v>
      </c>
      <c r="P173" s="35" t="s">
        <v>458</v>
      </c>
      <c r="Q173" s="15"/>
      <c r="R173" s="24"/>
      <c r="S173" s="62" t="s">
        <v>616</v>
      </c>
      <c r="T173" s="15"/>
      <c r="U173" s="15"/>
      <c r="V173" s="54">
        <v>12071025</v>
      </c>
      <c r="W173" s="54">
        <v>9977777</v>
      </c>
      <c r="X173" s="54">
        <v>2093248</v>
      </c>
    </row>
    <row r="174" spans="3:24" x14ac:dyDescent="0.25">
      <c r="C174" s="39">
        <v>2017</v>
      </c>
      <c r="D174" s="62" t="s">
        <v>828</v>
      </c>
      <c r="E174" s="63" t="s">
        <v>829</v>
      </c>
      <c r="F174" s="64">
        <v>42739</v>
      </c>
      <c r="G174" s="65" t="s">
        <v>190</v>
      </c>
      <c r="H174" s="94">
        <v>28695000</v>
      </c>
      <c r="I174" s="27">
        <v>31768035</v>
      </c>
      <c r="J174" s="27" t="s">
        <v>519</v>
      </c>
      <c r="K174" s="26">
        <v>0.10709304756926294</v>
      </c>
      <c r="L174" s="11" t="s">
        <v>464</v>
      </c>
      <c r="M174" s="15">
        <v>2</v>
      </c>
      <c r="N174" s="35" t="s">
        <v>93</v>
      </c>
      <c r="O174" s="15">
        <v>1</v>
      </c>
      <c r="P174" s="35" t="s">
        <v>458</v>
      </c>
      <c r="Q174" s="15"/>
      <c r="R174" s="24"/>
      <c r="S174" s="62" t="s">
        <v>616</v>
      </c>
      <c r="T174" s="15"/>
      <c r="U174" s="15"/>
      <c r="V174" s="54">
        <v>28695000</v>
      </c>
      <c r="W174" s="54">
        <v>31768035</v>
      </c>
      <c r="X174" s="54">
        <v>-3073035</v>
      </c>
    </row>
    <row r="175" spans="3:24" x14ac:dyDescent="0.25">
      <c r="C175" s="39"/>
      <c r="E175" s="85"/>
      <c r="F175" s="85"/>
      <c r="G175" s="85"/>
      <c r="H175" s="86">
        <f>SUM(H149:H174)</f>
        <v>380835025</v>
      </c>
      <c r="I175" s="86">
        <f>SUM(I149:I174)</f>
        <v>327330377</v>
      </c>
      <c r="J175" s="85"/>
      <c r="K175" s="87">
        <f>+I175/H175</f>
        <v>0.85950701882002578</v>
      </c>
      <c r="L175" s="85">
        <f>COUNTA(L149:L174)</f>
        <v>25</v>
      </c>
      <c r="M175" s="88">
        <f>SUM(M149:M174)/L175</f>
        <v>5.8</v>
      </c>
      <c r="N175" s="89"/>
      <c r="O175" s="85"/>
      <c r="P175" s="119">
        <f>17/L175</f>
        <v>0.68</v>
      </c>
      <c r="Q175" s="85"/>
    </row>
    <row r="176" spans="3:24" x14ac:dyDescent="0.25">
      <c r="C176" s="39"/>
    </row>
    <row r="177" spans="3:24" x14ac:dyDescent="0.25">
      <c r="C177" s="39"/>
      <c r="D177" s="31" t="s">
        <v>839</v>
      </c>
    </row>
    <row r="178" spans="3:24" x14ac:dyDescent="0.25">
      <c r="C178" s="39">
        <v>2017</v>
      </c>
      <c r="D178" s="102" t="s">
        <v>1159</v>
      </c>
      <c r="E178" s="63" t="s">
        <v>1154</v>
      </c>
      <c r="F178" s="64">
        <v>43088</v>
      </c>
      <c r="G178" s="65" t="s">
        <v>693</v>
      </c>
      <c r="H178" s="94">
        <v>795000</v>
      </c>
      <c r="I178" s="27">
        <v>353700</v>
      </c>
      <c r="J178" s="27"/>
      <c r="K178" s="26">
        <v>-0.55509433962264154</v>
      </c>
      <c r="L178" s="11" t="s">
        <v>464</v>
      </c>
      <c r="M178" s="15">
        <v>8</v>
      </c>
      <c r="N178" s="35" t="s">
        <v>226</v>
      </c>
      <c r="O178" s="15">
        <v>4</v>
      </c>
      <c r="P178" s="35" t="s">
        <v>457</v>
      </c>
      <c r="Q178" s="15"/>
      <c r="R178" s="24"/>
      <c r="S178" s="62" t="s">
        <v>1153</v>
      </c>
      <c r="T178" s="15"/>
      <c r="U178" s="15"/>
      <c r="V178" s="54">
        <v>795000</v>
      </c>
      <c r="W178" s="54">
        <v>353700</v>
      </c>
      <c r="X178" s="54">
        <v>441300</v>
      </c>
    </row>
    <row r="179" spans="3:24" x14ac:dyDescent="0.25">
      <c r="C179" s="39">
        <v>2017</v>
      </c>
      <c r="D179" s="102" t="s">
        <v>1139</v>
      </c>
      <c r="E179" s="63" t="s">
        <v>1140</v>
      </c>
      <c r="F179" s="64">
        <v>43054</v>
      </c>
      <c r="G179" s="65" t="s">
        <v>34</v>
      </c>
      <c r="H179" s="94">
        <v>1350000</v>
      </c>
      <c r="I179" s="27">
        <v>2629000</v>
      </c>
      <c r="J179" s="27"/>
      <c r="K179" s="26">
        <v>0.94740740740740736</v>
      </c>
      <c r="L179" s="11" t="s">
        <v>465</v>
      </c>
      <c r="M179" s="15">
        <v>1</v>
      </c>
      <c r="N179" s="35" t="s">
        <v>226</v>
      </c>
      <c r="O179" s="15">
        <v>4</v>
      </c>
      <c r="P179" s="35" t="s">
        <v>457</v>
      </c>
      <c r="Q179" s="15"/>
      <c r="R179" s="24" t="s">
        <v>782</v>
      </c>
      <c r="S179" s="62" t="s">
        <v>784</v>
      </c>
      <c r="T179" s="15"/>
      <c r="U179" s="15"/>
      <c r="V179" s="54">
        <v>1350000</v>
      </c>
      <c r="W179" s="54">
        <v>2629000</v>
      </c>
      <c r="X179" s="54">
        <v>-1279000</v>
      </c>
    </row>
    <row r="180" spans="3:24" x14ac:dyDescent="0.25">
      <c r="C180" s="39">
        <v>2017</v>
      </c>
      <c r="D180" s="62" t="s">
        <v>1110</v>
      </c>
      <c r="E180" s="63" t="s">
        <v>1111</v>
      </c>
      <c r="F180" s="64">
        <v>43047</v>
      </c>
      <c r="G180" s="65" t="s">
        <v>34</v>
      </c>
      <c r="H180" s="94">
        <v>1650000</v>
      </c>
      <c r="I180" s="27">
        <v>2278990</v>
      </c>
      <c r="J180" s="27"/>
      <c r="K180" s="26">
        <v>0.3812060606060606</v>
      </c>
      <c r="L180" s="11" t="s">
        <v>465</v>
      </c>
      <c r="M180" s="15">
        <v>5</v>
      </c>
      <c r="N180" s="35" t="s">
        <v>226</v>
      </c>
      <c r="O180" s="15">
        <v>4</v>
      </c>
      <c r="P180" s="35" t="s">
        <v>457</v>
      </c>
      <c r="Q180" s="15"/>
      <c r="R180" s="24"/>
      <c r="S180" s="62" t="s">
        <v>784</v>
      </c>
      <c r="T180" s="15"/>
      <c r="U180" s="15"/>
      <c r="V180" s="54">
        <v>1650000</v>
      </c>
      <c r="W180" s="54">
        <v>2278990</v>
      </c>
      <c r="X180" s="54">
        <v>-628990</v>
      </c>
    </row>
    <row r="181" spans="3:24" x14ac:dyDescent="0.25">
      <c r="C181" s="39">
        <v>2017</v>
      </c>
      <c r="D181" s="62" t="s">
        <v>1091</v>
      </c>
      <c r="E181" s="63" t="s">
        <v>1092</v>
      </c>
      <c r="F181" s="64">
        <v>43006</v>
      </c>
      <c r="G181" s="65" t="s">
        <v>693</v>
      </c>
      <c r="H181" s="94">
        <v>609000</v>
      </c>
      <c r="I181" s="27">
        <v>579300</v>
      </c>
      <c r="J181" s="27"/>
      <c r="K181" s="26">
        <v>-4.8768472906403938E-2</v>
      </c>
      <c r="L181" s="11" t="s">
        <v>464</v>
      </c>
      <c r="M181" s="15">
        <v>4</v>
      </c>
      <c r="N181" s="35" t="s">
        <v>226</v>
      </c>
      <c r="O181" s="15">
        <v>3</v>
      </c>
      <c r="P181" s="35" t="s">
        <v>457</v>
      </c>
      <c r="Q181" s="15"/>
      <c r="R181" s="24"/>
      <c r="S181" s="62" t="s">
        <v>962</v>
      </c>
      <c r="T181" s="15"/>
      <c r="U181" s="15"/>
      <c r="V181" s="54">
        <v>609000</v>
      </c>
      <c r="W181" s="54">
        <v>579300</v>
      </c>
      <c r="X181" s="54">
        <v>29700</v>
      </c>
    </row>
    <row r="182" spans="3:24" x14ac:dyDescent="0.25">
      <c r="C182" s="39">
        <v>2017</v>
      </c>
      <c r="D182" s="62" t="s">
        <v>1089</v>
      </c>
      <c r="E182" s="63" t="s">
        <v>1090</v>
      </c>
      <c r="F182" s="64">
        <v>43005</v>
      </c>
      <c r="G182" s="65" t="s">
        <v>34</v>
      </c>
      <c r="H182" s="94">
        <v>1250000</v>
      </c>
      <c r="I182" s="27">
        <v>1068000</v>
      </c>
      <c r="J182" s="27"/>
      <c r="K182" s="26">
        <v>-0.14560000000000001</v>
      </c>
      <c r="L182" s="11" t="s">
        <v>464</v>
      </c>
      <c r="M182" s="15">
        <v>6</v>
      </c>
      <c r="N182" s="35" t="s">
        <v>226</v>
      </c>
      <c r="O182" s="15">
        <v>3</v>
      </c>
      <c r="P182" s="35" t="s">
        <v>457</v>
      </c>
      <c r="Q182" s="15"/>
      <c r="R182" s="24"/>
      <c r="S182" s="62" t="s">
        <v>784</v>
      </c>
      <c r="T182" s="15"/>
      <c r="U182" s="15"/>
      <c r="V182" s="54">
        <v>1250000</v>
      </c>
      <c r="W182" s="54">
        <v>1068000</v>
      </c>
      <c r="X182" s="54">
        <v>182000</v>
      </c>
    </row>
    <row r="183" spans="3:24" x14ac:dyDescent="0.25">
      <c r="C183" s="39">
        <v>2017</v>
      </c>
      <c r="D183" s="62" t="s">
        <v>1001</v>
      </c>
      <c r="E183" s="63" t="s">
        <v>1008</v>
      </c>
      <c r="F183" s="64">
        <v>42872</v>
      </c>
      <c r="G183" s="65" t="s">
        <v>34</v>
      </c>
      <c r="H183" s="94">
        <v>5000000</v>
      </c>
      <c r="I183" s="27">
        <v>5210665</v>
      </c>
      <c r="J183" s="27" t="s">
        <v>519</v>
      </c>
      <c r="K183" s="26">
        <v>4.2132999999999997E-2</v>
      </c>
      <c r="L183" s="11" t="s">
        <v>464</v>
      </c>
      <c r="M183" s="15">
        <v>9</v>
      </c>
      <c r="N183" s="35" t="s">
        <v>226</v>
      </c>
      <c r="O183" s="15">
        <v>2</v>
      </c>
      <c r="P183" s="35" t="s">
        <v>492</v>
      </c>
      <c r="Q183" s="15"/>
      <c r="R183" s="24"/>
      <c r="S183" s="62" t="s">
        <v>816</v>
      </c>
      <c r="T183" s="15"/>
      <c r="U183" s="15"/>
      <c r="V183" s="54">
        <v>5000000</v>
      </c>
      <c r="W183" s="54">
        <v>5210665</v>
      </c>
      <c r="X183" s="54">
        <v>-210665</v>
      </c>
    </row>
    <row r="184" spans="3:24" x14ac:dyDescent="0.25">
      <c r="C184" s="39">
        <v>2017</v>
      </c>
      <c r="D184" s="62" t="s">
        <v>991</v>
      </c>
      <c r="E184" s="63" t="s">
        <v>992</v>
      </c>
      <c r="F184" s="64">
        <v>42846</v>
      </c>
      <c r="G184" s="65" t="s">
        <v>34</v>
      </c>
      <c r="H184" s="94">
        <v>2060000</v>
      </c>
      <c r="I184" s="27">
        <v>2614625</v>
      </c>
      <c r="J184" s="27"/>
      <c r="K184" s="26">
        <v>0.26923543689320389</v>
      </c>
      <c r="L184" s="11" t="s">
        <v>465</v>
      </c>
      <c r="M184" s="15">
        <v>5</v>
      </c>
      <c r="N184" s="35" t="s">
        <v>226</v>
      </c>
      <c r="O184" s="15">
        <v>2</v>
      </c>
      <c r="P184" s="35" t="s">
        <v>457</v>
      </c>
      <c r="Q184" s="15"/>
      <c r="R184" s="24"/>
      <c r="S184" s="62" t="s">
        <v>630</v>
      </c>
      <c r="T184" s="15"/>
      <c r="U184" s="15"/>
      <c r="V184" s="54">
        <v>2060000</v>
      </c>
      <c r="W184" s="54">
        <v>2614625</v>
      </c>
      <c r="X184" s="54">
        <v>-554625</v>
      </c>
    </row>
    <row r="185" spans="3:24" x14ac:dyDescent="0.25">
      <c r="C185" s="39">
        <v>2017</v>
      </c>
      <c r="D185" s="62" t="s">
        <v>912</v>
      </c>
      <c r="E185" s="63" t="s">
        <v>935</v>
      </c>
      <c r="F185" s="64">
        <v>42789</v>
      </c>
      <c r="G185" s="65" t="s">
        <v>190</v>
      </c>
      <c r="H185" s="94">
        <v>479900000</v>
      </c>
      <c r="I185" s="27">
        <v>451841280</v>
      </c>
      <c r="J185" s="27" t="s">
        <v>519</v>
      </c>
      <c r="K185" s="26">
        <v>-5.8467847468222547E-2</v>
      </c>
      <c r="L185" s="11" t="s">
        <v>464</v>
      </c>
      <c r="M185" s="15">
        <v>5</v>
      </c>
      <c r="N185" s="35" t="s">
        <v>226</v>
      </c>
      <c r="O185" s="15">
        <v>1</v>
      </c>
      <c r="P185" s="35" t="s">
        <v>457</v>
      </c>
      <c r="Q185" s="15"/>
      <c r="R185" s="24"/>
      <c r="S185" s="62" t="s">
        <v>630</v>
      </c>
      <c r="T185" s="15"/>
      <c r="U185" s="15"/>
      <c r="V185" s="54">
        <v>479900000</v>
      </c>
      <c r="W185" s="54">
        <v>451841280</v>
      </c>
      <c r="X185" s="54">
        <v>28058720</v>
      </c>
    </row>
    <row r="186" spans="3:24" x14ac:dyDescent="0.25">
      <c r="C186" s="39">
        <v>2017</v>
      </c>
      <c r="D186" s="62" t="s">
        <v>898</v>
      </c>
      <c r="E186" s="63" t="s">
        <v>717</v>
      </c>
      <c r="F186" s="64">
        <v>42773</v>
      </c>
      <c r="G186" s="65" t="s">
        <v>190</v>
      </c>
      <c r="H186" s="94">
        <v>1965000</v>
      </c>
      <c r="I186" s="27">
        <v>1450000</v>
      </c>
      <c r="J186" s="27"/>
      <c r="K186" s="26">
        <v>-0.26208651399491095</v>
      </c>
      <c r="L186" s="11" t="s">
        <v>464</v>
      </c>
      <c r="M186" s="15">
        <v>6</v>
      </c>
      <c r="N186" s="35" t="s">
        <v>226</v>
      </c>
      <c r="O186" s="15">
        <v>1</v>
      </c>
      <c r="P186" s="35" t="s">
        <v>457</v>
      </c>
      <c r="Q186" s="15"/>
      <c r="R186" s="24" t="s">
        <v>900</v>
      </c>
      <c r="S186" s="62" t="s">
        <v>630</v>
      </c>
      <c r="T186" s="15"/>
      <c r="U186" s="15"/>
      <c r="V186" s="54">
        <v>1965000</v>
      </c>
      <c r="W186" s="54">
        <v>1450000</v>
      </c>
      <c r="X186" s="54">
        <v>515000</v>
      </c>
    </row>
    <row r="187" spans="3:24" x14ac:dyDescent="0.25">
      <c r="C187" s="39"/>
      <c r="E187" s="85"/>
      <c r="F187" s="85"/>
      <c r="G187" s="85"/>
      <c r="H187" s="86">
        <f>SUM(H177:H186)</f>
        <v>494579000</v>
      </c>
      <c r="I187" s="86">
        <f>SUM(I177:I186)</f>
        <v>468025560</v>
      </c>
      <c r="J187" s="85"/>
      <c r="K187" s="87">
        <f>+I187/H187</f>
        <v>0.94631102412354751</v>
      </c>
      <c r="L187" s="85">
        <f>COUNTA(L177:L186)</f>
        <v>9</v>
      </c>
      <c r="M187" s="88">
        <f>SUM(M177:M186)/L187</f>
        <v>5.4444444444444446</v>
      </c>
      <c r="N187" s="89"/>
      <c r="O187" s="85"/>
      <c r="P187" s="119">
        <f>6/L187</f>
        <v>0.66666666666666663</v>
      </c>
      <c r="Q187" s="85"/>
    </row>
    <row r="188" spans="3:24" x14ac:dyDescent="0.25">
      <c r="C188" s="39"/>
    </row>
    <row r="189" spans="3:24" x14ac:dyDescent="0.25">
      <c r="C189" s="39"/>
    </row>
    <row r="190" spans="3:24" x14ac:dyDescent="0.25">
      <c r="C190" s="39"/>
      <c r="F190" s="31"/>
      <c r="G190" s="36" t="s">
        <v>853</v>
      </c>
      <c r="H190" s="36" t="s">
        <v>854</v>
      </c>
      <c r="I190" s="36" t="s">
        <v>59</v>
      </c>
      <c r="J190" s="36" t="s">
        <v>60</v>
      </c>
      <c r="K190" s="36" t="s">
        <v>856</v>
      </c>
      <c r="L190" s="36" t="s">
        <v>62</v>
      </c>
      <c r="M190" s="37" t="s">
        <v>855</v>
      </c>
      <c r="N190" s="36"/>
      <c r="O190" s="36"/>
      <c r="P190" s="31"/>
      <c r="Q190" s="31"/>
    </row>
    <row r="191" spans="3:24" x14ac:dyDescent="0.25">
      <c r="C191" s="39"/>
      <c r="G191" t="s">
        <v>93</v>
      </c>
      <c r="H191" s="4">
        <f>+H175</f>
        <v>380835025</v>
      </c>
      <c r="I191" s="4">
        <f>+I175</f>
        <v>327330377</v>
      </c>
      <c r="J191" s="91">
        <f>+K175</f>
        <v>0.85950701882002578</v>
      </c>
      <c r="K191" s="120">
        <f>+P175</f>
        <v>0.68</v>
      </c>
      <c r="L191">
        <f>+L175</f>
        <v>25</v>
      </c>
      <c r="M191" s="84">
        <f>+M175</f>
        <v>5.8</v>
      </c>
    </row>
    <row r="192" spans="3:24" x14ac:dyDescent="0.25">
      <c r="C192" s="39"/>
      <c r="G192" t="s">
        <v>25</v>
      </c>
      <c r="H192" s="4">
        <f>+H147</f>
        <v>263865000</v>
      </c>
      <c r="I192" s="4">
        <f>+I147</f>
        <v>263750479</v>
      </c>
      <c r="J192" s="91">
        <f>+K147</f>
        <v>0.99956598639455785</v>
      </c>
      <c r="K192" s="120">
        <f>+P147</f>
        <v>0.625</v>
      </c>
      <c r="L192">
        <f>+L147</f>
        <v>32</v>
      </c>
      <c r="M192" s="84">
        <f>+M147</f>
        <v>4.8125</v>
      </c>
    </row>
    <row r="193" spans="3:27" s="11" customFormat="1" x14ac:dyDescent="0.25">
      <c r="C193" s="39"/>
      <c r="D193"/>
      <c r="E193"/>
      <c r="F193"/>
      <c r="G193" t="s">
        <v>226</v>
      </c>
      <c r="H193" s="4">
        <f>+H187</f>
        <v>494579000</v>
      </c>
      <c r="I193" s="4">
        <f>+I187</f>
        <v>468025560</v>
      </c>
      <c r="J193" s="91">
        <f>+K187</f>
        <v>0.94631102412354751</v>
      </c>
      <c r="K193" s="120">
        <f>+P187</f>
        <v>0.66666666666666663</v>
      </c>
      <c r="L193">
        <f>+L187</f>
        <v>9</v>
      </c>
      <c r="M193" s="84">
        <f>+M187</f>
        <v>5.4444444444444446</v>
      </c>
      <c r="O193"/>
      <c r="P193"/>
      <c r="Q193"/>
      <c r="R193"/>
      <c r="S193"/>
      <c r="T193"/>
      <c r="U193"/>
      <c r="V193"/>
      <c r="W193"/>
      <c r="X193"/>
      <c r="Y193"/>
      <c r="Z193"/>
      <c r="AA193"/>
    </row>
    <row r="194" spans="3:27" s="11" customFormat="1" x14ac:dyDescent="0.25">
      <c r="C194" s="39"/>
      <c r="D194"/>
      <c r="E194"/>
      <c r="F194"/>
      <c r="G194"/>
      <c r="H194"/>
      <c r="I194"/>
      <c r="J194"/>
      <c r="K194"/>
      <c r="L194"/>
      <c r="M194"/>
      <c r="O194"/>
      <c r="P194"/>
      <c r="Q194"/>
      <c r="R194"/>
      <c r="S194"/>
      <c r="T194"/>
      <c r="U194"/>
      <c r="V194"/>
      <c r="W194"/>
      <c r="X194"/>
      <c r="Y194"/>
      <c r="Z194"/>
      <c r="AA194"/>
    </row>
    <row r="195" spans="3:27" s="11" customFormat="1" x14ac:dyDescent="0.25">
      <c r="C195" s="113"/>
      <c r="D195" s="114"/>
      <c r="E195" s="114"/>
      <c r="F195" s="114"/>
      <c r="G195" s="114"/>
      <c r="H195" s="114"/>
      <c r="I195" s="114"/>
      <c r="J195" s="114"/>
      <c r="K195" s="114"/>
      <c r="L195" s="114"/>
      <c r="M195" s="114"/>
      <c r="N195" s="115"/>
      <c r="O195" s="114"/>
      <c r="P195" s="114"/>
      <c r="Q195" s="114"/>
      <c r="R195" s="114"/>
      <c r="S195" s="114"/>
      <c r="T195"/>
      <c r="U195"/>
      <c r="V195"/>
      <c r="W195"/>
      <c r="X195"/>
      <c r="Y195"/>
      <c r="Z195"/>
      <c r="AA195"/>
    </row>
    <row r="196" spans="3:27" s="11" customFormat="1" x14ac:dyDescent="0.25">
      <c r="C196" s="39"/>
      <c r="D196"/>
      <c r="E196"/>
      <c r="F196"/>
      <c r="G196"/>
      <c r="H196"/>
      <c r="I196"/>
      <c r="J196"/>
      <c r="K196"/>
      <c r="L196"/>
      <c r="M196"/>
      <c r="O196"/>
      <c r="P196"/>
      <c r="Q196"/>
      <c r="R196"/>
      <c r="S196"/>
      <c r="T196"/>
      <c r="U196"/>
      <c r="V196"/>
      <c r="W196"/>
      <c r="X196"/>
      <c r="Y196"/>
      <c r="Z196"/>
      <c r="AA196"/>
    </row>
    <row r="197" spans="3:27" x14ac:dyDescent="0.25">
      <c r="C197" s="39"/>
      <c r="E197" s="131" t="s">
        <v>1166</v>
      </c>
      <c r="F197" s="132" t="s">
        <v>842</v>
      </c>
      <c r="G197" s="132" t="s">
        <v>843</v>
      </c>
      <c r="H197" s="133">
        <f>SUM(F198:G206)</f>
        <v>66</v>
      </c>
      <c r="I197" s="137" t="s">
        <v>1167</v>
      </c>
    </row>
    <row r="198" spans="3:27" x14ac:dyDescent="0.25">
      <c r="C198" s="39"/>
      <c r="E198" s="133" t="s">
        <v>844</v>
      </c>
      <c r="F198" s="134">
        <v>4</v>
      </c>
      <c r="G198" s="134">
        <v>4</v>
      </c>
      <c r="H198" s="135">
        <f t="shared" ref="H198:H206" si="13">F198/(+F198+G198)</f>
        <v>0.5</v>
      </c>
      <c r="I198" s="136">
        <f>+(F198+G198)/$H$197</f>
        <v>0.12121212121212122</v>
      </c>
    </row>
    <row r="199" spans="3:27" x14ac:dyDescent="0.25">
      <c r="C199" s="39"/>
      <c r="E199" s="133" t="s">
        <v>845</v>
      </c>
      <c r="F199" s="134">
        <v>18</v>
      </c>
      <c r="G199" s="134">
        <v>7</v>
      </c>
      <c r="H199" s="135">
        <f t="shared" si="13"/>
        <v>0.72</v>
      </c>
      <c r="I199" s="136">
        <f t="shared" ref="I199:I206" si="14">+(F199+G199)/$H$197</f>
        <v>0.37878787878787878</v>
      </c>
    </row>
    <row r="200" spans="3:27" x14ac:dyDescent="0.25">
      <c r="C200" s="39"/>
      <c r="E200" s="133" t="s">
        <v>1162</v>
      </c>
      <c r="F200" s="134">
        <v>2</v>
      </c>
      <c r="G200" s="134">
        <v>0</v>
      </c>
      <c r="H200" s="135">
        <f t="shared" si="13"/>
        <v>1</v>
      </c>
      <c r="I200" s="136">
        <f t="shared" si="14"/>
        <v>3.0303030303030304E-2</v>
      </c>
    </row>
    <row r="201" spans="3:27" x14ac:dyDescent="0.25">
      <c r="C201" s="39"/>
      <c r="E201" s="133" t="s">
        <v>847</v>
      </c>
      <c r="F201" s="134">
        <v>4</v>
      </c>
      <c r="G201" s="134">
        <v>7</v>
      </c>
      <c r="H201" s="135">
        <f t="shared" si="13"/>
        <v>0.36363636363636365</v>
      </c>
      <c r="I201" s="136">
        <f t="shared" si="14"/>
        <v>0.16666666666666666</v>
      </c>
    </row>
    <row r="202" spans="3:27" x14ac:dyDescent="0.25">
      <c r="C202" s="39"/>
      <c r="E202" s="133" t="s">
        <v>848</v>
      </c>
      <c r="F202" s="134">
        <v>0</v>
      </c>
      <c r="G202" s="134">
        <v>1</v>
      </c>
      <c r="H202" s="135">
        <f t="shared" si="13"/>
        <v>0</v>
      </c>
      <c r="I202" s="136">
        <f t="shared" si="14"/>
        <v>1.5151515151515152E-2</v>
      </c>
    </row>
    <row r="203" spans="3:27" x14ac:dyDescent="0.25">
      <c r="C203" s="39"/>
      <c r="E203" s="133" t="s">
        <v>849</v>
      </c>
      <c r="F203" s="134">
        <v>10</v>
      </c>
      <c r="G203" s="134">
        <v>1</v>
      </c>
      <c r="H203" s="135">
        <f t="shared" si="13"/>
        <v>0.90909090909090906</v>
      </c>
      <c r="I203" s="136">
        <f t="shared" si="14"/>
        <v>0.16666666666666666</v>
      </c>
    </row>
    <row r="204" spans="3:27" x14ac:dyDescent="0.25">
      <c r="C204" s="39"/>
      <c r="E204" s="133" t="s">
        <v>1163</v>
      </c>
      <c r="F204" s="134">
        <v>0</v>
      </c>
      <c r="G204" s="134">
        <v>0</v>
      </c>
      <c r="H204" s="138" t="s">
        <v>1165</v>
      </c>
      <c r="I204" s="136">
        <f t="shared" si="14"/>
        <v>0</v>
      </c>
    </row>
    <row r="205" spans="3:27" x14ac:dyDescent="0.25">
      <c r="C205" s="39"/>
      <c r="E205" s="133" t="s">
        <v>1164</v>
      </c>
      <c r="F205" s="134">
        <v>1</v>
      </c>
      <c r="G205" s="134">
        <v>0</v>
      </c>
      <c r="H205" s="135">
        <f t="shared" si="13"/>
        <v>1</v>
      </c>
      <c r="I205" s="136">
        <f t="shared" si="14"/>
        <v>1.5151515151515152E-2</v>
      </c>
    </row>
    <row r="206" spans="3:27" x14ac:dyDescent="0.25">
      <c r="C206" s="39"/>
      <c r="E206" s="133" t="s">
        <v>846</v>
      </c>
      <c r="F206" s="134">
        <v>4</v>
      </c>
      <c r="G206" s="134">
        <v>3</v>
      </c>
      <c r="H206" s="135">
        <f t="shared" si="13"/>
        <v>0.5714285714285714</v>
      </c>
      <c r="I206" s="136">
        <f t="shared" si="14"/>
        <v>0.10606060606060606</v>
      </c>
    </row>
    <row r="207" spans="3:27" x14ac:dyDescent="0.25">
      <c r="C207" s="39"/>
      <c r="E207" s="2"/>
      <c r="F207" s="11"/>
      <c r="G207" s="11"/>
    </row>
    <row r="208" spans="3:27" x14ac:dyDescent="0.25">
      <c r="C208" s="39"/>
      <c r="F208" s="11"/>
      <c r="G208" s="11"/>
    </row>
    <row r="209" spans="3:24" x14ac:dyDescent="0.25">
      <c r="C209" s="39"/>
    </row>
    <row r="210" spans="3:24" x14ac:dyDescent="0.25">
      <c r="C210" s="39"/>
    </row>
    <row r="211" spans="3:24" x14ac:dyDescent="0.25">
      <c r="C211" s="116"/>
      <c r="D211" s="117"/>
      <c r="E211" s="117"/>
      <c r="F211" s="117"/>
      <c r="G211" s="117"/>
      <c r="H211" s="117"/>
      <c r="I211" s="117"/>
      <c r="J211" s="117"/>
      <c r="K211" s="117"/>
      <c r="L211" s="117"/>
      <c r="M211" s="117"/>
      <c r="N211" s="118"/>
      <c r="O211" s="117"/>
      <c r="P211" s="117"/>
      <c r="Q211" s="117"/>
      <c r="R211" s="117"/>
      <c r="S211" s="117"/>
    </row>
    <row r="212" spans="3:24" x14ac:dyDescent="0.25">
      <c r="C212" s="39"/>
    </row>
    <row r="213" spans="3:24" x14ac:dyDescent="0.25">
      <c r="C213" s="39"/>
    </row>
    <row r="214" spans="3:24" x14ac:dyDescent="0.25">
      <c r="C214" s="39">
        <v>2017</v>
      </c>
      <c r="D214" s="102" t="s">
        <v>1159</v>
      </c>
      <c r="E214" s="63" t="s">
        <v>1154</v>
      </c>
      <c r="F214" s="64">
        <v>43088</v>
      </c>
      <c r="G214" s="65" t="s">
        <v>693</v>
      </c>
      <c r="H214" s="94">
        <v>795000</v>
      </c>
      <c r="I214" s="27">
        <v>353700</v>
      </c>
      <c r="J214" s="27"/>
      <c r="K214" s="26">
        <v>-0.55509433962264154</v>
      </c>
      <c r="L214" s="11" t="s">
        <v>464</v>
      </c>
      <c r="M214" s="15">
        <v>8</v>
      </c>
      <c r="N214" s="35" t="s">
        <v>226</v>
      </c>
      <c r="O214" s="15">
        <v>4</v>
      </c>
      <c r="P214" s="35" t="s">
        <v>457</v>
      </c>
      <c r="Q214" s="15"/>
      <c r="R214" s="24"/>
      <c r="S214" s="62" t="s">
        <v>1153</v>
      </c>
      <c r="T214" s="15"/>
      <c r="U214" s="15"/>
      <c r="V214" s="54">
        <v>795000</v>
      </c>
      <c r="W214" s="54">
        <v>353700</v>
      </c>
      <c r="X214" s="54">
        <v>441300</v>
      </c>
    </row>
    <row r="215" spans="3:24" x14ac:dyDescent="0.25">
      <c r="C215" s="39">
        <v>2017</v>
      </c>
      <c r="D215" s="102" t="s">
        <v>1139</v>
      </c>
      <c r="E215" s="63" t="s">
        <v>1140</v>
      </c>
      <c r="F215" s="64">
        <v>43054</v>
      </c>
      <c r="G215" s="65" t="s">
        <v>34</v>
      </c>
      <c r="H215" s="94">
        <v>1350000</v>
      </c>
      <c r="I215" s="27">
        <v>2629000</v>
      </c>
      <c r="J215" s="27"/>
      <c r="K215" s="26">
        <v>0.94740740740740736</v>
      </c>
      <c r="L215" s="11" t="s">
        <v>465</v>
      </c>
      <c r="M215" s="15">
        <v>1</v>
      </c>
      <c r="N215" s="35" t="s">
        <v>226</v>
      </c>
      <c r="O215" s="15">
        <v>4</v>
      </c>
      <c r="P215" s="35" t="s">
        <v>457</v>
      </c>
      <c r="Q215" s="15"/>
      <c r="R215" s="24" t="s">
        <v>782</v>
      </c>
      <c r="S215" s="62" t="s">
        <v>784</v>
      </c>
      <c r="T215" s="15"/>
      <c r="U215" s="15"/>
      <c r="V215" s="54">
        <v>1350000</v>
      </c>
      <c r="W215" s="54">
        <v>2629000</v>
      </c>
      <c r="X215" s="54">
        <v>-1279000</v>
      </c>
    </row>
    <row r="216" spans="3:24" x14ac:dyDescent="0.25">
      <c r="C216" s="39">
        <v>2017</v>
      </c>
      <c r="D216" s="102" t="s">
        <v>1127</v>
      </c>
      <c r="E216" s="63" t="s">
        <v>1128</v>
      </c>
      <c r="F216" s="64">
        <v>43053</v>
      </c>
      <c r="G216" s="65" t="s">
        <v>756</v>
      </c>
      <c r="H216" s="94">
        <v>17250000</v>
      </c>
      <c r="I216" s="27">
        <v>22616488</v>
      </c>
      <c r="J216" s="105" t="s">
        <v>519</v>
      </c>
      <c r="K216" s="26">
        <v>0.3111007536231884</v>
      </c>
      <c r="L216" s="11" t="s">
        <v>465</v>
      </c>
      <c r="M216" s="15">
        <v>4</v>
      </c>
      <c r="N216" s="35" t="s">
        <v>93</v>
      </c>
      <c r="O216" s="15">
        <v>4</v>
      </c>
      <c r="P216" s="35" t="s">
        <v>457</v>
      </c>
      <c r="Q216" s="15"/>
      <c r="R216" s="24"/>
      <c r="S216" s="62" t="s">
        <v>447</v>
      </c>
      <c r="T216" s="15"/>
      <c r="U216" s="15"/>
      <c r="V216" s="54">
        <v>17250000</v>
      </c>
      <c r="W216" s="54">
        <v>22616488</v>
      </c>
      <c r="X216" s="54">
        <v>-5366488</v>
      </c>
    </row>
    <row r="217" spans="3:24" x14ac:dyDescent="0.25">
      <c r="C217" s="39">
        <v>2017</v>
      </c>
      <c r="D217" s="62" t="s">
        <v>1110</v>
      </c>
      <c r="E217" s="63" t="s">
        <v>1111</v>
      </c>
      <c r="F217" s="64">
        <v>43047</v>
      </c>
      <c r="G217" s="65" t="s">
        <v>34</v>
      </c>
      <c r="H217" s="94">
        <v>1650000</v>
      </c>
      <c r="I217" s="27">
        <v>2278990</v>
      </c>
      <c r="J217" s="27"/>
      <c r="K217" s="26">
        <v>0.3812060606060606</v>
      </c>
      <c r="L217" s="11" t="s">
        <v>465</v>
      </c>
      <c r="M217" s="15">
        <v>5</v>
      </c>
      <c r="N217" s="35" t="s">
        <v>226</v>
      </c>
      <c r="O217" s="15">
        <v>4</v>
      </c>
      <c r="P217" s="35" t="s">
        <v>457</v>
      </c>
      <c r="Q217" s="15"/>
      <c r="R217" s="24"/>
      <c r="S217" s="62" t="s">
        <v>784</v>
      </c>
      <c r="T217" s="15"/>
      <c r="U217" s="15"/>
      <c r="V217" s="54">
        <v>1650000</v>
      </c>
      <c r="W217" s="54">
        <v>2278990</v>
      </c>
      <c r="X217" s="54">
        <v>-628990</v>
      </c>
    </row>
    <row r="218" spans="3:24" x14ac:dyDescent="0.25">
      <c r="C218" s="39">
        <v>2017</v>
      </c>
      <c r="D218" s="62" t="s">
        <v>1091</v>
      </c>
      <c r="E218" s="63" t="s">
        <v>1092</v>
      </c>
      <c r="F218" s="64">
        <v>43006</v>
      </c>
      <c r="G218" s="65" t="s">
        <v>693</v>
      </c>
      <c r="H218" s="94">
        <v>609000</v>
      </c>
      <c r="I218" s="27">
        <v>579300</v>
      </c>
      <c r="J218" s="27"/>
      <c r="K218" s="26">
        <v>-4.8768472906403938E-2</v>
      </c>
      <c r="L218" s="11" t="s">
        <v>464</v>
      </c>
      <c r="M218" s="15">
        <v>4</v>
      </c>
      <c r="N218" s="35" t="s">
        <v>226</v>
      </c>
      <c r="O218" s="15">
        <v>3</v>
      </c>
      <c r="P218" s="35" t="s">
        <v>457</v>
      </c>
      <c r="Q218" s="15"/>
      <c r="R218" s="24"/>
      <c r="S218" s="62" t="s">
        <v>962</v>
      </c>
      <c r="T218" s="15"/>
      <c r="U218" s="15"/>
      <c r="V218" s="54">
        <v>609000</v>
      </c>
      <c r="W218" s="54">
        <v>579300</v>
      </c>
      <c r="X218" s="54">
        <v>29700</v>
      </c>
    </row>
    <row r="219" spans="3:24" x14ac:dyDescent="0.25">
      <c r="C219" s="39">
        <v>2017</v>
      </c>
      <c r="D219" s="62" t="s">
        <v>1089</v>
      </c>
      <c r="E219" s="63" t="s">
        <v>1090</v>
      </c>
      <c r="F219" s="64">
        <v>43005</v>
      </c>
      <c r="G219" s="65" t="s">
        <v>34</v>
      </c>
      <c r="H219" s="94">
        <v>1250000</v>
      </c>
      <c r="I219" s="27">
        <v>1068000</v>
      </c>
      <c r="J219" s="27"/>
      <c r="K219" s="26">
        <v>-0.14560000000000001</v>
      </c>
      <c r="L219" s="11" t="s">
        <v>464</v>
      </c>
      <c r="M219" s="15">
        <v>6</v>
      </c>
      <c r="N219" s="35" t="s">
        <v>226</v>
      </c>
      <c r="O219" s="15">
        <v>3</v>
      </c>
      <c r="P219" s="35" t="s">
        <v>457</v>
      </c>
      <c r="Q219" s="15"/>
      <c r="R219" s="24"/>
      <c r="S219" s="62" t="s">
        <v>784</v>
      </c>
      <c r="T219" s="15"/>
      <c r="U219" s="15"/>
      <c r="V219" s="54">
        <v>1250000</v>
      </c>
      <c r="W219" s="54">
        <v>1068000</v>
      </c>
      <c r="X219" s="54">
        <v>182000</v>
      </c>
    </row>
    <row r="220" spans="3:24" x14ac:dyDescent="0.25">
      <c r="C220" s="39">
        <v>2017</v>
      </c>
      <c r="D220" s="62" t="s">
        <v>1084</v>
      </c>
      <c r="E220" s="63" t="s">
        <v>1085</v>
      </c>
      <c r="F220" s="64">
        <v>43004</v>
      </c>
      <c r="G220" s="65" t="s">
        <v>190</v>
      </c>
      <c r="H220" s="94">
        <v>189900000</v>
      </c>
      <c r="I220" s="27">
        <v>154487000</v>
      </c>
      <c r="J220" s="27" t="s">
        <v>519</v>
      </c>
      <c r="K220" s="26">
        <v>-0.18648235913638758</v>
      </c>
      <c r="L220" s="11" t="s">
        <v>464</v>
      </c>
      <c r="M220" s="15">
        <v>5</v>
      </c>
      <c r="N220" s="35" t="s">
        <v>93</v>
      </c>
      <c r="O220" s="15">
        <v>3</v>
      </c>
      <c r="P220" s="35" t="s">
        <v>457</v>
      </c>
      <c r="Q220" s="15"/>
      <c r="R220" s="24"/>
      <c r="S220" s="62" t="s">
        <v>816</v>
      </c>
      <c r="T220" s="15"/>
      <c r="U220" s="15"/>
      <c r="V220" s="54">
        <v>189900000</v>
      </c>
      <c r="W220" s="54">
        <v>154487000</v>
      </c>
      <c r="X220" s="54">
        <v>35413000</v>
      </c>
    </row>
    <row r="221" spans="3:24" x14ac:dyDescent="0.25">
      <c r="C221" s="39">
        <v>2017</v>
      </c>
      <c r="D221" s="62" t="s">
        <v>1070</v>
      </c>
      <c r="E221" s="63" t="s">
        <v>1071</v>
      </c>
      <c r="F221" s="64">
        <v>42997</v>
      </c>
      <c r="G221" s="65" t="s">
        <v>34</v>
      </c>
      <c r="H221" s="94">
        <v>1326000</v>
      </c>
      <c r="I221" s="27">
        <v>1976491</v>
      </c>
      <c r="J221" s="27"/>
      <c r="K221" s="26">
        <v>0.49056636500754147</v>
      </c>
      <c r="L221" s="11" t="s">
        <v>465</v>
      </c>
      <c r="M221" s="15">
        <v>4</v>
      </c>
      <c r="N221" s="35" t="s">
        <v>25</v>
      </c>
      <c r="O221" s="15">
        <v>3</v>
      </c>
      <c r="P221" s="35" t="s">
        <v>457</v>
      </c>
      <c r="Q221" s="15"/>
      <c r="R221" s="24"/>
      <c r="S221" s="62" t="s">
        <v>784</v>
      </c>
      <c r="T221" s="15"/>
      <c r="U221" s="15"/>
      <c r="V221" s="54">
        <v>1326000</v>
      </c>
      <c r="W221" s="54">
        <v>1976491</v>
      </c>
      <c r="X221" s="54">
        <v>-650491</v>
      </c>
    </row>
    <row r="222" spans="3:24" x14ac:dyDescent="0.25">
      <c r="C222" s="39">
        <v>2017</v>
      </c>
      <c r="D222" s="62" t="s">
        <v>1049</v>
      </c>
      <c r="E222" s="63" t="s">
        <v>1050</v>
      </c>
      <c r="F222" s="64">
        <v>42942</v>
      </c>
      <c r="G222" s="65" t="s">
        <v>34</v>
      </c>
      <c r="H222" s="94">
        <v>700000</v>
      </c>
      <c r="I222" s="27">
        <v>614770</v>
      </c>
      <c r="J222" s="27"/>
      <c r="K222" s="26">
        <v>-0.12175714285714286</v>
      </c>
      <c r="L222" s="11" t="s">
        <v>464</v>
      </c>
      <c r="M222" s="15">
        <v>2</v>
      </c>
      <c r="N222" s="35" t="s">
        <v>93</v>
      </c>
      <c r="O222" s="15">
        <v>3</v>
      </c>
      <c r="P222" s="35" t="s">
        <v>457</v>
      </c>
      <c r="Q222" s="15"/>
      <c r="R222" s="24"/>
      <c r="S222" s="62" t="s">
        <v>536</v>
      </c>
      <c r="T222" s="15"/>
      <c r="U222" s="15"/>
      <c r="V222" s="54">
        <v>700000</v>
      </c>
      <c r="W222" s="54">
        <v>614770</v>
      </c>
      <c r="X222" s="54">
        <v>85230</v>
      </c>
    </row>
    <row r="223" spans="3:24" x14ac:dyDescent="0.25">
      <c r="C223" s="39">
        <v>2017</v>
      </c>
      <c r="D223" s="62" t="s">
        <v>1021</v>
      </c>
      <c r="E223" s="63" t="s">
        <v>1022</v>
      </c>
      <c r="F223" s="64">
        <v>42892</v>
      </c>
      <c r="G223" s="65" t="s">
        <v>34</v>
      </c>
      <c r="H223" s="94">
        <v>771000</v>
      </c>
      <c r="I223" s="27">
        <v>946600</v>
      </c>
      <c r="J223" s="27"/>
      <c r="K223" s="26">
        <v>0.22775616083009079</v>
      </c>
      <c r="L223" s="11" t="s">
        <v>465</v>
      </c>
      <c r="M223" s="15">
        <v>2</v>
      </c>
      <c r="N223" s="35" t="s">
        <v>25</v>
      </c>
      <c r="O223" s="15">
        <v>2</v>
      </c>
      <c r="P223" s="35" t="s">
        <v>457</v>
      </c>
      <c r="Q223" s="15"/>
      <c r="R223" s="24"/>
      <c r="S223" s="62" t="s">
        <v>630</v>
      </c>
      <c r="T223" s="15"/>
      <c r="U223" s="15"/>
      <c r="V223" s="54">
        <v>771000</v>
      </c>
      <c r="W223" s="54">
        <v>946600</v>
      </c>
      <c r="X223" s="54">
        <v>-175600</v>
      </c>
    </row>
    <row r="224" spans="3:24" x14ac:dyDescent="0.25">
      <c r="C224" s="39">
        <v>2017</v>
      </c>
      <c r="D224" s="62" t="s">
        <v>995</v>
      </c>
      <c r="E224" s="63" t="s">
        <v>632</v>
      </c>
      <c r="F224" s="64">
        <v>42851</v>
      </c>
      <c r="G224" s="65" t="s">
        <v>190</v>
      </c>
      <c r="H224" s="94">
        <v>3589000</v>
      </c>
      <c r="I224" s="27">
        <v>3875045</v>
      </c>
      <c r="J224" s="27"/>
      <c r="K224" s="26">
        <v>7.9700473669545829E-2</v>
      </c>
      <c r="L224" s="11" t="s">
        <v>464</v>
      </c>
      <c r="M224" s="15">
        <v>3</v>
      </c>
      <c r="N224" s="35" t="s">
        <v>93</v>
      </c>
      <c r="O224" s="15">
        <v>2</v>
      </c>
      <c r="P224" s="35" t="s">
        <v>457</v>
      </c>
      <c r="Q224" s="15"/>
      <c r="R224" s="24"/>
      <c r="S224" s="62" t="s">
        <v>447</v>
      </c>
      <c r="T224" s="15"/>
      <c r="U224" s="15"/>
      <c r="V224" s="54">
        <v>3589000</v>
      </c>
      <c r="W224" s="54">
        <v>3875045</v>
      </c>
      <c r="X224" s="54">
        <v>-286045</v>
      </c>
    </row>
    <row r="225" spans="3:24" x14ac:dyDescent="0.25">
      <c r="C225" s="39">
        <v>2017</v>
      </c>
      <c r="D225" s="62" t="s">
        <v>991</v>
      </c>
      <c r="E225" s="63" t="s">
        <v>992</v>
      </c>
      <c r="F225" s="64">
        <v>42846</v>
      </c>
      <c r="G225" s="65" t="s">
        <v>34</v>
      </c>
      <c r="H225" s="94">
        <v>2060000</v>
      </c>
      <c r="I225" s="27">
        <v>2614625</v>
      </c>
      <c r="J225" s="27"/>
      <c r="K225" s="26">
        <v>0.26923543689320389</v>
      </c>
      <c r="L225" s="11" t="s">
        <v>465</v>
      </c>
      <c r="M225" s="15">
        <v>5</v>
      </c>
      <c r="N225" s="35" t="s">
        <v>226</v>
      </c>
      <c r="O225" s="15">
        <v>2</v>
      </c>
      <c r="P225" s="35" t="s">
        <v>457</v>
      </c>
      <c r="Q225" s="15"/>
      <c r="R225" s="24"/>
      <c r="S225" s="62" t="s">
        <v>630</v>
      </c>
      <c r="T225" s="15"/>
      <c r="U225" s="15"/>
      <c r="V225" s="54">
        <v>2060000</v>
      </c>
      <c r="W225" s="54">
        <v>2614625</v>
      </c>
      <c r="X225" s="54">
        <v>-554625</v>
      </c>
    </row>
    <row r="226" spans="3:24" x14ac:dyDescent="0.25">
      <c r="C226" s="39">
        <v>2017</v>
      </c>
      <c r="D226" s="62" t="s">
        <v>966</v>
      </c>
      <c r="E226" s="63" t="s">
        <v>967</v>
      </c>
      <c r="F226" s="64">
        <v>42823</v>
      </c>
      <c r="G226" s="65" t="s">
        <v>34</v>
      </c>
      <c r="H226" s="27">
        <v>3700000</v>
      </c>
      <c r="I226" s="27">
        <v>2490000</v>
      </c>
      <c r="J226" s="27">
        <v>3185240</v>
      </c>
      <c r="K226" s="26">
        <v>-0.32702702702702702</v>
      </c>
      <c r="L226" s="11" t="s">
        <v>464</v>
      </c>
      <c r="M226" s="15">
        <v>7</v>
      </c>
      <c r="N226" s="35" t="s">
        <v>93</v>
      </c>
      <c r="O226" s="15">
        <v>1</v>
      </c>
      <c r="P226" s="35" t="s">
        <v>457</v>
      </c>
      <c r="Q226" s="15"/>
      <c r="R226" s="24" t="s">
        <v>976</v>
      </c>
      <c r="S226" s="62" t="s">
        <v>630</v>
      </c>
      <c r="T226" s="15"/>
      <c r="U226" s="15"/>
      <c r="V226" s="54">
        <v>3700000</v>
      </c>
      <c r="W226" s="54">
        <v>2490000</v>
      </c>
      <c r="X226" s="54">
        <v>1210000</v>
      </c>
    </row>
    <row r="227" spans="3:24" x14ac:dyDescent="0.25">
      <c r="C227" s="39">
        <v>2017</v>
      </c>
      <c r="D227" s="62" t="s">
        <v>941</v>
      </c>
      <c r="E227" s="63" t="s">
        <v>940</v>
      </c>
      <c r="F227" s="64">
        <v>42789</v>
      </c>
      <c r="G227" s="65" t="s">
        <v>693</v>
      </c>
      <c r="H227" s="27">
        <v>240000</v>
      </c>
      <c r="I227" s="27">
        <v>97300</v>
      </c>
      <c r="J227" s="27"/>
      <c r="K227" s="26">
        <v>-0.59458333333333335</v>
      </c>
      <c r="L227" s="11" t="s">
        <v>465</v>
      </c>
      <c r="M227" s="15">
        <v>6</v>
      </c>
      <c r="N227" s="35" t="s">
        <v>25</v>
      </c>
      <c r="O227" s="15">
        <v>1</v>
      </c>
      <c r="P227" s="35" t="s">
        <v>457</v>
      </c>
      <c r="Q227" s="15"/>
      <c r="R227" s="24"/>
      <c r="S227" s="62" t="s">
        <v>630</v>
      </c>
      <c r="T227" s="15"/>
      <c r="U227" s="15"/>
      <c r="V227" s="54">
        <v>240000</v>
      </c>
      <c r="W227" s="54">
        <v>97300</v>
      </c>
      <c r="X227" s="54">
        <v>142700</v>
      </c>
    </row>
    <row r="228" spans="3:24" x14ac:dyDescent="0.25">
      <c r="C228" s="39">
        <v>2017</v>
      </c>
      <c r="D228" s="62" t="s">
        <v>912</v>
      </c>
      <c r="E228" s="63" t="s">
        <v>935</v>
      </c>
      <c r="F228" s="64">
        <v>42789</v>
      </c>
      <c r="G228" s="65" t="s">
        <v>190</v>
      </c>
      <c r="H228" s="94">
        <v>479900000</v>
      </c>
      <c r="I228" s="27">
        <v>451841280</v>
      </c>
      <c r="J228" s="27" t="s">
        <v>519</v>
      </c>
      <c r="K228" s="26">
        <v>-5.8467847468222547E-2</v>
      </c>
      <c r="L228" s="11" t="s">
        <v>464</v>
      </c>
      <c r="M228" s="15">
        <v>5</v>
      </c>
      <c r="N228" s="35" t="s">
        <v>226</v>
      </c>
      <c r="O228" s="15">
        <v>1</v>
      </c>
      <c r="P228" s="35" t="s">
        <v>457</v>
      </c>
      <c r="Q228" s="15"/>
      <c r="R228" s="24"/>
      <c r="S228" s="62" t="s">
        <v>630</v>
      </c>
      <c r="T228" s="15"/>
      <c r="U228" s="15"/>
      <c r="V228" s="54">
        <v>479900000</v>
      </c>
      <c r="W228" s="54">
        <v>451841280</v>
      </c>
      <c r="X228" s="54">
        <v>28058720</v>
      </c>
    </row>
    <row r="229" spans="3:24" x14ac:dyDescent="0.25">
      <c r="C229" s="39">
        <v>2017</v>
      </c>
      <c r="D229" s="62" t="s">
        <v>898</v>
      </c>
      <c r="E229" s="63" t="s">
        <v>717</v>
      </c>
      <c r="F229" s="64">
        <v>42773</v>
      </c>
      <c r="G229" s="65" t="s">
        <v>190</v>
      </c>
      <c r="H229" s="94">
        <v>1965000</v>
      </c>
      <c r="I229" s="27">
        <v>1450000</v>
      </c>
      <c r="J229" s="27"/>
      <c r="K229" s="26">
        <v>-0.26208651399491095</v>
      </c>
      <c r="L229" s="11" t="s">
        <v>464</v>
      </c>
      <c r="M229" s="15">
        <v>6</v>
      </c>
      <c r="N229" s="35" t="s">
        <v>226</v>
      </c>
      <c r="O229" s="15">
        <v>1</v>
      </c>
      <c r="P229" s="35" t="s">
        <v>457</v>
      </c>
      <c r="Q229" s="15"/>
      <c r="R229" s="24" t="s">
        <v>900</v>
      </c>
      <c r="S229" s="62" t="s">
        <v>630</v>
      </c>
      <c r="T229" s="15"/>
      <c r="U229" s="15"/>
      <c r="V229" s="54">
        <v>1965000</v>
      </c>
      <c r="W229" s="54">
        <v>1450000</v>
      </c>
      <c r="X229" s="54">
        <v>515000</v>
      </c>
    </row>
    <row r="230" spans="3:24" x14ac:dyDescent="0.25">
      <c r="C230" s="39">
        <v>2017</v>
      </c>
      <c r="D230" s="62" t="s">
        <v>857</v>
      </c>
      <c r="E230" s="63" t="s">
        <v>858</v>
      </c>
      <c r="F230" s="64">
        <v>42753</v>
      </c>
      <c r="G230" s="65" t="s">
        <v>693</v>
      </c>
      <c r="H230" s="94">
        <v>1410000</v>
      </c>
      <c r="I230" s="27">
        <v>1399756</v>
      </c>
      <c r="J230" s="27"/>
      <c r="K230" s="26">
        <v>-7.2652482269503545E-3</v>
      </c>
      <c r="L230" s="11" t="s">
        <v>464</v>
      </c>
      <c r="M230" s="15">
        <v>3</v>
      </c>
      <c r="N230" s="35" t="s">
        <v>25</v>
      </c>
      <c r="O230" s="15">
        <v>1</v>
      </c>
      <c r="P230" s="35" t="s">
        <v>457</v>
      </c>
      <c r="Q230" s="15"/>
      <c r="R230" s="24"/>
      <c r="S230" s="62" t="s">
        <v>630</v>
      </c>
      <c r="T230" s="15"/>
      <c r="U230" s="15"/>
      <c r="V230" s="54">
        <v>1410000</v>
      </c>
      <c r="W230" s="54">
        <v>1399756</v>
      </c>
      <c r="X230" s="54">
        <v>10244</v>
      </c>
    </row>
    <row r="231" spans="3:24" x14ac:dyDescent="0.25">
      <c r="C231" s="39"/>
      <c r="E231" s="85"/>
      <c r="F231" s="85"/>
      <c r="G231" s="85"/>
      <c r="H231" s="86">
        <f>SUM(H214:H230)</f>
        <v>708465000</v>
      </c>
      <c r="I231" s="86">
        <f>SUM(I214:I230)</f>
        <v>651318345</v>
      </c>
      <c r="J231" s="85"/>
      <c r="K231" s="87">
        <f>+I231/H231</f>
        <v>0.91933736317249259</v>
      </c>
      <c r="L231" s="85">
        <f>COUNTA(L214:L230)</f>
        <v>17</v>
      </c>
      <c r="M231" s="88">
        <f>SUM(M214:M230)/L231</f>
        <v>4.4705882352941178</v>
      </c>
      <c r="N231" s="89"/>
      <c r="O231" s="85"/>
      <c r="P231" s="119">
        <f>10/L231</f>
        <v>0.58823529411764708</v>
      </c>
      <c r="Q231" s="85"/>
    </row>
    <row r="232" spans="3:24" x14ac:dyDescent="0.25">
      <c r="C232" s="39"/>
    </row>
    <row r="233" spans="3:24" x14ac:dyDescent="0.25">
      <c r="C233" s="39"/>
      <c r="E233" s="126" t="s">
        <v>1170</v>
      </c>
      <c r="F233" s="70" t="str">
        <f>"'15 final"</f>
        <v>'15 final</v>
      </c>
      <c r="G233" s="70" t="str">
        <f>"'16 final"</f>
        <v>'16 final</v>
      </c>
      <c r="H233" s="121" t="str">
        <f>"'17 final"</f>
        <v>'17 final</v>
      </c>
      <c r="P233" s="11"/>
    </row>
    <row r="234" spans="3:24" x14ac:dyDescent="0.25">
      <c r="C234" s="39"/>
      <c r="E234" s="71" t="s">
        <v>800</v>
      </c>
      <c r="F234" s="11">
        <v>9</v>
      </c>
      <c r="G234" s="11">
        <v>13</v>
      </c>
      <c r="H234" s="104">
        <f>+L231</f>
        <v>17</v>
      </c>
      <c r="P234" s="11"/>
    </row>
    <row r="235" spans="3:24" x14ac:dyDescent="0.25">
      <c r="C235" s="39"/>
      <c r="E235" s="72" t="s">
        <v>801</v>
      </c>
      <c r="F235" s="11">
        <v>6</v>
      </c>
      <c r="G235" s="11">
        <v>11</v>
      </c>
      <c r="H235" s="104">
        <f>+H234-H236</f>
        <v>14</v>
      </c>
      <c r="P235" s="11"/>
    </row>
    <row r="236" spans="3:24" x14ac:dyDescent="0.25">
      <c r="C236" s="39"/>
      <c r="E236" s="72" t="s">
        <v>802</v>
      </c>
      <c r="F236" s="11">
        <v>3</v>
      </c>
      <c r="G236" s="11">
        <v>2</v>
      </c>
      <c r="H236" s="104">
        <v>3</v>
      </c>
      <c r="P236" s="11"/>
    </row>
    <row r="237" spans="3:24" x14ac:dyDescent="0.25">
      <c r="C237" s="39"/>
      <c r="E237" s="72"/>
      <c r="F237" s="11"/>
      <c r="G237" s="11"/>
      <c r="H237" s="104"/>
      <c r="P237" s="11"/>
    </row>
    <row r="238" spans="3:24" x14ac:dyDescent="0.25">
      <c r="C238" s="39"/>
      <c r="E238" s="72" t="s">
        <v>1144</v>
      </c>
      <c r="F238" s="78">
        <v>38</v>
      </c>
      <c r="G238" s="78">
        <v>121</v>
      </c>
      <c r="H238" s="122">
        <f>+I231/1000000</f>
        <v>651.31834500000002</v>
      </c>
      <c r="P238" s="11"/>
    </row>
    <row r="239" spans="3:24" x14ac:dyDescent="0.25">
      <c r="C239" s="39"/>
      <c r="E239" s="72" t="s">
        <v>806</v>
      </c>
      <c r="F239" s="75">
        <v>5</v>
      </c>
      <c r="G239" s="75">
        <v>5.9</v>
      </c>
      <c r="H239" s="123">
        <f>+M231</f>
        <v>4.4705882352941178</v>
      </c>
      <c r="P239" s="11"/>
    </row>
    <row r="240" spans="3:24" x14ac:dyDescent="0.25">
      <c r="C240" s="39"/>
      <c r="E240" s="72" t="s">
        <v>807</v>
      </c>
      <c r="F240" s="74">
        <v>1.016</v>
      </c>
      <c r="G240" s="74">
        <v>0.78800000000000003</v>
      </c>
      <c r="H240" s="124">
        <f>+I231/H231</f>
        <v>0.91933736317249259</v>
      </c>
      <c r="P240" s="11"/>
    </row>
    <row r="241" spans="3:24" x14ac:dyDescent="0.25">
      <c r="C241" s="39"/>
      <c r="E241" s="72"/>
      <c r="F241" s="11"/>
      <c r="G241" s="11"/>
      <c r="H241" s="104"/>
      <c r="P241" s="11"/>
    </row>
    <row r="242" spans="3:24" x14ac:dyDescent="0.25">
      <c r="C242" s="39"/>
      <c r="E242" s="72" t="s">
        <v>803</v>
      </c>
      <c r="F242" s="74">
        <f>3/9</f>
        <v>0.33333333333333331</v>
      </c>
      <c r="G242" s="74">
        <f>7/13</f>
        <v>0.53846153846153844</v>
      </c>
      <c r="H242" s="108">
        <f>+P231</f>
        <v>0.58823529411764708</v>
      </c>
      <c r="P242" s="11"/>
    </row>
    <row r="243" spans="3:24" x14ac:dyDescent="0.25">
      <c r="C243" s="107"/>
      <c r="D243" s="52"/>
      <c r="E243" s="72" t="s">
        <v>804</v>
      </c>
      <c r="F243" s="74">
        <f>1/6</f>
        <v>0.16666666666666666</v>
      </c>
      <c r="G243" s="74">
        <f>6/11</f>
        <v>0.54545454545454541</v>
      </c>
      <c r="H243" s="108">
        <f>8/H235</f>
        <v>0.5714285714285714</v>
      </c>
      <c r="P243" s="11"/>
    </row>
    <row r="244" spans="3:24" x14ac:dyDescent="0.25">
      <c r="C244" s="107"/>
      <c r="D244" s="52"/>
      <c r="E244" s="72" t="s">
        <v>805</v>
      </c>
      <c r="F244" s="74">
        <f>2/3</f>
        <v>0.66666666666666663</v>
      </c>
      <c r="G244" s="74">
        <v>0.5</v>
      </c>
      <c r="H244" s="108">
        <f>2/H236</f>
        <v>0.66666666666666663</v>
      </c>
      <c r="P244" s="11"/>
    </row>
    <row r="245" spans="3:24" x14ac:dyDescent="0.25">
      <c r="C245" s="39"/>
      <c r="E245" s="72"/>
      <c r="F245" s="11"/>
      <c r="G245" s="11"/>
      <c r="H245" s="104"/>
      <c r="P245" s="11"/>
    </row>
    <row r="246" spans="3:24" x14ac:dyDescent="0.25">
      <c r="C246" s="39"/>
      <c r="E246" s="72" t="s">
        <v>1141</v>
      </c>
      <c r="F246" s="11">
        <v>3</v>
      </c>
      <c r="G246" s="11">
        <v>4</v>
      </c>
      <c r="H246" s="104">
        <v>5</v>
      </c>
    </row>
    <row r="247" spans="3:24" x14ac:dyDescent="0.25">
      <c r="E247" s="106" t="s">
        <v>1143</v>
      </c>
      <c r="F247" s="108">
        <f>+F246/F234</f>
        <v>0.33333333333333331</v>
      </c>
      <c r="G247" s="108">
        <f>+G246/G234</f>
        <v>0.30769230769230771</v>
      </c>
      <c r="H247" s="108">
        <f>+H246/H234</f>
        <v>0.29411764705882354</v>
      </c>
    </row>
    <row r="248" spans="3:24" x14ac:dyDescent="0.25">
      <c r="C248" s="39"/>
      <c r="E248" s="72" t="s">
        <v>1142</v>
      </c>
      <c r="F248" s="11">
        <v>1</v>
      </c>
      <c r="G248" s="11">
        <v>2</v>
      </c>
      <c r="H248" s="104">
        <v>0</v>
      </c>
    </row>
    <row r="249" spans="3:24" x14ac:dyDescent="0.25">
      <c r="C249" s="39"/>
      <c r="E249" s="106" t="s">
        <v>1169</v>
      </c>
      <c r="F249" s="108">
        <f t="shared" ref="F249" si="15">+F248/F234</f>
        <v>0.1111111111111111</v>
      </c>
      <c r="G249" s="108">
        <f t="shared" ref="G249" si="16">+G248/G234</f>
        <v>0.15384615384615385</v>
      </c>
      <c r="H249" s="108">
        <f>+H248/H234</f>
        <v>0</v>
      </c>
    </row>
    <row r="250" spans="3:24" x14ac:dyDescent="0.25">
      <c r="C250" s="39"/>
    </row>
    <row r="251" spans="3:24" x14ac:dyDescent="0.25">
      <c r="C251" s="39"/>
    </row>
    <row r="252" spans="3:24" x14ac:dyDescent="0.25">
      <c r="C252" s="39"/>
    </row>
    <row r="253" spans="3:24" x14ac:dyDescent="0.25">
      <c r="C253" s="39">
        <v>2017</v>
      </c>
      <c r="D253" s="102" t="s">
        <v>1150</v>
      </c>
      <c r="E253" s="63" t="s">
        <v>1151</v>
      </c>
      <c r="F253" s="64">
        <v>43083</v>
      </c>
      <c r="G253" s="65" t="s">
        <v>693</v>
      </c>
      <c r="H253" s="94">
        <v>979000</v>
      </c>
      <c r="I253" s="27">
        <v>1168000</v>
      </c>
      <c r="J253" s="27"/>
      <c r="K253" s="26">
        <v>0.1930541368743616</v>
      </c>
      <c r="L253" s="11" t="s">
        <v>465</v>
      </c>
      <c r="M253" s="15">
        <v>2</v>
      </c>
      <c r="N253" s="35" t="s">
        <v>25</v>
      </c>
      <c r="O253" s="15">
        <v>4</v>
      </c>
      <c r="P253" s="35" t="s">
        <v>458</v>
      </c>
      <c r="Q253" s="15"/>
      <c r="R253" s="24"/>
      <c r="S253" s="62" t="s">
        <v>784</v>
      </c>
      <c r="T253" s="15"/>
      <c r="U253" s="15"/>
      <c r="V253" s="54">
        <v>979000</v>
      </c>
      <c r="W253" s="54">
        <v>1168000</v>
      </c>
      <c r="X253" s="54">
        <v>-189000</v>
      </c>
    </row>
    <row r="254" spans="3:24" x14ac:dyDescent="0.25">
      <c r="C254" s="39">
        <v>2017</v>
      </c>
      <c r="D254" s="102" t="s">
        <v>1145</v>
      </c>
      <c r="E254" s="63" t="s">
        <v>1146</v>
      </c>
      <c r="F254" s="64">
        <v>43083</v>
      </c>
      <c r="G254" s="65" t="s">
        <v>190</v>
      </c>
      <c r="H254" s="94">
        <v>4872000</v>
      </c>
      <c r="I254" s="27">
        <v>3997350</v>
      </c>
      <c r="J254" s="27"/>
      <c r="K254" s="26">
        <v>-0.17952586206896551</v>
      </c>
      <c r="L254" s="11" t="s">
        <v>464</v>
      </c>
      <c r="M254" s="15">
        <v>5</v>
      </c>
      <c r="N254" s="35" t="s">
        <v>93</v>
      </c>
      <c r="O254" s="15">
        <v>4</v>
      </c>
      <c r="P254" s="35" t="s">
        <v>458</v>
      </c>
      <c r="Q254" s="15"/>
      <c r="R254" s="24"/>
      <c r="S254" s="62" t="s">
        <v>784</v>
      </c>
      <c r="T254" s="15"/>
      <c r="U254" s="15"/>
      <c r="V254" s="54">
        <v>4872000</v>
      </c>
      <c r="W254" s="54">
        <v>3997350</v>
      </c>
      <c r="X254" s="54">
        <v>874650</v>
      </c>
    </row>
    <row r="255" spans="3:24" x14ac:dyDescent="0.25">
      <c r="C255" s="39">
        <v>2017</v>
      </c>
      <c r="D255" s="102" t="s">
        <v>1136</v>
      </c>
      <c r="E255" s="63" t="s">
        <v>1137</v>
      </c>
      <c r="F255" s="64">
        <v>43074</v>
      </c>
      <c r="G255" s="65" t="s">
        <v>34</v>
      </c>
      <c r="H255" s="94">
        <v>1530000</v>
      </c>
      <c r="I255" s="27">
        <v>1189000</v>
      </c>
      <c r="J255" s="27"/>
      <c r="K255" s="26">
        <v>-0.22287581699346407</v>
      </c>
      <c r="L255" s="11" t="s">
        <v>464</v>
      </c>
      <c r="M255" s="15">
        <v>3</v>
      </c>
      <c r="N255" s="35" t="s">
        <v>25</v>
      </c>
      <c r="O255" s="15">
        <v>4</v>
      </c>
      <c r="P255" s="35" t="s">
        <v>458</v>
      </c>
      <c r="Q255" s="15"/>
      <c r="R255" s="24"/>
      <c r="S255" s="62" t="s">
        <v>616</v>
      </c>
      <c r="T255" s="15"/>
      <c r="U255" s="15"/>
      <c r="V255" s="54">
        <v>1530000</v>
      </c>
      <c r="W255" s="54">
        <v>1189000</v>
      </c>
      <c r="X255" s="54">
        <v>341000</v>
      </c>
    </row>
    <row r="256" spans="3:24" x14ac:dyDescent="0.25">
      <c r="C256" s="39">
        <v>2017</v>
      </c>
      <c r="D256" s="102" t="s">
        <v>1135</v>
      </c>
      <c r="E256" s="63" t="s">
        <v>982</v>
      </c>
      <c r="F256" s="64">
        <v>43074</v>
      </c>
      <c r="G256" s="65" t="s">
        <v>34</v>
      </c>
      <c r="H256" s="94">
        <v>38000000</v>
      </c>
      <c r="I256" s="27">
        <f>$I$12</f>
        <v>28470000</v>
      </c>
      <c r="J256" s="27"/>
      <c r="K256" s="26">
        <f>+$K$12</f>
        <v>-0.25078947368421051</v>
      </c>
      <c r="L256" s="78" t="str">
        <f>+$L$12</f>
        <v>GOOD</v>
      </c>
      <c r="M256" s="15">
        <f>+$M$12</f>
        <v>4</v>
      </c>
      <c r="N256" s="35" t="s">
        <v>93</v>
      </c>
      <c r="O256" s="15">
        <v>4</v>
      </c>
      <c r="P256" s="35" t="s">
        <v>458</v>
      </c>
      <c r="Q256" s="15"/>
      <c r="R256" s="24" t="str">
        <f>+$R$12</f>
        <v>1st and 2nd bidders disqualified.</v>
      </c>
      <c r="S256" s="62" t="s">
        <v>616</v>
      </c>
      <c r="T256" s="15"/>
      <c r="U256" s="15"/>
      <c r="V256" s="54">
        <v>38000000</v>
      </c>
      <c r="W256" s="54">
        <v>19988800</v>
      </c>
      <c r="X256" s="54">
        <v>18011200</v>
      </c>
    </row>
    <row r="257" spans="3:24" x14ac:dyDescent="0.25">
      <c r="C257" s="39">
        <v>2017</v>
      </c>
      <c r="D257" s="102" t="s">
        <v>1129</v>
      </c>
      <c r="E257" s="63" t="s">
        <v>1130</v>
      </c>
      <c r="F257" s="64">
        <v>43068</v>
      </c>
      <c r="G257" s="65" t="s">
        <v>34</v>
      </c>
      <c r="H257" s="94">
        <v>6600000</v>
      </c>
      <c r="I257" s="27">
        <v>5189333</v>
      </c>
      <c r="J257" s="27" t="s">
        <v>519</v>
      </c>
      <c r="K257" s="26">
        <v>-0.21373742424242423</v>
      </c>
      <c r="L257" s="11" t="s">
        <v>464</v>
      </c>
      <c r="M257" s="15">
        <v>7</v>
      </c>
      <c r="N257" s="35" t="s">
        <v>25</v>
      </c>
      <c r="O257" s="15">
        <v>4</v>
      </c>
      <c r="P257" s="35" t="s">
        <v>458</v>
      </c>
      <c r="Q257" s="15"/>
      <c r="R257" s="24"/>
      <c r="S257" s="62" t="s">
        <v>616</v>
      </c>
      <c r="T257" s="15"/>
      <c r="U257" s="15"/>
      <c r="V257" s="54">
        <v>6600000</v>
      </c>
      <c r="W257" s="54">
        <v>5189333</v>
      </c>
      <c r="X257" s="54">
        <v>1410667</v>
      </c>
    </row>
    <row r="258" spans="3:24" x14ac:dyDescent="0.25">
      <c r="C258" s="39">
        <v>2017</v>
      </c>
      <c r="D258" s="62" t="s">
        <v>1124</v>
      </c>
      <c r="E258" s="63" t="s">
        <v>1125</v>
      </c>
      <c r="F258" s="64">
        <v>43053</v>
      </c>
      <c r="G258" s="65" t="s">
        <v>693</v>
      </c>
      <c r="H258" s="94">
        <v>820000</v>
      </c>
      <c r="I258" s="27">
        <v>861500</v>
      </c>
      <c r="J258" s="27"/>
      <c r="K258" s="26">
        <v>5.0609756097560979E-2</v>
      </c>
      <c r="L258" s="11" t="s">
        <v>464</v>
      </c>
      <c r="M258" s="15">
        <v>4</v>
      </c>
      <c r="N258" s="35" t="s">
        <v>25</v>
      </c>
      <c r="O258" s="15">
        <v>4</v>
      </c>
      <c r="P258" s="35" t="s">
        <v>458</v>
      </c>
      <c r="Q258" s="15"/>
      <c r="R258" s="24"/>
      <c r="S258" s="62" t="s">
        <v>616</v>
      </c>
      <c r="T258" s="15"/>
      <c r="U258" s="15"/>
      <c r="V258" s="54">
        <v>820000</v>
      </c>
      <c r="W258" s="54">
        <v>861500</v>
      </c>
      <c r="X258" s="54">
        <v>-41500</v>
      </c>
    </row>
    <row r="259" spans="3:24" x14ac:dyDescent="0.25">
      <c r="C259" s="39">
        <v>2017</v>
      </c>
      <c r="D259" s="62" t="s">
        <v>1116</v>
      </c>
      <c r="E259" s="63" t="s">
        <v>1117</v>
      </c>
      <c r="F259" s="64">
        <v>43047</v>
      </c>
      <c r="G259" s="65" t="s">
        <v>190</v>
      </c>
      <c r="H259" s="94">
        <v>26900000</v>
      </c>
      <c r="I259" s="27">
        <v>26600000</v>
      </c>
      <c r="J259" s="27" t="s">
        <v>519</v>
      </c>
      <c r="K259" s="26">
        <v>-1.1152416356877323E-2</v>
      </c>
      <c r="L259" s="11" t="s">
        <v>464</v>
      </c>
      <c r="M259" s="15">
        <v>3</v>
      </c>
      <c r="N259" s="35" t="s">
        <v>25</v>
      </c>
      <c r="O259" s="15">
        <v>4</v>
      </c>
      <c r="P259" s="35" t="s">
        <v>458</v>
      </c>
      <c r="Q259" s="15"/>
      <c r="R259" s="24"/>
      <c r="S259" s="62" t="s">
        <v>616</v>
      </c>
      <c r="T259" s="15"/>
      <c r="U259" s="15"/>
      <c r="V259" s="54">
        <v>26900000</v>
      </c>
      <c r="W259" s="54">
        <v>26600000</v>
      </c>
      <c r="X259" s="54">
        <v>300000</v>
      </c>
    </row>
    <row r="260" spans="3:24" x14ac:dyDescent="0.25">
      <c r="C260" s="39">
        <v>2017</v>
      </c>
      <c r="D260" s="62" t="s">
        <v>1101</v>
      </c>
      <c r="E260" s="63" t="s">
        <v>1102</v>
      </c>
      <c r="F260" s="64">
        <v>43025</v>
      </c>
      <c r="G260" s="65" t="s">
        <v>34</v>
      </c>
      <c r="H260" s="94">
        <v>2800000</v>
      </c>
      <c r="I260" s="27">
        <v>2847000</v>
      </c>
      <c r="J260" s="27"/>
      <c r="K260" s="26">
        <v>1.6785714285714286E-2</v>
      </c>
      <c r="L260" s="11" t="s">
        <v>464</v>
      </c>
      <c r="M260" s="15">
        <v>9</v>
      </c>
      <c r="N260" s="35" t="s">
        <v>93</v>
      </c>
      <c r="O260" s="15">
        <v>4</v>
      </c>
      <c r="P260" s="35" t="s">
        <v>458</v>
      </c>
      <c r="Q260" s="15"/>
      <c r="R260" s="24"/>
      <c r="S260" s="62" t="s">
        <v>616</v>
      </c>
      <c r="T260" s="15"/>
      <c r="U260" s="15"/>
      <c r="V260" s="54">
        <v>2800000</v>
      </c>
      <c r="W260" s="54">
        <v>2847000</v>
      </c>
      <c r="X260" s="54">
        <v>-47000</v>
      </c>
    </row>
    <row r="261" spans="3:24" x14ac:dyDescent="0.25">
      <c r="C261" s="39">
        <v>2017</v>
      </c>
      <c r="D261" s="62" t="s">
        <v>1099</v>
      </c>
      <c r="E261" s="63" t="s">
        <v>1100</v>
      </c>
      <c r="F261" s="64">
        <v>43025</v>
      </c>
      <c r="G261" s="65" t="s">
        <v>34</v>
      </c>
      <c r="H261" s="94">
        <v>3000000</v>
      </c>
      <c r="I261" s="27">
        <v>2812500</v>
      </c>
      <c r="J261" s="27"/>
      <c r="K261" s="26">
        <v>-6.25E-2</v>
      </c>
      <c r="L261" s="11" t="s">
        <v>464</v>
      </c>
      <c r="M261" s="15">
        <v>2</v>
      </c>
      <c r="N261" s="35" t="s">
        <v>25</v>
      </c>
      <c r="O261" s="15">
        <v>4</v>
      </c>
      <c r="P261" s="35" t="s">
        <v>458</v>
      </c>
      <c r="Q261" s="15"/>
      <c r="R261" s="24"/>
      <c r="S261" s="62" t="s">
        <v>616</v>
      </c>
      <c r="T261" s="15"/>
      <c r="U261" s="15"/>
      <c r="V261" s="54">
        <v>3000000</v>
      </c>
      <c r="W261" s="54">
        <v>2812500</v>
      </c>
      <c r="X261" s="54">
        <v>187500</v>
      </c>
    </row>
    <row r="262" spans="3:24" x14ac:dyDescent="0.25">
      <c r="C262" s="39">
        <v>2017</v>
      </c>
      <c r="D262" s="62" t="s">
        <v>1093</v>
      </c>
      <c r="E262" s="63" t="s">
        <v>1094</v>
      </c>
      <c r="F262" s="64">
        <v>43013</v>
      </c>
      <c r="G262" s="65" t="s">
        <v>34</v>
      </c>
      <c r="H262" s="94">
        <v>970000</v>
      </c>
      <c r="I262" s="27">
        <v>1285000</v>
      </c>
      <c r="J262" s="27"/>
      <c r="K262" s="26">
        <v>0.32474226804123713</v>
      </c>
      <c r="L262" s="11" t="s">
        <v>465</v>
      </c>
      <c r="M262" s="15">
        <v>6</v>
      </c>
      <c r="N262" s="35" t="s">
        <v>25</v>
      </c>
      <c r="O262" s="15">
        <v>4</v>
      </c>
      <c r="P262" s="35" t="s">
        <v>458</v>
      </c>
      <c r="Q262" s="15"/>
      <c r="R262" s="24"/>
      <c r="S262" s="62" t="s">
        <v>616</v>
      </c>
      <c r="T262" s="15"/>
      <c r="U262" s="15"/>
      <c r="V262" s="54">
        <v>970000</v>
      </c>
      <c r="W262" s="54">
        <v>1285000</v>
      </c>
      <c r="X262" s="54">
        <v>-315000</v>
      </c>
    </row>
    <row r="263" spans="3:24" x14ac:dyDescent="0.25">
      <c r="C263" s="39">
        <v>2017</v>
      </c>
      <c r="D263" s="62" t="s">
        <v>1068</v>
      </c>
      <c r="E263" s="63" t="s">
        <v>1069</v>
      </c>
      <c r="F263" s="64">
        <v>42964</v>
      </c>
      <c r="G263" s="65" t="s">
        <v>190</v>
      </c>
      <c r="H263" s="94">
        <v>8500000</v>
      </c>
      <c r="I263" s="27">
        <v>5682000</v>
      </c>
      <c r="J263" s="105" t="s">
        <v>519</v>
      </c>
      <c r="K263" s="26">
        <v>-0.33152941176470591</v>
      </c>
      <c r="L263" s="11" t="s">
        <v>465</v>
      </c>
      <c r="M263" s="15">
        <v>3</v>
      </c>
      <c r="N263" s="35" t="s">
        <v>25</v>
      </c>
      <c r="O263" s="15">
        <v>3</v>
      </c>
      <c r="P263" s="35" t="s">
        <v>458</v>
      </c>
      <c r="Q263" s="15"/>
      <c r="R263" s="24"/>
      <c r="S263" s="62" t="s">
        <v>616</v>
      </c>
      <c r="T263" s="15"/>
      <c r="U263" s="15"/>
      <c r="V263" s="54">
        <v>8500000</v>
      </c>
      <c r="W263" s="54">
        <v>5682000</v>
      </c>
      <c r="X263" s="54">
        <v>2818000</v>
      </c>
    </row>
    <row r="264" spans="3:24" x14ac:dyDescent="0.25">
      <c r="C264" s="39">
        <v>2017</v>
      </c>
      <c r="D264" s="62" t="s">
        <v>1063</v>
      </c>
      <c r="E264" s="63" t="s">
        <v>1064</v>
      </c>
      <c r="F264" s="64">
        <v>42951</v>
      </c>
      <c r="G264" s="65" t="s">
        <v>34</v>
      </c>
      <c r="H264" s="94">
        <v>6040000</v>
      </c>
      <c r="I264" s="27">
        <v>4845475</v>
      </c>
      <c r="J264" s="27" t="s">
        <v>519</v>
      </c>
      <c r="K264" s="26">
        <v>-0.19776903973509935</v>
      </c>
      <c r="L264" s="11" t="s">
        <v>464</v>
      </c>
      <c r="M264" s="15">
        <v>8</v>
      </c>
      <c r="N264" s="35" t="s">
        <v>93</v>
      </c>
      <c r="O264" s="15">
        <v>3</v>
      </c>
      <c r="P264" s="35" t="s">
        <v>458</v>
      </c>
      <c r="Q264" s="15"/>
      <c r="R264" s="24"/>
      <c r="S264" s="62" t="s">
        <v>784</v>
      </c>
      <c r="T264" s="15"/>
      <c r="U264" s="15"/>
      <c r="V264" s="54">
        <v>6040000</v>
      </c>
      <c r="W264" s="54">
        <v>4845475</v>
      </c>
      <c r="X264" s="54">
        <v>1194525</v>
      </c>
    </row>
    <row r="265" spans="3:24" x14ac:dyDescent="0.25">
      <c r="C265" s="39">
        <v>2017</v>
      </c>
      <c r="D265" s="62" t="s">
        <v>1057</v>
      </c>
      <c r="E265" s="63" t="s">
        <v>1058</v>
      </c>
      <c r="F265" s="64">
        <v>42949</v>
      </c>
      <c r="G265" s="65" t="s">
        <v>34</v>
      </c>
      <c r="H265" s="94">
        <v>1650000</v>
      </c>
      <c r="I265" s="27">
        <v>1320718</v>
      </c>
      <c r="J265" s="27"/>
      <c r="K265" s="26">
        <v>-0.19956484848484848</v>
      </c>
      <c r="L265" s="11" t="s">
        <v>464</v>
      </c>
      <c r="M265" s="15">
        <v>4</v>
      </c>
      <c r="N265" s="35" t="s">
        <v>93</v>
      </c>
      <c r="O265" s="15">
        <v>3</v>
      </c>
      <c r="P265" s="35" t="s">
        <v>458</v>
      </c>
      <c r="Q265" s="15"/>
      <c r="R265" s="24"/>
      <c r="S265" s="62" t="s">
        <v>616</v>
      </c>
      <c r="T265" s="15"/>
      <c r="U265" s="15"/>
      <c r="V265" s="54">
        <v>1650000</v>
      </c>
      <c r="W265" s="54">
        <v>1320718</v>
      </c>
      <c r="X265" s="54">
        <v>329282</v>
      </c>
    </row>
    <row r="266" spans="3:24" x14ac:dyDescent="0.25">
      <c r="C266" s="39">
        <v>2017</v>
      </c>
      <c r="D266" s="62" t="s">
        <v>1052</v>
      </c>
      <c r="E266" s="63" t="s">
        <v>1053</v>
      </c>
      <c r="F266" s="64">
        <v>42948</v>
      </c>
      <c r="G266" s="65" t="s">
        <v>34</v>
      </c>
      <c r="H266" s="94">
        <v>1330000</v>
      </c>
      <c r="I266" s="27">
        <v>936000</v>
      </c>
      <c r="J266" s="27"/>
      <c r="K266" s="26">
        <v>-0.29624060150375942</v>
      </c>
      <c r="L266" s="11" t="s">
        <v>464</v>
      </c>
      <c r="M266" s="15">
        <v>6</v>
      </c>
      <c r="N266" s="35" t="s">
        <v>93</v>
      </c>
      <c r="O266" s="15">
        <v>3</v>
      </c>
      <c r="P266" s="35" t="s">
        <v>458</v>
      </c>
      <c r="Q266" s="15"/>
      <c r="R266" s="24"/>
      <c r="S266" s="62" t="s">
        <v>616</v>
      </c>
      <c r="T266" s="15"/>
      <c r="U266" s="15"/>
      <c r="V266" s="54">
        <v>1330000</v>
      </c>
      <c r="W266" s="54">
        <v>936000</v>
      </c>
      <c r="X266" s="54">
        <v>394000</v>
      </c>
    </row>
    <row r="267" spans="3:24" x14ac:dyDescent="0.25">
      <c r="C267" s="39">
        <v>2017</v>
      </c>
      <c r="D267" s="62" t="s">
        <v>1047</v>
      </c>
      <c r="E267" s="63" t="s">
        <v>982</v>
      </c>
      <c r="F267" s="64">
        <v>42941</v>
      </c>
      <c r="G267" s="65" t="s">
        <v>34</v>
      </c>
      <c r="H267" s="94">
        <v>7200000</v>
      </c>
      <c r="I267" s="27">
        <v>1936000</v>
      </c>
      <c r="J267" s="105" t="s">
        <v>519</v>
      </c>
      <c r="K267" s="26">
        <v>-0.73111111111111116</v>
      </c>
      <c r="L267" s="11" t="s">
        <v>465</v>
      </c>
      <c r="M267" s="15">
        <v>4</v>
      </c>
      <c r="N267" s="35" t="s">
        <v>93</v>
      </c>
      <c r="O267" s="15">
        <v>3</v>
      </c>
      <c r="P267" s="35" t="s">
        <v>458</v>
      </c>
      <c r="Q267" s="15"/>
      <c r="R267" s="24"/>
      <c r="S267" s="62" t="s">
        <v>616</v>
      </c>
      <c r="T267" s="15"/>
      <c r="U267" s="15"/>
      <c r="V267" s="54">
        <v>7200000</v>
      </c>
      <c r="W267" s="54">
        <v>1936000</v>
      </c>
      <c r="X267" s="54">
        <v>5264000</v>
      </c>
    </row>
    <row r="268" spans="3:24" x14ac:dyDescent="0.25">
      <c r="C268" s="101">
        <v>2017</v>
      </c>
      <c r="D268" s="62" t="s">
        <v>1038</v>
      </c>
      <c r="E268" s="63" t="s">
        <v>1039</v>
      </c>
      <c r="F268" s="64">
        <v>42901</v>
      </c>
      <c r="G268" s="65" t="s">
        <v>693</v>
      </c>
      <c r="H268" s="94">
        <v>850000</v>
      </c>
      <c r="I268" s="27">
        <v>887000</v>
      </c>
      <c r="J268" s="27"/>
      <c r="K268" s="26">
        <v>4.3529411764705879E-2</v>
      </c>
      <c r="L268" s="11" t="s">
        <v>464</v>
      </c>
      <c r="M268" s="15">
        <v>3</v>
      </c>
      <c r="N268" s="35" t="s">
        <v>25</v>
      </c>
      <c r="O268" s="15">
        <v>2</v>
      </c>
      <c r="P268" s="35" t="s">
        <v>458</v>
      </c>
      <c r="Q268" s="15"/>
      <c r="R268" s="24"/>
      <c r="S268" s="62" t="s">
        <v>616</v>
      </c>
      <c r="T268" s="15"/>
      <c r="U268" s="15"/>
      <c r="V268" s="54">
        <v>850000</v>
      </c>
      <c r="W268" s="54">
        <v>887000</v>
      </c>
      <c r="X268" s="54">
        <v>-37000</v>
      </c>
    </row>
    <row r="269" spans="3:24" x14ac:dyDescent="0.25">
      <c r="C269" s="39">
        <v>2017</v>
      </c>
      <c r="D269" s="62" t="s">
        <v>1035</v>
      </c>
      <c r="E269" s="63" t="s">
        <v>1036</v>
      </c>
      <c r="F269" s="64">
        <v>42900</v>
      </c>
      <c r="G269" s="65" t="s">
        <v>756</v>
      </c>
      <c r="H269" s="94">
        <v>2900000</v>
      </c>
      <c r="I269" s="27">
        <v>1157000</v>
      </c>
      <c r="J269" s="27"/>
      <c r="K269" s="26">
        <v>-0.6010344827586207</v>
      </c>
      <c r="L269" s="11" t="s">
        <v>465</v>
      </c>
      <c r="M269" s="15">
        <v>5</v>
      </c>
      <c r="N269" s="35" t="s">
        <v>25</v>
      </c>
      <c r="O269" s="15">
        <v>2</v>
      </c>
      <c r="P269" s="35" t="s">
        <v>458</v>
      </c>
      <c r="Q269" s="15"/>
      <c r="R269" s="24"/>
      <c r="S269" s="62" t="s">
        <v>447</v>
      </c>
      <c r="T269" s="15"/>
      <c r="U269" s="15"/>
      <c r="V269" s="54">
        <v>2900000</v>
      </c>
      <c r="W269" s="54">
        <v>1157000</v>
      </c>
      <c r="X269" s="54">
        <v>1743000</v>
      </c>
    </row>
    <row r="270" spans="3:24" x14ac:dyDescent="0.25">
      <c r="C270" s="39">
        <v>2017</v>
      </c>
      <c r="D270" s="62" t="s">
        <v>1028</v>
      </c>
      <c r="E270" s="63" t="s">
        <v>1029</v>
      </c>
      <c r="F270" s="64">
        <v>42894</v>
      </c>
      <c r="G270" s="65" t="s">
        <v>756</v>
      </c>
      <c r="H270" s="94">
        <v>6445000</v>
      </c>
      <c r="I270" s="27">
        <v>7166666</v>
      </c>
      <c r="J270" s="105" t="s">
        <v>519</v>
      </c>
      <c r="K270" s="26">
        <v>0.11197300232738557</v>
      </c>
      <c r="L270" s="11" t="s">
        <v>465</v>
      </c>
      <c r="M270" s="15">
        <v>11</v>
      </c>
      <c r="N270" s="35" t="s">
        <v>93</v>
      </c>
      <c r="O270" s="15">
        <v>2</v>
      </c>
      <c r="P270" s="35" t="s">
        <v>458</v>
      </c>
      <c r="Q270" s="15"/>
      <c r="R270" s="24"/>
      <c r="S270" s="62" t="s">
        <v>784</v>
      </c>
      <c r="T270" s="15"/>
      <c r="U270" s="15"/>
      <c r="V270" s="54">
        <v>6445000</v>
      </c>
      <c r="W270" s="54">
        <v>7166666</v>
      </c>
      <c r="X270" s="54">
        <v>-721666</v>
      </c>
    </row>
    <row r="271" spans="3:24" x14ac:dyDescent="0.25">
      <c r="C271" s="39">
        <v>2017</v>
      </c>
      <c r="D271" s="62" t="s">
        <v>1025</v>
      </c>
      <c r="E271" s="63" t="s">
        <v>1026</v>
      </c>
      <c r="F271" s="64">
        <v>42893</v>
      </c>
      <c r="G271" s="65" t="s">
        <v>693</v>
      </c>
      <c r="H271" s="94">
        <v>650000</v>
      </c>
      <c r="I271" s="27">
        <v>865508</v>
      </c>
      <c r="J271" s="27"/>
      <c r="K271" s="26">
        <v>0.3315507692307692</v>
      </c>
      <c r="L271" s="11" t="s">
        <v>465</v>
      </c>
      <c r="M271" s="15">
        <v>3</v>
      </c>
      <c r="N271" s="35" t="s">
        <v>25</v>
      </c>
      <c r="O271" s="15">
        <v>2</v>
      </c>
      <c r="P271" s="35" t="s">
        <v>458</v>
      </c>
      <c r="Q271" s="15"/>
      <c r="R271" s="24"/>
      <c r="S271" s="62" t="s">
        <v>616</v>
      </c>
      <c r="T271" s="15"/>
      <c r="U271" s="15"/>
      <c r="V271" s="54">
        <v>650000</v>
      </c>
      <c r="W271" s="54">
        <v>865508</v>
      </c>
      <c r="X271" s="54">
        <v>-215508</v>
      </c>
    </row>
    <row r="272" spans="3:24" x14ac:dyDescent="0.25">
      <c r="C272" s="39">
        <v>2017</v>
      </c>
      <c r="D272" s="62" t="s">
        <v>1023</v>
      </c>
      <c r="E272" s="63" t="s">
        <v>1024</v>
      </c>
      <c r="F272" s="64">
        <v>42893</v>
      </c>
      <c r="G272" s="65" t="s">
        <v>693</v>
      </c>
      <c r="H272" s="94">
        <v>1070000</v>
      </c>
      <c r="I272" s="27">
        <v>758000</v>
      </c>
      <c r="J272" s="27"/>
      <c r="K272" s="26">
        <v>-0.29158878504672897</v>
      </c>
      <c r="L272" s="11" t="s">
        <v>465</v>
      </c>
      <c r="M272" s="15">
        <v>5</v>
      </c>
      <c r="N272" s="35" t="s">
        <v>25</v>
      </c>
      <c r="O272" s="15">
        <v>2</v>
      </c>
      <c r="P272" s="35" t="s">
        <v>458</v>
      </c>
      <c r="Q272" s="15"/>
      <c r="R272" s="24"/>
      <c r="S272" s="62" t="s">
        <v>616</v>
      </c>
      <c r="T272" s="15"/>
      <c r="U272" s="15"/>
      <c r="V272" s="54">
        <v>1070000</v>
      </c>
      <c r="W272" s="54">
        <v>758000</v>
      </c>
      <c r="X272" s="54">
        <v>312000</v>
      </c>
    </row>
    <row r="273" spans="3:24" x14ac:dyDescent="0.25">
      <c r="C273" s="39">
        <v>2017</v>
      </c>
      <c r="D273" s="62" t="s">
        <v>1014</v>
      </c>
      <c r="E273" s="63" t="s">
        <v>1015</v>
      </c>
      <c r="F273" s="64">
        <v>42886</v>
      </c>
      <c r="G273" s="65" t="s">
        <v>34</v>
      </c>
      <c r="H273" s="94">
        <v>1140000</v>
      </c>
      <c r="I273" s="27">
        <v>904780</v>
      </c>
      <c r="J273" s="27"/>
      <c r="K273" s="26">
        <v>-0.20633333333333334</v>
      </c>
      <c r="L273" s="11" t="s">
        <v>464</v>
      </c>
      <c r="M273" s="15">
        <v>9</v>
      </c>
      <c r="N273" s="35" t="s">
        <v>25</v>
      </c>
      <c r="O273" s="15">
        <v>2</v>
      </c>
      <c r="P273" s="35" t="s">
        <v>458</v>
      </c>
      <c r="Q273" s="15"/>
      <c r="R273" s="24"/>
      <c r="S273" s="62" t="s">
        <v>616</v>
      </c>
      <c r="T273" s="15"/>
      <c r="U273" s="15"/>
      <c r="V273" s="54">
        <v>1140000</v>
      </c>
      <c r="W273" s="54">
        <v>904780</v>
      </c>
      <c r="X273" s="54">
        <v>235220</v>
      </c>
    </row>
    <row r="274" spans="3:24" x14ac:dyDescent="0.25">
      <c r="C274" s="39">
        <v>2017</v>
      </c>
      <c r="D274" s="62" t="s">
        <v>1009</v>
      </c>
      <c r="E274" s="63" t="s">
        <v>1010</v>
      </c>
      <c r="F274" s="64">
        <v>42880</v>
      </c>
      <c r="G274" s="65" t="s">
        <v>34</v>
      </c>
      <c r="H274" s="94">
        <v>2850000</v>
      </c>
      <c r="I274" s="27">
        <v>1808548</v>
      </c>
      <c r="J274" s="27"/>
      <c r="K274" s="26">
        <v>-0.36542175438596491</v>
      </c>
      <c r="L274" s="11" t="s">
        <v>465</v>
      </c>
      <c r="M274" s="15">
        <v>11</v>
      </c>
      <c r="N274" s="35" t="s">
        <v>93</v>
      </c>
      <c r="O274" s="15">
        <v>2</v>
      </c>
      <c r="P274" s="35" t="s">
        <v>458</v>
      </c>
      <c r="Q274" s="15"/>
      <c r="R274" s="24"/>
      <c r="S274" s="62" t="s">
        <v>442</v>
      </c>
      <c r="T274" s="15"/>
      <c r="U274" s="15"/>
      <c r="V274" s="54">
        <v>2850000</v>
      </c>
      <c r="W274" s="54">
        <v>1808548</v>
      </c>
      <c r="X274" s="54">
        <v>1041452</v>
      </c>
    </row>
    <row r="275" spans="3:24" x14ac:dyDescent="0.25">
      <c r="C275" s="39">
        <v>2017</v>
      </c>
      <c r="D275" s="62" t="s">
        <v>986</v>
      </c>
      <c r="E275" s="63" t="s">
        <v>982</v>
      </c>
      <c r="F275" s="64">
        <v>42845</v>
      </c>
      <c r="G275" s="65" t="s">
        <v>190</v>
      </c>
      <c r="H275" s="94">
        <v>12630000</v>
      </c>
      <c r="I275" s="27">
        <v>10849023</v>
      </c>
      <c r="J275" s="27" t="s">
        <v>519</v>
      </c>
      <c r="K275" s="26">
        <v>-0.14101163895486934</v>
      </c>
      <c r="L275" s="11" t="s">
        <v>464</v>
      </c>
      <c r="M275" s="15">
        <v>2</v>
      </c>
      <c r="N275" s="35" t="s">
        <v>25</v>
      </c>
      <c r="O275" s="15">
        <v>2</v>
      </c>
      <c r="P275" s="35" t="s">
        <v>458</v>
      </c>
      <c r="Q275" s="15"/>
      <c r="R275" s="24"/>
      <c r="S275" s="62" t="s">
        <v>616</v>
      </c>
      <c r="T275" s="15"/>
      <c r="U275" s="15"/>
      <c r="V275" s="54">
        <v>12630000</v>
      </c>
      <c r="W275" s="54">
        <v>10849023</v>
      </c>
      <c r="X275" s="54">
        <v>1780977</v>
      </c>
    </row>
    <row r="276" spans="3:24" x14ac:dyDescent="0.25">
      <c r="C276" s="39">
        <v>2017</v>
      </c>
      <c r="D276" s="62" t="s">
        <v>981</v>
      </c>
      <c r="E276" s="63" t="s">
        <v>982</v>
      </c>
      <c r="F276" s="64">
        <v>42844</v>
      </c>
      <c r="G276" s="65" t="s">
        <v>190</v>
      </c>
      <c r="H276" s="94">
        <v>18870000</v>
      </c>
      <c r="I276" s="27">
        <v>19910000</v>
      </c>
      <c r="J276" s="27" t="s">
        <v>519</v>
      </c>
      <c r="K276" s="26">
        <v>5.5113937466878642E-2</v>
      </c>
      <c r="L276" s="11" t="s">
        <v>464</v>
      </c>
      <c r="M276" s="15">
        <v>3</v>
      </c>
      <c r="N276" s="35" t="s">
        <v>25</v>
      </c>
      <c r="O276" s="15">
        <v>2</v>
      </c>
      <c r="P276" s="35" t="s">
        <v>458</v>
      </c>
      <c r="Q276" s="15"/>
      <c r="R276" s="24"/>
      <c r="S276" s="62" t="s">
        <v>616</v>
      </c>
      <c r="T276" s="15"/>
      <c r="U276" s="15"/>
      <c r="V276" s="54">
        <v>18870000</v>
      </c>
      <c r="W276" s="54">
        <v>19910000</v>
      </c>
      <c r="X276" s="54">
        <v>-1040000</v>
      </c>
    </row>
    <row r="277" spans="3:24" x14ac:dyDescent="0.25">
      <c r="C277" s="39">
        <v>2017</v>
      </c>
      <c r="D277" s="62" t="s">
        <v>964</v>
      </c>
      <c r="E277" s="63" t="s">
        <v>965</v>
      </c>
      <c r="F277" s="64">
        <v>42815</v>
      </c>
      <c r="G277" s="65" t="s">
        <v>190</v>
      </c>
      <c r="H277" s="27">
        <v>3750000</v>
      </c>
      <c r="I277" s="27">
        <v>2468147</v>
      </c>
      <c r="J277" s="27"/>
      <c r="K277" s="26">
        <v>-0.34182746666666669</v>
      </c>
      <c r="L277" s="11" t="s">
        <v>465</v>
      </c>
      <c r="M277" s="15">
        <v>3</v>
      </c>
      <c r="N277" s="35" t="s">
        <v>93</v>
      </c>
      <c r="O277" s="15">
        <v>1</v>
      </c>
      <c r="P277" s="35" t="s">
        <v>458</v>
      </c>
      <c r="Q277" s="15"/>
      <c r="R277" s="24"/>
      <c r="S277" s="62" t="s">
        <v>784</v>
      </c>
      <c r="T277" s="15"/>
      <c r="U277" s="15"/>
      <c r="V277" s="54">
        <v>3750000</v>
      </c>
      <c r="W277" s="54">
        <v>2468147</v>
      </c>
      <c r="X277" s="54">
        <v>1281853</v>
      </c>
    </row>
    <row r="278" spans="3:24" x14ac:dyDescent="0.25">
      <c r="C278" s="39">
        <v>2017</v>
      </c>
      <c r="D278" s="62" t="s">
        <v>914</v>
      </c>
      <c r="E278" s="63" t="s">
        <v>933</v>
      </c>
      <c r="F278" s="64">
        <v>42787</v>
      </c>
      <c r="G278" s="65" t="s">
        <v>190</v>
      </c>
      <c r="H278" s="94">
        <v>10393000</v>
      </c>
      <c r="I278" s="27">
        <v>7903950</v>
      </c>
      <c r="J278" s="105" t="s">
        <v>519</v>
      </c>
      <c r="K278" s="26">
        <v>-0.2394929279322621</v>
      </c>
      <c r="L278" s="11" t="s">
        <v>465</v>
      </c>
      <c r="M278" s="15">
        <v>3</v>
      </c>
      <c r="N278" s="35" t="s">
        <v>93</v>
      </c>
      <c r="O278" s="15">
        <v>1</v>
      </c>
      <c r="P278" s="35" t="s">
        <v>458</v>
      </c>
      <c r="Q278" s="15"/>
      <c r="R278" s="24" t="s">
        <v>932</v>
      </c>
      <c r="S278" s="62" t="s">
        <v>784</v>
      </c>
      <c r="T278" s="15"/>
      <c r="U278" s="15"/>
      <c r="V278" s="54">
        <v>10393000</v>
      </c>
      <c r="W278" s="54">
        <v>7903950</v>
      </c>
      <c r="X278" s="54">
        <v>2489050</v>
      </c>
    </row>
    <row r="279" spans="3:24" x14ac:dyDescent="0.25">
      <c r="C279" s="39">
        <v>2017</v>
      </c>
      <c r="D279" s="62" t="s">
        <v>916</v>
      </c>
      <c r="E279" s="63" t="s">
        <v>917</v>
      </c>
      <c r="F279" s="64">
        <v>42780</v>
      </c>
      <c r="G279" s="65" t="s">
        <v>34</v>
      </c>
      <c r="H279" s="94">
        <v>2580000</v>
      </c>
      <c r="I279" s="27">
        <v>1386000</v>
      </c>
      <c r="J279" s="27"/>
      <c r="K279" s="26">
        <v>-0.46279069767441861</v>
      </c>
      <c r="L279" s="11" t="s">
        <v>464</v>
      </c>
      <c r="M279" s="15">
        <v>16</v>
      </c>
      <c r="N279" s="35" t="s">
        <v>25</v>
      </c>
      <c r="O279" s="15">
        <v>1</v>
      </c>
      <c r="P279" s="35" t="s">
        <v>458</v>
      </c>
      <c r="Q279" s="15"/>
      <c r="R279" s="24" t="s">
        <v>1020</v>
      </c>
      <c r="S279" s="62" t="s">
        <v>616</v>
      </c>
      <c r="T279" s="15"/>
      <c r="U279" s="15"/>
      <c r="V279" s="54">
        <v>2580000</v>
      </c>
      <c r="W279" s="54">
        <v>1386000</v>
      </c>
      <c r="X279" s="54">
        <v>1194000</v>
      </c>
    </row>
    <row r="280" spans="3:24" x14ac:dyDescent="0.25">
      <c r="C280" s="39">
        <v>2017</v>
      </c>
      <c r="D280" s="62" t="s">
        <v>901</v>
      </c>
      <c r="E280" s="63" t="s">
        <v>902</v>
      </c>
      <c r="F280" s="64">
        <v>42774</v>
      </c>
      <c r="G280" s="65" t="s">
        <v>34</v>
      </c>
      <c r="H280" s="94">
        <v>970000</v>
      </c>
      <c r="I280" s="27">
        <v>756482</v>
      </c>
      <c r="J280" s="27"/>
      <c r="K280" s="26">
        <v>-0.22012164948453608</v>
      </c>
      <c r="L280" s="11" t="s">
        <v>464</v>
      </c>
      <c r="M280" s="15">
        <v>9</v>
      </c>
      <c r="N280" s="35" t="s">
        <v>25</v>
      </c>
      <c r="O280" s="15">
        <v>1</v>
      </c>
      <c r="P280" s="35" t="s">
        <v>458</v>
      </c>
      <c r="Q280" s="15"/>
      <c r="R280" s="24"/>
      <c r="S280" s="62" t="s">
        <v>616</v>
      </c>
      <c r="T280" s="15"/>
      <c r="U280" s="15"/>
      <c r="V280" s="54">
        <v>970000</v>
      </c>
      <c r="W280" s="54">
        <v>756482</v>
      </c>
      <c r="X280" s="54">
        <v>213518</v>
      </c>
    </row>
    <row r="281" spans="3:24" x14ac:dyDescent="0.25">
      <c r="C281" s="39">
        <v>2017</v>
      </c>
      <c r="D281" s="62" t="s">
        <v>880</v>
      </c>
      <c r="E281" s="63" t="s">
        <v>881</v>
      </c>
      <c r="F281" s="64">
        <v>42768</v>
      </c>
      <c r="G281" s="65" t="s">
        <v>34</v>
      </c>
      <c r="H281" s="94">
        <v>4800000</v>
      </c>
      <c r="I281" s="27">
        <v>3901193</v>
      </c>
      <c r="J281" s="27"/>
      <c r="K281" s="26">
        <v>-0.18725145833333334</v>
      </c>
      <c r="L281" s="11" t="s">
        <v>464</v>
      </c>
      <c r="M281" s="15">
        <v>14</v>
      </c>
      <c r="N281" s="35" t="s">
        <v>93</v>
      </c>
      <c r="O281" s="15">
        <v>1</v>
      </c>
      <c r="P281" s="35" t="s">
        <v>458</v>
      </c>
      <c r="Q281" s="15"/>
      <c r="R281" s="24"/>
      <c r="S281" s="62" t="s">
        <v>616</v>
      </c>
      <c r="T281" s="15"/>
      <c r="U281" s="15"/>
      <c r="V281" s="54">
        <v>4800000</v>
      </c>
      <c r="W281" s="54">
        <v>3901193</v>
      </c>
      <c r="X281" s="54">
        <v>898807</v>
      </c>
    </row>
    <row r="282" spans="3:24" x14ac:dyDescent="0.25">
      <c r="C282" s="39">
        <v>2017</v>
      </c>
      <c r="D282" s="62" t="s">
        <v>876</v>
      </c>
      <c r="E282" s="63" t="s">
        <v>877</v>
      </c>
      <c r="F282" s="64">
        <v>42765</v>
      </c>
      <c r="G282" s="65" t="s">
        <v>756</v>
      </c>
      <c r="H282" s="94">
        <v>6500000</v>
      </c>
      <c r="I282" s="27">
        <v>5987000</v>
      </c>
      <c r="J282" s="27" t="s">
        <v>519</v>
      </c>
      <c r="K282" s="26">
        <v>-7.8923076923076929E-2</v>
      </c>
      <c r="L282" s="11" t="s">
        <v>464</v>
      </c>
      <c r="M282" s="15">
        <v>5</v>
      </c>
      <c r="N282" s="35" t="s">
        <v>93</v>
      </c>
      <c r="O282" s="15">
        <v>1</v>
      </c>
      <c r="P282" s="35" t="s">
        <v>458</v>
      </c>
      <c r="Q282" s="15"/>
      <c r="R282" s="24"/>
      <c r="S282" s="62" t="s">
        <v>447</v>
      </c>
      <c r="T282" s="15"/>
      <c r="U282" s="15"/>
      <c r="V282" s="54">
        <v>6500000</v>
      </c>
      <c r="W282" s="54">
        <v>5987000</v>
      </c>
      <c r="X282" s="54">
        <v>513000</v>
      </c>
    </row>
    <row r="283" spans="3:24" x14ac:dyDescent="0.25">
      <c r="C283" s="39">
        <v>2017</v>
      </c>
      <c r="D283" s="62" t="s">
        <v>868</v>
      </c>
      <c r="E283" s="63" t="s">
        <v>869</v>
      </c>
      <c r="F283" s="64">
        <v>42761</v>
      </c>
      <c r="G283" s="65" t="s">
        <v>34</v>
      </c>
      <c r="H283" s="94">
        <v>5100000</v>
      </c>
      <c r="I283" s="27">
        <v>4640176</v>
      </c>
      <c r="J283" s="27" t="s">
        <v>519</v>
      </c>
      <c r="K283" s="26">
        <v>-9.0161568627450978E-2</v>
      </c>
      <c r="L283" s="11" t="s">
        <v>464</v>
      </c>
      <c r="M283" s="15">
        <v>7</v>
      </c>
      <c r="N283" s="35" t="s">
        <v>93</v>
      </c>
      <c r="O283" s="15">
        <v>1</v>
      </c>
      <c r="P283" s="35" t="s">
        <v>458</v>
      </c>
      <c r="Q283" s="15"/>
      <c r="R283" s="24"/>
      <c r="S283" s="62" t="s">
        <v>784</v>
      </c>
      <c r="T283" s="15"/>
      <c r="U283" s="15"/>
      <c r="V283" s="54">
        <v>5100000</v>
      </c>
      <c r="W283" s="54">
        <v>4640176</v>
      </c>
      <c r="X283" s="54">
        <v>459824</v>
      </c>
    </row>
    <row r="284" spans="3:24" x14ac:dyDescent="0.25">
      <c r="C284" s="39">
        <v>2017</v>
      </c>
      <c r="D284" s="62" t="s">
        <v>862</v>
      </c>
      <c r="E284" s="63" t="s">
        <v>863</v>
      </c>
      <c r="F284" s="64">
        <v>42759</v>
      </c>
      <c r="G284" s="65" t="s">
        <v>190</v>
      </c>
      <c r="H284" s="94">
        <v>69800000</v>
      </c>
      <c r="I284" s="27">
        <v>67107000</v>
      </c>
      <c r="J284" s="27" t="s">
        <v>519</v>
      </c>
      <c r="K284" s="26">
        <v>-3.8581661891117482E-2</v>
      </c>
      <c r="L284" s="11" t="s">
        <v>464</v>
      </c>
      <c r="M284" s="15">
        <v>9</v>
      </c>
      <c r="N284" s="35" t="s">
        <v>25</v>
      </c>
      <c r="O284" s="15">
        <v>1</v>
      </c>
      <c r="P284" s="35" t="s">
        <v>458</v>
      </c>
      <c r="Q284" s="15"/>
      <c r="R284" s="24"/>
      <c r="S284" s="62" t="s">
        <v>616</v>
      </c>
      <c r="T284" s="15"/>
      <c r="U284" s="15"/>
      <c r="V284" s="54">
        <v>69800000</v>
      </c>
      <c r="W284" s="54">
        <v>67107000</v>
      </c>
      <c r="X284" s="54">
        <v>2693000</v>
      </c>
    </row>
    <row r="285" spans="3:24" x14ac:dyDescent="0.25">
      <c r="C285" s="39">
        <v>2017</v>
      </c>
      <c r="D285" s="62" t="s">
        <v>830</v>
      </c>
      <c r="E285" s="63" t="s">
        <v>831</v>
      </c>
      <c r="F285" s="64">
        <v>42746</v>
      </c>
      <c r="G285" s="65" t="s">
        <v>190</v>
      </c>
      <c r="H285" s="94">
        <v>12071025</v>
      </c>
      <c r="I285" s="27">
        <v>9977777</v>
      </c>
      <c r="J285" s="105" t="s">
        <v>519</v>
      </c>
      <c r="K285" s="26">
        <v>-0.17341095723022693</v>
      </c>
      <c r="L285" s="11" t="s">
        <v>465</v>
      </c>
      <c r="M285" s="15">
        <v>3</v>
      </c>
      <c r="N285" s="35" t="s">
        <v>93</v>
      </c>
      <c r="O285" s="15">
        <v>1</v>
      </c>
      <c r="P285" s="35" t="s">
        <v>458</v>
      </c>
      <c r="Q285" s="15"/>
      <c r="R285" s="24"/>
      <c r="S285" s="62" t="s">
        <v>616</v>
      </c>
      <c r="T285" s="15"/>
      <c r="U285" s="15"/>
      <c r="V285" s="54">
        <v>12071025</v>
      </c>
      <c r="W285" s="54">
        <v>9977777</v>
      </c>
      <c r="X285" s="54">
        <v>2093248</v>
      </c>
    </row>
    <row r="286" spans="3:24" x14ac:dyDescent="0.25">
      <c r="C286" s="39">
        <v>2017</v>
      </c>
      <c r="D286" s="62" t="s">
        <v>828</v>
      </c>
      <c r="E286" s="63" t="s">
        <v>829</v>
      </c>
      <c r="F286" s="64">
        <v>42739</v>
      </c>
      <c r="G286" s="65" t="s">
        <v>190</v>
      </c>
      <c r="H286" s="94">
        <v>28695000</v>
      </c>
      <c r="I286" s="27">
        <v>31768035</v>
      </c>
      <c r="J286" s="27" t="s">
        <v>519</v>
      </c>
      <c r="K286" s="26">
        <v>0.10709304756926294</v>
      </c>
      <c r="L286" s="11" t="s">
        <v>464</v>
      </c>
      <c r="M286" s="15">
        <v>2</v>
      </c>
      <c r="N286" s="35" t="s">
        <v>93</v>
      </c>
      <c r="O286" s="15">
        <v>1</v>
      </c>
      <c r="P286" s="35" t="s">
        <v>458</v>
      </c>
      <c r="Q286" s="15"/>
      <c r="R286" s="24"/>
      <c r="S286" s="62" t="s">
        <v>616</v>
      </c>
      <c r="T286" s="15"/>
      <c r="U286" s="15"/>
      <c r="V286" s="54">
        <v>28695000</v>
      </c>
      <c r="W286" s="54">
        <v>31768035</v>
      </c>
      <c r="X286" s="54">
        <v>-3073035</v>
      </c>
    </row>
    <row r="287" spans="3:24" x14ac:dyDescent="0.25">
      <c r="C287" s="39"/>
      <c r="E287" s="85"/>
      <c r="F287" s="85"/>
      <c r="G287" s="85"/>
      <c r="H287" s="86">
        <f>SUM(H253:H286)</f>
        <v>303255025</v>
      </c>
      <c r="I287" s="86">
        <f>SUM(I253:I286)</f>
        <v>269342161</v>
      </c>
      <c r="J287" s="85"/>
      <c r="K287" s="87">
        <f>+I287/H287</f>
        <v>0.88817047961530071</v>
      </c>
      <c r="L287" s="85">
        <f>COUNTA(L253:L286)</f>
        <v>34</v>
      </c>
      <c r="M287" s="88">
        <f>SUM(M253:M286)/L287</f>
        <v>5.6764705882352944</v>
      </c>
      <c r="N287" s="89"/>
      <c r="O287" s="85"/>
      <c r="P287" s="119">
        <f>21/L287</f>
        <v>0.61764705882352944</v>
      </c>
      <c r="Q287" s="85"/>
    </row>
    <row r="288" spans="3:24" x14ac:dyDescent="0.25">
      <c r="C288" s="39"/>
    </row>
    <row r="289" spans="3:16" x14ac:dyDescent="0.25">
      <c r="C289" s="39"/>
      <c r="E289" s="126" t="s">
        <v>1178</v>
      </c>
      <c r="F289" s="70" t="str">
        <f>"'15 final"</f>
        <v>'15 final</v>
      </c>
      <c r="G289" s="70" t="str">
        <f>"'16 final"</f>
        <v>'16 final</v>
      </c>
      <c r="H289" s="121" t="str">
        <f>"'17 final"</f>
        <v>'17 final</v>
      </c>
      <c r="P289" s="11"/>
    </row>
    <row r="290" spans="3:16" x14ac:dyDescent="0.25">
      <c r="C290" s="39"/>
      <c r="E290" s="71" t="s">
        <v>800</v>
      </c>
      <c r="F290" s="11">
        <v>18</v>
      </c>
      <c r="G290" s="11">
        <v>13</v>
      </c>
      <c r="H290" s="104">
        <f>+L287</f>
        <v>34</v>
      </c>
      <c r="P290" s="11"/>
    </row>
    <row r="291" spans="3:16" x14ac:dyDescent="0.25">
      <c r="C291" s="39"/>
      <c r="E291" s="72" t="s">
        <v>801</v>
      </c>
      <c r="F291" s="11">
        <v>14</v>
      </c>
      <c r="G291" s="11">
        <v>11</v>
      </c>
      <c r="H291" s="104">
        <f>+H290-H292</f>
        <v>19</v>
      </c>
      <c r="P291" s="11"/>
    </row>
    <row r="292" spans="3:16" x14ac:dyDescent="0.25">
      <c r="C292" s="39"/>
      <c r="E292" s="72" t="s">
        <v>802</v>
      </c>
      <c r="F292" s="11">
        <v>4</v>
      </c>
      <c r="G292" s="11">
        <v>2</v>
      </c>
      <c r="H292" s="104">
        <v>15</v>
      </c>
      <c r="P292" s="11"/>
    </row>
    <row r="293" spans="3:16" x14ac:dyDescent="0.25">
      <c r="C293" s="39"/>
      <c r="E293" s="72"/>
      <c r="F293" s="11"/>
      <c r="G293" s="11"/>
      <c r="H293" s="104"/>
      <c r="P293" s="11"/>
    </row>
    <row r="294" spans="3:16" x14ac:dyDescent="0.25">
      <c r="C294" s="39"/>
      <c r="E294" s="72" t="s">
        <v>1144</v>
      </c>
      <c r="F294" s="78">
        <v>73</v>
      </c>
      <c r="G294" s="78">
        <v>105</v>
      </c>
      <c r="H294" s="122">
        <f>+I287/1000000</f>
        <v>269.34216099999998</v>
      </c>
      <c r="I294" s="94"/>
      <c r="P294" s="11"/>
    </row>
    <row r="295" spans="3:16" x14ac:dyDescent="0.25">
      <c r="C295" s="39"/>
      <c r="E295" s="72" t="s">
        <v>806</v>
      </c>
      <c r="F295" s="75">
        <v>6.5</v>
      </c>
      <c r="G295" s="75">
        <v>6.1</v>
      </c>
      <c r="H295" s="123">
        <f>+M287</f>
        <v>5.6764705882352944</v>
      </c>
      <c r="P295" s="11"/>
    </row>
    <row r="296" spans="3:16" x14ac:dyDescent="0.25">
      <c r="C296" s="39"/>
      <c r="E296" s="72" t="s">
        <v>807</v>
      </c>
      <c r="F296" s="74">
        <v>0.95899999999999996</v>
      </c>
      <c r="G296" s="74">
        <v>0.88100000000000001</v>
      </c>
      <c r="H296" s="124">
        <f>+I287/H287</f>
        <v>0.88817047961530071</v>
      </c>
      <c r="P296" s="11"/>
    </row>
    <row r="297" spans="3:16" x14ac:dyDescent="0.25">
      <c r="C297" s="39"/>
      <c r="E297" s="72"/>
      <c r="F297" s="11"/>
      <c r="G297" s="11"/>
      <c r="H297" s="104"/>
      <c r="P297" s="11"/>
    </row>
    <row r="298" spans="3:16" x14ac:dyDescent="0.25">
      <c r="C298" s="39"/>
      <c r="E298" s="72" t="s">
        <v>803</v>
      </c>
      <c r="F298" s="74">
        <f>9/F290</f>
        <v>0.5</v>
      </c>
      <c r="G298" s="74">
        <f>7/13</f>
        <v>0.53846153846153844</v>
      </c>
      <c r="H298" s="108">
        <f>+P287</f>
        <v>0.61764705882352944</v>
      </c>
      <c r="P298" s="11"/>
    </row>
    <row r="299" spans="3:16" x14ac:dyDescent="0.25">
      <c r="C299" s="107"/>
      <c r="D299" s="52"/>
      <c r="E299" s="72" t="s">
        <v>804</v>
      </c>
      <c r="F299" s="74">
        <v>0.5</v>
      </c>
      <c r="G299" s="74">
        <f>6/11</f>
        <v>0.54545454545454541</v>
      </c>
      <c r="H299" s="108">
        <f>12/H291</f>
        <v>0.63157894736842102</v>
      </c>
      <c r="P299" s="11"/>
    </row>
    <row r="300" spans="3:16" x14ac:dyDescent="0.25">
      <c r="C300" s="107"/>
      <c r="D300" s="52"/>
      <c r="E300" s="72" t="s">
        <v>805</v>
      </c>
      <c r="F300" s="74">
        <v>0.5</v>
      </c>
      <c r="G300" s="74">
        <v>0.5</v>
      </c>
      <c r="H300" s="108">
        <f>9/H292</f>
        <v>0.6</v>
      </c>
      <c r="P300" s="11"/>
    </row>
    <row r="301" spans="3:16" x14ac:dyDescent="0.25">
      <c r="C301" s="39"/>
      <c r="E301" s="72"/>
      <c r="F301" s="11"/>
      <c r="G301" s="11"/>
      <c r="H301" s="104"/>
      <c r="P301" s="11"/>
    </row>
    <row r="302" spans="3:16" x14ac:dyDescent="0.25">
      <c r="C302" s="39"/>
      <c r="E302" s="72" t="s">
        <v>1141</v>
      </c>
      <c r="F302" s="11">
        <v>6</v>
      </c>
      <c r="G302" s="11">
        <v>4</v>
      </c>
      <c r="H302" s="104">
        <v>13</v>
      </c>
    </row>
    <row r="303" spans="3:16" x14ac:dyDescent="0.25">
      <c r="E303" s="106" t="s">
        <v>1143</v>
      </c>
      <c r="F303" s="108">
        <f>+F302/F290</f>
        <v>0.33333333333333331</v>
      </c>
      <c r="G303" s="108">
        <f>+G302/G290</f>
        <v>0.30769230769230771</v>
      </c>
      <c r="H303" s="108">
        <f>+H302/H290</f>
        <v>0.38235294117647056</v>
      </c>
    </row>
    <row r="304" spans="3:16" x14ac:dyDescent="0.25">
      <c r="C304" s="39"/>
      <c r="E304" s="72" t="s">
        <v>1142</v>
      </c>
      <c r="F304" s="11">
        <v>2</v>
      </c>
      <c r="G304" s="11">
        <v>0</v>
      </c>
      <c r="H304" s="104">
        <v>0</v>
      </c>
    </row>
    <row r="305" spans="3:24" x14ac:dyDescent="0.25">
      <c r="C305" s="39"/>
      <c r="E305" s="106" t="s">
        <v>1169</v>
      </c>
      <c r="F305" s="108">
        <f t="shared" ref="F305" si="17">+F304/F290</f>
        <v>0.1111111111111111</v>
      </c>
      <c r="G305" s="108">
        <f t="shared" ref="G305" si="18">+G304/G290</f>
        <v>0</v>
      </c>
      <c r="H305" s="108">
        <f>+H304/H290</f>
        <v>0</v>
      </c>
    </row>
    <row r="306" spans="3:24" x14ac:dyDescent="0.25">
      <c r="C306" s="39"/>
    </row>
    <row r="307" spans="3:24" x14ac:dyDescent="0.25">
      <c r="C307" s="39"/>
    </row>
    <row r="308" spans="3:24" x14ac:dyDescent="0.25">
      <c r="C308" s="39"/>
    </row>
    <row r="309" spans="3:24" x14ac:dyDescent="0.25">
      <c r="C309" s="39">
        <v>2017</v>
      </c>
      <c r="D309" s="102" t="s">
        <v>1147</v>
      </c>
      <c r="E309" s="63" t="s">
        <v>1148</v>
      </c>
      <c r="F309" s="64">
        <v>43083</v>
      </c>
      <c r="G309" s="65"/>
      <c r="H309" s="94"/>
      <c r="I309" s="27"/>
      <c r="J309" s="27"/>
      <c r="K309" s="26"/>
      <c r="L309" s="11"/>
      <c r="M309" s="15"/>
      <c r="N309" s="35"/>
      <c r="O309" s="15"/>
      <c r="P309" s="35"/>
      <c r="Q309" s="15"/>
      <c r="R309" s="24" t="s">
        <v>227</v>
      </c>
      <c r="S309" s="62" t="s">
        <v>816</v>
      </c>
      <c r="T309" s="15"/>
      <c r="U309" s="15"/>
      <c r="V309" s="54">
        <v>1765000</v>
      </c>
      <c r="W309" s="54">
        <v>2248420</v>
      </c>
      <c r="X309" s="54">
        <v>-483420</v>
      </c>
    </row>
    <row r="310" spans="3:24" x14ac:dyDescent="0.25">
      <c r="C310" s="39">
        <v>2017</v>
      </c>
      <c r="D310" s="62" t="s">
        <v>1118</v>
      </c>
      <c r="E310" s="63" t="s">
        <v>1119</v>
      </c>
      <c r="F310" s="64">
        <v>43048</v>
      </c>
      <c r="G310" s="65" t="s">
        <v>34</v>
      </c>
      <c r="H310" s="94">
        <v>4860000</v>
      </c>
      <c r="I310" s="27">
        <v>3418000</v>
      </c>
      <c r="J310" s="27"/>
      <c r="K310" s="26">
        <v>-0.29670781893004117</v>
      </c>
      <c r="L310" s="11" t="s">
        <v>464</v>
      </c>
      <c r="M310" s="15">
        <v>8</v>
      </c>
      <c r="N310" s="35" t="s">
        <v>25</v>
      </c>
      <c r="O310" s="15">
        <v>4</v>
      </c>
      <c r="P310" s="35" t="s">
        <v>492</v>
      </c>
      <c r="Q310" s="15"/>
      <c r="R310" s="24"/>
      <c r="S310" s="62" t="s">
        <v>816</v>
      </c>
      <c r="T310" s="15"/>
      <c r="U310" s="15"/>
      <c r="V310" s="54">
        <v>4860000</v>
      </c>
      <c r="W310" s="54">
        <v>3418000</v>
      </c>
      <c r="X310" s="54">
        <v>1442000</v>
      </c>
    </row>
    <row r="311" spans="3:24" x14ac:dyDescent="0.25">
      <c r="C311" s="39">
        <v>2017</v>
      </c>
      <c r="D311" s="62" t="s">
        <v>1075</v>
      </c>
      <c r="E311" s="63" t="s">
        <v>1076</v>
      </c>
      <c r="F311" s="64">
        <v>42999</v>
      </c>
      <c r="G311" s="65" t="s">
        <v>34</v>
      </c>
      <c r="H311" s="94">
        <v>1250000</v>
      </c>
      <c r="I311" s="27">
        <v>876947</v>
      </c>
      <c r="J311" s="27"/>
      <c r="K311" s="26">
        <v>-0.2984424</v>
      </c>
      <c r="L311" s="11" t="s">
        <v>464</v>
      </c>
      <c r="M311" s="15">
        <v>13</v>
      </c>
      <c r="N311" s="35" t="s">
        <v>93</v>
      </c>
      <c r="O311" s="15">
        <v>3</v>
      </c>
      <c r="P311" s="35" t="s">
        <v>492</v>
      </c>
      <c r="Q311" s="15"/>
      <c r="R311" s="24"/>
      <c r="S311" s="62" t="s">
        <v>816</v>
      </c>
      <c r="T311" s="15"/>
      <c r="U311" s="15"/>
      <c r="V311" s="54">
        <v>1250000</v>
      </c>
      <c r="W311" s="54">
        <v>876947</v>
      </c>
      <c r="X311" s="54">
        <v>373053</v>
      </c>
    </row>
    <row r="312" spans="3:24" x14ac:dyDescent="0.25">
      <c r="C312" s="39">
        <v>2017</v>
      </c>
      <c r="D312" s="62" t="s">
        <v>1060</v>
      </c>
      <c r="E312" s="63" t="s">
        <v>1061</v>
      </c>
      <c r="F312" s="64">
        <v>42950</v>
      </c>
      <c r="G312" s="65" t="s">
        <v>190</v>
      </c>
      <c r="H312" s="94">
        <v>13720000</v>
      </c>
      <c r="I312" s="27">
        <v>11539200</v>
      </c>
      <c r="J312" s="27" t="s">
        <v>519</v>
      </c>
      <c r="K312" s="26">
        <v>-0.15895043731778424</v>
      </c>
      <c r="L312" s="11" t="s">
        <v>464</v>
      </c>
      <c r="M312" s="15">
        <v>4</v>
      </c>
      <c r="N312" s="35" t="s">
        <v>25</v>
      </c>
      <c r="O312" s="15">
        <v>3</v>
      </c>
      <c r="P312" s="35" t="s">
        <v>492</v>
      </c>
      <c r="Q312" s="15"/>
      <c r="R312" s="24"/>
      <c r="S312" s="62" t="s">
        <v>816</v>
      </c>
      <c r="T312" s="15"/>
      <c r="U312" s="15"/>
      <c r="V312" s="54">
        <v>13720000</v>
      </c>
      <c r="W312" s="54">
        <v>11539200</v>
      </c>
      <c r="X312" s="54">
        <v>2180800</v>
      </c>
    </row>
    <row r="313" spans="3:24" x14ac:dyDescent="0.25">
      <c r="C313" s="39">
        <v>2017</v>
      </c>
      <c r="D313" s="62" t="s">
        <v>1001</v>
      </c>
      <c r="E313" s="63" t="s">
        <v>1008</v>
      </c>
      <c r="F313" s="64">
        <v>42872</v>
      </c>
      <c r="G313" s="65" t="s">
        <v>34</v>
      </c>
      <c r="H313" s="94">
        <v>5000000</v>
      </c>
      <c r="I313" s="27">
        <v>5210665</v>
      </c>
      <c r="J313" s="27" t="s">
        <v>519</v>
      </c>
      <c r="K313" s="26">
        <v>4.2132999999999997E-2</v>
      </c>
      <c r="L313" s="11" t="s">
        <v>464</v>
      </c>
      <c r="M313" s="15">
        <v>9</v>
      </c>
      <c r="N313" s="35" t="s">
        <v>226</v>
      </c>
      <c r="O313" s="15">
        <v>2</v>
      </c>
      <c r="P313" s="35" t="s">
        <v>492</v>
      </c>
      <c r="Q313" s="15"/>
      <c r="R313" s="24"/>
      <c r="S313" s="62" t="s">
        <v>816</v>
      </c>
      <c r="T313" s="15"/>
      <c r="U313" s="15"/>
      <c r="V313" s="54">
        <v>5000000</v>
      </c>
      <c r="W313" s="54">
        <v>5210665</v>
      </c>
      <c r="X313" s="54">
        <v>-210665</v>
      </c>
    </row>
    <row r="314" spans="3:24" x14ac:dyDescent="0.25">
      <c r="C314" s="39">
        <v>2017</v>
      </c>
      <c r="D314" s="62" t="s">
        <v>999</v>
      </c>
      <c r="E314" s="63" t="s">
        <v>1000</v>
      </c>
      <c r="F314" s="64">
        <v>42871</v>
      </c>
      <c r="G314" s="65" t="s">
        <v>34</v>
      </c>
      <c r="H314" s="94">
        <v>9000000</v>
      </c>
      <c r="I314" s="27">
        <v>10805265</v>
      </c>
      <c r="J314" s="105" t="s">
        <v>519</v>
      </c>
      <c r="K314" s="26">
        <v>0.20058500000000001</v>
      </c>
      <c r="L314" s="11" t="s">
        <v>465</v>
      </c>
      <c r="M314" s="15">
        <v>2</v>
      </c>
      <c r="N314" s="35" t="s">
        <v>25</v>
      </c>
      <c r="O314" s="15">
        <v>2</v>
      </c>
      <c r="P314" s="35" t="s">
        <v>492</v>
      </c>
      <c r="Q314" s="15"/>
      <c r="R314" s="24"/>
      <c r="S314" s="62" t="s">
        <v>816</v>
      </c>
      <c r="T314" s="15"/>
      <c r="U314" s="15"/>
      <c r="V314" s="54">
        <v>9000000</v>
      </c>
      <c r="W314" s="54">
        <v>10805265</v>
      </c>
      <c r="X314" s="54">
        <v>-1805265</v>
      </c>
    </row>
    <row r="315" spans="3:24" x14ac:dyDescent="0.25">
      <c r="C315" s="39">
        <v>2017</v>
      </c>
      <c r="D315" s="62" t="s">
        <v>989</v>
      </c>
      <c r="E315" s="63" t="s">
        <v>879</v>
      </c>
      <c r="F315" s="64">
        <v>42845</v>
      </c>
      <c r="G315" s="65" t="s">
        <v>693</v>
      </c>
      <c r="H315" s="94">
        <v>2625000</v>
      </c>
      <c r="I315" s="27">
        <v>2472675</v>
      </c>
      <c r="J315" s="27"/>
      <c r="K315" s="26">
        <v>-5.8028571428571429E-2</v>
      </c>
      <c r="L315" s="11" t="s">
        <v>464</v>
      </c>
      <c r="M315" s="15">
        <v>6</v>
      </c>
      <c r="N315" s="35" t="s">
        <v>25</v>
      </c>
      <c r="O315" s="15">
        <v>2</v>
      </c>
      <c r="P315" s="35" t="s">
        <v>492</v>
      </c>
      <c r="Q315" s="15"/>
      <c r="R315" s="24"/>
      <c r="S315" s="62" t="s">
        <v>816</v>
      </c>
      <c r="T315" s="15"/>
      <c r="U315" s="15"/>
      <c r="V315" s="54">
        <v>2625000</v>
      </c>
      <c r="W315" s="54">
        <v>2472675</v>
      </c>
      <c r="X315" s="54">
        <v>152325</v>
      </c>
    </row>
    <row r="316" spans="3:24" x14ac:dyDescent="0.25">
      <c r="C316" s="39">
        <v>2017</v>
      </c>
      <c r="D316" s="62" t="s">
        <v>987</v>
      </c>
      <c r="E316" s="63" t="s">
        <v>988</v>
      </c>
      <c r="F316" s="64">
        <v>42845</v>
      </c>
      <c r="G316" s="65" t="s">
        <v>34</v>
      </c>
      <c r="H316" s="94">
        <v>1520000</v>
      </c>
      <c r="I316" s="27">
        <v>994200</v>
      </c>
      <c r="J316" s="27"/>
      <c r="K316" s="26">
        <v>-0.34592105263157896</v>
      </c>
      <c r="L316" s="11" t="s">
        <v>464</v>
      </c>
      <c r="M316" s="15">
        <v>4</v>
      </c>
      <c r="N316" s="35" t="s">
        <v>25</v>
      </c>
      <c r="O316" s="15">
        <v>2</v>
      </c>
      <c r="P316" s="35" t="s">
        <v>492</v>
      </c>
      <c r="Q316" s="15"/>
      <c r="R316" s="24"/>
      <c r="S316" s="62" t="s">
        <v>816</v>
      </c>
      <c r="T316" s="15"/>
      <c r="U316" s="15"/>
      <c r="V316" s="54">
        <v>1520000</v>
      </c>
      <c r="W316" s="54">
        <v>994200</v>
      </c>
      <c r="X316" s="54">
        <v>525800</v>
      </c>
    </row>
    <row r="317" spans="3:24" x14ac:dyDescent="0.25">
      <c r="C317" s="39">
        <v>2017</v>
      </c>
      <c r="D317" s="62" t="s">
        <v>977</v>
      </c>
      <c r="E317" s="63" t="s">
        <v>978</v>
      </c>
      <c r="F317" s="64">
        <v>42831</v>
      </c>
      <c r="G317" s="65" t="s">
        <v>34</v>
      </c>
      <c r="H317" s="94">
        <v>1655000</v>
      </c>
      <c r="I317" s="27">
        <v>1398667</v>
      </c>
      <c r="J317" s="27"/>
      <c r="K317" s="26">
        <v>-0.15488398791540786</v>
      </c>
      <c r="L317" s="11" t="s">
        <v>464</v>
      </c>
      <c r="M317" s="15">
        <v>3</v>
      </c>
      <c r="N317" s="35" t="s">
        <v>93</v>
      </c>
      <c r="O317" s="15">
        <v>2</v>
      </c>
      <c r="P317" s="35" t="s">
        <v>492</v>
      </c>
      <c r="Q317" s="15"/>
      <c r="R317" s="24"/>
      <c r="S317" s="62" t="s">
        <v>816</v>
      </c>
      <c r="T317" s="15"/>
      <c r="U317" s="15"/>
      <c r="V317" s="54">
        <v>1655000</v>
      </c>
      <c r="W317" s="54">
        <v>1398667</v>
      </c>
      <c r="X317" s="54">
        <v>256333</v>
      </c>
    </row>
    <row r="318" spans="3:24" x14ac:dyDescent="0.25">
      <c r="C318" s="39">
        <v>2017</v>
      </c>
      <c r="D318" s="62" t="s">
        <v>956</v>
      </c>
      <c r="E318" s="63" t="s">
        <v>957</v>
      </c>
      <c r="F318" s="64">
        <v>42810</v>
      </c>
      <c r="G318" s="65" t="s">
        <v>693</v>
      </c>
      <c r="H318" s="27">
        <v>1425000</v>
      </c>
      <c r="I318" s="27">
        <v>1087425</v>
      </c>
      <c r="J318" s="27"/>
      <c r="K318" s="26">
        <v>-0.23689473684210527</v>
      </c>
      <c r="L318" s="11" t="s">
        <v>464</v>
      </c>
      <c r="M318" s="15">
        <v>6</v>
      </c>
      <c r="N318" s="35" t="s">
        <v>93</v>
      </c>
      <c r="O318" s="15">
        <v>1</v>
      </c>
      <c r="P318" s="35" t="s">
        <v>492</v>
      </c>
      <c r="Q318" s="15"/>
      <c r="R318" s="24"/>
      <c r="S318" s="62" t="s">
        <v>816</v>
      </c>
      <c r="T318" s="15"/>
      <c r="U318" s="15"/>
      <c r="V318" s="54">
        <v>1425000</v>
      </c>
      <c r="W318" s="54">
        <v>1087425</v>
      </c>
      <c r="X318" s="54">
        <v>337575</v>
      </c>
    </row>
    <row r="319" spans="3:24" x14ac:dyDescent="0.25">
      <c r="C319" s="39">
        <v>2017</v>
      </c>
      <c r="D319" s="62" t="s">
        <v>832</v>
      </c>
      <c r="E319" s="63" t="s">
        <v>833</v>
      </c>
      <c r="F319" s="64">
        <v>42752</v>
      </c>
      <c r="G319" s="65" t="s">
        <v>34</v>
      </c>
      <c r="H319" s="94">
        <v>4200000</v>
      </c>
      <c r="I319" s="27">
        <v>3987114</v>
      </c>
      <c r="J319" s="27"/>
      <c r="K319" s="26">
        <v>-5.0687142857142854E-2</v>
      </c>
      <c r="L319" s="11" t="s">
        <v>464</v>
      </c>
      <c r="M319" s="15">
        <v>3</v>
      </c>
      <c r="N319" s="35" t="s">
        <v>25</v>
      </c>
      <c r="O319" s="15">
        <v>1</v>
      </c>
      <c r="P319" s="35" t="s">
        <v>492</v>
      </c>
      <c r="Q319" s="15"/>
      <c r="R319" s="24"/>
      <c r="S319" s="62" t="s">
        <v>816</v>
      </c>
      <c r="T319" s="15"/>
      <c r="U319" s="15"/>
      <c r="V319" s="54">
        <v>4200000</v>
      </c>
      <c r="W319" s="54">
        <v>3987114</v>
      </c>
      <c r="X319" s="54">
        <v>212886</v>
      </c>
    </row>
    <row r="320" spans="3:24" x14ac:dyDescent="0.25">
      <c r="C320" s="39"/>
      <c r="E320" s="85"/>
      <c r="F320" s="85"/>
      <c r="G320" s="85"/>
      <c r="H320" s="86">
        <f>SUM(H309:H319)</f>
        <v>45255000</v>
      </c>
      <c r="I320" s="86">
        <f>SUM(I309:I319)</f>
        <v>41790158</v>
      </c>
      <c r="J320" s="85"/>
      <c r="K320" s="87">
        <f>+I320/H320</f>
        <v>0.92343736603690196</v>
      </c>
      <c r="L320" s="85">
        <f>COUNTA(L309:L319)</f>
        <v>10</v>
      </c>
      <c r="M320" s="88">
        <f>SUM(M309:M319)/L320</f>
        <v>5.8</v>
      </c>
      <c r="N320" s="89"/>
      <c r="O320" s="85"/>
      <c r="P320" s="119">
        <f>9/L320</f>
        <v>0.9</v>
      </c>
      <c r="Q320" s="85"/>
    </row>
    <row r="321" spans="3:16" x14ac:dyDescent="0.25">
      <c r="C321" s="39"/>
    </row>
    <row r="322" spans="3:16" x14ac:dyDescent="0.25">
      <c r="C322" s="39"/>
      <c r="E322" s="126" t="s">
        <v>1171</v>
      </c>
      <c r="F322" s="70" t="str">
        <f>"'15 final"</f>
        <v>'15 final</v>
      </c>
      <c r="G322" s="70" t="str">
        <f>"'16 final"</f>
        <v>'16 final</v>
      </c>
      <c r="H322" s="121" t="str">
        <f>"'17 final"</f>
        <v>'17 final</v>
      </c>
      <c r="P322" s="11"/>
    </row>
    <row r="323" spans="3:16" x14ac:dyDescent="0.25">
      <c r="C323" s="39"/>
      <c r="E323" s="71" t="s">
        <v>800</v>
      </c>
      <c r="F323" s="11">
        <v>8</v>
      </c>
      <c r="G323" s="11">
        <v>10</v>
      </c>
      <c r="H323" s="104">
        <f>+L320</f>
        <v>10</v>
      </c>
      <c r="P323" s="11"/>
    </row>
    <row r="324" spans="3:16" x14ac:dyDescent="0.25">
      <c r="C324" s="39"/>
      <c r="E324" s="72" t="s">
        <v>801</v>
      </c>
      <c r="F324" s="11">
        <v>4</v>
      </c>
      <c r="G324" s="11">
        <v>7</v>
      </c>
      <c r="H324" s="104">
        <f>+H323-H325</f>
        <v>7</v>
      </c>
      <c r="P324" s="11"/>
    </row>
    <row r="325" spans="3:16" x14ac:dyDescent="0.25">
      <c r="C325" s="39"/>
      <c r="E325" s="72" t="s">
        <v>802</v>
      </c>
      <c r="F325" s="11">
        <v>4</v>
      </c>
      <c r="G325" s="11">
        <v>3</v>
      </c>
      <c r="H325" s="104">
        <v>3</v>
      </c>
      <c r="P325" s="11"/>
    </row>
    <row r="326" spans="3:16" x14ac:dyDescent="0.25">
      <c r="C326" s="39"/>
      <c r="E326" s="72"/>
      <c r="F326" s="11"/>
      <c r="G326" s="11"/>
      <c r="H326" s="104"/>
      <c r="P326" s="11"/>
    </row>
    <row r="327" spans="3:16" x14ac:dyDescent="0.25">
      <c r="C327" s="39"/>
      <c r="E327" s="72" t="s">
        <v>1144</v>
      </c>
      <c r="F327" s="78">
        <v>53</v>
      </c>
      <c r="G327" s="78">
        <v>81</v>
      </c>
      <c r="H327" s="122">
        <f>+I320/1000000</f>
        <v>41.790157999999998</v>
      </c>
      <c r="P327" s="11"/>
    </row>
    <row r="328" spans="3:16" x14ac:dyDescent="0.25">
      <c r="C328" s="39"/>
      <c r="E328" s="72" t="s">
        <v>806</v>
      </c>
      <c r="F328" s="75">
        <v>8.75</v>
      </c>
      <c r="G328" s="75">
        <v>6.9</v>
      </c>
      <c r="H328" s="123">
        <f>+M320</f>
        <v>5.8</v>
      </c>
      <c r="P328" s="11"/>
    </row>
    <row r="329" spans="3:16" x14ac:dyDescent="0.25">
      <c r="C329" s="39"/>
      <c r="E329" s="72" t="s">
        <v>807</v>
      </c>
      <c r="F329" s="74">
        <v>0.97399999999999998</v>
      </c>
      <c r="G329" s="74">
        <v>0.81599999999999995</v>
      </c>
      <c r="H329" s="124">
        <f>+I320/H320</f>
        <v>0.92343736603690196</v>
      </c>
      <c r="P329" s="11"/>
    </row>
    <row r="330" spans="3:16" x14ac:dyDescent="0.25">
      <c r="C330" s="39"/>
      <c r="E330" s="72"/>
      <c r="F330" s="11"/>
      <c r="G330" s="11"/>
      <c r="H330" s="104"/>
      <c r="P330" s="11"/>
    </row>
    <row r="331" spans="3:16" x14ac:dyDescent="0.25">
      <c r="C331" s="39"/>
      <c r="E331" s="72" t="s">
        <v>803</v>
      </c>
      <c r="F331" s="74">
        <f>7/8</f>
        <v>0.875</v>
      </c>
      <c r="G331" s="74">
        <v>0.8</v>
      </c>
      <c r="H331" s="108">
        <f>+P320</f>
        <v>0.9</v>
      </c>
      <c r="P331" s="11"/>
    </row>
    <row r="332" spans="3:16" x14ac:dyDescent="0.25">
      <c r="C332" s="107"/>
      <c r="D332" s="52"/>
      <c r="E332" s="72" t="s">
        <v>804</v>
      </c>
      <c r="F332" s="74">
        <v>0.75</v>
      </c>
      <c r="G332" s="74">
        <f>6/7</f>
        <v>0.8571428571428571</v>
      </c>
      <c r="H332" s="108">
        <f>7/H324</f>
        <v>1</v>
      </c>
      <c r="P332" s="11"/>
    </row>
    <row r="333" spans="3:16" x14ac:dyDescent="0.25">
      <c r="C333" s="107"/>
      <c r="D333" s="52"/>
      <c r="E333" s="72" t="s">
        <v>805</v>
      </c>
      <c r="F333" s="74">
        <v>1</v>
      </c>
      <c r="G333" s="74">
        <v>0.66700000000000004</v>
      </c>
      <c r="H333" s="108">
        <f>2/H325</f>
        <v>0.66666666666666663</v>
      </c>
      <c r="P333" s="11"/>
    </row>
    <row r="334" spans="3:16" x14ac:dyDescent="0.25">
      <c r="C334" s="39"/>
      <c r="E334" s="72"/>
      <c r="F334" s="11"/>
      <c r="G334" s="11"/>
      <c r="H334" s="104"/>
      <c r="P334" s="11"/>
    </row>
    <row r="335" spans="3:16" x14ac:dyDescent="0.25">
      <c r="C335" s="39"/>
      <c r="E335" s="72" t="s">
        <v>1141</v>
      </c>
      <c r="F335" s="11">
        <v>1</v>
      </c>
      <c r="G335" s="11">
        <v>0</v>
      </c>
      <c r="H335" s="104">
        <v>4</v>
      </c>
    </row>
    <row r="336" spans="3:16" x14ac:dyDescent="0.25">
      <c r="E336" s="106" t="s">
        <v>1143</v>
      </c>
      <c r="F336" s="108">
        <f>+F335/F323</f>
        <v>0.125</v>
      </c>
      <c r="G336" s="74">
        <v>0</v>
      </c>
      <c r="H336" s="108">
        <f>+H335/H323</f>
        <v>0.4</v>
      </c>
    </row>
    <row r="337" spans="3:24" x14ac:dyDescent="0.25">
      <c r="C337" s="39"/>
      <c r="E337" s="72" t="s">
        <v>1142</v>
      </c>
      <c r="F337" s="11">
        <v>1</v>
      </c>
      <c r="G337" s="11">
        <v>0</v>
      </c>
      <c r="H337" s="104">
        <v>1</v>
      </c>
    </row>
    <row r="338" spans="3:24" x14ac:dyDescent="0.25">
      <c r="C338" s="39"/>
      <c r="E338" s="106" t="s">
        <v>1169</v>
      </c>
      <c r="F338" s="108">
        <f t="shared" ref="F338" si="19">+F337/F323</f>
        <v>0.125</v>
      </c>
      <c r="G338" s="108">
        <f t="shared" ref="G338" si="20">+G337/G323</f>
        <v>0</v>
      </c>
      <c r="H338" s="108">
        <f>+H337/H323</f>
        <v>0.1</v>
      </c>
    </row>
    <row r="339" spans="3:24" x14ac:dyDescent="0.25">
      <c r="C339" s="39"/>
    </row>
    <row r="340" spans="3:24" x14ac:dyDescent="0.25">
      <c r="C340" s="39"/>
    </row>
    <row r="341" spans="3:24" x14ac:dyDescent="0.25">
      <c r="C341" s="39"/>
    </row>
    <row r="342" spans="3:24" x14ac:dyDescent="0.25">
      <c r="C342" s="39">
        <v>2017</v>
      </c>
      <c r="D342" s="62" t="s">
        <v>1107</v>
      </c>
      <c r="E342" s="63" t="s">
        <v>1109</v>
      </c>
      <c r="F342" s="64">
        <v>43034</v>
      </c>
      <c r="G342" s="65" t="s">
        <v>756</v>
      </c>
      <c r="H342" s="94">
        <v>2194000</v>
      </c>
      <c r="I342" s="27">
        <v>1361078</v>
      </c>
      <c r="J342" s="27"/>
      <c r="K342" s="26">
        <v>-0.3796362807657247</v>
      </c>
      <c r="L342" s="11" t="s">
        <v>465</v>
      </c>
      <c r="M342" s="15">
        <v>6</v>
      </c>
      <c r="N342" s="35" t="s">
        <v>25</v>
      </c>
      <c r="O342" s="15">
        <v>4</v>
      </c>
      <c r="P342" s="35" t="s">
        <v>459</v>
      </c>
      <c r="Q342" s="15"/>
      <c r="R342" s="24"/>
      <c r="S342" s="62" t="s">
        <v>447</v>
      </c>
      <c r="T342" s="15"/>
      <c r="U342" s="15"/>
      <c r="V342" s="54">
        <v>2194000</v>
      </c>
      <c r="W342" s="54">
        <v>1361078</v>
      </c>
      <c r="X342" s="54">
        <v>832922</v>
      </c>
    </row>
    <row r="343" spans="3:24" x14ac:dyDescent="0.25">
      <c r="C343" s="101">
        <v>2017</v>
      </c>
      <c r="D343" s="62" t="s">
        <v>1042</v>
      </c>
      <c r="E343" s="63" t="s">
        <v>1043</v>
      </c>
      <c r="F343" s="64">
        <v>42913</v>
      </c>
      <c r="G343" s="65" t="s">
        <v>190</v>
      </c>
      <c r="H343" s="94">
        <v>1480000</v>
      </c>
      <c r="I343" s="27">
        <v>1483000</v>
      </c>
      <c r="J343" s="27"/>
      <c r="K343" s="26">
        <v>2.0270270270270271E-3</v>
      </c>
      <c r="L343" s="11" t="s">
        <v>464</v>
      </c>
      <c r="M343" s="15">
        <v>7</v>
      </c>
      <c r="N343" s="35" t="s">
        <v>25</v>
      </c>
      <c r="O343" s="15">
        <v>2</v>
      </c>
      <c r="P343" s="35" t="s">
        <v>459</v>
      </c>
      <c r="Q343" s="15"/>
      <c r="R343" s="24"/>
      <c r="S343" s="62" t="s">
        <v>447</v>
      </c>
      <c r="T343" s="15"/>
      <c r="U343" s="15"/>
      <c r="V343" s="54">
        <v>1480000</v>
      </c>
      <c r="W343" s="54">
        <v>1483000</v>
      </c>
      <c r="X343" s="54">
        <v>-3000</v>
      </c>
    </row>
    <row r="344" spans="3:24" x14ac:dyDescent="0.25">
      <c r="C344" s="39">
        <v>2017</v>
      </c>
      <c r="D344" s="62" t="s">
        <v>1018</v>
      </c>
      <c r="E344" s="63" t="s">
        <v>1019</v>
      </c>
      <c r="F344" s="64">
        <v>42873</v>
      </c>
      <c r="G344" s="65" t="s">
        <v>756</v>
      </c>
      <c r="H344" s="94">
        <v>29400000</v>
      </c>
      <c r="I344" s="27">
        <v>40981000</v>
      </c>
      <c r="J344" s="105" t="s">
        <v>519</v>
      </c>
      <c r="K344" s="26">
        <v>0.39391156462585036</v>
      </c>
      <c r="L344" s="11" t="s">
        <v>465</v>
      </c>
      <c r="M344" s="15">
        <v>2</v>
      </c>
      <c r="N344" s="35" t="s">
        <v>25</v>
      </c>
      <c r="O344" s="15">
        <v>2</v>
      </c>
      <c r="P344" s="35" t="s">
        <v>459</v>
      </c>
      <c r="Q344" s="15"/>
      <c r="R344" s="24"/>
      <c r="S344" s="62" t="s">
        <v>447</v>
      </c>
      <c r="T344" s="15"/>
      <c r="U344" s="15"/>
      <c r="V344" s="54">
        <v>29400000</v>
      </c>
      <c r="W344" s="54">
        <v>40981000</v>
      </c>
      <c r="X344" s="54">
        <v>-11581000</v>
      </c>
    </row>
    <row r="345" spans="3:24" x14ac:dyDescent="0.25">
      <c r="C345" s="39">
        <v>2017</v>
      </c>
      <c r="D345" s="62" t="s">
        <v>983</v>
      </c>
      <c r="E345" s="63" t="s">
        <v>985</v>
      </c>
      <c r="F345" s="64">
        <v>42844</v>
      </c>
      <c r="G345" s="65" t="s">
        <v>190</v>
      </c>
      <c r="H345" s="94">
        <v>30360000</v>
      </c>
      <c r="I345" s="27">
        <v>32920674</v>
      </c>
      <c r="J345" s="27" t="s">
        <v>519</v>
      </c>
      <c r="K345" s="26">
        <v>8.4343675889328062E-2</v>
      </c>
      <c r="L345" s="11" t="s">
        <v>464</v>
      </c>
      <c r="M345" s="15">
        <v>3</v>
      </c>
      <c r="N345" s="35" t="s">
        <v>25</v>
      </c>
      <c r="O345" s="15">
        <v>2</v>
      </c>
      <c r="P345" s="35" t="s">
        <v>459</v>
      </c>
      <c r="Q345" s="15"/>
      <c r="R345" s="24"/>
      <c r="S345" s="62" t="s">
        <v>447</v>
      </c>
      <c r="T345" s="15"/>
      <c r="U345" s="15"/>
      <c r="V345" s="54">
        <v>30360000</v>
      </c>
      <c r="W345" s="54">
        <v>32920674</v>
      </c>
      <c r="X345" s="54">
        <v>-2560674</v>
      </c>
    </row>
    <row r="346" spans="3:24" x14ac:dyDescent="0.25">
      <c r="C346" s="39"/>
      <c r="E346" s="85"/>
      <c r="F346" s="85"/>
      <c r="G346" s="85"/>
      <c r="H346" s="86">
        <f>SUM(H342:H345)</f>
        <v>63434000</v>
      </c>
      <c r="I346" s="86">
        <f>SUM(I342:I345)</f>
        <v>76745752</v>
      </c>
      <c r="J346" s="85"/>
      <c r="K346" s="87">
        <f>+I346/H346</f>
        <v>1.2098520036573446</v>
      </c>
      <c r="L346" s="85">
        <f>COUNTA(L342:L345)</f>
        <v>4</v>
      </c>
      <c r="M346" s="88">
        <f>SUM(M342:M345)/L346</f>
        <v>4.5</v>
      </c>
      <c r="N346" s="89"/>
      <c r="O346" s="85"/>
      <c r="P346" s="119">
        <f>2/L346</f>
        <v>0.5</v>
      </c>
      <c r="Q346" s="85"/>
    </row>
    <row r="347" spans="3:24" x14ac:dyDescent="0.25">
      <c r="C347" s="39"/>
    </row>
    <row r="348" spans="3:24" x14ac:dyDescent="0.25">
      <c r="C348" s="39"/>
      <c r="E348" s="126" t="s">
        <v>1172</v>
      </c>
      <c r="F348" s="70" t="str">
        <f>"'15 final"</f>
        <v>'15 final</v>
      </c>
      <c r="G348" s="70" t="str">
        <f>"'16 final"</f>
        <v>'16 final</v>
      </c>
      <c r="H348" s="121" t="str">
        <f>"'17 final"</f>
        <v>'17 final</v>
      </c>
      <c r="P348" s="11"/>
    </row>
    <row r="349" spans="3:24" x14ac:dyDescent="0.25">
      <c r="C349" s="39"/>
      <c r="E349" s="71" t="s">
        <v>800</v>
      </c>
      <c r="F349" s="11">
        <v>4</v>
      </c>
      <c r="G349" s="11">
        <v>6</v>
      </c>
      <c r="H349" s="104">
        <f>+L346</f>
        <v>4</v>
      </c>
      <c r="P349" s="11"/>
    </row>
    <row r="350" spans="3:24" x14ac:dyDescent="0.25">
      <c r="C350" s="39"/>
      <c r="E350" s="72" t="s">
        <v>801</v>
      </c>
      <c r="F350" s="11">
        <v>4</v>
      </c>
      <c r="G350" s="11">
        <v>5</v>
      </c>
      <c r="H350" s="104">
        <f>+H349-H351</f>
        <v>2</v>
      </c>
      <c r="P350" s="11"/>
    </row>
    <row r="351" spans="3:24" x14ac:dyDescent="0.25">
      <c r="C351" s="39"/>
      <c r="E351" s="72" t="s">
        <v>802</v>
      </c>
      <c r="F351" s="11">
        <v>0</v>
      </c>
      <c r="G351" s="11">
        <v>1</v>
      </c>
      <c r="H351" s="104">
        <v>2</v>
      </c>
      <c r="P351" s="11"/>
    </row>
    <row r="352" spans="3:24" x14ac:dyDescent="0.25">
      <c r="C352" s="39"/>
      <c r="E352" s="72"/>
      <c r="F352" s="11"/>
      <c r="G352" s="11"/>
      <c r="H352" s="104"/>
      <c r="P352" s="11"/>
    </row>
    <row r="353" spans="2:18" x14ac:dyDescent="0.25">
      <c r="C353" s="39"/>
      <c r="E353" s="72" t="s">
        <v>1144</v>
      </c>
      <c r="F353" s="78">
        <v>14</v>
      </c>
      <c r="G353" s="78">
        <v>32</v>
      </c>
      <c r="H353" s="122">
        <f>+I346/1000000</f>
        <v>76.745751999999996</v>
      </c>
      <c r="P353" s="11"/>
    </row>
    <row r="354" spans="2:18" x14ac:dyDescent="0.25">
      <c r="C354" s="39"/>
      <c r="E354" s="72" t="s">
        <v>806</v>
      </c>
      <c r="F354" s="75">
        <v>2.8</v>
      </c>
      <c r="G354" s="75">
        <v>4.33</v>
      </c>
      <c r="H354" s="123">
        <f>+M346</f>
        <v>4.5</v>
      </c>
      <c r="P354" s="11"/>
    </row>
    <row r="355" spans="2:18" x14ac:dyDescent="0.25">
      <c r="C355" s="39"/>
      <c r="E355" s="72" t="s">
        <v>807</v>
      </c>
      <c r="F355" s="74">
        <v>1.3169999999999999</v>
      </c>
      <c r="G355" s="74">
        <v>0.90100000000000002</v>
      </c>
      <c r="H355" s="124">
        <f>+I346/H346</f>
        <v>1.2098520036573446</v>
      </c>
      <c r="P355" s="11"/>
    </row>
    <row r="356" spans="2:18" x14ac:dyDescent="0.25">
      <c r="C356" s="39"/>
      <c r="E356" s="72"/>
      <c r="F356" s="11"/>
      <c r="G356" s="11"/>
      <c r="H356" s="104"/>
      <c r="P356" s="11"/>
    </row>
    <row r="357" spans="2:18" x14ac:dyDescent="0.25">
      <c r="C357" s="39"/>
      <c r="E357" s="72" t="s">
        <v>803</v>
      </c>
      <c r="F357" s="74">
        <v>0.25</v>
      </c>
      <c r="G357" s="74">
        <f>4/6</f>
        <v>0.66666666666666663</v>
      </c>
      <c r="H357" s="108">
        <f>+P346</f>
        <v>0.5</v>
      </c>
      <c r="P357" s="11"/>
    </row>
    <row r="358" spans="2:18" x14ac:dyDescent="0.25">
      <c r="C358" s="107"/>
      <c r="D358" s="52"/>
      <c r="E358" s="72" t="s">
        <v>804</v>
      </c>
      <c r="F358" s="74">
        <v>0.25</v>
      </c>
      <c r="G358" s="74">
        <f>3/5</f>
        <v>0.6</v>
      </c>
      <c r="H358" s="108">
        <f>1/H350</f>
        <v>0.5</v>
      </c>
      <c r="P358" s="11"/>
    </row>
    <row r="359" spans="2:18" x14ac:dyDescent="0.25">
      <c r="C359" s="107"/>
      <c r="D359" s="52"/>
      <c r="E359" s="72" t="s">
        <v>805</v>
      </c>
      <c r="F359" s="127" t="s">
        <v>1173</v>
      </c>
      <c r="G359" s="74">
        <v>1</v>
      </c>
      <c r="H359" s="108">
        <f>1/H351</f>
        <v>0.5</v>
      </c>
      <c r="P359" s="11"/>
    </row>
    <row r="360" spans="2:18" x14ac:dyDescent="0.25">
      <c r="C360" s="39"/>
      <c r="E360" s="72"/>
      <c r="F360" s="11"/>
      <c r="G360" s="11"/>
      <c r="H360" s="104"/>
      <c r="P360" s="11"/>
    </row>
    <row r="361" spans="2:18" x14ac:dyDescent="0.25">
      <c r="C361" s="39"/>
      <c r="E361" s="72" t="s">
        <v>1141</v>
      </c>
      <c r="F361" s="11">
        <v>4</v>
      </c>
      <c r="G361" s="11">
        <v>3</v>
      </c>
      <c r="H361" s="104">
        <v>2</v>
      </c>
    </row>
    <row r="362" spans="2:18" x14ac:dyDescent="0.25">
      <c r="E362" s="106" t="s">
        <v>1143</v>
      </c>
      <c r="F362" s="74">
        <f>F361/F349</f>
        <v>1</v>
      </c>
      <c r="G362" s="74">
        <f>G361/G349</f>
        <v>0.5</v>
      </c>
      <c r="H362" s="108">
        <f>+H361/H349</f>
        <v>0.5</v>
      </c>
    </row>
    <row r="363" spans="2:18" x14ac:dyDescent="0.25">
      <c r="C363" s="39"/>
      <c r="E363" s="72" t="s">
        <v>1142</v>
      </c>
      <c r="F363" s="11">
        <v>1</v>
      </c>
      <c r="G363" s="11">
        <v>1</v>
      </c>
      <c r="H363" s="104">
        <v>0</v>
      </c>
    </row>
    <row r="364" spans="2:18" x14ac:dyDescent="0.25">
      <c r="C364" s="39"/>
      <c r="E364" s="106" t="s">
        <v>1169</v>
      </c>
      <c r="F364" s="108">
        <f t="shared" ref="F364:G364" si="21">+F363/F349</f>
        <v>0.25</v>
      </c>
      <c r="G364" s="108">
        <f t="shared" si="21"/>
        <v>0.16666666666666666</v>
      </c>
      <c r="H364" s="108">
        <f>+H363/H349</f>
        <v>0</v>
      </c>
    </row>
    <row r="365" spans="2:18" x14ac:dyDescent="0.25">
      <c r="C365" s="39"/>
    </row>
    <row r="366" spans="2:18" x14ac:dyDescent="0.25">
      <c r="C366" s="39"/>
    </row>
    <row r="367" spans="2:18" x14ac:dyDescent="0.25">
      <c r="B367" s="128"/>
      <c r="C367" s="129"/>
      <c r="D367" s="128"/>
      <c r="E367" s="128"/>
      <c r="F367" s="128"/>
      <c r="G367" s="128"/>
      <c r="H367" s="128"/>
      <c r="I367" s="128"/>
      <c r="J367" s="128"/>
      <c r="K367" s="128"/>
      <c r="L367" s="128"/>
      <c r="M367" s="128"/>
      <c r="N367" s="130"/>
      <c r="O367" s="128"/>
      <c r="P367" s="128"/>
      <c r="Q367" s="128"/>
      <c r="R367" s="128"/>
    </row>
    <row r="368" spans="2:18" x14ac:dyDescent="0.25">
      <c r="C368" s="39"/>
    </row>
    <row r="369" spans="3:24" x14ac:dyDescent="0.25">
      <c r="C369" s="39"/>
    </row>
    <row r="370" spans="3:24" x14ac:dyDescent="0.25">
      <c r="C370" s="39"/>
      <c r="D370" s="15"/>
      <c r="E370" s="24"/>
      <c r="F370" s="25"/>
      <c r="G370" s="46"/>
      <c r="H370" s="27"/>
      <c r="I370" s="27"/>
      <c r="J370" s="27"/>
      <c r="K370" s="26"/>
      <c r="L370" s="11"/>
      <c r="M370" s="62"/>
      <c r="P370" s="11"/>
      <c r="V370" s="54"/>
      <c r="W370" s="54"/>
      <c r="X370" s="54"/>
    </row>
    <row r="371" spans="3:24" x14ac:dyDescent="0.25">
      <c r="C371" s="39"/>
    </row>
    <row r="372" spans="3:24" x14ac:dyDescent="0.25">
      <c r="C372" s="39"/>
    </row>
    <row r="373" spans="3:24" x14ac:dyDescent="0.25">
      <c r="C373" s="39"/>
    </row>
    <row r="374" spans="3:24" x14ac:dyDescent="0.25">
      <c r="C374" s="39">
        <v>2017</v>
      </c>
      <c r="D374" s="102" t="str">
        <f>+'LT-234.193'!$F$4</f>
        <v>LT-234.193</v>
      </c>
      <c r="E374" s="63" t="str">
        <f>+'LT-234.193'!$F$5</f>
        <v>Latent Salt Damage Repairs</v>
      </c>
      <c r="F374" s="64">
        <f>+'LT-234.193'!$F$6</f>
        <v>43054</v>
      </c>
      <c r="G374" s="65" t="str">
        <f>+'LT-234.193'!$G$7</f>
        <v>Public</v>
      </c>
      <c r="H374" s="94">
        <f>+'LT-234.193'!$F$7</f>
        <v>1350000</v>
      </c>
      <c r="I374" s="27">
        <f>+'LT-234.193'!$F$8</f>
        <v>2629000</v>
      </c>
      <c r="J374" s="27"/>
      <c r="K374" s="26">
        <f>+'LT-234.193'!$G$9</f>
        <v>0.94740740740740736</v>
      </c>
      <c r="L374" s="11" t="str">
        <f>+'LT-234.193'!$F$11</f>
        <v>FAIL</v>
      </c>
      <c r="M374" s="62">
        <f>+'LT-234.193'!$H$12</f>
        <v>1</v>
      </c>
      <c r="N374" s="35" t="s">
        <v>226</v>
      </c>
      <c r="O374" s="15">
        <v>4</v>
      </c>
      <c r="P374" s="35" t="s">
        <v>457</v>
      </c>
      <c r="Q374" s="15"/>
      <c r="R374" s="24" t="s">
        <v>782</v>
      </c>
      <c r="S374" s="62" t="str">
        <f>+'LT-234.193'!$J$4</f>
        <v>Joe Lucin</v>
      </c>
      <c r="T374" s="15"/>
      <c r="U374" s="15"/>
      <c r="V374" s="54">
        <f>+H374</f>
        <v>1350000</v>
      </c>
      <c r="W374" s="54">
        <f>+I374</f>
        <v>2629000</v>
      </c>
      <c r="X374" s="54">
        <f>+V374-W374</f>
        <v>-1279000</v>
      </c>
    </row>
    <row r="375" spans="3:24" x14ac:dyDescent="0.25">
      <c r="C375" s="39"/>
    </row>
    <row r="376" spans="3:24" x14ac:dyDescent="0.25">
      <c r="C376" s="39"/>
    </row>
    <row r="377" spans="3:24" x14ac:dyDescent="0.25">
      <c r="C377" s="39">
        <v>2017</v>
      </c>
      <c r="D377" s="102" t="s">
        <v>1150</v>
      </c>
      <c r="E377" s="63" t="s">
        <v>1151</v>
      </c>
      <c r="F377" s="64">
        <v>43083</v>
      </c>
      <c r="G377" s="65" t="s">
        <v>693</v>
      </c>
      <c r="H377" s="94">
        <v>979000</v>
      </c>
      <c r="I377" s="27">
        <v>1168000</v>
      </c>
      <c r="J377" s="27"/>
      <c r="K377" s="26">
        <v>0.1930541368743616</v>
      </c>
      <c r="L377" s="11" t="s">
        <v>465</v>
      </c>
      <c r="M377" s="62">
        <v>2</v>
      </c>
      <c r="N377" s="35" t="s">
        <v>25</v>
      </c>
      <c r="O377" s="15">
        <v>4</v>
      </c>
      <c r="P377" s="35" t="s">
        <v>458</v>
      </c>
      <c r="Q377" s="15"/>
      <c r="R377" s="24"/>
      <c r="S377" s="62" t="s">
        <v>784</v>
      </c>
      <c r="T377" s="15"/>
      <c r="U377" s="15"/>
      <c r="V377" s="54">
        <v>979000</v>
      </c>
      <c r="W377" s="54">
        <v>1168000</v>
      </c>
      <c r="X377" s="54">
        <v>-189000</v>
      </c>
    </row>
    <row r="378" spans="3:24" x14ac:dyDescent="0.25">
      <c r="C378" s="39">
        <v>2017</v>
      </c>
      <c r="D378" s="62" t="s">
        <v>1099</v>
      </c>
      <c r="E378" s="63" t="s">
        <v>1100</v>
      </c>
      <c r="F378" s="64">
        <v>43025</v>
      </c>
      <c r="G378" s="65" t="s">
        <v>34</v>
      </c>
      <c r="H378" s="94">
        <v>3000000</v>
      </c>
      <c r="I378" s="27">
        <v>2812500</v>
      </c>
      <c r="J378" s="27"/>
      <c r="K378" s="26">
        <v>-6.25E-2</v>
      </c>
      <c r="L378" s="11" t="s">
        <v>464</v>
      </c>
      <c r="M378" s="62">
        <v>2</v>
      </c>
      <c r="N378" s="35" t="s">
        <v>25</v>
      </c>
      <c r="O378" s="15">
        <v>4</v>
      </c>
      <c r="P378" s="35" t="s">
        <v>458</v>
      </c>
      <c r="Q378" s="15"/>
      <c r="R378" s="24"/>
      <c r="S378" s="62" t="s">
        <v>616</v>
      </c>
      <c r="T378" s="15"/>
      <c r="U378" s="15"/>
      <c r="V378" s="54">
        <v>3000000</v>
      </c>
      <c r="W378" s="54">
        <v>2812500</v>
      </c>
      <c r="X378" s="54">
        <v>187500</v>
      </c>
    </row>
    <row r="379" spans="3:24" x14ac:dyDescent="0.25">
      <c r="C379" s="39">
        <v>2017</v>
      </c>
      <c r="D379" s="62" t="s">
        <v>1049</v>
      </c>
      <c r="E379" s="63" t="s">
        <v>1050</v>
      </c>
      <c r="F379" s="64">
        <v>42942</v>
      </c>
      <c r="G379" s="65" t="s">
        <v>34</v>
      </c>
      <c r="H379" s="94">
        <v>700000</v>
      </c>
      <c r="I379" s="27">
        <v>614770</v>
      </c>
      <c r="J379" s="27"/>
      <c r="K379" s="26">
        <v>-0.12175714285714286</v>
      </c>
      <c r="L379" s="11" t="s">
        <v>464</v>
      </c>
      <c r="M379" s="62">
        <v>2</v>
      </c>
      <c r="N379" s="35" t="s">
        <v>93</v>
      </c>
      <c r="O379" s="15">
        <v>3</v>
      </c>
      <c r="P379" s="35" t="s">
        <v>457</v>
      </c>
      <c r="Q379" s="15"/>
      <c r="R379" s="24"/>
      <c r="S379" s="62" t="s">
        <v>536</v>
      </c>
      <c r="T379" s="15"/>
      <c r="U379" s="15"/>
      <c r="V379" s="54">
        <v>700000</v>
      </c>
      <c r="W379" s="54">
        <v>614770</v>
      </c>
      <c r="X379" s="54">
        <v>85230</v>
      </c>
    </row>
    <row r="380" spans="3:24" x14ac:dyDescent="0.25">
      <c r="C380" s="39">
        <v>2017</v>
      </c>
      <c r="D380" s="62" t="s">
        <v>1021</v>
      </c>
      <c r="E380" s="63" t="s">
        <v>1022</v>
      </c>
      <c r="F380" s="64">
        <v>42892</v>
      </c>
      <c r="G380" s="65" t="s">
        <v>34</v>
      </c>
      <c r="H380" s="94">
        <v>771000</v>
      </c>
      <c r="I380" s="27">
        <v>946600</v>
      </c>
      <c r="J380" s="27"/>
      <c r="K380" s="26">
        <v>0.22775616083009079</v>
      </c>
      <c r="L380" s="11" t="s">
        <v>465</v>
      </c>
      <c r="M380" s="62">
        <v>2</v>
      </c>
      <c r="N380" s="35" t="s">
        <v>25</v>
      </c>
      <c r="O380" s="15">
        <v>2</v>
      </c>
      <c r="P380" s="35" t="s">
        <v>457</v>
      </c>
      <c r="Q380" s="15"/>
      <c r="R380" s="24"/>
      <c r="S380" s="62" t="s">
        <v>630</v>
      </c>
      <c r="T380" s="15"/>
      <c r="U380" s="15"/>
      <c r="V380" s="54">
        <v>771000</v>
      </c>
      <c r="W380" s="54">
        <v>946600</v>
      </c>
      <c r="X380" s="54">
        <v>-175600</v>
      </c>
    </row>
    <row r="381" spans="3:24" x14ac:dyDescent="0.25">
      <c r="C381" s="39">
        <v>2017</v>
      </c>
      <c r="D381" s="62" t="s">
        <v>1018</v>
      </c>
      <c r="E381" s="63" t="s">
        <v>1019</v>
      </c>
      <c r="F381" s="64">
        <v>42873</v>
      </c>
      <c r="G381" s="65" t="s">
        <v>756</v>
      </c>
      <c r="H381" s="94">
        <v>29400000</v>
      </c>
      <c r="I381" s="27">
        <v>40981000</v>
      </c>
      <c r="J381" s="105" t="s">
        <v>519</v>
      </c>
      <c r="K381" s="26">
        <v>0.39391156462585036</v>
      </c>
      <c r="L381" s="11" t="s">
        <v>465</v>
      </c>
      <c r="M381" s="62">
        <v>2</v>
      </c>
      <c r="N381" s="35" t="s">
        <v>25</v>
      </c>
      <c r="O381" s="15">
        <v>2</v>
      </c>
      <c r="P381" s="35" t="s">
        <v>459</v>
      </c>
      <c r="Q381" s="15"/>
      <c r="R381" s="24"/>
      <c r="S381" s="62" t="s">
        <v>447</v>
      </c>
      <c r="T381" s="15"/>
      <c r="U381" s="15"/>
      <c r="V381" s="54">
        <v>29400000</v>
      </c>
      <c r="W381" s="54">
        <v>40981000</v>
      </c>
      <c r="X381" s="54">
        <v>-11581000</v>
      </c>
    </row>
    <row r="382" spans="3:24" x14ac:dyDescent="0.25">
      <c r="C382" s="39">
        <v>2017</v>
      </c>
      <c r="D382" s="62" t="s">
        <v>999</v>
      </c>
      <c r="E382" s="63" t="s">
        <v>1000</v>
      </c>
      <c r="F382" s="64">
        <v>42871</v>
      </c>
      <c r="G382" s="65" t="s">
        <v>34</v>
      </c>
      <c r="H382" s="94">
        <v>9000000</v>
      </c>
      <c r="I382" s="27">
        <v>10805265</v>
      </c>
      <c r="J382" s="105" t="s">
        <v>519</v>
      </c>
      <c r="K382" s="26">
        <v>0.20058500000000001</v>
      </c>
      <c r="L382" s="11" t="s">
        <v>465</v>
      </c>
      <c r="M382" s="62">
        <v>2</v>
      </c>
      <c r="N382" s="35" t="s">
        <v>25</v>
      </c>
      <c r="O382" s="15">
        <v>2</v>
      </c>
      <c r="P382" s="35" t="s">
        <v>492</v>
      </c>
      <c r="Q382" s="15"/>
      <c r="R382" s="24"/>
      <c r="S382" s="62" t="s">
        <v>816</v>
      </c>
      <c r="T382" s="15"/>
      <c r="U382" s="15"/>
      <c r="V382" s="54">
        <v>9000000</v>
      </c>
      <c r="W382" s="54">
        <v>10805265</v>
      </c>
      <c r="X382" s="54">
        <v>-1805265</v>
      </c>
    </row>
    <row r="383" spans="3:24" x14ac:dyDescent="0.25">
      <c r="C383" s="39">
        <v>2017</v>
      </c>
      <c r="D383" s="62" t="s">
        <v>986</v>
      </c>
      <c r="E383" s="63" t="s">
        <v>982</v>
      </c>
      <c r="F383" s="64">
        <v>42845</v>
      </c>
      <c r="G383" s="65" t="s">
        <v>190</v>
      </c>
      <c r="H383" s="94">
        <v>12630000</v>
      </c>
      <c r="I383" s="27">
        <v>10849023</v>
      </c>
      <c r="J383" s="27" t="s">
        <v>519</v>
      </c>
      <c r="K383" s="26">
        <v>-0.14101163895486934</v>
      </c>
      <c r="L383" s="11" t="s">
        <v>464</v>
      </c>
      <c r="M383" s="62">
        <v>2</v>
      </c>
      <c r="N383" s="35" t="s">
        <v>25</v>
      </c>
      <c r="O383" s="15">
        <v>2</v>
      </c>
      <c r="P383" s="35" t="s">
        <v>458</v>
      </c>
      <c r="Q383" s="15"/>
      <c r="R383" s="24"/>
      <c r="S383" s="62" t="s">
        <v>616</v>
      </c>
      <c r="T383" s="15"/>
      <c r="U383" s="15"/>
      <c r="V383" s="54">
        <v>12630000</v>
      </c>
      <c r="W383" s="54">
        <v>10849023</v>
      </c>
      <c r="X383" s="54">
        <v>1780977</v>
      </c>
    </row>
    <row r="384" spans="3:24" x14ac:dyDescent="0.25">
      <c r="C384" s="39">
        <v>2017</v>
      </c>
      <c r="D384" s="62" t="s">
        <v>828</v>
      </c>
      <c r="E384" s="63" t="s">
        <v>829</v>
      </c>
      <c r="F384" s="64">
        <v>42739</v>
      </c>
      <c r="G384" s="65" t="s">
        <v>190</v>
      </c>
      <c r="H384" s="94">
        <v>28695000</v>
      </c>
      <c r="I384" s="27">
        <v>31768035</v>
      </c>
      <c r="J384" s="27" t="s">
        <v>519</v>
      </c>
      <c r="K384" s="26">
        <v>0.10709304756926294</v>
      </c>
      <c r="L384" s="11" t="s">
        <v>464</v>
      </c>
      <c r="M384" s="62">
        <v>2</v>
      </c>
      <c r="N384" s="35" t="s">
        <v>93</v>
      </c>
      <c r="O384" s="15">
        <v>1</v>
      </c>
      <c r="P384" s="35" t="s">
        <v>458</v>
      </c>
      <c r="Q384" s="15"/>
      <c r="R384" s="24"/>
      <c r="S384" s="62" t="s">
        <v>616</v>
      </c>
      <c r="T384" s="15"/>
      <c r="U384" s="15"/>
      <c r="V384" s="54">
        <v>28695000</v>
      </c>
      <c r="W384" s="54">
        <v>31768035</v>
      </c>
      <c r="X384" s="54">
        <v>-3073035</v>
      </c>
    </row>
    <row r="385" spans="3:24" x14ac:dyDescent="0.25">
      <c r="C385" s="39"/>
    </row>
    <row r="386" spans="3:24" x14ac:dyDescent="0.25">
      <c r="C386" s="39"/>
    </row>
    <row r="387" spans="3:24" s="52" customFormat="1" x14ac:dyDescent="0.25">
      <c r="C387" s="101">
        <v>2017</v>
      </c>
      <c r="D387" s="102" t="s">
        <v>1136</v>
      </c>
      <c r="E387" s="63" t="s">
        <v>1137</v>
      </c>
      <c r="F387" s="64">
        <v>43074</v>
      </c>
      <c r="G387" s="65" t="s">
        <v>34</v>
      </c>
      <c r="H387" s="94">
        <v>1530000</v>
      </c>
      <c r="I387" s="94">
        <v>1189000</v>
      </c>
      <c r="J387" s="94"/>
      <c r="K387" s="153">
        <v>-0.22287581699346407</v>
      </c>
      <c r="L387" s="11" t="s">
        <v>464</v>
      </c>
      <c r="M387" s="62">
        <v>3</v>
      </c>
      <c r="N387" s="154" t="s">
        <v>25</v>
      </c>
      <c r="O387" s="62">
        <v>4</v>
      </c>
      <c r="P387" s="154" t="s">
        <v>458</v>
      </c>
      <c r="Q387" s="62"/>
      <c r="R387" s="63"/>
      <c r="S387" s="62" t="s">
        <v>616</v>
      </c>
      <c r="T387" s="62"/>
      <c r="U387" s="62"/>
      <c r="V387" s="155">
        <v>1530000</v>
      </c>
      <c r="W387" s="155">
        <v>1189000</v>
      </c>
      <c r="X387" s="155">
        <v>341000</v>
      </c>
    </row>
    <row r="388" spans="3:24" s="52" customFormat="1" x14ac:dyDescent="0.25">
      <c r="C388" s="101">
        <v>2017</v>
      </c>
      <c r="D388" s="62" t="s">
        <v>1116</v>
      </c>
      <c r="E388" s="63" t="s">
        <v>1117</v>
      </c>
      <c r="F388" s="64">
        <v>43047</v>
      </c>
      <c r="G388" s="65" t="s">
        <v>190</v>
      </c>
      <c r="H388" s="94">
        <v>26900000</v>
      </c>
      <c r="I388" s="94">
        <v>26600000</v>
      </c>
      <c r="J388" s="94" t="s">
        <v>519</v>
      </c>
      <c r="K388" s="153">
        <v>-1.1152416356877323E-2</v>
      </c>
      <c r="L388" s="11" t="s">
        <v>464</v>
      </c>
      <c r="M388" s="62">
        <v>3</v>
      </c>
      <c r="N388" s="154" t="s">
        <v>25</v>
      </c>
      <c r="O388" s="62">
        <v>4</v>
      </c>
      <c r="P388" s="154" t="s">
        <v>458</v>
      </c>
      <c r="Q388" s="62"/>
      <c r="R388" s="63"/>
      <c r="S388" s="62" t="s">
        <v>616</v>
      </c>
      <c r="T388" s="62"/>
      <c r="U388" s="62"/>
      <c r="V388" s="155">
        <v>26900000</v>
      </c>
      <c r="W388" s="155">
        <v>26600000</v>
      </c>
      <c r="X388" s="155">
        <v>300000</v>
      </c>
    </row>
    <row r="389" spans="3:24" s="52" customFormat="1" x14ac:dyDescent="0.25">
      <c r="C389" s="101">
        <v>2017</v>
      </c>
      <c r="D389" s="62" t="s">
        <v>1068</v>
      </c>
      <c r="E389" s="63" t="s">
        <v>1069</v>
      </c>
      <c r="F389" s="64">
        <v>42964</v>
      </c>
      <c r="G389" s="65" t="s">
        <v>190</v>
      </c>
      <c r="H389" s="94">
        <v>8500000</v>
      </c>
      <c r="I389" s="94">
        <v>5682000</v>
      </c>
      <c r="J389" s="94" t="s">
        <v>519</v>
      </c>
      <c r="K389" s="153">
        <v>-0.33152941176470591</v>
      </c>
      <c r="L389" s="11" t="s">
        <v>465</v>
      </c>
      <c r="M389" s="62">
        <v>3</v>
      </c>
      <c r="N389" s="154" t="s">
        <v>25</v>
      </c>
      <c r="O389" s="62">
        <v>3</v>
      </c>
      <c r="P389" s="154" t="s">
        <v>458</v>
      </c>
      <c r="Q389" s="62"/>
      <c r="R389" s="63"/>
      <c r="S389" s="62" t="s">
        <v>616</v>
      </c>
      <c r="T389" s="62"/>
      <c r="U389" s="62"/>
      <c r="V389" s="155">
        <v>8500000</v>
      </c>
      <c r="W389" s="155">
        <v>5682000</v>
      </c>
      <c r="X389" s="155">
        <v>2818000</v>
      </c>
    </row>
    <row r="390" spans="3:24" s="52" customFormat="1" x14ac:dyDescent="0.25">
      <c r="C390" s="101">
        <v>2017</v>
      </c>
      <c r="D390" s="62" t="s">
        <v>1038</v>
      </c>
      <c r="E390" s="63" t="s">
        <v>1039</v>
      </c>
      <c r="F390" s="64">
        <v>42901</v>
      </c>
      <c r="G390" s="65" t="s">
        <v>693</v>
      </c>
      <c r="H390" s="94">
        <v>850000</v>
      </c>
      <c r="I390" s="94">
        <v>887000</v>
      </c>
      <c r="J390" s="94"/>
      <c r="K390" s="153">
        <v>4.3529411764705879E-2</v>
      </c>
      <c r="L390" s="11" t="s">
        <v>464</v>
      </c>
      <c r="M390" s="62">
        <v>3</v>
      </c>
      <c r="N390" s="154" t="s">
        <v>25</v>
      </c>
      <c r="O390" s="62">
        <v>2</v>
      </c>
      <c r="P390" s="154" t="s">
        <v>458</v>
      </c>
      <c r="Q390" s="62"/>
      <c r="R390" s="63"/>
      <c r="S390" s="62" t="s">
        <v>616</v>
      </c>
      <c r="T390" s="62"/>
      <c r="U390" s="62"/>
      <c r="V390" s="155">
        <v>850000</v>
      </c>
      <c r="W390" s="155">
        <v>887000</v>
      </c>
      <c r="X390" s="155">
        <v>-37000</v>
      </c>
    </row>
    <row r="391" spans="3:24" s="52" customFormat="1" x14ac:dyDescent="0.25">
      <c r="C391" s="101">
        <v>2017</v>
      </c>
      <c r="D391" s="62" t="s">
        <v>1025</v>
      </c>
      <c r="E391" s="63" t="s">
        <v>1026</v>
      </c>
      <c r="F391" s="64">
        <v>42893</v>
      </c>
      <c r="G391" s="65" t="s">
        <v>693</v>
      </c>
      <c r="H391" s="94">
        <v>650000</v>
      </c>
      <c r="I391" s="94">
        <v>865508</v>
      </c>
      <c r="J391" s="94"/>
      <c r="K391" s="153">
        <v>0.3315507692307692</v>
      </c>
      <c r="L391" s="11" t="s">
        <v>465</v>
      </c>
      <c r="M391" s="62">
        <v>3</v>
      </c>
      <c r="N391" s="154" t="s">
        <v>25</v>
      </c>
      <c r="O391" s="62">
        <v>2</v>
      </c>
      <c r="P391" s="154" t="s">
        <v>458</v>
      </c>
      <c r="Q391" s="62"/>
      <c r="R391" s="63"/>
      <c r="S391" s="62" t="s">
        <v>616</v>
      </c>
      <c r="T391" s="62"/>
      <c r="U391" s="62"/>
      <c r="V391" s="155">
        <v>650000</v>
      </c>
      <c r="W391" s="155">
        <v>865508</v>
      </c>
      <c r="X391" s="155">
        <v>-215508</v>
      </c>
    </row>
    <row r="392" spans="3:24" s="52" customFormat="1" x14ac:dyDescent="0.25">
      <c r="C392" s="101">
        <v>2017</v>
      </c>
      <c r="D392" s="62" t="s">
        <v>995</v>
      </c>
      <c r="E392" s="63" t="s">
        <v>632</v>
      </c>
      <c r="F392" s="64">
        <v>42851</v>
      </c>
      <c r="G392" s="65" t="s">
        <v>190</v>
      </c>
      <c r="H392" s="94">
        <v>3589000</v>
      </c>
      <c r="I392" s="94">
        <v>3875045</v>
      </c>
      <c r="J392" s="94"/>
      <c r="K392" s="153">
        <v>7.9700473669545829E-2</v>
      </c>
      <c r="L392" s="11" t="s">
        <v>464</v>
      </c>
      <c r="M392" s="62">
        <v>3</v>
      </c>
      <c r="N392" s="154" t="s">
        <v>93</v>
      </c>
      <c r="O392" s="62">
        <v>2</v>
      </c>
      <c r="P392" s="154" t="s">
        <v>457</v>
      </c>
      <c r="Q392" s="62"/>
      <c r="R392" s="63"/>
      <c r="S392" s="62" t="s">
        <v>447</v>
      </c>
      <c r="T392" s="62"/>
      <c r="U392" s="62"/>
      <c r="V392" s="155">
        <v>3589000</v>
      </c>
      <c r="W392" s="155">
        <v>3875045</v>
      </c>
      <c r="X392" s="155">
        <v>-286045</v>
      </c>
    </row>
    <row r="393" spans="3:24" s="52" customFormat="1" x14ac:dyDescent="0.25">
      <c r="C393" s="101">
        <v>2017</v>
      </c>
      <c r="D393" s="62" t="s">
        <v>983</v>
      </c>
      <c r="E393" s="63" t="s">
        <v>985</v>
      </c>
      <c r="F393" s="64">
        <v>42844</v>
      </c>
      <c r="G393" s="65" t="s">
        <v>190</v>
      </c>
      <c r="H393" s="94">
        <v>30360000</v>
      </c>
      <c r="I393" s="94">
        <v>32920674</v>
      </c>
      <c r="J393" s="94" t="s">
        <v>519</v>
      </c>
      <c r="K393" s="153">
        <v>8.4343675889328062E-2</v>
      </c>
      <c r="L393" s="11" t="s">
        <v>464</v>
      </c>
      <c r="M393" s="62">
        <v>3</v>
      </c>
      <c r="N393" s="154" t="s">
        <v>25</v>
      </c>
      <c r="O393" s="62">
        <v>2</v>
      </c>
      <c r="P393" s="154" t="s">
        <v>459</v>
      </c>
      <c r="Q393" s="62"/>
      <c r="R393" s="63"/>
      <c r="S393" s="62" t="s">
        <v>447</v>
      </c>
      <c r="T393" s="62"/>
      <c r="U393" s="62"/>
      <c r="V393" s="155">
        <v>30360000</v>
      </c>
      <c r="W393" s="155">
        <v>32920674</v>
      </c>
      <c r="X393" s="155">
        <v>-2560674</v>
      </c>
    </row>
    <row r="394" spans="3:24" s="52" customFormat="1" x14ac:dyDescent="0.25">
      <c r="C394" s="101">
        <v>2017</v>
      </c>
      <c r="D394" s="62" t="s">
        <v>981</v>
      </c>
      <c r="E394" s="63" t="s">
        <v>982</v>
      </c>
      <c r="F394" s="64">
        <v>42844</v>
      </c>
      <c r="G394" s="65" t="s">
        <v>190</v>
      </c>
      <c r="H394" s="94">
        <v>18870000</v>
      </c>
      <c r="I394" s="94">
        <v>19910000</v>
      </c>
      <c r="J394" s="94" t="s">
        <v>519</v>
      </c>
      <c r="K394" s="153">
        <v>5.5113937466878642E-2</v>
      </c>
      <c r="L394" s="11" t="s">
        <v>464</v>
      </c>
      <c r="M394" s="62">
        <v>3</v>
      </c>
      <c r="N394" s="154" t="s">
        <v>25</v>
      </c>
      <c r="O394" s="62">
        <v>2</v>
      </c>
      <c r="P394" s="154" t="s">
        <v>458</v>
      </c>
      <c r="Q394" s="62"/>
      <c r="R394" s="63"/>
      <c r="S394" s="62" t="s">
        <v>616</v>
      </c>
      <c r="T394" s="62"/>
      <c r="U394" s="62"/>
      <c r="V394" s="155">
        <v>18870000</v>
      </c>
      <c r="W394" s="155">
        <v>19910000</v>
      </c>
      <c r="X394" s="155">
        <v>-1040000</v>
      </c>
    </row>
    <row r="395" spans="3:24" s="52" customFormat="1" x14ac:dyDescent="0.25">
      <c r="C395" s="101">
        <v>2017</v>
      </c>
      <c r="D395" s="62" t="s">
        <v>977</v>
      </c>
      <c r="E395" s="63" t="s">
        <v>978</v>
      </c>
      <c r="F395" s="64">
        <v>42831</v>
      </c>
      <c r="G395" s="65" t="s">
        <v>34</v>
      </c>
      <c r="H395" s="94">
        <v>1655000</v>
      </c>
      <c r="I395" s="94">
        <v>1398667</v>
      </c>
      <c r="J395" s="94"/>
      <c r="K395" s="153">
        <v>-0.15488398791540786</v>
      </c>
      <c r="L395" s="11" t="s">
        <v>464</v>
      </c>
      <c r="M395" s="62">
        <v>3</v>
      </c>
      <c r="N395" s="154" t="s">
        <v>93</v>
      </c>
      <c r="O395" s="62">
        <v>2</v>
      </c>
      <c r="P395" s="154" t="s">
        <v>492</v>
      </c>
      <c r="Q395" s="62"/>
      <c r="R395" s="63"/>
      <c r="S395" s="62" t="s">
        <v>816</v>
      </c>
      <c r="T395" s="62"/>
      <c r="U395" s="62"/>
      <c r="V395" s="155">
        <v>1655000</v>
      </c>
      <c r="W395" s="155">
        <v>1398667</v>
      </c>
      <c r="X395" s="155">
        <v>256333</v>
      </c>
    </row>
    <row r="396" spans="3:24" s="52" customFormat="1" x14ac:dyDescent="0.25">
      <c r="C396" s="101">
        <v>2017</v>
      </c>
      <c r="D396" s="62" t="s">
        <v>964</v>
      </c>
      <c r="E396" s="63" t="s">
        <v>965</v>
      </c>
      <c r="F396" s="64">
        <v>42815</v>
      </c>
      <c r="G396" s="65" t="s">
        <v>190</v>
      </c>
      <c r="H396" s="94">
        <v>3750000</v>
      </c>
      <c r="I396" s="94">
        <v>2468147</v>
      </c>
      <c r="J396" s="94"/>
      <c r="K396" s="153">
        <v>-0.34182746666666669</v>
      </c>
      <c r="L396" s="11" t="s">
        <v>465</v>
      </c>
      <c r="M396" s="62">
        <v>3</v>
      </c>
      <c r="N396" s="154" t="s">
        <v>93</v>
      </c>
      <c r="O396" s="62">
        <v>1</v>
      </c>
      <c r="P396" s="154" t="s">
        <v>458</v>
      </c>
      <c r="Q396" s="62"/>
      <c r="R396" s="63"/>
      <c r="S396" s="62" t="s">
        <v>784</v>
      </c>
      <c r="T396" s="62"/>
      <c r="U396" s="62"/>
      <c r="V396" s="155">
        <v>3750000</v>
      </c>
      <c r="W396" s="155">
        <v>2468147</v>
      </c>
      <c r="X396" s="155">
        <v>1281853</v>
      </c>
    </row>
    <row r="397" spans="3:24" s="52" customFormat="1" x14ac:dyDescent="0.25">
      <c r="C397" s="101">
        <v>2017</v>
      </c>
      <c r="D397" s="62" t="s">
        <v>914</v>
      </c>
      <c r="E397" s="63" t="s">
        <v>933</v>
      </c>
      <c r="F397" s="64">
        <v>42787</v>
      </c>
      <c r="G397" s="65" t="s">
        <v>190</v>
      </c>
      <c r="H397" s="94">
        <v>10393000</v>
      </c>
      <c r="I397" s="94">
        <v>7903950</v>
      </c>
      <c r="J397" s="94" t="s">
        <v>519</v>
      </c>
      <c r="K397" s="153">
        <v>-0.2394929279322621</v>
      </c>
      <c r="L397" s="11" t="s">
        <v>465</v>
      </c>
      <c r="M397" s="62">
        <v>3</v>
      </c>
      <c r="N397" s="154" t="s">
        <v>93</v>
      </c>
      <c r="O397" s="62">
        <v>1</v>
      </c>
      <c r="P397" s="154" t="s">
        <v>458</v>
      </c>
      <c r="Q397" s="62"/>
      <c r="R397" s="63" t="s">
        <v>932</v>
      </c>
      <c r="S397" s="62" t="s">
        <v>784</v>
      </c>
      <c r="T397" s="62"/>
      <c r="U397" s="62"/>
      <c r="V397" s="155">
        <v>10393000</v>
      </c>
      <c r="W397" s="155">
        <v>7903950</v>
      </c>
      <c r="X397" s="155">
        <v>2489050</v>
      </c>
    </row>
    <row r="398" spans="3:24" s="52" customFormat="1" x14ac:dyDescent="0.25">
      <c r="C398" s="101">
        <v>2017</v>
      </c>
      <c r="D398" s="62" t="s">
        <v>857</v>
      </c>
      <c r="E398" s="63" t="s">
        <v>858</v>
      </c>
      <c r="F398" s="64">
        <v>42753</v>
      </c>
      <c r="G398" s="65" t="s">
        <v>693</v>
      </c>
      <c r="H398" s="94">
        <v>1410000</v>
      </c>
      <c r="I398" s="94">
        <v>1399756</v>
      </c>
      <c r="J398" s="94"/>
      <c r="K398" s="153">
        <v>-7.2652482269503545E-3</v>
      </c>
      <c r="L398" s="11" t="s">
        <v>464</v>
      </c>
      <c r="M398" s="62">
        <v>3</v>
      </c>
      <c r="N398" s="154" t="s">
        <v>25</v>
      </c>
      <c r="O398" s="62">
        <v>1</v>
      </c>
      <c r="P398" s="154" t="s">
        <v>457</v>
      </c>
      <c r="Q398" s="62"/>
      <c r="R398" s="63"/>
      <c r="S398" s="62" t="s">
        <v>630</v>
      </c>
      <c r="T398" s="62"/>
      <c r="U398" s="62"/>
      <c r="V398" s="155">
        <v>1410000</v>
      </c>
      <c r="W398" s="155">
        <v>1399756</v>
      </c>
      <c r="X398" s="155">
        <v>10244</v>
      </c>
    </row>
    <row r="399" spans="3:24" s="52" customFormat="1" x14ac:dyDescent="0.25">
      <c r="C399" s="101">
        <v>2017</v>
      </c>
      <c r="D399" s="62" t="s">
        <v>832</v>
      </c>
      <c r="E399" s="63" t="s">
        <v>833</v>
      </c>
      <c r="F399" s="64">
        <v>42752</v>
      </c>
      <c r="G399" s="65" t="s">
        <v>34</v>
      </c>
      <c r="H399" s="94">
        <v>4200000</v>
      </c>
      <c r="I399" s="94">
        <v>3987114</v>
      </c>
      <c r="J399" s="94"/>
      <c r="K399" s="153">
        <v>-5.0687142857142854E-2</v>
      </c>
      <c r="L399" s="11" t="s">
        <v>464</v>
      </c>
      <c r="M399" s="62">
        <v>3</v>
      </c>
      <c r="N399" s="154" t="s">
        <v>25</v>
      </c>
      <c r="O399" s="62">
        <v>1</v>
      </c>
      <c r="P399" s="154" t="s">
        <v>492</v>
      </c>
      <c r="Q399" s="62"/>
      <c r="R399" s="63"/>
      <c r="S399" s="62" t="s">
        <v>816</v>
      </c>
      <c r="T399" s="62"/>
      <c r="U399" s="62"/>
      <c r="V399" s="155">
        <v>4200000</v>
      </c>
      <c r="W399" s="155">
        <v>3987114</v>
      </c>
      <c r="X399" s="155">
        <v>212886</v>
      </c>
    </row>
    <row r="400" spans="3:24" s="52" customFormat="1" x14ac:dyDescent="0.25">
      <c r="C400" s="101">
        <v>2017</v>
      </c>
      <c r="D400" s="62" t="s">
        <v>830</v>
      </c>
      <c r="E400" s="63" t="s">
        <v>831</v>
      </c>
      <c r="F400" s="64">
        <v>42746</v>
      </c>
      <c r="G400" s="65" t="s">
        <v>190</v>
      </c>
      <c r="H400" s="94">
        <v>12071025</v>
      </c>
      <c r="I400" s="94">
        <v>9977777</v>
      </c>
      <c r="J400" s="94" t="s">
        <v>519</v>
      </c>
      <c r="K400" s="153">
        <v>-0.17341095723022693</v>
      </c>
      <c r="L400" s="11" t="s">
        <v>465</v>
      </c>
      <c r="M400" s="62">
        <v>3</v>
      </c>
      <c r="N400" s="154" t="s">
        <v>93</v>
      </c>
      <c r="O400" s="62">
        <v>1</v>
      </c>
      <c r="P400" s="154" t="s">
        <v>458</v>
      </c>
      <c r="Q400" s="62"/>
      <c r="R400" s="63"/>
      <c r="S400" s="62" t="s">
        <v>616</v>
      </c>
      <c r="T400" s="62"/>
      <c r="U400" s="62"/>
      <c r="V400" s="155">
        <v>12071025</v>
      </c>
      <c r="W400" s="155">
        <v>9977777</v>
      </c>
      <c r="X400" s="155">
        <v>2093248</v>
      </c>
    </row>
    <row r="401" spans="3:24" x14ac:dyDescent="0.25">
      <c r="C401" s="39"/>
      <c r="L401" s="11"/>
    </row>
    <row r="402" spans="3:24" x14ac:dyDescent="0.25">
      <c r="C402" s="39"/>
      <c r="L402" s="11"/>
    </row>
    <row r="403" spans="3:24" s="52" customFormat="1" x14ac:dyDescent="0.25">
      <c r="C403" s="101">
        <v>2017</v>
      </c>
      <c r="D403" s="102" t="s">
        <v>1135</v>
      </c>
      <c r="E403" s="63" t="s">
        <v>982</v>
      </c>
      <c r="F403" s="64">
        <v>43074</v>
      </c>
      <c r="G403" s="65" t="s">
        <v>34</v>
      </c>
      <c r="H403" s="94">
        <v>38000000</v>
      </c>
      <c r="I403" s="27">
        <f>$I$12</f>
        <v>28470000</v>
      </c>
      <c r="J403" s="27"/>
      <c r="K403" s="26">
        <f>+$K$12</f>
        <v>-0.25078947368421051</v>
      </c>
      <c r="L403" s="78" t="str">
        <f>+$L$12</f>
        <v>GOOD</v>
      </c>
      <c r="M403" s="15">
        <f>+$M$12</f>
        <v>4</v>
      </c>
      <c r="N403" s="35" t="s">
        <v>93</v>
      </c>
      <c r="O403" s="15">
        <v>4</v>
      </c>
      <c r="P403" s="35" t="s">
        <v>458</v>
      </c>
      <c r="Q403" s="15"/>
      <c r="R403" s="24" t="str">
        <f>+$R$12</f>
        <v>1st and 2nd bidders disqualified.</v>
      </c>
      <c r="S403" s="62" t="s">
        <v>616</v>
      </c>
      <c r="T403" s="62"/>
      <c r="U403" s="62"/>
      <c r="V403" s="155">
        <v>38000000</v>
      </c>
      <c r="W403" s="155">
        <v>19988800</v>
      </c>
      <c r="X403" s="155">
        <v>18011200</v>
      </c>
    </row>
    <row r="404" spans="3:24" s="52" customFormat="1" x14ac:dyDescent="0.25">
      <c r="C404" s="101">
        <v>2017</v>
      </c>
      <c r="D404" s="102" t="s">
        <v>1127</v>
      </c>
      <c r="E404" s="63" t="s">
        <v>1128</v>
      </c>
      <c r="F404" s="64">
        <v>43053</v>
      </c>
      <c r="G404" s="65" t="s">
        <v>756</v>
      </c>
      <c r="H404" s="94">
        <v>17250000</v>
      </c>
      <c r="I404" s="94">
        <v>22616488</v>
      </c>
      <c r="J404" s="94" t="s">
        <v>519</v>
      </c>
      <c r="K404" s="153">
        <v>0.3111007536231884</v>
      </c>
      <c r="L404" s="104" t="s">
        <v>465</v>
      </c>
      <c r="M404" s="62">
        <v>4</v>
      </c>
      <c r="N404" s="154" t="s">
        <v>93</v>
      </c>
      <c r="O404" s="62">
        <v>4</v>
      </c>
      <c r="P404" s="154" t="s">
        <v>457</v>
      </c>
      <c r="Q404" s="62"/>
      <c r="R404" s="63"/>
      <c r="S404" s="62" t="s">
        <v>447</v>
      </c>
      <c r="T404" s="62"/>
      <c r="U404" s="62"/>
      <c r="V404" s="155">
        <v>17250000</v>
      </c>
      <c r="W404" s="155">
        <v>22616488</v>
      </c>
      <c r="X404" s="155">
        <v>-5366488</v>
      </c>
    </row>
    <row r="405" spans="3:24" s="52" customFormat="1" x14ac:dyDescent="0.25">
      <c r="C405" s="101">
        <v>2017</v>
      </c>
      <c r="D405" s="62" t="s">
        <v>1124</v>
      </c>
      <c r="E405" s="63" t="s">
        <v>1125</v>
      </c>
      <c r="F405" s="64">
        <v>43053</v>
      </c>
      <c r="G405" s="65" t="s">
        <v>693</v>
      </c>
      <c r="H405" s="94">
        <v>820000</v>
      </c>
      <c r="I405" s="94">
        <v>861500</v>
      </c>
      <c r="J405" s="94"/>
      <c r="K405" s="153">
        <v>5.0609756097560979E-2</v>
      </c>
      <c r="L405" s="104" t="s">
        <v>464</v>
      </c>
      <c r="M405" s="62">
        <v>4</v>
      </c>
      <c r="N405" s="154" t="s">
        <v>25</v>
      </c>
      <c r="O405" s="62">
        <v>4</v>
      </c>
      <c r="P405" s="154" t="s">
        <v>458</v>
      </c>
      <c r="Q405" s="62"/>
      <c r="R405" s="63"/>
      <c r="S405" s="62" t="s">
        <v>616</v>
      </c>
      <c r="T405" s="62"/>
      <c r="U405" s="62"/>
      <c r="V405" s="155">
        <v>820000</v>
      </c>
      <c r="W405" s="155">
        <v>861500</v>
      </c>
      <c r="X405" s="155">
        <v>-41500</v>
      </c>
    </row>
    <row r="406" spans="3:24" s="52" customFormat="1" x14ac:dyDescent="0.25">
      <c r="C406" s="101">
        <v>2017</v>
      </c>
      <c r="D406" s="62" t="s">
        <v>1091</v>
      </c>
      <c r="E406" s="63" t="s">
        <v>1092</v>
      </c>
      <c r="F406" s="64">
        <v>43006</v>
      </c>
      <c r="G406" s="65" t="s">
        <v>693</v>
      </c>
      <c r="H406" s="94">
        <v>609000</v>
      </c>
      <c r="I406" s="94">
        <v>579300</v>
      </c>
      <c r="J406" s="94"/>
      <c r="K406" s="153">
        <v>-4.8768472906403938E-2</v>
      </c>
      <c r="L406" s="104" t="s">
        <v>464</v>
      </c>
      <c r="M406" s="62">
        <v>4</v>
      </c>
      <c r="N406" s="154" t="s">
        <v>226</v>
      </c>
      <c r="O406" s="62">
        <v>3</v>
      </c>
      <c r="P406" s="154" t="s">
        <v>457</v>
      </c>
      <c r="Q406" s="62"/>
      <c r="R406" s="63"/>
      <c r="S406" s="62" t="s">
        <v>962</v>
      </c>
      <c r="T406" s="62"/>
      <c r="U406" s="62"/>
      <c r="V406" s="155">
        <v>609000</v>
      </c>
      <c r="W406" s="155">
        <v>579300</v>
      </c>
      <c r="X406" s="155">
        <v>29700</v>
      </c>
    </row>
    <row r="407" spans="3:24" s="52" customFormat="1" x14ac:dyDescent="0.25">
      <c r="C407" s="101">
        <v>2017</v>
      </c>
      <c r="D407" s="62" t="s">
        <v>1070</v>
      </c>
      <c r="E407" s="63" t="s">
        <v>1071</v>
      </c>
      <c r="F407" s="64">
        <v>42997</v>
      </c>
      <c r="G407" s="65" t="s">
        <v>34</v>
      </c>
      <c r="H407" s="94">
        <v>1326000</v>
      </c>
      <c r="I407" s="94">
        <v>1976491</v>
      </c>
      <c r="J407" s="94"/>
      <c r="K407" s="153">
        <v>0.49056636500754147</v>
      </c>
      <c r="L407" s="104" t="s">
        <v>465</v>
      </c>
      <c r="M407" s="62">
        <v>4</v>
      </c>
      <c r="N407" s="154" t="s">
        <v>25</v>
      </c>
      <c r="O407" s="62">
        <v>3</v>
      </c>
      <c r="P407" s="154" t="s">
        <v>457</v>
      </c>
      <c r="Q407" s="62"/>
      <c r="R407" s="63"/>
      <c r="S407" s="62" t="s">
        <v>784</v>
      </c>
      <c r="T407" s="62"/>
      <c r="U407" s="62"/>
      <c r="V407" s="155">
        <v>1326000</v>
      </c>
      <c r="W407" s="155">
        <v>1976491</v>
      </c>
      <c r="X407" s="155">
        <v>-650491</v>
      </c>
    </row>
    <row r="408" spans="3:24" s="52" customFormat="1" x14ac:dyDescent="0.25">
      <c r="C408" s="101">
        <v>2017</v>
      </c>
      <c r="D408" s="62" t="s">
        <v>1060</v>
      </c>
      <c r="E408" s="63" t="s">
        <v>1061</v>
      </c>
      <c r="F408" s="64">
        <v>42950</v>
      </c>
      <c r="G408" s="65" t="s">
        <v>190</v>
      </c>
      <c r="H408" s="94">
        <v>13720000</v>
      </c>
      <c r="I408" s="94">
        <v>11539200</v>
      </c>
      <c r="J408" s="94" t="s">
        <v>519</v>
      </c>
      <c r="K408" s="153">
        <v>-0.15895043731778424</v>
      </c>
      <c r="L408" s="104" t="s">
        <v>464</v>
      </c>
      <c r="M408" s="62">
        <v>4</v>
      </c>
      <c r="N408" s="154" t="s">
        <v>25</v>
      </c>
      <c r="O408" s="62">
        <v>3</v>
      </c>
      <c r="P408" s="154" t="s">
        <v>492</v>
      </c>
      <c r="Q408" s="62"/>
      <c r="R408" s="63"/>
      <c r="S408" s="62" t="s">
        <v>816</v>
      </c>
      <c r="T408" s="62"/>
      <c r="U408" s="62"/>
      <c r="V408" s="155">
        <v>13720000</v>
      </c>
      <c r="W408" s="155">
        <v>11539200</v>
      </c>
      <c r="X408" s="155">
        <v>2180800</v>
      </c>
    </row>
    <row r="409" spans="3:24" s="52" customFormat="1" x14ac:dyDescent="0.25">
      <c r="C409" s="101">
        <v>2017</v>
      </c>
      <c r="D409" s="62" t="s">
        <v>1057</v>
      </c>
      <c r="E409" s="63" t="s">
        <v>1058</v>
      </c>
      <c r="F409" s="64">
        <v>42949</v>
      </c>
      <c r="G409" s="65" t="s">
        <v>34</v>
      </c>
      <c r="H409" s="94">
        <v>1650000</v>
      </c>
      <c r="I409" s="94">
        <v>1320718</v>
      </c>
      <c r="J409" s="94"/>
      <c r="K409" s="153">
        <v>-0.19956484848484848</v>
      </c>
      <c r="L409" s="104" t="s">
        <v>464</v>
      </c>
      <c r="M409" s="62">
        <v>4</v>
      </c>
      <c r="N409" s="154" t="s">
        <v>93</v>
      </c>
      <c r="O409" s="62">
        <v>3</v>
      </c>
      <c r="P409" s="154" t="s">
        <v>458</v>
      </c>
      <c r="Q409" s="62"/>
      <c r="R409" s="63"/>
      <c r="S409" s="62" t="s">
        <v>616</v>
      </c>
      <c r="T409" s="62"/>
      <c r="U409" s="62"/>
      <c r="V409" s="155">
        <v>1650000</v>
      </c>
      <c r="W409" s="155">
        <v>1320718</v>
      </c>
      <c r="X409" s="155">
        <v>329282</v>
      </c>
    </row>
    <row r="410" spans="3:24" s="52" customFormat="1" x14ac:dyDescent="0.25">
      <c r="C410" s="101">
        <v>2017</v>
      </c>
      <c r="D410" s="62" t="s">
        <v>1047</v>
      </c>
      <c r="E410" s="63" t="s">
        <v>982</v>
      </c>
      <c r="F410" s="64">
        <v>42941</v>
      </c>
      <c r="G410" s="65" t="s">
        <v>34</v>
      </c>
      <c r="H410" s="94">
        <v>7200000</v>
      </c>
      <c r="I410" s="94">
        <v>1936000</v>
      </c>
      <c r="J410" s="94" t="s">
        <v>519</v>
      </c>
      <c r="K410" s="153">
        <v>-0.73111111111111116</v>
      </c>
      <c r="L410" s="104" t="s">
        <v>465</v>
      </c>
      <c r="M410" s="62">
        <v>4</v>
      </c>
      <c r="N410" s="154" t="s">
        <v>93</v>
      </c>
      <c r="O410" s="62">
        <v>3</v>
      </c>
      <c r="P410" s="154" t="s">
        <v>458</v>
      </c>
      <c r="Q410" s="62"/>
      <c r="R410" s="63"/>
      <c r="S410" s="62" t="s">
        <v>616</v>
      </c>
      <c r="T410" s="62"/>
      <c r="U410" s="62"/>
      <c r="V410" s="155">
        <v>7200000</v>
      </c>
      <c r="W410" s="155">
        <v>1936000</v>
      </c>
      <c r="X410" s="155">
        <v>5264000</v>
      </c>
    </row>
    <row r="411" spans="3:24" s="52" customFormat="1" x14ac:dyDescent="0.25">
      <c r="C411" s="101">
        <v>2017</v>
      </c>
      <c r="D411" s="62" t="s">
        <v>987</v>
      </c>
      <c r="E411" s="63" t="s">
        <v>988</v>
      </c>
      <c r="F411" s="64">
        <v>42845</v>
      </c>
      <c r="G411" s="65" t="s">
        <v>34</v>
      </c>
      <c r="H411" s="94">
        <v>1520000</v>
      </c>
      <c r="I411" s="94">
        <v>994200</v>
      </c>
      <c r="J411" s="94"/>
      <c r="K411" s="153">
        <v>-0.34592105263157896</v>
      </c>
      <c r="L411" s="104" t="s">
        <v>464</v>
      </c>
      <c r="M411" s="62">
        <v>4</v>
      </c>
      <c r="N411" s="154" t="s">
        <v>25</v>
      </c>
      <c r="O411" s="62">
        <v>2</v>
      </c>
      <c r="P411" s="154" t="s">
        <v>492</v>
      </c>
      <c r="Q411" s="62"/>
      <c r="R411" s="63"/>
      <c r="S411" s="62" t="s">
        <v>816</v>
      </c>
      <c r="T411" s="62"/>
      <c r="U411" s="62"/>
      <c r="V411" s="155">
        <v>1520000</v>
      </c>
      <c r="W411" s="155">
        <v>994200</v>
      </c>
      <c r="X411" s="155">
        <v>525800</v>
      </c>
    </row>
    <row r="412" spans="3:24" s="52" customFormat="1" x14ac:dyDescent="0.25">
      <c r="C412" s="101"/>
      <c r="L412" s="104"/>
      <c r="N412" s="104"/>
    </row>
    <row r="413" spans="3:24" s="52" customFormat="1" x14ac:dyDescent="0.25">
      <c r="C413" s="101"/>
      <c r="L413" s="104"/>
      <c r="N413" s="104"/>
    </row>
    <row r="414" spans="3:24" s="52" customFormat="1" x14ac:dyDescent="0.25">
      <c r="C414" s="101">
        <v>2017</v>
      </c>
      <c r="D414" s="102" t="s">
        <v>1145</v>
      </c>
      <c r="E414" s="63" t="s">
        <v>1146</v>
      </c>
      <c r="F414" s="64">
        <v>43083</v>
      </c>
      <c r="G414" s="65" t="s">
        <v>190</v>
      </c>
      <c r="H414" s="94">
        <v>4872000</v>
      </c>
      <c r="I414" s="94">
        <v>3997350</v>
      </c>
      <c r="J414" s="94"/>
      <c r="K414" s="153">
        <v>-0.17952586206896551</v>
      </c>
      <c r="L414" s="104" t="s">
        <v>464</v>
      </c>
      <c r="M414" s="62">
        <v>5</v>
      </c>
      <c r="N414" s="154" t="s">
        <v>93</v>
      </c>
      <c r="O414" s="62">
        <v>4</v>
      </c>
      <c r="P414" s="154" t="s">
        <v>458</v>
      </c>
      <c r="Q414" s="62"/>
      <c r="R414" s="63"/>
      <c r="S414" s="62" t="s">
        <v>784</v>
      </c>
      <c r="T414" s="62"/>
      <c r="U414" s="62"/>
      <c r="V414" s="155">
        <v>4872000</v>
      </c>
      <c r="W414" s="155">
        <v>3997350</v>
      </c>
      <c r="X414" s="155">
        <v>874650</v>
      </c>
    </row>
    <row r="415" spans="3:24" s="52" customFormat="1" x14ac:dyDescent="0.25">
      <c r="C415" s="101">
        <v>2017</v>
      </c>
      <c r="D415" s="62" t="s">
        <v>1110</v>
      </c>
      <c r="E415" s="63" t="s">
        <v>1111</v>
      </c>
      <c r="F415" s="64">
        <v>43047</v>
      </c>
      <c r="G415" s="65" t="s">
        <v>34</v>
      </c>
      <c r="H415" s="94">
        <v>1650000</v>
      </c>
      <c r="I415" s="94">
        <v>2278990</v>
      </c>
      <c r="J415" s="94"/>
      <c r="K415" s="153">
        <v>0.3812060606060606</v>
      </c>
      <c r="L415" s="104" t="s">
        <v>465</v>
      </c>
      <c r="M415" s="62">
        <v>5</v>
      </c>
      <c r="N415" s="154" t="s">
        <v>226</v>
      </c>
      <c r="O415" s="62">
        <v>4</v>
      </c>
      <c r="P415" s="154" t="s">
        <v>457</v>
      </c>
      <c r="Q415" s="62"/>
      <c r="R415" s="63"/>
      <c r="S415" s="62" t="s">
        <v>784</v>
      </c>
      <c r="T415" s="62"/>
      <c r="U415" s="62"/>
      <c r="V415" s="155">
        <v>1650000</v>
      </c>
      <c r="W415" s="155">
        <v>2278990</v>
      </c>
      <c r="X415" s="155">
        <v>-628990</v>
      </c>
    </row>
    <row r="416" spans="3:24" s="52" customFormat="1" x14ac:dyDescent="0.25">
      <c r="C416" s="101">
        <v>2017</v>
      </c>
      <c r="D416" s="62" t="s">
        <v>1084</v>
      </c>
      <c r="E416" s="63" t="s">
        <v>1085</v>
      </c>
      <c r="F416" s="64">
        <v>43004</v>
      </c>
      <c r="G416" s="65" t="s">
        <v>190</v>
      </c>
      <c r="H416" s="94">
        <v>189900000</v>
      </c>
      <c r="I416" s="94">
        <v>154487000</v>
      </c>
      <c r="J416" s="94" t="s">
        <v>519</v>
      </c>
      <c r="K416" s="153">
        <v>-0.18648235913638758</v>
      </c>
      <c r="L416" s="104" t="s">
        <v>464</v>
      </c>
      <c r="M416" s="62">
        <v>5</v>
      </c>
      <c r="N416" s="154" t="s">
        <v>93</v>
      </c>
      <c r="O416" s="62">
        <v>3</v>
      </c>
      <c r="P416" s="154" t="s">
        <v>457</v>
      </c>
      <c r="Q416" s="62"/>
      <c r="R416" s="63"/>
      <c r="S416" s="62" t="s">
        <v>816</v>
      </c>
      <c r="T416" s="62"/>
      <c r="U416" s="62"/>
      <c r="V416" s="155">
        <v>189900000</v>
      </c>
      <c r="W416" s="155">
        <v>154487000</v>
      </c>
      <c r="X416" s="155">
        <v>35413000</v>
      </c>
    </row>
    <row r="417" spans="3:24" s="52" customFormat="1" x14ac:dyDescent="0.25">
      <c r="C417" s="101">
        <v>2017</v>
      </c>
      <c r="D417" s="62" t="s">
        <v>1035</v>
      </c>
      <c r="E417" s="63" t="s">
        <v>1036</v>
      </c>
      <c r="F417" s="64">
        <v>42900</v>
      </c>
      <c r="G417" s="65" t="s">
        <v>756</v>
      </c>
      <c r="H417" s="94">
        <v>2900000</v>
      </c>
      <c r="I417" s="94">
        <v>1157000</v>
      </c>
      <c r="J417" s="94"/>
      <c r="K417" s="153">
        <v>-0.6010344827586207</v>
      </c>
      <c r="L417" s="104" t="s">
        <v>465</v>
      </c>
      <c r="M417" s="62">
        <v>5</v>
      </c>
      <c r="N417" s="154" t="s">
        <v>25</v>
      </c>
      <c r="O417" s="62">
        <v>2</v>
      </c>
      <c r="P417" s="154" t="s">
        <v>458</v>
      </c>
      <c r="Q417" s="62"/>
      <c r="R417" s="63"/>
      <c r="S417" s="62" t="s">
        <v>447</v>
      </c>
      <c r="T417" s="62"/>
      <c r="U417" s="62"/>
      <c r="V417" s="155">
        <v>2900000</v>
      </c>
      <c r="W417" s="155">
        <v>1157000</v>
      </c>
      <c r="X417" s="155">
        <v>1743000</v>
      </c>
    </row>
    <row r="418" spans="3:24" s="52" customFormat="1" x14ac:dyDescent="0.25">
      <c r="C418" s="101">
        <v>2017</v>
      </c>
      <c r="D418" s="62" t="s">
        <v>1023</v>
      </c>
      <c r="E418" s="63" t="s">
        <v>1024</v>
      </c>
      <c r="F418" s="64">
        <v>42893</v>
      </c>
      <c r="G418" s="65" t="s">
        <v>693</v>
      </c>
      <c r="H418" s="94">
        <v>1070000</v>
      </c>
      <c r="I418" s="94">
        <v>758000</v>
      </c>
      <c r="J418" s="94"/>
      <c r="K418" s="153">
        <v>-0.29158878504672897</v>
      </c>
      <c r="L418" s="104" t="s">
        <v>465</v>
      </c>
      <c r="M418" s="62">
        <v>5</v>
      </c>
      <c r="N418" s="154" t="s">
        <v>25</v>
      </c>
      <c r="O418" s="62">
        <v>2</v>
      </c>
      <c r="P418" s="154" t="s">
        <v>458</v>
      </c>
      <c r="Q418" s="62"/>
      <c r="R418" s="63"/>
      <c r="S418" s="62" t="s">
        <v>616</v>
      </c>
      <c r="T418" s="62"/>
      <c r="U418" s="62"/>
      <c r="V418" s="155">
        <v>1070000</v>
      </c>
      <c r="W418" s="155">
        <v>758000</v>
      </c>
      <c r="X418" s="155">
        <v>312000</v>
      </c>
    </row>
    <row r="419" spans="3:24" s="52" customFormat="1" x14ac:dyDescent="0.25">
      <c r="C419" s="101">
        <v>2017</v>
      </c>
      <c r="D419" s="62" t="s">
        <v>991</v>
      </c>
      <c r="E419" s="63" t="s">
        <v>992</v>
      </c>
      <c r="F419" s="64">
        <v>42846</v>
      </c>
      <c r="G419" s="65" t="s">
        <v>34</v>
      </c>
      <c r="H419" s="94">
        <v>2060000</v>
      </c>
      <c r="I419" s="94">
        <v>2614625</v>
      </c>
      <c r="J419" s="94"/>
      <c r="K419" s="153">
        <v>0.26923543689320389</v>
      </c>
      <c r="L419" s="104" t="s">
        <v>465</v>
      </c>
      <c r="M419" s="62">
        <v>5</v>
      </c>
      <c r="N419" s="154" t="s">
        <v>226</v>
      </c>
      <c r="O419" s="62">
        <v>2</v>
      </c>
      <c r="P419" s="154" t="s">
        <v>457</v>
      </c>
      <c r="Q419" s="62"/>
      <c r="R419" s="63"/>
      <c r="S419" s="62" t="s">
        <v>630</v>
      </c>
      <c r="T419" s="62"/>
      <c r="U419" s="62"/>
      <c r="V419" s="155">
        <v>2060000</v>
      </c>
      <c r="W419" s="155">
        <v>2614625</v>
      </c>
      <c r="X419" s="155">
        <v>-554625</v>
      </c>
    </row>
    <row r="420" spans="3:24" s="52" customFormat="1" x14ac:dyDescent="0.25">
      <c r="C420" s="101">
        <v>2017</v>
      </c>
      <c r="D420" s="62" t="s">
        <v>912</v>
      </c>
      <c r="E420" s="63" t="s">
        <v>935</v>
      </c>
      <c r="F420" s="64">
        <v>42789</v>
      </c>
      <c r="G420" s="65" t="s">
        <v>190</v>
      </c>
      <c r="H420" s="94">
        <v>479900000</v>
      </c>
      <c r="I420" s="94">
        <v>451841280</v>
      </c>
      <c r="J420" s="94" t="s">
        <v>519</v>
      </c>
      <c r="K420" s="153">
        <v>-5.8467847468222547E-2</v>
      </c>
      <c r="L420" s="104" t="s">
        <v>464</v>
      </c>
      <c r="M420" s="62">
        <v>5</v>
      </c>
      <c r="N420" s="154" t="s">
        <v>226</v>
      </c>
      <c r="O420" s="62">
        <v>1</v>
      </c>
      <c r="P420" s="154" t="s">
        <v>457</v>
      </c>
      <c r="Q420" s="62"/>
      <c r="R420" s="63"/>
      <c r="S420" s="62" t="s">
        <v>630</v>
      </c>
      <c r="T420" s="62"/>
      <c r="U420" s="62"/>
      <c r="V420" s="155">
        <v>479900000</v>
      </c>
      <c r="W420" s="155">
        <v>451841280</v>
      </c>
      <c r="X420" s="155">
        <v>28058720</v>
      </c>
    </row>
    <row r="421" spans="3:24" s="52" customFormat="1" x14ac:dyDescent="0.25">
      <c r="C421" s="101">
        <v>2017</v>
      </c>
      <c r="D421" s="62" t="s">
        <v>876</v>
      </c>
      <c r="E421" s="63" t="s">
        <v>877</v>
      </c>
      <c r="F421" s="64">
        <v>42765</v>
      </c>
      <c r="G421" s="65" t="s">
        <v>756</v>
      </c>
      <c r="H421" s="94">
        <v>6500000</v>
      </c>
      <c r="I421" s="94">
        <v>5987000</v>
      </c>
      <c r="J421" s="94" t="s">
        <v>519</v>
      </c>
      <c r="K421" s="153">
        <v>-7.8923076923076929E-2</v>
      </c>
      <c r="L421" s="104" t="s">
        <v>464</v>
      </c>
      <c r="M421" s="62">
        <v>5</v>
      </c>
      <c r="N421" s="154" t="s">
        <v>93</v>
      </c>
      <c r="O421" s="62">
        <v>1</v>
      </c>
      <c r="P421" s="154" t="s">
        <v>458</v>
      </c>
      <c r="Q421" s="62"/>
      <c r="R421" s="63"/>
      <c r="S421" s="62" t="s">
        <v>447</v>
      </c>
      <c r="T421" s="62"/>
      <c r="U421" s="62"/>
      <c r="V421" s="155">
        <v>6500000</v>
      </c>
      <c r="W421" s="155">
        <v>5987000</v>
      </c>
      <c r="X421" s="155">
        <v>513000</v>
      </c>
    </row>
    <row r="422" spans="3:24" s="52" customFormat="1" x14ac:dyDescent="0.25">
      <c r="C422" s="101"/>
      <c r="L422" s="104"/>
      <c r="N422" s="104"/>
    </row>
    <row r="423" spans="3:24" s="52" customFormat="1" x14ac:dyDescent="0.25">
      <c r="C423" s="101"/>
      <c r="L423" s="104"/>
      <c r="N423" s="104"/>
    </row>
    <row r="424" spans="3:24" s="52" customFormat="1" x14ac:dyDescent="0.25">
      <c r="C424" s="101">
        <v>2017</v>
      </c>
      <c r="D424" s="62" t="s">
        <v>1107</v>
      </c>
      <c r="E424" s="63" t="s">
        <v>1109</v>
      </c>
      <c r="F424" s="64">
        <v>43034</v>
      </c>
      <c r="G424" s="65" t="s">
        <v>756</v>
      </c>
      <c r="H424" s="94">
        <v>2194000</v>
      </c>
      <c r="I424" s="94">
        <v>1361078</v>
      </c>
      <c r="J424" s="94"/>
      <c r="K424" s="153">
        <v>-0.3796362807657247</v>
      </c>
      <c r="L424" s="104" t="s">
        <v>465</v>
      </c>
      <c r="M424" s="62">
        <v>6</v>
      </c>
      <c r="N424" s="154" t="s">
        <v>25</v>
      </c>
      <c r="O424" s="62">
        <v>4</v>
      </c>
      <c r="P424" s="154" t="s">
        <v>459</v>
      </c>
      <c r="Q424" s="62"/>
      <c r="R424" s="63"/>
      <c r="S424" s="62" t="s">
        <v>447</v>
      </c>
      <c r="T424" s="62"/>
      <c r="U424" s="62"/>
      <c r="V424" s="155">
        <v>2194000</v>
      </c>
      <c r="W424" s="155">
        <v>1361078</v>
      </c>
      <c r="X424" s="155">
        <v>832922</v>
      </c>
    </row>
    <row r="425" spans="3:24" s="52" customFormat="1" x14ac:dyDescent="0.25">
      <c r="C425" s="101">
        <v>2017</v>
      </c>
      <c r="D425" s="62" t="s">
        <v>1093</v>
      </c>
      <c r="E425" s="63" t="s">
        <v>1094</v>
      </c>
      <c r="F425" s="64">
        <v>43013</v>
      </c>
      <c r="G425" s="65" t="s">
        <v>34</v>
      </c>
      <c r="H425" s="94">
        <v>970000</v>
      </c>
      <c r="I425" s="94">
        <v>1285000</v>
      </c>
      <c r="J425" s="94"/>
      <c r="K425" s="153">
        <v>0.32474226804123713</v>
      </c>
      <c r="L425" s="104" t="s">
        <v>465</v>
      </c>
      <c r="M425" s="62">
        <v>6</v>
      </c>
      <c r="N425" s="154" t="s">
        <v>25</v>
      </c>
      <c r="O425" s="62">
        <v>4</v>
      </c>
      <c r="P425" s="154" t="s">
        <v>458</v>
      </c>
      <c r="Q425" s="62"/>
      <c r="R425" s="63"/>
      <c r="S425" s="62" t="s">
        <v>616</v>
      </c>
      <c r="T425" s="62"/>
      <c r="U425" s="62"/>
      <c r="V425" s="155">
        <v>970000</v>
      </c>
      <c r="W425" s="155">
        <v>1285000</v>
      </c>
      <c r="X425" s="155">
        <v>-315000</v>
      </c>
    </row>
    <row r="426" spans="3:24" s="52" customFormat="1" x14ac:dyDescent="0.25">
      <c r="C426" s="101">
        <v>2017</v>
      </c>
      <c r="D426" s="62" t="s">
        <v>1089</v>
      </c>
      <c r="E426" s="63" t="s">
        <v>1090</v>
      </c>
      <c r="F426" s="64">
        <v>43005</v>
      </c>
      <c r="G426" s="65" t="s">
        <v>34</v>
      </c>
      <c r="H426" s="94">
        <v>1250000</v>
      </c>
      <c r="I426" s="94">
        <v>1068000</v>
      </c>
      <c r="J426" s="94"/>
      <c r="K426" s="153">
        <v>-0.14560000000000001</v>
      </c>
      <c r="L426" s="104" t="s">
        <v>464</v>
      </c>
      <c r="M426" s="62">
        <v>6</v>
      </c>
      <c r="N426" s="154" t="s">
        <v>226</v>
      </c>
      <c r="O426" s="62">
        <v>3</v>
      </c>
      <c r="P426" s="154" t="s">
        <v>457</v>
      </c>
      <c r="Q426" s="62"/>
      <c r="R426" s="63"/>
      <c r="S426" s="62" t="s">
        <v>784</v>
      </c>
      <c r="T426" s="62"/>
      <c r="U426" s="62"/>
      <c r="V426" s="155">
        <v>1250000</v>
      </c>
      <c r="W426" s="155">
        <v>1068000</v>
      </c>
      <c r="X426" s="155">
        <v>182000</v>
      </c>
    </row>
    <row r="427" spans="3:24" s="52" customFormat="1" x14ac:dyDescent="0.25">
      <c r="C427" s="101">
        <v>2017</v>
      </c>
      <c r="D427" s="62" t="s">
        <v>1052</v>
      </c>
      <c r="E427" s="63" t="s">
        <v>1053</v>
      </c>
      <c r="F427" s="64">
        <v>42948</v>
      </c>
      <c r="G427" s="65" t="s">
        <v>34</v>
      </c>
      <c r="H427" s="94">
        <v>1330000</v>
      </c>
      <c r="I427" s="94">
        <v>936000</v>
      </c>
      <c r="J427" s="94"/>
      <c r="K427" s="153">
        <v>-0.29624060150375942</v>
      </c>
      <c r="L427" s="104" t="s">
        <v>464</v>
      </c>
      <c r="M427" s="62">
        <v>6</v>
      </c>
      <c r="N427" s="154" t="s">
        <v>93</v>
      </c>
      <c r="O427" s="62">
        <v>3</v>
      </c>
      <c r="P427" s="154" t="s">
        <v>458</v>
      </c>
      <c r="Q427" s="62"/>
      <c r="R427" s="63"/>
      <c r="S427" s="62" t="s">
        <v>616</v>
      </c>
      <c r="T427" s="62"/>
      <c r="U427" s="62"/>
      <c r="V427" s="155">
        <v>1330000</v>
      </c>
      <c r="W427" s="155">
        <v>936000</v>
      </c>
      <c r="X427" s="155">
        <v>394000</v>
      </c>
    </row>
    <row r="428" spans="3:24" s="52" customFormat="1" x14ac:dyDescent="0.25">
      <c r="C428" s="101">
        <v>2017</v>
      </c>
      <c r="D428" s="62" t="s">
        <v>989</v>
      </c>
      <c r="E428" s="63" t="s">
        <v>879</v>
      </c>
      <c r="F428" s="64">
        <v>42845</v>
      </c>
      <c r="G428" s="65" t="s">
        <v>693</v>
      </c>
      <c r="H428" s="94">
        <v>2625000</v>
      </c>
      <c r="I428" s="94">
        <v>2472675</v>
      </c>
      <c r="J428" s="94"/>
      <c r="K428" s="153">
        <v>-5.8028571428571429E-2</v>
      </c>
      <c r="L428" s="104" t="s">
        <v>464</v>
      </c>
      <c r="M428" s="62">
        <v>6</v>
      </c>
      <c r="N428" s="154" t="s">
        <v>25</v>
      </c>
      <c r="O428" s="62">
        <v>2</v>
      </c>
      <c r="P428" s="154" t="s">
        <v>492</v>
      </c>
      <c r="Q428" s="62"/>
      <c r="R428" s="63"/>
      <c r="S428" s="62" t="s">
        <v>816</v>
      </c>
      <c r="T428" s="62"/>
      <c r="U428" s="62"/>
      <c r="V428" s="155">
        <v>2625000</v>
      </c>
      <c r="W428" s="155">
        <v>2472675</v>
      </c>
      <c r="X428" s="155">
        <v>152325</v>
      </c>
    </row>
    <row r="429" spans="3:24" s="52" customFormat="1" x14ac:dyDescent="0.25">
      <c r="C429" s="101">
        <v>2017</v>
      </c>
      <c r="D429" s="62" t="s">
        <v>956</v>
      </c>
      <c r="E429" s="63" t="s">
        <v>957</v>
      </c>
      <c r="F429" s="64">
        <v>42810</v>
      </c>
      <c r="G429" s="65" t="s">
        <v>693</v>
      </c>
      <c r="H429" s="94">
        <v>1425000</v>
      </c>
      <c r="I429" s="94">
        <v>1087425</v>
      </c>
      <c r="J429" s="94"/>
      <c r="K429" s="153">
        <v>-0.23689473684210527</v>
      </c>
      <c r="L429" s="104" t="s">
        <v>464</v>
      </c>
      <c r="M429" s="62">
        <v>6</v>
      </c>
      <c r="N429" s="154" t="s">
        <v>93</v>
      </c>
      <c r="O429" s="62">
        <v>1</v>
      </c>
      <c r="P429" s="154" t="s">
        <v>492</v>
      </c>
      <c r="Q429" s="62"/>
      <c r="R429" s="63"/>
      <c r="S429" s="62" t="s">
        <v>816</v>
      </c>
      <c r="T429" s="62"/>
      <c r="U429" s="62"/>
      <c r="V429" s="155">
        <v>1425000</v>
      </c>
      <c r="W429" s="155">
        <v>1087425</v>
      </c>
      <c r="X429" s="155">
        <v>337575</v>
      </c>
    </row>
    <row r="430" spans="3:24" s="52" customFormat="1" x14ac:dyDescent="0.25">
      <c r="C430" s="101">
        <v>2017</v>
      </c>
      <c r="D430" s="62" t="s">
        <v>941</v>
      </c>
      <c r="E430" s="63" t="s">
        <v>940</v>
      </c>
      <c r="F430" s="64">
        <v>42789</v>
      </c>
      <c r="G430" s="65" t="s">
        <v>693</v>
      </c>
      <c r="H430" s="94">
        <v>240000</v>
      </c>
      <c r="I430" s="94">
        <v>97300</v>
      </c>
      <c r="J430" s="94"/>
      <c r="K430" s="153">
        <v>-0.59458333333333335</v>
      </c>
      <c r="L430" s="104" t="s">
        <v>465</v>
      </c>
      <c r="M430" s="62">
        <v>6</v>
      </c>
      <c r="N430" s="154" t="s">
        <v>25</v>
      </c>
      <c r="O430" s="62">
        <v>1</v>
      </c>
      <c r="P430" s="154" t="s">
        <v>457</v>
      </c>
      <c r="Q430" s="62"/>
      <c r="R430" s="63"/>
      <c r="S430" s="62" t="s">
        <v>630</v>
      </c>
      <c r="T430" s="62"/>
      <c r="U430" s="62"/>
      <c r="V430" s="155">
        <v>240000</v>
      </c>
      <c r="W430" s="155">
        <v>97300</v>
      </c>
      <c r="X430" s="155">
        <v>142700</v>
      </c>
    </row>
    <row r="431" spans="3:24" s="52" customFormat="1" x14ac:dyDescent="0.25">
      <c r="C431" s="101">
        <v>2017</v>
      </c>
      <c r="D431" s="62" t="s">
        <v>898</v>
      </c>
      <c r="E431" s="63" t="s">
        <v>717</v>
      </c>
      <c r="F431" s="64">
        <v>42773</v>
      </c>
      <c r="G431" s="65" t="s">
        <v>190</v>
      </c>
      <c r="H431" s="94">
        <v>1965000</v>
      </c>
      <c r="I431" s="94">
        <v>1450000</v>
      </c>
      <c r="J431" s="94"/>
      <c r="K431" s="153">
        <v>-0.26208651399491095</v>
      </c>
      <c r="L431" s="104" t="s">
        <v>464</v>
      </c>
      <c r="M431" s="62">
        <v>6</v>
      </c>
      <c r="N431" s="154" t="s">
        <v>226</v>
      </c>
      <c r="O431" s="62">
        <v>1</v>
      </c>
      <c r="P431" s="154" t="s">
        <v>457</v>
      </c>
      <c r="Q431" s="62"/>
      <c r="R431" s="63" t="s">
        <v>900</v>
      </c>
      <c r="S431" s="62" t="s">
        <v>630</v>
      </c>
      <c r="T431" s="62"/>
      <c r="U431" s="62"/>
      <c r="V431" s="155">
        <v>1965000</v>
      </c>
      <c r="W431" s="155">
        <v>1450000</v>
      </c>
      <c r="X431" s="155">
        <v>515000</v>
      </c>
    </row>
    <row r="432" spans="3:24" s="52" customFormat="1" x14ac:dyDescent="0.25">
      <c r="C432" s="101"/>
      <c r="L432" s="104"/>
      <c r="N432" s="104"/>
    </row>
    <row r="433" spans="3:24" s="52" customFormat="1" x14ac:dyDescent="0.25">
      <c r="C433" s="101"/>
      <c r="L433" s="104"/>
      <c r="N433" s="104"/>
    </row>
    <row r="434" spans="3:24" s="52" customFormat="1" x14ac:dyDescent="0.25">
      <c r="C434" s="101">
        <v>2017</v>
      </c>
      <c r="D434" s="102" t="s">
        <v>1129</v>
      </c>
      <c r="E434" s="63" t="s">
        <v>1130</v>
      </c>
      <c r="F434" s="64">
        <v>43068</v>
      </c>
      <c r="G434" s="65" t="s">
        <v>34</v>
      </c>
      <c r="H434" s="94">
        <v>6600000</v>
      </c>
      <c r="I434" s="94">
        <v>5189333</v>
      </c>
      <c r="J434" s="94" t="s">
        <v>519</v>
      </c>
      <c r="K434" s="153">
        <v>-0.21373742424242423</v>
      </c>
      <c r="L434" s="104" t="s">
        <v>464</v>
      </c>
      <c r="M434" s="62">
        <v>7</v>
      </c>
      <c r="N434" s="154" t="s">
        <v>25</v>
      </c>
      <c r="O434" s="62">
        <v>4</v>
      </c>
      <c r="P434" s="154" t="s">
        <v>458</v>
      </c>
      <c r="Q434" s="62"/>
      <c r="R434" s="63"/>
      <c r="S434" s="62" t="s">
        <v>616</v>
      </c>
      <c r="T434" s="62"/>
      <c r="U434" s="62"/>
      <c r="V434" s="155">
        <v>6600000</v>
      </c>
      <c r="W434" s="155">
        <v>5189333</v>
      </c>
      <c r="X434" s="155">
        <v>1410667</v>
      </c>
    </row>
    <row r="435" spans="3:24" s="52" customFormat="1" x14ac:dyDescent="0.25">
      <c r="C435" s="101">
        <v>2017</v>
      </c>
      <c r="D435" s="62" t="s">
        <v>1042</v>
      </c>
      <c r="E435" s="63" t="s">
        <v>1043</v>
      </c>
      <c r="F435" s="64">
        <v>42913</v>
      </c>
      <c r="G435" s="65" t="s">
        <v>190</v>
      </c>
      <c r="H435" s="94">
        <v>1480000</v>
      </c>
      <c r="I435" s="94">
        <v>1483000</v>
      </c>
      <c r="J435" s="94"/>
      <c r="K435" s="153">
        <v>2.0270270270270271E-3</v>
      </c>
      <c r="L435" s="104" t="s">
        <v>464</v>
      </c>
      <c r="M435" s="62">
        <v>7</v>
      </c>
      <c r="N435" s="154" t="s">
        <v>25</v>
      </c>
      <c r="O435" s="62">
        <v>2</v>
      </c>
      <c r="P435" s="154" t="s">
        <v>459</v>
      </c>
      <c r="Q435" s="62"/>
      <c r="R435" s="63"/>
      <c r="S435" s="62" t="s">
        <v>447</v>
      </c>
      <c r="T435" s="62"/>
      <c r="U435" s="62"/>
      <c r="V435" s="155">
        <v>1480000</v>
      </c>
      <c r="W435" s="155">
        <v>1483000</v>
      </c>
      <c r="X435" s="155">
        <v>-3000</v>
      </c>
    </row>
    <row r="436" spans="3:24" s="52" customFormat="1" x14ac:dyDescent="0.25">
      <c r="C436" s="101">
        <v>2017</v>
      </c>
      <c r="D436" s="62" t="s">
        <v>966</v>
      </c>
      <c r="E436" s="63" t="s">
        <v>967</v>
      </c>
      <c r="F436" s="64">
        <v>42823</v>
      </c>
      <c r="G436" s="65" t="s">
        <v>34</v>
      </c>
      <c r="H436" s="94">
        <v>3700000</v>
      </c>
      <c r="I436" s="94">
        <v>2490000</v>
      </c>
      <c r="J436" s="94"/>
      <c r="K436" s="153">
        <v>-0.32702702702702702</v>
      </c>
      <c r="L436" s="104" t="s">
        <v>464</v>
      </c>
      <c r="M436" s="62">
        <v>7</v>
      </c>
      <c r="N436" s="154" t="s">
        <v>93</v>
      </c>
      <c r="O436" s="62">
        <v>1</v>
      </c>
      <c r="P436" s="154" t="s">
        <v>457</v>
      </c>
      <c r="Q436" s="62"/>
      <c r="R436" s="63" t="s">
        <v>976</v>
      </c>
      <c r="S436" s="62" t="s">
        <v>630</v>
      </c>
      <c r="T436" s="62"/>
      <c r="U436" s="62"/>
      <c r="V436" s="155">
        <v>3700000</v>
      </c>
      <c r="W436" s="155">
        <v>2490000</v>
      </c>
      <c r="X436" s="155">
        <v>1210000</v>
      </c>
    </row>
    <row r="437" spans="3:24" s="52" customFormat="1" x14ac:dyDescent="0.25">
      <c r="C437" s="101">
        <v>2017</v>
      </c>
      <c r="D437" s="62" t="s">
        <v>868</v>
      </c>
      <c r="E437" s="63" t="s">
        <v>869</v>
      </c>
      <c r="F437" s="64">
        <v>42761</v>
      </c>
      <c r="G437" s="65" t="s">
        <v>34</v>
      </c>
      <c r="H437" s="94">
        <v>5100000</v>
      </c>
      <c r="I437" s="94">
        <v>4640176</v>
      </c>
      <c r="J437" s="94" t="s">
        <v>519</v>
      </c>
      <c r="K437" s="153">
        <v>-9.0161568627450978E-2</v>
      </c>
      <c r="L437" s="104" t="s">
        <v>464</v>
      </c>
      <c r="M437" s="62">
        <v>7</v>
      </c>
      <c r="N437" s="154" t="s">
        <v>93</v>
      </c>
      <c r="O437" s="62">
        <v>1</v>
      </c>
      <c r="P437" s="154" t="s">
        <v>458</v>
      </c>
      <c r="Q437" s="62"/>
      <c r="R437" s="63"/>
      <c r="S437" s="62" t="s">
        <v>784</v>
      </c>
      <c r="T437" s="62"/>
      <c r="U437" s="62"/>
      <c r="V437" s="155">
        <v>5100000</v>
      </c>
      <c r="W437" s="155">
        <v>4640176</v>
      </c>
      <c r="X437" s="155">
        <v>459824</v>
      </c>
    </row>
    <row r="438" spans="3:24" s="52" customFormat="1" x14ac:dyDescent="0.25">
      <c r="C438" s="101"/>
      <c r="L438" s="104"/>
      <c r="N438" s="104"/>
    </row>
    <row r="439" spans="3:24" s="52" customFormat="1" x14ac:dyDescent="0.25">
      <c r="C439" s="101"/>
      <c r="L439" s="104"/>
      <c r="N439" s="104"/>
    </row>
    <row r="440" spans="3:24" s="52" customFormat="1" x14ac:dyDescent="0.25">
      <c r="C440" s="101">
        <v>2017</v>
      </c>
      <c r="D440" s="102" t="s">
        <v>1159</v>
      </c>
      <c r="E440" s="63" t="s">
        <v>1154</v>
      </c>
      <c r="F440" s="64">
        <v>43088</v>
      </c>
      <c r="G440" s="65" t="s">
        <v>693</v>
      </c>
      <c r="H440" s="94">
        <v>795000</v>
      </c>
      <c r="I440" s="94">
        <v>353700</v>
      </c>
      <c r="J440" s="94"/>
      <c r="K440" s="153">
        <v>-0.55509433962264154</v>
      </c>
      <c r="L440" s="104" t="s">
        <v>464</v>
      </c>
      <c r="M440" s="62">
        <v>8</v>
      </c>
      <c r="N440" s="154" t="s">
        <v>226</v>
      </c>
      <c r="O440" s="62">
        <v>4</v>
      </c>
      <c r="P440" s="154" t="s">
        <v>457</v>
      </c>
      <c r="Q440" s="62"/>
      <c r="R440" s="63"/>
      <c r="S440" s="62" t="s">
        <v>1153</v>
      </c>
      <c r="T440" s="62"/>
      <c r="U440" s="62"/>
      <c r="V440" s="155">
        <v>795000</v>
      </c>
      <c r="W440" s="155">
        <v>353700</v>
      </c>
      <c r="X440" s="155">
        <v>441300</v>
      </c>
    </row>
    <row r="441" spans="3:24" s="52" customFormat="1" x14ac:dyDescent="0.25">
      <c r="C441" s="101">
        <v>2017</v>
      </c>
      <c r="D441" s="62" t="s">
        <v>1118</v>
      </c>
      <c r="E441" s="63" t="s">
        <v>1119</v>
      </c>
      <c r="F441" s="64">
        <v>43048</v>
      </c>
      <c r="G441" s="65" t="s">
        <v>34</v>
      </c>
      <c r="H441" s="94">
        <v>4860000</v>
      </c>
      <c r="I441" s="94">
        <v>3418000</v>
      </c>
      <c r="J441" s="94"/>
      <c r="K441" s="153">
        <v>-0.29670781893004117</v>
      </c>
      <c r="L441" s="104" t="s">
        <v>464</v>
      </c>
      <c r="M441" s="62">
        <v>8</v>
      </c>
      <c r="N441" s="154" t="s">
        <v>25</v>
      </c>
      <c r="O441" s="62">
        <v>4</v>
      </c>
      <c r="P441" s="154" t="s">
        <v>492</v>
      </c>
      <c r="Q441" s="62"/>
      <c r="R441" s="63"/>
      <c r="S441" s="62" t="s">
        <v>816</v>
      </c>
      <c r="T441" s="62"/>
      <c r="U441" s="62"/>
      <c r="V441" s="155">
        <v>4860000</v>
      </c>
      <c r="W441" s="155">
        <v>3418000</v>
      </c>
      <c r="X441" s="155">
        <v>1442000</v>
      </c>
    </row>
    <row r="442" spans="3:24" s="52" customFormat="1" x14ac:dyDescent="0.25">
      <c r="C442" s="101">
        <v>2017</v>
      </c>
      <c r="D442" s="62" t="s">
        <v>1063</v>
      </c>
      <c r="E442" s="63" t="s">
        <v>1064</v>
      </c>
      <c r="F442" s="64">
        <v>42951</v>
      </c>
      <c r="G442" s="65" t="s">
        <v>34</v>
      </c>
      <c r="H442" s="94">
        <v>6040000</v>
      </c>
      <c r="I442" s="94">
        <v>4845475</v>
      </c>
      <c r="J442" s="94" t="s">
        <v>519</v>
      </c>
      <c r="K442" s="153">
        <v>-0.19776903973509935</v>
      </c>
      <c r="L442" s="104" t="s">
        <v>464</v>
      </c>
      <c r="M442" s="62">
        <v>8</v>
      </c>
      <c r="N442" s="154" t="s">
        <v>93</v>
      </c>
      <c r="O442" s="62">
        <v>3</v>
      </c>
      <c r="P442" s="154" t="s">
        <v>458</v>
      </c>
      <c r="Q442" s="62"/>
      <c r="R442" s="63"/>
      <c r="S442" s="62" t="s">
        <v>784</v>
      </c>
      <c r="T442" s="62"/>
      <c r="U442" s="62"/>
      <c r="V442" s="155">
        <v>6040000</v>
      </c>
      <c r="W442" s="155">
        <v>4845475</v>
      </c>
      <c r="X442" s="155">
        <v>1194525</v>
      </c>
    </row>
    <row r="443" spans="3:24" s="52" customFormat="1" x14ac:dyDescent="0.25">
      <c r="C443" s="101"/>
      <c r="L443" s="104"/>
      <c r="N443" s="104"/>
    </row>
    <row r="444" spans="3:24" s="52" customFormat="1" x14ac:dyDescent="0.25">
      <c r="C444" s="101"/>
      <c r="L444" s="104"/>
      <c r="N444" s="104"/>
    </row>
    <row r="445" spans="3:24" s="52" customFormat="1" x14ac:dyDescent="0.25">
      <c r="C445" s="101">
        <v>2017</v>
      </c>
      <c r="D445" s="62" t="s">
        <v>1101</v>
      </c>
      <c r="E445" s="63" t="s">
        <v>1102</v>
      </c>
      <c r="F445" s="64">
        <v>43025</v>
      </c>
      <c r="G445" s="65" t="s">
        <v>34</v>
      </c>
      <c r="H445" s="94">
        <v>2800000</v>
      </c>
      <c r="I445" s="94">
        <v>2847000</v>
      </c>
      <c r="J445" s="94"/>
      <c r="K445" s="153">
        <v>1.6785714285714286E-2</v>
      </c>
      <c r="L445" s="104" t="s">
        <v>464</v>
      </c>
      <c r="M445" s="62">
        <v>9</v>
      </c>
      <c r="N445" s="154" t="s">
        <v>93</v>
      </c>
      <c r="O445" s="62">
        <v>4</v>
      </c>
      <c r="P445" s="154" t="s">
        <v>458</v>
      </c>
      <c r="Q445" s="62"/>
      <c r="R445" s="63"/>
      <c r="S445" s="62" t="s">
        <v>616</v>
      </c>
      <c r="T445" s="62"/>
      <c r="U445" s="62"/>
      <c r="V445" s="155">
        <v>2800000</v>
      </c>
      <c r="W445" s="155">
        <v>2847000</v>
      </c>
      <c r="X445" s="155">
        <v>-47000</v>
      </c>
    </row>
    <row r="446" spans="3:24" s="52" customFormat="1" x14ac:dyDescent="0.25">
      <c r="C446" s="101">
        <v>2017</v>
      </c>
      <c r="D446" s="62" t="s">
        <v>1014</v>
      </c>
      <c r="E446" s="63" t="s">
        <v>1015</v>
      </c>
      <c r="F446" s="64">
        <v>42886</v>
      </c>
      <c r="G446" s="65" t="s">
        <v>34</v>
      </c>
      <c r="H446" s="94">
        <v>1140000</v>
      </c>
      <c r="I446" s="94">
        <v>904780</v>
      </c>
      <c r="J446" s="94"/>
      <c r="K446" s="153">
        <v>-0.20633333333333334</v>
      </c>
      <c r="L446" s="104" t="s">
        <v>464</v>
      </c>
      <c r="M446" s="62">
        <v>9</v>
      </c>
      <c r="N446" s="154" t="s">
        <v>25</v>
      </c>
      <c r="O446" s="62">
        <v>2</v>
      </c>
      <c r="P446" s="154" t="s">
        <v>458</v>
      </c>
      <c r="Q446" s="62"/>
      <c r="R446" s="63"/>
      <c r="S446" s="62" t="s">
        <v>616</v>
      </c>
      <c r="T446" s="62"/>
      <c r="U446" s="62"/>
      <c r="V446" s="155">
        <v>1140000</v>
      </c>
      <c r="W446" s="155">
        <v>904780</v>
      </c>
      <c r="X446" s="155">
        <v>235220</v>
      </c>
    </row>
    <row r="447" spans="3:24" s="52" customFormat="1" x14ac:dyDescent="0.25">
      <c r="C447" s="101">
        <v>2017</v>
      </c>
      <c r="D447" s="62" t="s">
        <v>1001</v>
      </c>
      <c r="E447" s="63" t="s">
        <v>1008</v>
      </c>
      <c r="F447" s="64">
        <v>42872</v>
      </c>
      <c r="G447" s="65" t="s">
        <v>34</v>
      </c>
      <c r="H447" s="94">
        <v>5000000</v>
      </c>
      <c r="I447" s="94">
        <v>5210665</v>
      </c>
      <c r="J447" s="94" t="s">
        <v>519</v>
      </c>
      <c r="K447" s="153">
        <v>4.2132999999999997E-2</v>
      </c>
      <c r="L447" s="104" t="s">
        <v>464</v>
      </c>
      <c r="M447" s="62">
        <v>9</v>
      </c>
      <c r="N447" s="154" t="s">
        <v>226</v>
      </c>
      <c r="O447" s="62">
        <v>2</v>
      </c>
      <c r="P447" s="154" t="s">
        <v>492</v>
      </c>
      <c r="Q447" s="62"/>
      <c r="R447" s="63"/>
      <c r="S447" s="62" t="s">
        <v>816</v>
      </c>
      <c r="T447" s="62"/>
      <c r="U447" s="62"/>
      <c r="V447" s="155">
        <v>5000000</v>
      </c>
      <c r="W447" s="155">
        <v>5210665</v>
      </c>
      <c r="X447" s="155">
        <v>-210665</v>
      </c>
    </row>
    <row r="448" spans="3:24" s="52" customFormat="1" x14ac:dyDescent="0.25">
      <c r="C448" s="101">
        <v>2017</v>
      </c>
      <c r="D448" s="62" t="s">
        <v>901</v>
      </c>
      <c r="E448" s="63" t="s">
        <v>902</v>
      </c>
      <c r="F448" s="64">
        <v>42774</v>
      </c>
      <c r="G448" s="65" t="s">
        <v>34</v>
      </c>
      <c r="H448" s="94">
        <v>970000</v>
      </c>
      <c r="I448" s="94">
        <v>756482</v>
      </c>
      <c r="J448" s="94"/>
      <c r="K448" s="153">
        <v>-0.22012164948453608</v>
      </c>
      <c r="L448" s="104" t="s">
        <v>464</v>
      </c>
      <c r="M448" s="62">
        <v>9</v>
      </c>
      <c r="N448" s="154" t="s">
        <v>25</v>
      </c>
      <c r="O448" s="62">
        <v>1</v>
      </c>
      <c r="P448" s="154" t="s">
        <v>458</v>
      </c>
      <c r="Q448" s="62"/>
      <c r="R448" s="63"/>
      <c r="S448" s="62" t="s">
        <v>616</v>
      </c>
      <c r="T448" s="62"/>
      <c r="U448" s="62"/>
      <c r="V448" s="155">
        <v>970000</v>
      </c>
      <c r="W448" s="155">
        <v>756482</v>
      </c>
      <c r="X448" s="155">
        <v>213518</v>
      </c>
    </row>
    <row r="449" spans="3:24" s="52" customFormat="1" x14ac:dyDescent="0.25">
      <c r="C449" s="101">
        <v>2017</v>
      </c>
      <c r="D449" s="62" t="s">
        <v>862</v>
      </c>
      <c r="E449" s="63" t="s">
        <v>863</v>
      </c>
      <c r="F449" s="64">
        <v>42759</v>
      </c>
      <c r="G449" s="65" t="s">
        <v>190</v>
      </c>
      <c r="H449" s="94">
        <v>69800000</v>
      </c>
      <c r="I449" s="94">
        <v>67107000</v>
      </c>
      <c r="J449" s="94" t="s">
        <v>519</v>
      </c>
      <c r="K449" s="153">
        <v>-3.8581661891117482E-2</v>
      </c>
      <c r="L449" s="104" t="s">
        <v>464</v>
      </c>
      <c r="M449" s="62">
        <v>9</v>
      </c>
      <c r="N449" s="154" t="s">
        <v>25</v>
      </c>
      <c r="O449" s="62">
        <v>1</v>
      </c>
      <c r="P449" s="154" t="s">
        <v>458</v>
      </c>
      <c r="Q449" s="62"/>
      <c r="R449" s="63"/>
      <c r="S449" s="62" t="s">
        <v>616</v>
      </c>
      <c r="T449" s="62"/>
      <c r="U449" s="62"/>
      <c r="V449" s="155">
        <v>69800000</v>
      </c>
      <c r="W449" s="155">
        <v>67107000</v>
      </c>
      <c r="X449" s="155">
        <v>2693000</v>
      </c>
    </row>
    <row r="450" spans="3:24" s="52" customFormat="1" x14ac:dyDescent="0.25">
      <c r="C450" s="101"/>
      <c r="L450" s="104"/>
      <c r="N450" s="104"/>
    </row>
    <row r="451" spans="3:24" s="52" customFormat="1" x14ac:dyDescent="0.25">
      <c r="C451" s="101"/>
      <c r="L451" s="104"/>
      <c r="N451" s="104"/>
    </row>
    <row r="452" spans="3:24" s="52" customFormat="1" x14ac:dyDescent="0.25">
      <c r="C452" s="101">
        <v>2017</v>
      </c>
      <c r="D452" s="62" t="str">
        <f>+'BP-694.510'!$F$4</f>
        <v>BP-694.510</v>
      </c>
      <c r="E452" s="63" t="str">
        <f>+'BP-694.510'!$F$5</f>
        <v>Brooklyn Pier 10 Concrete Girder Repairs</v>
      </c>
      <c r="F452" s="64">
        <f>+'BP-694.510'!$F$6</f>
        <v>42999</v>
      </c>
      <c r="G452" s="65" t="str">
        <f>+'BP-694.510'!$G$7</f>
        <v>Public</v>
      </c>
      <c r="H452" s="94">
        <f>+'BP-694.510'!$F$7</f>
        <v>1250000</v>
      </c>
      <c r="I452" s="94">
        <f>+'BP-694.510'!$F$8</f>
        <v>876947</v>
      </c>
      <c r="J452" s="94"/>
      <c r="K452" s="153">
        <f>+'BP-694.510'!$G$9</f>
        <v>-0.2984424</v>
      </c>
      <c r="L452" s="104" t="str">
        <f>+'BP-694.510'!$F$11</f>
        <v>GOOD</v>
      </c>
      <c r="M452" s="62">
        <f>+'BP-694.510'!$H$12</f>
        <v>13</v>
      </c>
      <c r="N452" s="154" t="s">
        <v>93</v>
      </c>
      <c r="O452" s="62">
        <v>3</v>
      </c>
      <c r="P452" s="154" t="s">
        <v>492</v>
      </c>
      <c r="Q452" s="62"/>
      <c r="R452" s="63"/>
      <c r="S452" s="62" t="str">
        <f>+'BP-694.510'!$J$4</f>
        <v>Ed Minall</v>
      </c>
      <c r="T452" s="62"/>
      <c r="U452" s="62"/>
      <c r="V452" s="155">
        <f t="shared" ref="V452" si="22">+H452</f>
        <v>1250000</v>
      </c>
      <c r="W452" s="155">
        <f t="shared" ref="W452" si="23">+I452</f>
        <v>876947</v>
      </c>
      <c r="X452" s="155">
        <f t="shared" ref="X452" si="24">+V452-W452</f>
        <v>373053</v>
      </c>
    </row>
    <row r="453" spans="3:24" s="52" customFormat="1" x14ac:dyDescent="0.25">
      <c r="C453" s="101">
        <v>2017</v>
      </c>
      <c r="D453" s="62" t="str">
        <f>+'LGA-774.235'!$F$4</f>
        <v>LGA-774.235</v>
      </c>
      <c r="E453" s="63" t="str">
        <f>+'LGA-774.235'!$F$5</f>
        <v>Emergency Generators at Various Locations</v>
      </c>
      <c r="F453" s="64">
        <f>+'LGA-774.235'!$F$6</f>
        <v>42894</v>
      </c>
      <c r="G453" s="65" t="str">
        <f>+'LGA-774.235'!$G$7</f>
        <v>VVP</v>
      </c>
      <c r="H453" s="94">
        <f>+'LGA-774.235'!$F$7</f>
        <v>6445000</v>
      </c>
      <c r="I453" s="94">
        <f>+'LGA-774.235'!$F$8</f>
        <v>7166666</v>
      </c>
      <c r="J453" s="94" t="s">
        <v>519</v>
      </c>
      <c r="K453" s="153">
        <f>+'LGA-774.235'!$G$9</f>
        <v>0.11197300232738557</v>
      </c>
      <c r="L453" s="104" t="str">
        <f>+'LGA-774.235'!$F$11</f>
        <v>FAIL</v>
      </c>
      <c r="M453" s="62">
        <f>+'LGA-774.235'!$H$12</f>
        <v>11</v>
      </c>
      <c r="N453" s="154" t="s">
        <v>93</v>
      </c>
      <c r="O453" s="62">
        <v>2</v>
      </c>
      <c r="P453" s="154" t="s">
        <v>458</v>
      </c>
      <c r="Q453" s="62"/>
      <c r="R453" s="63"/>
      <c r="S453" s="62" t="str">
        <f>+'LGA-774.235'!$J$4</f>
        <v>Joe Lucin</v>
      </c>
      <c r="T453" s="62"/>
      <c r="U453" s="62"/>
      <c r="V453" s="155">
        <f t="shared" ref="V453:V454" si="25">+H453</f>
        <v>6445000</v>
      </c>
      <c r="W453" s="155">
        <f t="shared" ref="W453:W454" si="26">+I453</f>
        <v>7166666</v>
      </c>
      <c r="X453" s="155">
        <f t="shared" ref="X453:X454" si="27">+V453-W453</f>
        <v>-721666</v>
      </c>
    </row>
    <row r="454" spans="3:24" s="52" customFormat="1" x14ac:dyDescent="0.25">
      <c r="C454" s="101">
        <v>2017</v>
      </c>
      <c r="D454" s="62" t="str">
        <f>+'JFK-154.019'!$F$4</f>
        <v>JFK-154.019</v>
      </c>
      <c r="E454" s="63" t="str">
        <f>+'JFK-154.019'!$F$5</f>
        <v>Install Gate/Check Valves for Exist Stormwater Outfalls 2-3-4-5-6</v>
      </c>
      <c r="F454" s="64">
        <f>+'JFK-154.019'!$F$6</f>
        <v>42880</v>
      </c>
      <c r="G454" s="65" t="str">
        <f>+'JFK-154.019'!$G$7</f>
        <v>Public</v>
      </c>
      <c r="H454" s="94">
        <f>+'JFK-154.019'!$F$7</f>
        <v>2850000</v>
      </c>
      <c r="I454" s="94">
        <f>+'JFK-154.019'!$F$8</f>
        <v>1808548</v>
      </c>
      <c r="J454" s="94"/>
      <c r="K454" s="153">
        <f>+'JFK-154.019'!$G$9</f>
        <v>-0.36542175438596491</v>
      </c>
      <c r="L454" s="104" t="str">
        <f>+'JFK-154.019'!$F$11</f>
        <v>FAIL</v>
      </c>
      <c r="M454" s="62">
        <f>+'JFK-154.019'!$H$12</f>
        <v>11</v>
      </c>
      <c r="N454" s="154" t="s">
        <v>93</v>
      </c>
      <c r="O454" s="62">
        <v>2</v>
      </c>
      <c r="P454" s="154" t="s">
        <v>458</v>
      </c>
      <c r="Q454" s="62"/>
      <c r="R454" s="63"/>
      <c r="S454" s="62" t="str">
        <f>+'JFK-154.019'!$J$4</f>
        <v>Wen Chang</v>
      </c>
      <c r="T454" s="62"/>
      <c r="U454" s="62"/>
      <c r="V454" s="155">
        <f t="shared" si="25"/>
        <v>2850000</v>
      </c>
      <c r="W454" s="155">
        <f t="shared" si="26"/>
        <v>1808548</v>
      </c>
      <c r="X454" s="155">
        <f t="shared" si="27"/>
        <v>1041452</v>
      </c>
    </row>
    <row r="455" spans="3:24" s="52" customFormat="1" x14ac:dyDescent="0.25">
      <c r="C455" s="101">
        <v>2017</v>
      </c>
      <c r="D455" s="62" t="str">
        <f>+'TEB-144.045'!$F$4</f>
        <v>TEB-144.045</v>
      </c>
      <c r="E455" s="63" t="str">
        <f>+'TEB-144.045'!$F$5</f>
        <v>Storm Drainage System Rehab Phase 1</v>
      </c>
      <c r="F455" s="64">
        <f>+'TEB-144.045'!$F$6</f>
        <v>42780</v>
      </c>
      <c r="G455" s="65" t="str">
        <f>+'TEB-144.045'!$G$7</f>
        <v>Public</v>
      </c>
      <c r="H455" s="94">
        <f>+'TEB-144.045'!$F$7</f>
        <v>2580000</v>
      </c>
      <c r="I455" s="94">
        <f>+'TEB-144.045'!$F$8</f>
        <v>1386000</v>
      </c>
      <c r="J455" s="94"/>
      <c r="K455" s="153">
        <f>+'TEB-144.045'!$G$9</f>
        <v>-0.46279069767441861</v>
      </c>
      <c r="L455" s="104" t="str">
        <f>+'TEB-144.045'!$F$11</f>
        <v>GOOD</v>
      </c>
      <c r="M455" s="62">
        <f>+'TEB-144.045'!$H$12</f>
        <v>16</v>
      </c>
      <c r="N455" s="154" t="s">
        <v>25</v>
      </c>
      <c r="O455" s="62">
        <v>1</v>
      </c>
      <c r="P455" s="154" t="s">
        <v>458</v>
      </c>
      <c r="Q455" s="62"/>
      <c r="R455" s="63" t="s">
        <v>1020</v>
      </c>
      <c r="S455" s="62" t="str">
        <f>+'EWR-924.375'!$J$4</f>
        <v>Henry Yu</v>
      </c>
      <c r="T455" s="62"/>
      <c r="U455" s="62"/>
      <c r="V455" s="155">
        <f t="shared" ref="V455:V456" si="28">+H455</f>
        <v>2580000</v>
      </c>
      <c r="W455" s="155">
        <f t="shared" ref="W455:W456" si="29">+I455</f>
        <v>1386000</v>
      </c>
      <c r="X455" s="155">
        <f t="shared" ref="X455:X456" si="30">+V455-W455</f>
        <v>1194000</v>
      </c>
    </row>
    <row r="456" spans="3:24" s="52" customFormat="1" x14ac:dyDescent="0.25">
      <c r="C456" s="101">
        <v>2017</v>
      </c>
      <c r="D456" s="62" t="str">
        <f>+'JFK-124.009'!$F$4</f>
        <v>JFK-124.009</v>
      </c>
      <c r="E456" s="63" t="str">
        <f>+'JFK-124.009'!$F$5</f>
        <v>Bldg 14 Roof Replacement, East Wing</v>
      </c>
      <c r="F456" s="64">
        <f>+'JFK-124.009'!$F$6</f>
        <v>42768</v>
      </c>
      <c r="G456" s="65" t="str">
        <f>+'JFK-124.009'!$G$7</f>
        <v>Public</v>
      </c>
      <c r="H456" s="94">
        <f>+'JFK-124.009'!$F$7</f>
        <v>4800000</v>
      </c>
      <c r="I456" s="94">
        <f>+'JFK-124.009'!$F$8</f>
        <v>3901193</v>
      </c>
      <c r="J456" s="94"/>
      <c r="K456" s="153">
        <f>+'JFK-124.009'!$G$9</f>
        <v>-0.18725145833333334</v>
      </c>
      <c r="L456" s="104" t="str">
        <f>+'JFK-124.009'!$F$11</f>
        <v>GOOD</v>
      </c>
      <c r="M456" s="62">
        <f>+'JFK-124.009'!$H$12</f>
        <v>14</v>
      </c>
      <c r="N456" s="154" t="s">
        <v>93</v>
      </c>
      <c r="O456" s="62">
        <v>1</v>
      </c>
      <c r="P456" s="154" t="s">
        <v>458</v>
      </c>
      <c r="Q456" s="62"/>
      <c r="R456" s="63"/>
      <c r="S456" s="62" t="str">
        <f>+'JFK-124.009'!$J$4</f>
        <v>Henry Yu</v>
      </c>
      <c r="T456" s="62"/>
      <c r="U456" s="62"/>
      <c r="V456" s="155">
        <f t="shared" si="28"/>
        <v>4800000</v>
      </c>
      <c r="W456" s="155">
        <f t="shared" si="29"/>
        <v>3901193</v>
      </c>
      <c r="X456" s="155">
        <f t="shared" si="30"/>
        <v>898807</v>
      </c>
    </row>
    <row r="457" spans="3:24" s="52" customFormat="1" x14ac:dyDescent="0.25">
      <c r="C457" s="101"/>
      <c r="N457" s="104"/>
    </row>
    <row r="458" spans="3:24" x14ac:dyDescent="0.25">
      <c r="C458" s="39"/>
    </row>
    <row r="459" spans="3:24" x14ac:dyDescent="0.25">
      <c r="C459" s="39"/>
      <c r="K459" s="11"/>
    </row>
    <row r="460" spans="3:24" x14ac:dyDescent="0.25">
      <c r="C460" s="39"/>
    </row>
    <row r="461" spans="3:24" x14ac:dyDescent="0.25">
      <c r="C461" s="39"/>
      <c r="E461" s="158" t="s">
        <v>1195</v>
      </c>
      <c r="F461" s="159" t="s">
        <v>1194</v>
      </c>
      <c r="G461" s="159" t="s">
        <v>39</v>
      </c>
      <c r="H461" s="160" t="s">
        <v>842</v>
      </c>
    </row>
    <row r="462" spans="3:24" x14ac:dyDescent="0.25">
      <c r="C462" s="39"/>
      <c r="E462" s="161" t="s">
        <v>1184</v>
      </c>
      <c r="F462" s="162">
        <f>H462/G462</f>
        <v>0</v>
      </c>
      <c r="G462" s="156">
        <v>1</v>
      </c>
      <c r="H462" s="157">
        <v>0</v>
      </c>
    </row>
    <row r="463" spans="3:24" x14ac:dyDescent="0.25">
      <c r="C463" s="39"/>
      <c r="E463" s="161" t="s">
        <v>1185</v>
      </c>
      <c r="F463" s="162">
        <f t="shared" ref="F463:F471" si="31">H463/G463</f>
        <v>0.5</v>
      </c>
      <c r="G463" s="156">
        <f>COUNTA(L377:L384)</f>
        <v>8</v>
      </c>
      <c r="H463" s="157">
        <v>4</v>
      </c>
    </row>
    <row r="464" spans="3:24" x14ac:dyDescent="0.25">
      <c r="C464" s="39"/>
      <c r="E464" s="161" t="s">
        <v>1186</v>
      </c>
      <c r="F464" s="162">
        <f t="shared" si="31"/>
        <v>0.6428571428571429</v>
      </c>
      <c r="G464" s="156">
        <f>COUNTA(L387:L400)</f>
        <v>14</v>
      </c>
      <c r="H464" s="157">
        <v>9</v>
      </c>
    </row>
    <row r="465" spans="2:24" x14ac:dyDescent="0.25">
      <c r="C465" s="39"/>
      <c r="E465" s="161" t="s">
        <v>1187</v>
      </c>
      <c r="F465" s="162">
        <f t="shared" si="31"/>
        <v>0.66666666666666663</v>
      </c>
      <c r="G465" s="156">
        <f>COUNTA(L403:L411)</f>
        <v>9</v>
      </c>
      <c r="H465" s="157">
        <v>6</v>
      </c>
    </row>
    <row r="466" spans="2:24" x14ac:dyDescent="0.25">
      <c r="C466" s="39"/>
      <c r="E466" s="161" t="s">
        <v>1188</v>
      </c>
      <c r="F466" s="162">
        <f t="shared" si="31"/>
        <v>0.5</v>
      </c>
      <c r="G466" s="156">
        <f>COUNTA(L414:L421)</f>
        <v>8</v>
      </c>
      <c r="H466" s="157">
        <v>4</v>
      </c>
    </row>
    <row r="467" spans="2:24" x14ac:dyDescent="0.25">
      <c r="C467" s="39"/>
      <c r="E467" s="161" t="s">
        <v>1189</v>
      </c>
      <c r="F467" s="162">
        <f t="shared" si="31"/>
        <v>0.625</v>
      </c>
      <c r="G467" s="156">
        <f>COUNTA(L424:L431)</f>
        <v>8</v>
      </c>
      <c r="H467" s="157">
        <v>5</v>
      </c>
    </row>
    <row r="468" spans="2:24" x14ac:dyDescent="0.25">
      <c r="C468" s="39"/>
      <c r="E468" s="161" t="s">
        <v>1190</v>
      </c>
      <c r="F468" s="162">
        <f t="shared" si="31"/>
        <v>1</v>
      </c>
      <c r="G468" s="156">
        <f>COUNTA(L434:L437)</f>
        <v>4</v>
      </c>
      <c r="H468" s="157">
        <v>4</v>
      </c>
    </row>
    <row r="469" spans="2:24" x14ac:dyDescent="0.25">
      <c r="C469" s="39"/>
      <c r="E469" s="161" t="s">
        <v>1191</v>
      </c>
      <c r="F469" s="162">
        <f t="shared" si="31"/>
        <v>1</v>
      </c>
      <c r="G469" s="156">
        <f>COUNTA(L440:L442)</f>
        <v>3</v>
      </c>
      <c r="H469" s="157">
        <v>3</v>
      </c>
    </row>
    <row r="470" spans="2:24" x14ac:dyDescent="0.25">
      <c r="C470" s="39"/>
      <c r="E470" s="161" t="s">
        <v>1192</v>
      </c>
      <c r="F470" s="162">
        <f t="shared" si="31"/>
        <v>1</v>
      </c>
      <c r="G470" s="156">
        <f>COUNTA(L445:L449)</f>
        <v>5</v>
      </c>
      <c r="H470" s="157">
        <v>5</v>
      </c>
    </row>
    <row r="471" spans="2:24" x14ac:dyDescent="0.25">
      <c r="C471" s="39"/>
      <c r="E471" s="161" t="s">
        <v>1193</v>
      </c>
      <c r="F471" s="162">
        <f t="shared" si="31"/>
        <v>0.6</v>
      </c>
      <c r="G471" s="156">
        <f>COUNTA(L452:L456)</f>
        <v>5</v>
      </c>
      <c r="H471" s="157">
        <v>3</v>
      </c>
      <c r="K471" s="52"/>
    </row>
    <row r="472" spans="2:24" x14ac:dyDescent="0.25">
      <c r="C472" s="39"/>
      <c r="K472" s="52"/>
    </row>
    <row r="473" spans="2:24" x14ac:dyDescent="0.25">
      <c r="C473" s="39"/>
      <c r="K473" s="52"/>
    </row>
    <row r="474" spans="2:24" x14ac:dyDescent="0.25">
      <c r="C474" s="39"/>
    </row>
    <row r="475" spans="2:24" x14ac:dyDescent="0.25">
      <c r="C475" s="39"/>
    </row>
    <row r="476" spans="2:24" x14ac:dyDescent="0.25">
      <c r="B476" s="139"/>
      <c r="C476" s="140"/>
      <c r="D476" s="139"/>
      <c r="E476" s="139"/>
      <c r="F476" s="139"/>
      <c r="G476" s="139"/>
      <c r="H476" s="139"/>
      <c r="I476" s="139"/>
      <c r="J476" s="139"/>
      <c r="K476" s="139"/>
      <c r="L476" s="139"/>
      <c r="M476" s="139"/>
      <c r="N476" s="141"/>
      <c r="O476" s="139"/>
      <c r="P476" s="139"/>
      <c r="Q476" s="139"/>
      <c r="R476" s="139"/>
      <c r="S476" s="139"/>
    </row>
    <row r="477" spans="2:24" x14ac:dyDescent="0.25">
      <c r="C477" s="39"/>
    </row>
    <row r="478" spans="2:24" x14ac:dyDescent="0.25">
      <c r="C478" s="39"/>
    </row>
    <row r="479" spans="2:24" x14ac:dyDescent="0.25">
      <c r="C479" s="39"/>
    </row>
    <row r="480" spans="2:24" x14ac:dyDescent="0.25">
      <c r="C480" s="39">
        <v>2017</v>
      </c>
      <c r="D480" s="102" t="s">
        <v>1159</v>
      </c>
      <c r="E480" s="63" t="s">
        <v>1154</v>
      </c>
      <c r="F480" s="64">
        <v>43088</v>
      </c>
      <c r="G480" s="65" t="s">
        <v>693</v>
      </c>
      <c r="H480" s="94">
        <v>795000</v>
      </c>
      <c r="I480" s="27">
        <v>353700</v>
      </c>
      <c r="J480" s="27"/>
      <c r="K480" s="26">
        <v>-0.55509433962264154</v>
      </c>
      <c r="L480" s="11" t="s">
        <v>464</v>
      </c>
      <c r="M480" s="15">
        <v>8</v>
      </c>
      <c r="N480" s="35" t="s">
        <v>226</v>
      </c>
      <c r="O480" s="15">
        <v>4</v>
      </c>
      <c r="P480" s="35" t="s">
        <v>457</v>
      </c>
      <c r="Q480" s="15"/>
      <c r="R480" s="24"/>
      <c r="S480" s="62" t="s">
        <v>1153</v>
      </c>
      <c r="T480" s="15"/>
      <c r="U480" s="15"/>
      <c r="V480" s="54">
        <v>795000</v>
      </c>
      <c r="W480" s="54">
        <v>353700</v>
      </c>
      <c r="X480" s="54">
        <v>441300</v>
      </c>
    </row>
    <row r="481" spans="3:24" x14ac:dyDescent="0.25">
      <c r="C481" s="39">
        <v>2017</v>
      </c>
      <c r="D481" s="102" t="s">
        <v>1150</v>
      </c>
      <c r="E481" s="63" t="s">
        <v>1151</v>
      </c>
      <c r="F481" s="64">
        <v>43083</v>
      </c>
      <c r="G481" s="65" t="s">
        <v>693</v>
      </c>
      <c r="H481" s="94">
        <v>979000</v>
      </c>
      <c r="I481" s="27">
        <v>1168000</v>
      </c>
      <c r="J481" s="27"/>
      <c r="K481" s="26">
        <v>0.1930541368743616</v>
      </c>
      <c r="L481" s="11" t="s">
        <v>465</v>
      </c>
      <c r="M481" s="15">
        <v>2</v>
      </c>
      <c r="N481" s="35" t="s">
        <v>25</v>
      </c>
      <c r="O481" s="15">
        <v>4</v>
      </c>
      <c r="P481" s="35" t="s">
        <v>458</v>
      </c>
      <c r="Q481" s="15"/>
      <c r="R481" s="24"/>
      <c r="S481" s="62" t="s">
        <v>784</v>
      </c>
      <c r="T481" s="15"/>
      <c r="U481" s="15"/>
      <c r="V481" s="54">
        <v>979000</v>
      </c>
      <c r="W481" s="54">
        <v>1168000</v>
      </c>
      <c r="X481" s="54">
        <v>-189000</v>
      </c>
    </row>
    <row r="482" spans="3:24" x14ac:dyDescent="0.25">
      <c r="C482" s="39">
        <v>2017</v>
      </c>
      <c r="D482" s="62" t="s">
        <v>1124</v>
      </c>
      <c r="E482" s="63" t="s">
        <v>1125</v>
      </c>
      <c r="F482" s="64">
        <v>43053</v>
      </c>
      <c r="G482" s="65" t="s">
        <v>693</v>
      </c>
      <c r="H482" s="94">
        <v>820000</v>
      </c>
      <c r="I482" s="27">
        <v>861500</v>
      </c>
      <c r="J482" s="27"/>
      <c r="K482" s="26">
        <v>5.0609756097560979E-2</v>
      </c>
      <c r="L482" s="11" t="s">
        <v>464</v>
      </c>
      <c r="M482" s="15">
        <v>4</v>
      </c>
      <c r="N482" s="35" t="s">
        <v>25</v>
      </c>
      <c r="O482" s="15">
        <v>4</v>
      </c>
      <c r="P482" s="35" t="s">
        <v>458</v>
      </c>
      <c r="Q482" s="15"/>
      <c r="R482" s="24"/>
      <c r="S482" s="62" t="s">
        <v>616</v>
      </c>
      <c r="T482" s="15"/>
      <c r="U482" s="15"/>
      <c r="V482" s="54">
        <v>820000</v>
      </c>
      <c r="W482" s="54">
        <v>861500</v>
      </c>
      <c r="X482" s="54">
        <v>-41500</v>
      </c>
    </row>
    <row r="483" spans="3:24" x14ac:dyDescent="0.25">
      <c r="C483" s="39">
        <v>2017</v>
      </c>
      <c r="D483" s="62" t="s">
        <v>1091</v>
      </c>
      <c r="E483" s="63" t="s">
        <v>1092</v>
      </c>
      <c r="F483" s="64">
        <v>43006</v>
      </c>
      <c r="G483" s="65" t="s">
        <v>693</v>
      </c>
      <c r="H483" s="94">
        <v>609000</v>
      </c>
      <c r="I483" s="27">
        <v>579300</v>
      </c>
      <c r="J483" s="27"/>
      <c r="K483" s="26">
        <v>-4.8768472906403938E-2</v>
      </c>
      <c r="L483" s="11" t="s">
        <v>464</v>
      </c>
      <c r="M483" s="15">
        <v>4</v>
      </c>
      <c r="N483" s="35" t="s">
        <v>226</v>
      </c>
      <c r="O483" s="15">
        <v>3</v>
      </c>
      <c r="P483" s="35" t="s">
        <v>457</v>
      </c>
      <c r="Q483" s="15"/>
      <c r="R483" s="24"/>
      <c r="S483" s="62" t="s">
        <v>962</v>
      </c>
      <c r="T483" s="15"/>
      <c r="U483" s="15"/>
      <c r="V483" s="54">
        <v>609000</v>
      </c>
      <c r="W483" s="54">
        <v>579300</v>
      </c>
      <c r="X483" s="54">
        <v>29700</v>
      </c>
    </row>
    <row r="484" spans="3:24" x14ac:dyDescent="0.25">
      <c r="C484" s="101">
        <v>2017</v>
      </c>
      <c r="D484" s="62" t="s">
        <v>1038</v>
      </c>
      <c r="E484" s="63" t="s">
        <v>1039</v>
      </c>
      <c r="F484" s="64">
        <v>42901</v>
      </c>
      <c r="G484" s="65" t="s">
        <v>693</v>
      </c>
      <c r="H484" s="94">
        <v>850000</v>
      </c>
      <c r="I484" s="27">
        <v>887000</v>
      </c>
      <c r="J484" s="27"/>
      <c r="K484" s="26">
        <v>4.3529411764705879E-2</v>
      </c>
      <c r="L484" s="11" t="s">
        <v>464</v>
      </c>
      <c r="M484" s="15">
        <v>3</v>
      </c>
      <c r="N484" s="35" t="s">
        <v>25</v>
      </c>
      <c r="O484" s="15">
        <v>2</v>
      </c>
      <c r="P484" s="35" t="s">
        <v>458</v>
      </c>
      <c r="Q484" s="15"/>
      <c r="R484" s="24"/>
      <c r="S484" s="62" t="s">
        <v>616</v>
      </c>
      <c r="T484" s="15"/>
      <c r="U484" s="15"/>
      <c r="V484" s="54">
        <v>850000</v>
      </c>
      <c r="W484" s="54">
        <v>887000</v>
      </c>
      <c r="X484" s="54">
        <v>-37000</v>
      </c>
    </row>
    <row r="485" spans="3:24" x14ac:dyDescent="0.25">
      <c r="C485" s="39">
        <v>2017</v>
      </c>
      <c r="D485" s="62" t="s">
        <v>1025</v>
      </c>
      <c r="E485" s="63" t="s">
        <v>1026</v>
      </c>
      <c r="F485" s="64">
        <v>42893</v>
      </c>
      <c r="G485" s="65" t="s">
        <v>693</v>
      </c>
      <c r="H485" s="94">
        <v>650000</v>
      </c>
      <c r="I485" s="27">
        <v>865508</v>
      </c>
      <c r="J485" s="27"/>
      <c r="K485" s="26">
        <v>0.3315507692307692</v>
      </c>
      <c r="L485" s="11" t="s">
        <v>465</v>
      </c>
      <c r="M485" s="15">
        <v>3</v>
      </c>
      <c r="N485" s="35" t="s">
        <v>25</v>
      </c>
      <c r="O485" s="15">
        <v>2</v>
      </c>
      <c r="P485" s="35" t="s">
        <v>458</v>
      </c>
      <c r="Q485" s="15"/>
      <c r="R485" s="24"/>
      <c r="S485" s="62" t="s">
        <v>616</v>
      </c>
      <c r="T485" s="15"/>
      <c r="U485" s="15"/>
      <c r="V485" s="54">
        <v>650000</v>
      </c>
      <c r="W485" s="54">
        <v>865508</v>
      </c>
      <c r="X485" s="54">
        <v>-215508</v>
      </c>
    </row>
    <row r="486" spans="3:24" x14ac:dyDescent="0.25">
      <c r="C486" s="39">
        <v>2017</v>
      </c>
      <c r="D486" s="62" t="s">
        <v>1023</v>
      </c>
      <c r="E486" s="63" t="s">
        <v>1024</v>
      </c>
      <c r="F486" s="64">
        <v>42893</v>
      </c>
      <c r="G486" s="65" t="s">
        <v>693</v>
      </c>
      <c r="H486" s="94">
        <v>1070000</v>
      </c>
      <c r="I486" s="27">
        <v>758000</v>
      </c>
      <c r="J486" s="27"/>
      <c r="K486" s="26">
        <v>-0.29158878504672897</v>
      </c>
      <c r="L486" s="11" t="s">
        <v>465</v>
      </c>
      <c r="M486" s="15">
        <v>5</v>
      </c>
      <c r="N486" s="35" t="s">
        <v>25</v>
      </c>
      <c r="O486" s="15">
        <v>2</v>
      </c>
      <c r="P486" s="35" t="s">
        <v>458</v>
      </c>
      <c r="Q486" s="15"/>
      <c r="R486" s="24"/>
      <c r="S486" s="62" t="s">
        <v>616</v>
      </c>
      <c r="T486" s="15"/>
      <c r="U486" s="15"/>
      <c r="V486" s="54">
        <v>1070000</v>
      </c>
      <c r="W486" s="54">
        <v>758000</v>
      </c>
      <c r="X486" s="54">
        <v>312000</v>
      </c>
    </row>
    <row r="487" spans="3:24" x14ac:dyDescent="0.25">
      <c r="C487" s="39">
        <v>2017</v>
      </c>
      <c r="D487" s="62" t="s">
        <v>989</v>
      </c>
      <c r="E487" s="63" t="s">
        <v>879</v>
      </c>
      <c r="F487" s="64">
        <v>42845</v>
      </c>
      <c r="G487" s="65" t="s">
        <v>693</v>
      </c>
      <c r="H487" s="94">
        <v>2625000</v>
      </c>
      <c r="I487" s="27">
        <v>2472675</v>
      </c>
      <c r="J487" s="27"/>
      <c r="K487" s="26">
        <v>-5.8028571428571429E-2</v>
      </c>
      <c r="L487" s="11" t="s">
        <v>464</v>
      </c>
      <c r="M487" s="15">
        <v>6</v>
      </c>
      <c r="N487" s="35" t="s">
        <v>25</v>
      </c>
      <c r="O487" s="15">
        <v>2</v>
      </c>
      <c r="P487" s="35" t="s">
        <v>492</v>
      </c>
      <c r="Q487" s="15"/>
      <c r="R487" s="24"/>
      <c r="S487" s="62" t="s">
        <v>816</v>
      </c>
      <c r="T487" s="15"/>
      <c r="U487" s="15"/>
      <c r="V487" s="54">
        <v>2625000</v>
      </c>
      <c r="W487" s="54">
        <v>2472675</v>
      </c>
      <c r="X487" s="54">
        <v>152325</v>
      </c>
    </row>
    <row r="488" spans="3:24" x14ac:dyDescent="0.25">
      <c r="C488" s="39">
        <v>2017</v>
      </c>
      <c r="D488" s="62" t="s">
        <v>956</v>
      </c>
      <c r="E488" s="63" t="s">
        <v>957</v>
      </c>
      <c r="F488" s="64">
        <v>42810</v>
      </c>
      <c r="G488" s="65" t="s">
        <v>693</v>
      </c>
      <c r="H488" s="27">
        <v>1425000</v>
      </c>
      <c r="I488" s="27">
        <v>1087425</v>
      </c>
      <c r="J488" s="27"/>
      <c r="K488" s="26">
        <v>-0.23689473684210527</v>
      </c>
      <c r="L488" s="11" t="s">
        <v>464</v>
      </c>
      <c r="M488" s="15">
        <v>6</v>
      </c>
      <c r="N488" s="35" t="s">
        <v>93</v>
      </c>
      <c r="O488" s="15">
        <v>1</v>
      </c>
      <c r="P488" s="35" t="s">
        <v>492</v>
      </c>
      <c r="Q488" s="15"/>
      <c r="R488" s="24"/>
      <c r="S488" s="62" t="s">
        <v>816</v>
      </c>
      <c r="T488" s="15"/>
      <c r="U488" s="15"/>
      <c r="V488" s="54">
        <v>1425000</v>
      </c>
      <c r="W488" s="54">
        <v>1087425</v>
      </c>
      <c r="X488" s="54">
        <v>337575</v>
      </c>
    </row>
    <row r="489" spans="3:24" x14ac:dyDescent="0.25">
      <c r="C489" s="39">
        <v>2017</v>
      </c>
      <c r="D489" s="62" t="s">
        <v>941</v>
      </c>
      <c r="E489" s="63" t="s">
        <v>940</v>
      </c>
      <c r="F489" s="64">
        <v>42789</v>
      </c>
      <c r="G489" s="65" t="s">
        <v>693</v>
      </c>
      <c r="H489" s="27">
        <v>240000</v>
      </c>
      <c r="I489" s="27">
        <v>97300</v>
      </c>
      <c r="J489" s="27"/>
      <c r="K489" s="26">
        <v>-0.59458333333333335</v>
      </c>
      <c r="L489" s="11" t="s">
        <v>465</v>
      </c>
      <c r="M489" s="15">
        <v>6</v>
      </c>
      <c r="N489" s="35" t="s">
        <v>25</v>
      </c>
      <c r="O489" s="15">
        <v>1</v>
      </c>
      <c r="P489" s="35" t="s">
        <v>457</v>
      </c>
      <c r="Q489" s="15"/>
      <c r="R489" s="24"/>
      <c r="S489" s="62" t="s">
        <v>630</v>
      </c>
      <c r="T489" s="15"/>
      <c r="U489" s="15"/>
      <c r="V489" s="54">
        <v>240000</v>
      </c>
      <c r="W489" s="54">
        <v>97300</v>
      </c>
      <c r="X489" s="54">
        <v>142700</v>
      </c>
    </row>
    <row r="490" spans="3:24" x14ac:dyDescent="0.25">
      <c r="C490" s="39">
        <v>2017</v>
      </c>
      <c r="D490" s="62" t="s">
        <v>857</v>
      </c>
      <c r="E490" s="63" t="s">
        <v>858</v>
      </c>
      <c r="F490" s="64">
        <v>42753</v>
      </c>
      <c r="G490" s="65" t="s">
        <v>693</v>
      </c>
      <c r="H490" s="94">
        <v>1410000</v>
      </c>
      <c r="I490" s="27">
        <v>1399756</v>
      </c>
      <c r="J490" s="27"/>
      <c r="K490" s="26">
        <v>-7.2652482269503545E-3</v>
      </c>
      <c r="L490" s="11" t="s">
        <v>464</v>
      </c>
      <c r="M490" s="15">
        <v>3</v>
      </c>
      <c r="N490" s="35" t="s">
        <v>25</v>
      </c>
      <c r="O490" s="15">
        <v>1</v>
      </c>
      <c r="P490" s="35" t="s">
        <v>457</v>
      </c>
      <c r="Q490" s="15"/>
      <c r="R490" s="24"/>
      <c r="S490" s="62" t="s">
        <v>630</v>
      </c>
      <c r="T490" s="15"/>
      <c r="U490" s="15"/>
      <c r="V490" s="54">
        <v>1410000</v>
      </c>
      <c r="W490" s="54">
        <v>1399756</v>
      </c>
      <c r="X490" s="54">
        <v>10244</v>
      </c>
    </row>
    <row r="491" spans="3:24" x14ac:dyDescent="0.25">
      <c r="C491" s="39"/>
    </row>
    <row r="492" spans="3:24" x14ac:dyDescent="0.25">
      <c r="C492" s="39"/>
    </row>
    <row r="493" spans="3:24" x14ac:dyDescent="0.25">
      <c r="C493" s="39"/>
    </row>
    <row r="494" spans="3:24" x14ac:dyDescent="0.25">
      <c r="C494" s="39">
        <v>2017</v>
      </c>
      <c r="D494" s="102" t="s">
        <v>1145</v>
      </c>
      <c r="E494" s="63" t="s">
        <v>1146</v>
      </c>
      <c r="F494" s="64">
        <v>43083</v>
      </c>
      <c r="G494" s="65" t="s">
        <v>190</v>
      </c>
      <c r="H494" s="94">
        <v>4872000</v>
      </c>
      <c r="I494" s="27">
        <v>3997350</v>
      </c>
      <c r="J494" s="27"/>
      <c r="K494" s="26">
        <v>-0.17952586206896551</v>
      </c>
      <c r="L494" s="11" t="s">
        <v>464</v>
      </c>
      <c r="M494" s="15">
        <v>5</v>
      </c>
      <c r="N494" s="35" t="s">
        <v>93</v>
      </c>
      <c r="O494" s="15">
        <v>4</v>
      </c>
      <c r="P494" s="35" t="s">
        <v>458</v>
      </c>
      <c r="Q494" s="15"/>
      <c r="R494" s="24"/>
      <c r="S494" s="62" t="s">
        <v>784</v>
      </c>
      <c r="T494" s="15"/>
      <c r="U494" s="15"/>
      <c r="V494" s="54">
        <v>4872000</v>
      </c>
      <c r="W494" s="54">
        <v>3997350</v>
      </c>
      <c r="X494" s="54">
        <v>874650</v>
      </c>
    </row>
    <row r="495" spans="3:24" x14ac:dyDescent="0.25">
      <c r="C495" s="39">
        <v>2017</v>
      </c>
      <c r="D495" s="62" t="s">
        <v>1116</v>
      </c>
      <c r="E495" s="63" t="s">
        <v>1117</v>
      </c>
      <c r="F495" s="64">
        <v>43047</v>
      </c>
      <c r="G495" s="65" t="s">
        <v>190</v>
      </c>
      <c r="H495" s="94">
        <v>26900000</v>
      </c>
      <c r="I495" s="27">
        <v>26600000</v>
      </c>
      <c r="J495" s="27" t="s">
        <v>519</v>
      </c>
      <c r="K495" s="26">
        <v>-1.1152416356877323E-2</v>
      </c>
      <c r="L495" s="11" t="s">
        <v>464</v>
      </c>
      <c r="M495" s="15">
        <v>3</v>
      </c>
      <c r="N495" s="35" t="s">
        <v>25</v>
      </c>
      <c r="O495" s="15">
        <v>4</v>
      </c>
      <c r="P495" s="35" t="s">
        <v>458</v>
      </c>
      <c r="Q495" s="15"/>
      <c r="R495" s="24"/>
      <c r="S495" s="62" t="s">
        <v>616</v>
      </c>
      <c r="T495" s="15"/>
      <c r="U495" s="15"/>
      <c r="V495" s="54">
        <v>26900000</v>
      </c>
      <c r="W495" s="54">
        <v>26600000</v>
      </c>
      <c r="X495" s="54">
        <v>300000</v>
      </c>
    </row>
    <row r="496" spans="3:24" x14ac:dyDescent="0.25">
      <c r="C496" s="39">
        <v>2017</v>
      </c>
      <c r="D496" s="62" t="s">
        <v>1084</v>
      </c>
      <c r="E496" s="63" t="s">
        <v>1085</v>
      </c>
      <c r="F496" s="64">
        <v>43004</v>
      </c>
      <c r="G496" s="65" t="s">
        <v>190</v>
      </c>
      <c r="H496" s="94">
        <v>189900000</v>
      </c>
      <c r="I496" s="27">
        <v>154487000</v>
      </c>
      <c r="J496" s="27" t="s">
        <v>519</v>
      </c>
      <c r="K496" s="26">
        <v>-0.18648235913638758</v>
      </c>
      <c r="L496" s="11" t="s">
        <v>464</v>
      </c>
      <c r="M496" s="15">
        <v>5</v>
      </c>
      <c r="N496" s="35" t="s">
        <v>93</v>
      </c>
      <c r="O496" s="15">
        <v>3</v>
      </c>
      <c r="P496" s="35" t="s">
        <v>457</v>
      </c>
      <c r="Q496" s="15"/>
      <c r="R496" s="24"/>
      <c r="S496" s="62" t="s">
        <v>816</v>
      </c>
      <c r="T496" s="15"/>
      <c r="U496" s="15"/>
      <c r="V496" s="54">
        <v>189900000</v>
      </c>
      <c r="W496" s="54">
        <v>154487000</v>
      </c>
      <c r="X496" s="54">
        <v>35413000</v>
      </c>
    </row>
    <row r="497" spans="3:24" x14ac:dyDescent="0.25">
      <c r="C497" s="39">
        <v>2017</v>
      </c>
      <c r="D497" s="62" t="s">
        <v>1068</v>
      </c>
      <c r="E497" s="63" t="s">
        <v>1069</v>
      </c>
      <c r="F497" s="64">
        <v>42964</v>
      </c>
      <c r="G497" s="65" t="s">
        <v>190</v>
      </c>
      <c r="H497" s="94">
        <v>8500000</v>
      </c>
      <c r="I497" s="27">
        <v>5682000</v>
      </c>
      <c r="J497" s="105" t="s">
        <v>519</v>
      </c>
      <c r="K497" s="26">
        <v>-0.33152941176470591</v>
      </c>
      <c r="L497" s="11" t="s">
        <v>465</v>
      </c>
      <c r="M497" s="15">
        <v>3</v>
      </c>
      <c r="N497" s="35" t="s">
        <v>25</v>
      </c>
      <c r="O497" s="15">
        <v>3</v>
      </c>
      <c r="P497" s="35" t="s">
        <v>458</v>
      </c>
      <c r="Q497" s="15"/>
      <c r="R497" s="24"/>
      <c r="S497" s="62" t="s">
        <v>616</v>
      </c>
      <c r="T497" s="15"/>
      <c r="U497" s="15"/>
      <c r="V497" s="54">
        <v>8500000</v>
      </c>
      <c r="W497" s="54">
        <v>5682000</v>
      </c>
      <c r="X497" s="54">
        <v>2818000</v>
      </c>
    </row>
    <row r="498" spans="3:24" x14ac:dyDescent="0.25">
      <c r="C498" s="39">
        <v>2017</v>
      </c>
      <c r="D498" s="62" t="s">
        <v>1060</v>
      </c>
      <c r="E498" s="63" t="s">
        <v>1061</v>
      </c>
      <c r="F498" s="64">
        <v>42950</v>
      </c>
      <c r="G498" s="65" t="s">
        <v>190</v>
      </c>
      <c r="H498" s="94">
        <v>13720000</v>
      </c>
      <c r="I498" s="27">
        <v>11539200</v>
      </c>
      <c r="J498" s="27" t="s">
        <v>519</v>
      </c>
      <c r="K498" s="26">
        <v>-0.15895043731778424</v>
      </c>
      <c r="L498" s="11" t="s">
        <v>464</v>
      </c>
      <c r="M498" s="15">
        <v>4</v>
      </c>
      <c r="N498" s="35" t="s">
        <v>25</v>
      </c>
      <c r="O498" s="15">
        <v>3</v>
      </c>
      <c r="P498" s="35" t="s">
        <v>492</v>
      </c>
      <c r="Q498" s="15"/>
      <c r="R498" s="24"/>
      <c r="S498" s="62" t="s">
        <v>816</v>
      </c>
      <c r="T498" s="15"/>
      <c r="U498" s="15"/>
      <c r="V498" s="54">
        <v>13720000</v>
      </c>
      <c r="W498" s="54">
        <v>11539200</v>
      </c>
      <c r="X498" s="54">
        <v>2180800</v>
      </c>
    </row>
    <row r="499" spans="3:24" x14ac:dyDescent="0.25">
      <c r="C499" s="101">
        <v>2017</v>
      </c>
      <c r="D499" s="62" t="s">
        <v>1042</v>
      </c>
      <c r="E499" s="63" t="s">
        <v>1043</v>
      </c>
      <c r="F499" s="64">
        <v>42913</v>
      </c>
      <c r="G499" s="65" t="s">
        <v>190</v>
      </c>
      <c r="H499" s="94">
        <v>1480000</v>
      </c>
      <c r="I499" s="27">
        <v>1483000</v>
      </c>
      <c r="J499" s="27"/>
      <c r="K499" s="26">
        <v>2.0270270270270271E-3</v>
      </c>
      <c r="L499" s="11" t="s">
        <v>464</v>
      </c>
      <c r="M499" s="15">
        <v>7</v>
      </c>
      <c r="N499" s="35" t="s">
        <v>25</v>
      </c>
      <c r="O499" s="15">
        <v>2</v>
      </c>
      <c r="P499" s="35" t="s">
        <v>459</v>
      </c>
      <c r="Q499" s="15"/>
      <c r="R499" s="24"/>
      <c r="S499" s="62" t="s">
        <v>447</v>
      </c>
      <c r="T499" s="15"/>
      <c r="U499" s="15"/>
      <c r="V499" s="54">
        <v>1480000</v>
      </c>
      <c r="W499" s="54">
        <v>1483000</v>
      </c>
      <c r="X499" s="54">
        <v>-3000</v>
      </c>
    </row>
    <row r="500" spans="3:24" x14ac:dyDescent="0.25">
      <c r="C500" s="39">
        <v>2017</v>
      </c>
      <c r="D500" s="62" t="s">
        <v>995</v>
      </c>
      <c r="E500" s="63" t="s">
        <v>632</v>
      </c>
      <c r="F500" s="64">
        <v>42851</v>
      </c>
      <c r="G500" s="65" t="s">
        <v>190</v>
      </c>
      <c r="H500" s="94">
        <v>3589000</v>
      </c>
      <c r="I500" s="27">
        <v>3875045</v>
      </c>
      <c r="J500" s="27"/>
      <c r="K500" s="26">
        <v>7.9700473669545829E-2</v>
      </c>
      <c r="L500" s="11" t="s">
        <v>464</v>
      </c>
      <c r="M500" s="15">
        <v>3</v>
      </c>
      <c r="N500" s="35" t="s">
        <v>93</v>
      </c>
      <c r="O500" s="15">
        <v>2</v>
      </c>
      <c r="P500" s="35" t="s">
        <v>457</v>
      </c>
      <c r="Q500" s="15"/>
      <c r="R500" s="24"/>
      <c r="S500" s="62" t="s">
        <v>447</v>
      </c>
      <c r="T500" s="15"/>
      <c r="U500" s="15"/>
      <c r="V500" s="54">
        <v>3589000</v>
      </c>
      <c r="W500" s="54">
        <v>3875045</v>
      </c>
      <c r="X500" s="54">
        <v>-286045</v>
      </c>
    </row>
    <row r="501" spans="3:24" x14ac:dyDescent="0.25">
      <c r="C501" s="39">
        <v>2017</v>
      </c>
      <c r="D501" s="62" t="s">
        <v>986</v>
      </c>
      <c r="E501" s="63" t="s">
        <v>982</v>
      </c>
      <c r="F501" s="64">
        <v>42845</v>
      </c>
      <c r="G501" s="65" t="s">
        <v>190</v>
      </c>
      <c r="H501" s="94">
        <v>12630000</v>
      </c>
      <c r="I501" s="27">
        <v>10849023</v>
      </c>
      <c r="J501" s="27" t="s">
        <v>519</v>
      </c>
      <c r="K501" s="26">
        <v>-0.14101163895486934</v>
      </c>
      <c r="L501" s="11" t="s">
        <v>464</v>
      </c>
      <c r="M501" s="15">
        <v>2</v>
      </c>
      <c r="N501" s="35" t="s">
        <v>25</v>
      </c>
      <c r="O501" s="15">
        <v>2</v>
      </c>
      <c r="P501" s="35" t="s">
        <v>458</v>
      </c>
      <c r="Q501" s="15"/>
      <c r="R501" s="24" t="s">
        <v>1196</v>
      </c>
      <c r="S501" s="62" t="s">
        <v>616</v>
      </c>
      <c r="T501" s="15"/>
      <c r="U501" s="15"/>
      <c r="V501" s="54">
        <v>12630000</v>
      </c>
      <c r="W501" s="54">
        <v>10849023</v>
      </c>
      <c r="X501" s="54">
        <v>1780977</v>
      </c>
    </row>
    <row r="502" spans="3:24" x14ac:dyDescent="0.25">
      <c r="C502" s="39">
        <v>2017</v>
      </c>
      <c r="D502" s="62" t="s">
        <v>983</v>
      </c>
      <c r="E502" s="63" t="s">
        <v>985</v>
      </c>
      <c r="F502" s="64">
        <v>42844</v>
      </c>
      <c r="G502" s="65" t="s">
        <v>190</v>
      </c>
      <c r="H502" s="94">
        <v>30360000</v>
      </c>
      <c r="I502" s="27">
        <v>32920674</v>
      </c>
      <c r="J502" s="27" t="s">
        <v>519</v>
      </c>
      <c r="K502" s="26">
        <v>8.4343675889328062E-2</v>
      </c>
      <c r="L502" s="11" t="s">
        <v>464</v>
      </c>
      <c r="M502" s="15">
        <v>3</v>
      </c>
      <c r="N502" s="35" t="s">
        <v>25</v>
      </c>
      <c r="O502" s="15">
        <v>2</v>
      </c>
      <c r="P502" s="35" t="s">
        <v>459</v>
      </c>
      <c r="Q502" s="15"/>
      <c r="R502" s="24"/>
      <c r="S502" s="62" t="s">
        <v>447</v>
      </c>
      <c r="T502" s="15"/>
      <c r="U502" s="15"/>
      <c r="V502" s="54">
        <v>30360000</v>
      </c>
      <c r="W502" s="54">
        <v>32920674</v>
      </c>
      <c r="X502" s="54">
        <v>-2560674</v>
      </c>
    </row>
    <row r="503" spans="3:24" x14ac:dyDescent="0.25">
      <c r="C503" s="39">
        <v>2017</v>
      </c>
      <c r="D503" s="62" t="s">
        <v>981</v>
      </c>
      <c r="E503" s="63" t="s">
        <v>982</v>
      </c>
      <c r="F503" s="64">
        <v>42844</v>
      </c>
      <c r="G503" s="65" t="s">
        <v>190</v>
      </c>
      <c r="H503" s="94">
        <v>18870000</v>
      </c>
      <c r="I503" s="27">
        <v>19910000</v>
      </c>
      <c r="J503" s="27" t="s">
        <v>519</v>
      </c>
      <c r="K503" s="26">
        <v>5.5113937466878642E-2</v>
      </c>
      <c r="L503" s="11" t="s">
        <v>464</v>
      </c>
      <c r="M503" s="15">
        <v>3</v>
      </c>
      <c r="N503" s="35" t="s">
        <v>25</v>
      </c>
      <c r="O503" s="15">
        <v>2</v>
      </c>
      <c r="P503" s="35" t="s">
        <v>458</v>
      </c>
      <c r="Q503" s="15"/>
      <c r="R503" s="24"/>
      <c r="S503" s="62" t="s">
        <v>616</v>
      </c>
      <c r="T503" s="15"/>
      <c r="U503" s="15"/>
      <c r="V503" s="54">
        <v>18870000</v>
      </c>
      <c r="W503" s="54">
        <v>19910000</v>
      </c>
      <c r="X503" s="54">
        <v>-1040000</v>
      </c>
    </row>
    <row r="504" spans="3:24" x14ac:dyDescent="0.25">
      <c r="C504" s="39">
        <v>2017</v>
      </c>
      <c r="D504" s="62" t="s">
        <v>964</v>
      </c>
      <c r="E504" s="63" t="s">
        <v>965</v>
      </c>
      <c r="F504" s="64">
        <v>42815</v>
      </c>
      <c r="G504" s="65" t="s">
        <v>190</v>
      </c>
      <c r="H504" s="27">
        <v>3750000</v>
      </c>
      <c r="I504" s="27">
        <v>2468147</v>
      </c>
      <c r="J504" s="27"/>
      <c r="K504" s="26">
        <v>-0.34182746666666669</v>
      </c>
      <c r="L504" s="11" t="s">
        <v>465</v>
      </c>
      <c r="M504" s="15">
        <v>3</v>
      </c>
      <c r="N504" s="35" t="s">
        <v>93</v>
      </c>
      <c r="O504" s="15">
        <v>1</v>
      </c>
      <c r="P504" s="35" t="s">
        <v>458</v>
      </c>
      <c r="Q504" s="15"/>
      <c r="R504" s="24"/>
      <c r="S504" s="62" t="s">
        <v>784</v>
      </c>
      <c r="T504" s="15"/>
      <c r="U504" s="15"/>
      <c r="V504" s="54">
        <v>3750000</v>
      </c>
      <c r="W504" s="54">
        <v>2468147</v>
      </c>
      <c r="X504" s="54">
        <v>1281853</v>
      </c>
    </row>
    <row r="505" spans="3:24" x14ac:dyDescent="0.25">
      <c r="C505" s="39">
        <v>2017</v>
      </c>
      <c r="D505" s="62" t="s">
        <v>912</v>
      </c>
      <c r="E505" s="63" t="s">
        <v>935</v>
      </c>
      <c r="F505" s="64">
        <v>42789</v>
      </c>
      <c r="G505" s="65" t="s">
        <v>190</v>
      </c>
      <c r="H505" s="94">
        <v>479900000</v>
      </c>
      <c r="I505" s="27">
        <v>451841280</v>
      </c>
      <c r="J505" s="27" t="s">
        <v>519</v>
      </c>
      <c r="K505" s="26">
        <v>-5.8467847468222547E-2</v>
      </c>
      <c r="L505" s="11" t="s">
        <v>464</v>
      </c>
      <c r="M505" s="15">
        <v>5</v>
      </c>
      <c r="N505" s="35" t="s">
        <v>226</v>
      </c>
      <c r="O505" s="15">
        <v>1</v>
      </c>
      <c r="P505" s="35" t="s">
        <v>457</v>
      </c>
      <c r="Q505" s="15"/>
      <c r="R505" s="24"/>
      <c r="S505" s="62" t="s">
        <v>630</v>
      </c>
      <c r="T505" s="15"/>
      <c r="U505" s="15"/>
      <c r="V505" s="54">
        <v>479900000</v>
      </c>
      <c r="W505" s="54">
        <v>451841280</v>
      </c>
      <c r="X505" s="54">
        <v>28058720</v>
      </c>
    </row>
    <row r="506" spans="3:24" x14ac:dyDescent="0.25">
      <c r="C506" s="39">
        <v>2017</v>
      </c>
      <c r="D506" s="62" t="s">
        <v>914</v>
      </c>
      <c r="E506" s="63" t="s">
        <v>933</v>
      </c>
      <c r="F506" s="64">
        <v>42787</v>
      </c>
      <c r="G506" s="65" t="s">
        <v>190</v>
      </c>
      <c r="H506" s="94">
        <v>10393000</v>
      </c>
      <c r="I506" s="27">
        <v>7903950</v>
      </c>
      <c r="J506" s="105" t="s">
        <v>519</v>
      </c>
      <c r="K506" s="26">
        <v>-0.2394929279322621</v>
      </c>
      <c r="L506" s="11" t="s">
        <v>465</v>
      </c>
      <c r="M506" s="15">
        <v>3</v>
      </c>
      <c r="N506" s="35" t="s">
        <v>93</v>
      </c>
      <c r="O506" s="15">
        <v>1</v>
      </c>
      <c r="P506" s="35" t="s">
        <v>458</v>
      </c>
      <c r="Q506" s="15"/>
      <c r="R506" s="24" t="s">
        <v>932</v>
      </c>
      <c r="S506" s="62" t="s">
        <v>784</v>
      </c>
      <c r="T506" s="15"/>
      <c r="U506" s="15"/>
      <c r="V506" s="54">
        <v>10393000</v>
      </c>
      <c r="W506" s="54">
        <v>7903950</v>
      </c>
      <c r="X506" s="54">
        <v>2489050</v>
      </c>
    </row>
    <row r="507" spans="3:24" x14ac:dyDescent="0.25">
      <c r="C507" s="39">
        <v>2017</v>
      </c>
      <c r="D507" s="62" t="s">
        <v>898</v>
      </c>
      <c r="E507" s="63" t="s">
        <v>717</v>
      </c>
      <c r="F507" s="64">
        <v>42773</v>
      </c>
      <c r="G507" s="65" t="s">
        <v>190</v>
      </c>
      <c r="H507" s="94">
        <v>1965000</v>
      </c>
      <c r="I507" s="27">
        <v>1450000</v>
      </c>
      <c r="J507" s="27"/>
      <c r="K507" s="26">
        <v>-0.26208651399491095</v>
      </c>
      <c r="L507" s="11" t="s">
        <v>464</v>
      </c>
      <c r="M507" s="15">
        <v>6</v>
      </c>
      <c r="N507" s="35" t="s">
        <v>226</v>
      </c>
      <c r="O507" s="15">
        <v>1</v>
      </c>
      <c r="P507" s="35" t="s">
        <v>457</v>
      </c>
      <c r="Q507" s="15"/>
      <c r="R507" s="24" t="s">
        <v>900</v>
      </c>
      <c r="S507" s="62" t="s">
        <v>630</v>
      </c>
      <c r="T507" s="15"/>
      <c r="U507" s="15"/>
      <c r="V507" s="54">
        <v>1965000</v>
      </c>
      <c r="W507" s="54">
        <v>1450000</v>
      </c>
      <c r="X507" s="54">
        <v>515000</v>
      </c>
    </row>
    <row r="508" spans="3:24" x14ac:dyDescent="0.25">
      <c r="C508" s="39">
        <v>2017</v>
      </c>
      <c r="D508" s="62" t="s">
        <v>862</v>
      </c>
      <c r="E508" s="63" t="s">
        <v>863</v>
      </c>
      <c r="F508" s="64">
        <v>42759</v>
      </c>
      <c r="G508" s="65" t="s">
        <v>190</v>
      </c>
      <c r="H508" s="94">
        <v>69800000</v>
      </c>
      <c r="I508" s="27">
        <v>67107000</v>
      </c>
      <c r="J508" s="27" t="s">
        <v>519</v>
      </c>
      <c r="K508" s="26">
        <v>-3.8581661891117482E-2</v>
      </c>
      <c r="L508" s="11" t="s">
        <v>464</v>
      </c>
      <c r="M508" s="15">
        <v>9</v>
      </c>
      <c r="N508" s="35" t="s">
        <v>25</v>
      </c>
      <c r="O508" s="15">
        <v>1</v>
      </c>
      <c r="P508" s="35" t="s">
        <v>458</v>
      </c>
      <c r="Q508" s="15"/>
      <c r="R508" s="24"/>
      <c r="S508" s="62" t="s">
        <v>616</v>
      </c>
      <c r="T508" s="15"/>
      <c r="U508" s="15"/>
      <c r="V508" s="54">
        <v>69800000</v>
      </c>
      <c r="W508" s="54">
        <v>67107000</v>
      </c>
      <c r="X508" s="54">
        <v>2693000</v>
      </c>
    </row>
    <row r="509" spans="3:24" x14ac:dyDescent="0.25">
      <c r="C509" s="39">
        <v>2017</v>
      </c>
      <c r="D509" s="62" t="s">
        <v>830</v>
      </c>
      <c r="E509" s="63" t="s">
        <v>831</v>
      </c>
      <c r="F509" s="64">
        <v>42746</v>
      </c>
      <c r="G509" s="65" t="s">
        <v>190</v>
      </c>
      <c r="H509" s="94">
        <v>12071025</v>
      </c>
      <c r="I509" s="27">
        <v>9977777</v>
      </c>
      <c r="J509" s="105" t="s">
        <v>519</v>
      </c>
      <c r="K509" s="26">
        <v>-0.17341095723022693</v>
      </c>
      <c r="L509" s="11" t="s">
        <v>465</v>
      </c>
      <c r="M509" s="15">
        <v>3</v>
      </c>
      <c r="N509" s="35" t="s">
        <v>93</v>
      </c>
      <c r="O509" s="15">
        <v>1</v>
      </c>
      <c r="P509" s="35" t="s">
        <v>458</v>
      </c>
      <c r="Q509" s="15"/>
      <c r="R509" s="24"/>
      <c r="S509" s="62" t="s">
        <v>616</v>
      </c>
      <c r="T509" s="15"/>
      <c r="U509" s="15"/>
      <c r="V509" s="54">
        <v>12071025</v>
      </c>
      <c r="W509" s="54">
        <v>9977777</v>
      </c>
      <c r="X509" s="54">
        <v>2093248</v>
      </c>
    </row>
    <row r="510" spans="3:24" x14ac:dyDescent="0.25">
      <c r="C510" s="39">
        <v>2017</v>
      </c>
      <c r="D510" s="62" t="s">
        <v>828</v>
      </c>
      <c r="E510" s="63" t="s">
        <v>829</v>
      </c>
      <c r="F510" s="64">
        <v>42739</v>
      </c>
      <c r="G510" s="65" t="s">
        <v>190</v>
      </c>
      <c r="H510" s="94">
        <v>28695000</v>
      </c>
      <c r="I510" s="27">
        <v>31768035</v>
      </c>
      <c r="J510" s="27" t="s">
        <v>519</v>
      </c>
      <c r="K510" s="26">
        <v>0.10709304756926294</v>
      </c>
      <c r="L510" s="11" t="s">
        <v>464</v>
      </c>
      <c r="M510" s="15">
        <v>2</v>
      </c>
      <c r="N510" s="35" t="s">
        <v>93</v>
      </c>
      <c r="O510" s="15">
        <v>1</v>
      </c>
      <c r="P510" s="35" t="s">
        <v>458</v>
      </c>
      <c r="Q510" s="15"/>
      <c r="R510" s="24"/>
      <c r="S510" s="62" t="s">
        <v>616</v>
      </c>
      <c r="T510" s="15"/>
      <c r="U510" s="15"/>
      <c r="V510" s="54">
        <v>28695000</v>
      </c>
      <c r="W510" s="54">
        <v>31768035</v>
      </c>
      <c r="X510" s="54">
        <v>-3073035</v>
      </c>
    </row>
    <row r="511" spans="3:24" x14ac:dyDescent="0.25">
      <c r="C511" s="39"/>
    </row>
    <row r="512" spans="3:24" x14ac:dyDescent="0.25">
      <c r="C512" s="39"/>
    </row>
    <row r="513" spans="3:24" x14ac:dyDescent="0.25">
      <c r="C513" s="39"/>
    </row>
    <row r="514" spans="3:24" x14ac:dyDescent="0.25">
      <c r="C514" s="39">
        <v>2017</v>
      </c>
      <c r="D514" s="102" t="s">
        <v>1127</v>
      </c>
      <c r="E514" s="63" t="s">
        <v>1128</v>
      </c>
      <c r="F514" s="64">
        <v>43053</v>
      </c>
      <c r="G514" s="65" t="s">
        <v>756</v>
      </c>
      <c r="H514" s="94">
        <v>17250000</v>
      </c>
      <c r="I514" s="27">
        <v>22616488</v>
      </c>
      <c r="J514" s="105" t="s">
        <v>519</v>
      </c>
      <c r="K514" s="26">
        <v>0.3111007536231884</v>
      </c>
      <c r="L514" s="11" t="s">
        <v>465</v>
      </c>
      <c r="M514" s="15">
        <v>4</v>
      </c>
      <c r="N514" s="35" t="s">
        <v>93</v>
      </c>
      <c r="O514" s="15">
        <v>4</v>
      </c>
      <c r="P514" s="35" t="s">
        <v>457</v>
      </c>
      <c r="Q514" s="15"/>
      <c r="R514" s="24"/>
      <c r="S514" s="62" t="s">
        <v>447</v>
      </c>
      <c r="T514" s="15"/>
      <c r="U514" s="15"/>
      <c r="V514" s="54">
        <v>17250000</v>
      </c>
      <c r="W514" s="54">
        <v>22616488</v>
      </c>
      <c r="X514" s="54">
        <v>-5366488</v>
      </c>
    </row>
    <row r="515" spans="3:24" x14ac:dyDescent="0.25">
      <c r="C515" s="39">
        <v>2017</v>
      </c>
      <c r="D515" s="62" t="s">
        <v>1107</v>
      </c>
      <c r="E515" s="63" t="s">
        <v>1109</v>
      </c>
      <c r="F515" s="64">
        <v>43034</v>
      </c>
      <c r="G515" s="65" t="s">
        <v>756</v>
      </c>
      <c r="H515" s="94">
        <v>2194000</v>
      </c>
      <c r="I515" s="27">
        <v>1361078</v>
      </c>
      <c r="J515" s="27"/>
      <c r="K515" s="26">
        <v>-0.3796362807657247</v>
      </c>
      <c r="L515" s="11" t="s">
        <v>465</v>
      </c>
      <c r="M515" s="15">
        <v>6</v>
      </c>
      <c r="N515" s="35" t="s">
        <v>25</v>
      </c>
      <c r="O515" s="15">
        <v>4</v>
      </c>
      <c r="P515" s="35" t="s">
        <v>459</v>
      </c>
      <c r="Q515" s="15"/>
      <c r="R515" s="24"/>
      <c r="S515" s="62" t="s">
        <v>447</v>
      </c>
      <c r="T515" s="15"/>
      <c r="U515" s="15"/>
      <c r="V515" s="54">
        <v>2194000</v>
      </c>
      <c r="W515" s="54">
        <v>1361078</v>
      </c>
      <c r="X515" s="54">
        <v>832922</v>
      </c>
    </row>
    <row r="516" spans="3:24" x14ac:dyDescent="0.25">
      <c r="C516" s="39">
        <v>2017</v>
      </c>
      <c r="D516" s="62" t="s">
        <v>1035</v>
      </c>
      <c r="E516" s="63" t="s">
        <v>1036</v>
      </c>
      <c r="F516" s="64">
        <v>42900</v>
      </c>
      <c r="G516" s="65" t="s">
        <v>756</v>
      </c>
      <c r="H516" s="94">
        <v>2900000</v>
      </c>
      <c r="I516" s="27">
        <v>1157000</v>
      </c>
      <c r="J516" s="27"/>
      <c r="K516" s="26">
        <v>-0.6010344827586207</v>
      </c>
      <c r="L516" s="11" t="s">
        <v>465</v>
      </c>
      <c r="M516" s="15">
        <v>5</v>
      </c>
      <c r="N516" s="35" t="s">
        <v>25</v>
      </c>
      <c r="O516" s="15">
        <v>2</v>
      </c>
      <c r="P516" s="35" t="s">
        <v>458</v>
      </c>
      <c r="Q516" s="15"/>
      <c r="R516" s="24"/>
      <c r="S516" s="62" t="s">
        <v>447</v>
      </c>
      <c r="T516" s="15"/>
      <c r="U516" s="15"/>
      <c r="V516" s="54">
        <v>2900000</v>
      </c>
      <c r="W516" s="54">
        <v>1157000</v>
      </c>
      <c r="X516" s="54">
        <v>1743000</v>
      </c>
    </row>
    <row r="517" spans="3:24" x14ac:dyDescent="0.25">
      <c r="C517" s="39">
        <v>2017</v>
      </c>
      <c r="D517" s="62" t="s">
        <v>1028</v>
      </c>
      <c r="E517" s="63" t="s">
        <v>1029</v>
      </c>
      <c r="F517" s="64">
        <v>42894</v>
      </c>
      <c r="G517" s="65" t="s">
        <v>756</v>
      </c>
      <c r="H517" s="94">
        <v>6445000</v>
      </c>
      <c r="I517" s="27">
        <v>7166666</v>
      </c>
      <c r="J517" s="105" t="s">
        <v>519</v>
      </c>
      <c r="K517" s="26">
        <v>0.11197300232738557</v>
      </c>
      <c r="L517" s="11" t="s">
        <v>465</v>
      </c>
      <c r="M517" s="15">
        <v>11</v>
      </c>
      <c r="N517" s="35" t="s">
        <v>93</v>
      </c>
      <c r="O517" s="15">
        <v>2</v>
      </c>
      <c r="P517" s="35" t="s">
        <v>458</v>
      </c>
      <c r="Q517" s="15"/>
      <c r="R517" s="24"/>
      <c r="S517" s="62" t="s">
        <v>784</v>
      </c>
      <c r="T517" s="15"/>
      <c r="U517" s="15"/>
      <c r="V517" s="54">
        <v>6445000</v>
      </c>
      <c r="W517" s="54">
        <v>7166666</v>
      </c>
      <c r="X517" s="54">
        <v>-721666</v>
      </c>
    </row>
    <row r="518" spans="3:24" x14ac:dyDescent="0.25">
      <c r="C518" s="39">
        <v>2017</v>
      </c>
      <c r="D518" s="62" t="s">
        <v>1018</v>
      </c>
      <c r="E518" s="63" t="s">
        <v>1019</v>
      </c>
      <c r="F518" s="64">
        <v>42873</v>
      </c>
      <c r="G518" s="65" t="s">
        <v>756</v>
      </c>
      <c r="H518" s="94">
        <v>29400000</v>
      </c>
      <c r="I518" s="27">
        <v>40981000</v>
      </c>
      <c r="J518" s="105" t="s">
        <v>519</v>
      </c>
      <c r="K518" s="26">
        <v>0.39391156462585036</v>
      </c>
      <c r="L518" s="11" t="s">
        <v>465</v>
      </c>
      <c r="M518" s="15">
        <v>2</v>
      </c>
      <c r="N518" s="35" t="s">
        <v>25</v>
      </c>
      <c r="O518" s="15">
        <v>2</v>
      </c>
      <c r="P518" s="35" t="s">
        <v>459</v>
      </c>
      <c r="Q518" s="15"/>
      <c r="R518" s="24"/>
      <c r="S518" s="62" t="s">
        <v>447</v>
      </c>
      <c r="T518" s="15"/>
      <c r="U518" s="15"/>
      <c r="V518" s="54">
        <v>29400000</v>
      </c>
      <c r="W518" s="54">
        <v>40981000</v>
      </c>
      <c r="X518" s="54">
        <v>-11581000</v>
      </c>
    </row>
    <row r="519" spans="3:24" x14ac:dyDescent="0.25">
      <c r="C519" s="39">
        <v>2017</v>
      </c>
      <c r="D519" s="62" t="s">
        <v>876</v>
      </c>
      <c r="E519" s="63" t="s">
        <v>877</v>
      </c>
      <c r="F519" s="64">
        <v>42765</v>
      </c>
      <c r="G519" s="65" t="s">
        <v>756</v>
      </c>
      <c r="H519" s="94">
        <v>6500000</v>
      </c>
      <c r="I519" s="27">
        <v>5987000</v>
      </c>
      <c r="J519" s="27" t="s">
        <v>519</v>
      </c>
      <c r="K519" s="26">
        <v>-7.8923076923076929E-2</v>
      </c>
      <c r="L519" s="11" t="s">
        <v>464</v>
      </c>
      <c r="M519" s="15">
        <v>5</v>
      </c>
      <c r="N519" s="35" t="s">
        <v>93</v>
      </c>
      <c r="O519" s="15">
        <v>1</v>
      </c>
      <c r="P519" s="35" t="s">
        <v>458</v>
      </c>
      <c r="Q519" s="15"/>
      <c r="R519" s="24"/>
      <c r="S519" s="62" t="s">
        <v>447</v>
      </c>
      <c r="T519" s="15"/>
      <c r="U519" s="15"/>
      <c r="V519" s="54">
        <v>6500000</v>
      </c>
      <c r="W519" s="54">
        <v>5987000</v>
      </c>
      <c r="X519" s="54">
        <v>513000</v>
      </c>
    </row>
    <row r="520" spans="3:24" x14ac:dyDescent="0.25">
      <c r="C520" s="39"/>
    </row>
    <row r="521" spans="3:24" x14ac:dyDescent="0.25">
      <c r="C521" s="39"/>
    </row>
    <row r="522" spans="3:24" x14ac:dyDescent="0.25">
      <c r="C522" s="39"/>
    </row>
    <row r="523" spans="3:24" x14ac:dyDescent="0.25">
      <c r="C523" s="39">
        <v>2017</v>
      </c>
      <c r="D523" s="102" t="s">
        <v>1147</v>
      </c>
      <c r="E523" s="63" t="s">
        <v>1148</v>
      </c>
      <c r="F523" s="64">
        <v>43083</v>
      </c>
      <c r="G523" s="65"/>
      <c r="H523" s="94"/>
      <c r="I523" s="27"/>
      <c r="J523" s="27"/>
      <c r="K523" s="26"/>
      <c r="L523" s="11"/>
      <c r="M523" s="15"/>
      <c r="N523" s="35"/>
      <c r="O523" s="15"/>
      <c r="P523" s="35"/>
      <c r="Q523" s="15"/>
      <c r="R523" s="24" t="s">
        <v>227</v>
      </c>
      <c r="S523" s="62" t="s">
        <v>816</v>
      </c>
      <c r="T523" s="15"/>
      <c r="U523" s="15"/>
      <c r="V523" s="54">
        <v>1765000</v>
      </c>
      <c r="W523" s="54">
        <v>2248420</v>
      </c>
      <c r="X523" s="54">
        <v>-483420</v>
      </c>
    </row>
    <row r="524" spans="3:24" x14ac:dyDescent="0.25">
      <c r="C524" s="39">
        <v>2017</v>
      </c>
      <c r="D524" s="102" t="s">
        <v>1136</v>
      </c>
      <c r="E524" s="63" t="s">
        <v>1137</v>
      </c>
      <c r="F524" s="64">
        <v>43074</v>
      </c>
      <c r="G524" s="65" t="s">
        <v>34</v>
      </c>
      <c r="H524" s="94">
        <v>1530000</v>
      </c>
      <c r="I524" s="27">
        <v>1189000</v>
      </c>
      <c r="J524" s="27"/>
      <c r="K524" s="26">
        <v>-0.22287581699346407</v>
      </c>
      <c r="L524" s="11" t="s">
        <v>464</v>
      </c>
      <c r="M524" s="15">
        <v>3</v>
      </c>
      <c r="N524" s="35" t="s">
        <v>25</v>
      </c>
      <c r="O524" s="15">
        <v>4</v>
      </c>
      <c r="P524" s="35" t="s">
        <v>458</v>
      </c>
      <c r="Q524" s="15"/>
      <c r="R524" s="24"/>
      <c r="S524" s="62" t="s">
        <v>616</v>
      </c>
      <c r="T524" s="15"/>
      <c r="U524" s="15"/>
      <c r="V524" s="54">
        <v>1530000</v>
      </c>
      <c r="W524" s="54">
        <v>1189000</v>
      </c>
      <c r="X524" s="54">
        <v>341000</v>
      </c>
    </row>
    <row r="525" spans="3:24" x14ac:dyDescent="0.25">
      <c r="C525" s="39">
        <v>2017</v>
      </c>
      <c r="D525" s="102" t="s">
        <v>1135</v>
      </c>
      <c r="E525" s="63" t="s">
        <v>982</v>
      </c>
      <c r="F525" s="64">
        <v>43074</v>
      </c>
      <c r="G525" s="65" t="s">
        <v>34</v>
      </c>
      <c r="H525" s="94">
        <v>38000000</v>
      </c>
      <c r="I525" s="27">
        <f>$I$12</f>
        <v>28470000</v>
      </c>
      <c r="J525" s="27"/>
      <c r="K525" s="26">
        <f>+$K$12</f>
        <v>-0.25078947368421051</v>
      </c>
      <c r="L525" s="78" t="str">
        <f>+$L$12</f>
        <v>GOOD</v>
      </c>
      <c r="M525" s="15">
        <f>+$M$12</f>
        <v>4</v>
      </c>
      <c r="N525" s="35" t="s">
        <v>93</v>
      </c>
      <c r="O525" s="15">
        <v>4</v>
      </c>
      <c r="P525" s="35" t="s">
        <v>458</v>
      </c>
      <c r="Q525" s="15"/>
      <c r="R525" s="24" t="str">
        <f>+$R$12</f>
        <v>1st and 2nd bidders disqualified.</v>
      </c>
      <c r="S525" s="62" t="s">
        <v>616</v>
      </c>
      <c r="T525" s="15"/>
      <c r="U525" s="15"/>
      <c r="V525" s="54">
        <v>38000000</v>
      </c>
      <c r="W525" s="54">
        <v>19988800</v>
      </c>
      <c r="X525" s="54">
        <v>18011200</v>
      </c>
    </row>
    <row r="526" spans="3:24" x14ac:dyDescent="0.25">
      <c r="C526" s="39">
        <v>2017</v>
      </c>
      <c r="D526" s="102" t="s">
        <v>1129</v>
      </c>
      <c r="E526" s="63" t="s">
        <v>1130</v>
      </c>
      <c r="F526" s="64">
        <v>43068</v>
      </c>
      <c r="G526" s="65" t="s">
        <v>34</v>
      </c>
      <c r="H526" s="94">
        <v>6600000</v>
      </c>
      <c r="I526" s="27">
        <v>5189333</v>
      </c>
      <c r="J526" s="27" t="s">
        <v>519</v>
      </c>
      <c r="K526" s="26">
        <v>-0.21373742424242423</v>
      </c>
      <c r="L526" s="11" t="s">
        <v>464</v>
      </c>
      <c r="M526" s="15">
        <v>7</v>
      </c>
      <c r="N526" s="35" t="s">
        <v>25</v>
      </c>
      <c r="O526" s="15">
        <v>4</v>
      </c>
      <c r="P526" s="35" t="s">
        <v>458</v>
      </c>
      <c r="Q526" s="15"/>
      <c r="R526" s="24"/>
      <c r="S526" s="62" t="s">
        <v>616</v>
      </c>
      <c r="T526" s="15"/>
      <c r="U526" s="15"/>
      <c r="V526" s="54">
        <v>6600000</v>
      </c>
      <c r="W526" s="54">
        <v>5189333</v>
      </c>
      <c r="X526" s="54">
        <v>1410667</v>
      </c>
    </row>
    <row r="527" spans="3:24" x14ac:dyDescent="0.25">
      <c r="C527" s="39">
        <v>2017</v>
      </c>
      <c r="D527" s="102" t="s">
        <v>1139</v>
      </c>
      <c r="E527" s="63" t="s">
        <v>1140</v>
      </c>
      <c r="F527" s="64">
        <v>43054</v>
      </c>
      <c r="G527" s="65" t="s">
        <v>34</v>
      </c>
      <c r="H527" s="94">
        <v>1350000</v>
      </c>
      <c r="I527" s="27">
        <v>2629000</v>
      </c>
      <c r="J527" s="27"/>
      <c r="K527" s="26">
        <v>0.94740740740740736</v>
      </c>
      <c r="L527" s="11" t="s">
        <v>465</v>
      </c>
      <c r="M527" s="15">
        <v>1</v>
      </c>
      <c r="N527" s="35" t="s">
        <v>226</v>
      </c>
      <c r="O527" s="15">
        <v>4</v>
      </c>
      <c r="P527" s="35" t="s">
        <v>457</v>
      </c>
      <c r="Q527" s="15"/>
      <c r="R527" s="24" t="s">
        <v>782</v>
      </c>
      <c r="S527" s="62" t="s">
        <v>784</v>
      </c>
      <c r="T527" s="15"/>
      <c r="U527" s="15"/>
      <c r="V527" s="54">
        <v>1350000</v>
      </c>
      <c r="W527" s="54">
        <v>2629000</v>
      </c>
      <c r="X527" s="54">
        <v>-1279000</v>
      </c>
    </row>
    <row r="528" spans="3:24" x14ac:dyDescent="0.25">
      <c r="C528" s="39">
        <v>2017</v>
      </c>
      <c r="D528" s="62" t="s">
        <v>1118</v>
      </c>
      <c r="E528" s="63" t="s">
        <v>1119</v>
      </c>
      <c r="F528" s="64">
        <v>43048</v>
      </c>
      <c r="G528" s="65" t="s">
        <v>34</v>
      </c>
      <c r="H528" s="94">
        <v>4860000</v>
      </c>
      <c r="I528" s="27">
        <v>3418000</v>
      </c>
      <c r="J528" s="27"/>
      <c r="K528" s="26">
        <v>-0.29670781893004117</v>
      </c>
      <c r="L528" s="11" t="s">
        <v>464</v>
      </c>
      <c r="M528" s="15">
        <v>8</v>
      </c>
      <c r="N528" s="35" t="s">
        <v>25</v>
      </c>
      <c r="O528" s="15">
        <v>4</v>
      </c>
      <c r="P528" s="35" t="s">
        <v>492</v>
      </c>
      <c r="Q528" s="15"/>
      <c r="R528" s="24"/>
      <c r="S528" s="62" t="s">
        <v>816</v>
      </c>
      <c r="T528" s="15"/>
      <c r="U528" s="15"/>
      <c r="V528" s="54">
        <v>4860000</v>
      </c>
      <c r="W528" s="54">
        <v>3418000</v>
      </c>
      <c r="X528" s="54">
        <v>1442000</v>
      </c>
    </row>
    <row r="529" spans="3:24" x14ac:dyDescent="0.25">
      <c r="C529" s="39">
        <v>2017</v>
      </c>
      <c r="D529" s="62" t="s">
        <v>1110</v>
      </c>
      <c r="E529" s="63" t="s">
        <v>1111</v>
      </c>
      <c r="F529" s="64">
        <v>43047</v>
      </c>
      <c r="G529" s="65" t="s">
        <v>34</v>
      </c>
      <c r="H529" s="94">
        <v>1650000</v>
      </c>
      <c r="I529" s="27">
        <v>2278990</v>
      </c>
      <c r="J529" s="27"/>
      <c r="K529" s="26">
        <v>0.3812060606060606</v>
      </c>
      <c r="L529" s="11" t="s">
        <v>465</v>
      </c>
      <c r="M529" s="15">
        <v>5</v>
      </c>
      <c r="N529" s="35" t="s">
        <v>226</v>
      </c>
      <c r="O529" s="15">
        <v>4</v>
      </c>
      <c r="P529" s="35" t="s">
        <v>457</v>
      </c>
      <c r="Q529" s="15"/>
      <c r="R529" s="24"/>
      <c r="S529" s="62" t="s">
        <v>784</v>
      </c>
      <c r="T529" s="15"/>
      <c r="U529" s="15"/>
      <c r="V529" s="54">
        <v>1650000</v>
      </c>
      <c r="W529" s="54">
        <v>2278990</v>
      </c>
      <c r="X529" s="54">
        <v>-628990</v>
      </c>
    </row>
    <row r="530" spans="3:24" x14ac:dyDescent="0.25">
      <c r="C530" s="39">
        <v>2017</v>
      </c>
      <c r="D530" s="62" t="s">
        <v>1101</v>
      </c>
      <c r="E530" s="63" t="s">
        <v>1102</v>
      </c>
      <c r="F530" s="64">
        <v>43025</v>
      </c>
      <c r="G530" s="65" t="s">
        <v>34</v>
      </c>
      <c r="H530" s="94">
        <v>2800000</v>
      </c>
      <c r="I530" s="27">
        <v>2847000</v>
      </c>
      <c r="J530" s="27"/>
      <c r="K530" s="26">
        <v>1.6785714285714286E-2</v>
      </c>
      <c r="L530" s="11" t="s">
        <v>464</v>
      </c>
      <c r="M530" s="15">
        <v>9</v>
      </c>
      <c r="N530" s="35" t="s">
        <v>93</v>
      </c>
      <c r="O530" s="15">
        <v>4</v>
      </c>
      <c r="P530" s="35" t="s">
        <v>458</v>
      </c>
      <c r="Q530" s="15"/>
      <c r="R530" s="24"/>
      <c r="S530" s="62" t="s">
        <v>616</v>
      </c>
      <c r="T530" s="15"/>
      <c r="U530" s="15"/>
      <c r="V530" s="54">
        <v>2800000</v>
      </c>
      <c r="W530" s="54">
        <v>2847000</v>
      </c>
      <c r="X530" s="54">
        <v>-47000</v>
      </c>
    </row>
    <row r="531" spans="3:24" x14ac:dyDescent="0.25">
      <c r="C531" s="39">
        <v>2017</v>
      </c>
      <c r="D531" s="62" t="s">
        <v>1099</v>
      </c>
      <c r="E531" s="63" t="s">
        <v>1100</v>
      </c>
      <c r="F531" s="64">
        <v>43025</v>
      </c>
      <c r="G531" s="65" t="s">
        <v>34</v>
      </c>
      <c r="H531" s="94">
        <v>3000000</v>
      </c>
      <c r="I531" s="27">
        <v>2812500</v>
      </c>
      <c r="J531" s="27"/>
      <c r="K531" s="26">
        <v>-6.25E-2</v>
      </c>
      <c r="L531" s="11" t="s">
        <v>464</v>
      </c>
      <c r="M531" s="15">
        <v>2</v>
      </c>
      <c r="N531" s="35" t="s">
        <v>25</v>
      </c>
      <c r="O531" s="15">
        <v>4</v>
      </c>
      <c r="P531" s="35" t="s">
        <v>458</v>
      </c>
      <c r="Q531" s="15"/>
      <c r="R531" s="24"/>
      <c r="S531" s="62" t="s">
        <v>616</v>
      </c>
      <c r="T531" s="15"/>
      <c r="U531" s="15"/>
      <c r="V531" s="54">
        <v>3000000</v>
      </c>
      <c r="W531" s="54">
        <v>2812500</v>
      </c>
      <c r="X531" s="54">
        <v>187500</v>
      </c>
    </row>
    <row r="532" spans="3:24" x14ac:dyDescent="0.25">
      <c r="C532" s="39">
        <v>2017</v>
      </c>
      <c r="D532" s="62" t="s">
        <v>1093</v>
      </c>
      <c r="E532" s="63" t="s">
        <v>1094</v>
      </c>
      <c r="F532" s="64">
        <v>43013</v>
      </c>
      <c r="G532" s="65" t="s">
        <v>34</v>
      </c>
      <c r="H532" s="94">
        <v>970000</v>
      </c>
      <c r="I532" s="27">
        <v>1285000</v>
      </c>
      <c r="J532" s="27"/>
      <c r="K532" s="26">
        <v>0.32474226804123713</v>
      </c>
      <c r="L532" s="11" t="s">
        <v>465</v>
      </c>
      <c r="M532" s="15">
        <v>6</v>
      </c>
      <c r="N532" s="35" t="s">
        <v>25</v>
      </c>
      <c r="O532" s="15">
        <v>4</v>
      </c>
      <c r="P532" s="35" t="s">
        <v>458</v>
      </c>
      <c r="Q532" s="15"/>
      <c r="R532" s="24"/>
      <c r="S532" s="62" t="s">
        <v>616</v>
      </c>
      <c r="T532" s="15"/>
      <c r="U532" s="15"/>
      <c r="V532" s="54">
        <v>970000</v>
      </c>
      <c r="W532" s="54">
        <v>1285000</v>
      </c>
      <c r="X532" s="54">
        <v>-315000</v>
      </c>
    </row>
    <row r="533" spans="3:24" x14ac:dyDescent="0.25">
      <c r="C533" s="39">
        <v>2017</v>
      </c>
      <c r="D533" s="62" t="s">
        <v>1089</v>
      </c>
      <c r="E533" s="63" t="s">
        <v>1090</v>
      </c>
      <c r="F533" s="64">
        <v>43005</v>
      </c>
      <c r="G533" s="65" t="s">
        <v>34</v>
      </c>
      <c r="H533" s="94">
        <v>1250000</v>
      </c>
      <c r="I533" s="27">
        <v>1068000</v>
      </c>
      <c r="J533" s="27"/>
      <c r="K533" s="26">
        <v>-0.14560000000000001</v>
      </c>
      <c r="L533" s="11" t="s">
        <v>464</v>
      </c>
      <c r="M533" s="15">
        <v>6</v>
      </c>
      <c r="N533" s="35" t="s">
        <v>226</v>
      </c>
      <c r="O533" s="15">
        <v>3</v>
      </c>
      <c r="P533" s="35" t="s">
        <v>457</v>
      </c>
      <c r="Q533" s="15"/>
      <c r="R533" s="24"/>
      <c r="S533" s="62" t="s">
        <v>784</v>
      </c>
      <c r="T533" s="15"/>
      <c r="U533" s="15"/>
      <c r="V533" s="54">
        <v>1250000</v>
      </c>
      <c r="W533" s="54">
        <v>1068000</v>
      </c>
      <c r="X533" s="54">
        <v>182000</v>
      </c>
    </row>
    <row r="534" spans="3:24" x14ac:dyDescent="0.25">
      <c r="C534" s="39">
        <v>2017</v>
      </c>
      <c r="D534" s="62" t="s">
        <v>1075</v>
      </c>
      <c r="E534" s="63" t="s">
        <v>1076</v>
      </c>
      <c r="F534" s="64">
        <v>42999</v>
      </c>
      <c r="G534" s="65" t="s">
        <v>34</v>
      </c>
      <c r="H534" s="94">
        <v>1250000</v>
      </c>
      <c r="I534" s="27">
        <v>876947</v>
      </c>
      <c r="J534" s="27"/>
      <c r="K534" s="26">
        <v>-0.2984424</v>
      </c>
      <c r="L534" s="11" t="s">
        <v>464</v>
      </c>
      <c r="M534" s="15">
        <v>13</v>
      </c>
      <c r="N534" s="35" t="s">
        <v>93</v>
      </c>
      <c r="O534" s="15">
        <v>3</v>
      </c>
      <c r="P534" s="35" t="s">
        <v>492</v>
      </c>
      <c r="Q534" s="15"/>
      <c r="R534" s="24"/>
      <c r="S534" s="62" t="s">
        <v>816</v>
      </c>
      <c r="T534" s="15"/>
      <c r="U534" s="15"/>
      <c r="V534" s="54">
        <v>1250000</v>
      </c>
      <c r="W534" s="54">
        <v>876947</v>
      </c>
      <c r="X534" s="54">
        <v>373053</v>
      </c>
    </row>
    <row r="535" spans="3:24" x14ac:dyDescent="0.25">
      <c r="C535" s="39">
        <v>2017</v>
      </c>
      <c r="D535" s="62" t="s">
        <v>1070</v>
      </c>
      <c r="E535" s="63" t="s">
        <v>1071</v>
      </c>
      <c r="F535" s="64">
        <v>42997</v>
      </c>
      <c r="G535" s="65" t="s">
        <v>34</v>
      </c>
      <c r="H535" s="94">
        <v>1326000</v>
      </c>
      <c r="I535" s="27">
        <v>1976491</v>
      </c>
      <c r="J535" s="27"/>
      <c r="K535" s="26">
        <v>0.49056636500754147</v>
      </c>
      <c r="L535" s="11" t="s">
        <v>465</v>
      </c>
      <c r="M535" s="15">
        <v>4</v>
      </c>
      <c r="N535" s="35" t="s">
        <v>25</v>
      </c>
      <c r="O535" s="15">
        <v>3</v>
      </c>
      <c r="P535" s="35" t="s">
        <v>457</v>
      </c>
      <c r="Q535" s="15"/>
      <c r="R535" s="24"/>
      <c r="S535" s="62" t="s">
        <v>784</v>
      </c>
      <c r="T535" s="15"/>
      <c r="U535" s="15"/>
      <c r="V535" s="54">
        <v>1326000</v>
      </c>
      <c r="W535" s="54">
        <v>1976491</v>
      </c>
      <c r="X535" s="54">
        <v>-650491</v>
      </c>
    </row>
    <row r="536" spans="3:24" x14ac:dyDescent="0.25">
      <c r="C536" s="39">
        <v>2017</v>
      </c>
      <c r="D536" s="62" t="s">
        <v>1063</v>
      </c>
      <c r="E536" s="63" t="s">
        <v>1064</v>
      </c>
      <c r="F536" s="64">
        <v>42951</v>
      </c>
      <c r="G536" s="65" t="s">
        <v>34</v>
      </c>
      <c r="H536" s="94">
        <v>6040000</v>
      </c>
      <c r="I536" s="27">
        <v>4845475</v>
      </c>
      <c r="J536" s="27" t="s">
        <v>519</v>
      </c>
      <c r="K536" s="26">
        <v>-0.19776903973509935</v>
      </c>
      <c r="L536" s="11" t="s">
        <v>464</v>
      </c>
      <c r="M536" s="15">
        <v>8</v>
      </c>
      <c r="N536" s="35" t="s">
        <v>93</v>
      </c>
      <c r="O536" s="15">
        <v>3</v>
      </c>
      <c r="P536" s="35" t="s">
        <v>458</v>
      </c>
      <c r="Q536" s="15"/>
      <c r="R536" s="24"/>
      <c r="S536" s="62" t="s">
        <v>784</v>
      </c>
      <c r="T536" s="15"/>
      <c r="U536" s="15"/>
      <c r="V536" s="54">
        <v>6040000</v>
      </c>
      <c r="W536" s="54">
        <v>4845475</v>
      </c>
      <c r="X536" s="54">
        <v>1194525</v>
      </c>
    </row>
    <row r="537" spans="3:24" x14ac:dyDescent="0.25">
      <c r="C537" s="39">
        <v>2017</v>
      </c>
      <c r="D537" s="62" t="s">
        <v>1057</v>
      </c>
      <c r="E537" s="63" t="s">
        <v>1058</v>
      </c>
      <c r="F537" s="64">
        <v>42949</v>
      </c>
      <c r="G537" s="65" t="s">
        <v>34</v>
      </c>
      <c r="H537" s="94">
        <v>1650000</v>
      </c>
      <c r="I537" s="27">
        <v>1320718</v>
      </c>
      <c r="J537" s="27"/>
      <c r="K537" s="26">
        <v>-0.19956484848484848</v>
      </c>
      <c r="L537" s="11" t="s">
        <v>464</v>
      </c>
      <c r="M537" s="15">
        <v>4</v>
      </c>
      <c r="N537" s="35" t="s">
        <v>93</v>
      </c>
      <c r="O537" s="15">
        <v>3</v>
      </c>
      <c r="P537" s="35" t="s">
        <v>458</v>
      </c>
      <c r="Q537" s="15"/>
      <c r="R537" s="24"/>
      <c r="S537" s="62" t="s">
        <v>616</v>
      </c>
      <c r="T537" s="15"/>
      <c r="U537" s="15"/>
      <c r="V537" s="54">
        <v>1650000</v>
      </c>
      <c r="W537" s="54">
        <v>1320718</v>
      </c>
      <c r="X537" s="54">
        <v>329282</v>
      </c>
    </row>
    <row r="538" spans="3:24" x14ac:dyDescent="0.25">
      <c r="C538" s="39">
        <v>2017</v>
      </c>
      <c r="D538" s="62" t="s">
        <v>1052</v>
      </c>
      <c r="E538" s="63" t="s">
        <v>1053</v>
      </c>
      <c r="F538" s="64">
        <v>42948</v>
      </c>
      <c r="G538" s="65" t="s">
        <v>34</v>
      </c>
      <c r="H538" s="94">
        <v>1330000</v>
      </c>
      <c r="I538" s="27">
        <v>936000</v>
      </c>
      <c r="J538" s="27"/>
      <c r="K538" s="26">
        <v>-0.29624060150375942</v>
      </c>
      <c r="L538" s="11" t="s">
        <v>464</v>
      </c>
      <c r="M538" s="15">
        <v>6</v>
      </c>
      <c r="N538" s="35" t="s">
        <v>93</v>
      </c>
      <c r="O538" s="15">
        <v>3</v>
      </c>
      <c r="P538" s="35" t="s">
        <v>458</v>
      </c>
      <c r="Q538" s="15"/>
      <c r="R538" s="24"/>
      <c r="S538" s="62" t="s">
        <v>616</v>
      </c>
      <c r="T538" s="15"/>
      <c r="U538" s="15"/>
      <c r="V538" s="54">
        <v>1330000</v>
      </c>
      <c r="W538" s="54">
        <v>936000</v>
      </c>
      <c r="X538" s="54">
        <v>394000</v>
      </c>
    </row>
    <row r="539" spans="3:24" x14ac:dyDescent="0.25">
      <c r="C539" s="39">
        <v>2017</v>
      </c>
      <c r="D539" s="62" t="s">
        <v>1049</v>
      </c>
      <c r="E539" s="63" t="s">
        <v>1050</v>
      </c>
      <c r="F539" s="64">
        <v>42942</v>
      </c>
      <c r="G539" s="65" t="s">
        <v>34</v>
      </c>
      <c r="H539" s="94">
        <v>700000</v>
      </c>
      <c r="I539" s="27">
        <v>614770</v>
      </c>
      <c r="J539" s="27"/>
      <c r="K539" s="26">
        <v>-0.12175714285714286</v>
      </c>
      <c r="L539" s="11" t="s">
        <v>464</v>
      </c>
      <c r="M539" s="15">
        <v>2</v>
      </c>
      <c r="N539" s="35" t="s">
        <v>93</v>
      </c>
      <c r="O539" s="15">
        <v>3</v>
      </c>
      <c r="P539" s="35" t="s">
        <v>457</v>
      </c>
      <c r="Q539" s="15"/>
      <c r="R539" s="24"/>
      <c r="S539" s="62" t="s">
        <v>536</v>
      </c>
      <c r="T539" s="15"/>
      <c r="U539" s="15"/>
      <c r="V539" s="54">
        <v>700000</v>
      </c>
      <c r="W539" s="54">
        <v>614770</v>
      </c>
      <c r="X539" s="54">
        <v>85230</v>
      </c>
    </row>
    <row r="540" spans="3:24" x14ac:dyDescent="0.25">
      <c r="C540" s="39">
        <v>2017</v>
      </c>
      <c r="D540" s="62" t="s">
        <v>1047</v>
      </c>
      <c r="E540" s="63" t="s">
        <v>982</v>
      </c>
      <c r="F540" s="64">
        <v>42941</v>
      </c>
      <c r="G540" s="65" t="s">
        <v>34</v>
      </c>
      <c r="H540" s="94">
        <v>7200000</v>
      </c>
      <c r="I540" s="27">
        <v>1936000</v>
      </c>
      <c r="J540" s="105" t="s">
        <v>519</v>
      </c>
      <c r="K540" s="26">
        <v>-0.73111111111111116</v>
      </c>
      <c r="L540" s="11" t="s">
        <v>465</v>
      </c>
      <c r="M540" s="15">
        <v>4</v>
      </c>
      <c r="N540" s="35" t="s">
        <v>93</v>
      </c>
      <c r="O540" s="15">
        <v>3</v>
      </c>
      <c r="P540" s="35" t="s">
        <v>458</v>
      </c>
      <c r="Q540" s="15"/>
      <c r="R540" s="24"/>
      <c r="S540" s="62" t="s">
        <v>616</v>
      </c>
      <c r="T540" s="15"/>
      <c r="U540" s="15"/>
      <c r="V540" s="54">
        <v>7200000</v>
      </c>
      <c r="W540" s="54">
        <v>1936000</v>
      </c>
      <c r="X540" s="54">
        <v>5264000</v>
      </c>
    </row>
    <row r="541" spans="3:24" x14ac:dyDescent="0.25">
      <c r="C541" s="39">
        <v>2017</v>
      </c>
      <c r="D541" s="62" t="s">
        <v>1021</v>
      </c>
      <c r="E541" s="63" t="s">
        <v>1022</v>
      </c>
      <c r="F541" s="64">
        <v>42892</v>
      </c>
      <c r="G541" s="65" t="s">
        <v>34</v>
      </c>
      <c r="H541" s="94">
        <v>771000</v>
      </c>
      <c r="I541" s="27">
        <v>946600</v>
      </c>
      <c r="J541" s="27"/>
      <c r="K541" s="26">
        <v>0.22775616083009079</v>
      </c>
      <c r="L541" s="11" t="s">
        <v>465</v>
      </c>
      <c r="M541" s="15">
        <v>2</v>
      </c>
      <c r="N541" s="35" t="s">
        <v>25</v>
      </c>
      <c r="O541" s="15">
        <v>2</v>
      </c>
      <c r="P541" s="35" t="s">
        <v>457</v>
      </c>
      <c r="Q541" s="15"/>
      <c r="R541" s="24"/>
      <c r="S541" s="62" t="s">
        <v>630</v>
      </c>
      <c r="T541" s="15"/>
      <c r="U541" s="15"/>
      <c r="V541" s="54">
        <v>771000</v>
      </c>
      <c r="W541" s="54">
        <v>946600</v>
      </c>
      <c r="X541" s="54">
        <v>-175600</v>
      </c>
    </row>
    <row r="542" spans="3:24" x14ac:dyDescent="0.25">
      <c r="C542" s="39">
        <v>2017</v>
      </c>
      <c r="D542" s="62" t="s">
        <v>1014</v>
      </c>
      <c r="E542" s="63" t="s">
        <v>1015</v>
      </c>
      <c r="F542" s="64">
        <v>42886</v>
      </c>
      <c r="G542" s="65" t="s">
        <v>34</v>
      </c>
      <c r="H542" s="94">
        <v>1140000</v>
      </c>
      <c r="I542" s="27">
        <v>904780</v>
      </c>
      <c r="J542" s="27"/>
      <c r="K542" s="26">
        <v>-0.20633333333333334</v>
      </c>
      <c r="L542" s="11" t="s">
        <v>464</v>
      </c>
      <c r="M542" s="15">
        <v>9</v>
      </c>
      <c r="N542" s="35" t="s">
        <v>25</v>
      </c>
      <c r="O542" s="15">
        <v>2</v>
      </c>
      <c r="P542" s="35" t="s">
        <v>458</v>
      </c>
      <c r="Q542" s="15"/>
      <c r="R542" s="24"/>
      <c r="S542" s="62" t="s">
        <v>616</v>
      </c>
      <c r="T542" s="15"/>
      <c r="U542" s="15"/>
      <c r="V542" s="54">
        <v>1140000</v>
      </c>
      <c r="W542" s="54">
        <v>904780</v>
      </c>
      <c r="X542" s="54">
        <v>235220</v>
      </c>
    </row>
    <row r="543" spans="3:24" x14ac:dyDescent="0.25">
      <c r="C543" s="39">
        <v>2017</v>
      </c>
      <c r="D543" s="62" t="s">
        <v>1009</v>
      </c>
      <c r="E543" s="63" t="s">
        <v>1010</v>
      </c>
      <c r="F543" s="64">
        <v>42880</v>
      </c>
      <c r="G543" s="65" t="s">
        <v>34</v>
      </c>
      <c r="H543" s="94">
        <v>2850000</v>
      </c>
      <c r="I543" s="27">
        <v>1808548</v>
      </c>
      <c r="J543" s="27"/>
      <c r="K543" s="26">
        <v>-0.36542175438596491</v>
      </c>
      <c r="L543" s="11" t="s">
        <v>465</v>
      </c>
      <c r="M543" s="15">
        <v>11</v>
      </c>
      <c r="N543" s="35" t="s">
        <v>93</v>
      </c>
      <c r="O543" s="15">
        <v>2</v>
      </c>
      <c r="P543" s="35" t="s">
        <v>458</v>
      </c>
      <c r="Q543" s="15"/>
      <c r="R543" s="24"/>
      <c r="S543" s="62" t="s">
        <v>442</v>
      </c>
      <c r="T543" s="15"/>
      <c r="U543" s="15"/>
      <c r="V543" s="54">
        <v>2850000</v>
      </c>
      <c r="W543" s="54">
        <v>1808548</v>
      </c>
      <c r="X543" s="54">
        <v>1041452</v>
      </c>
    </row>
    <row r="544" spans="3:24" x14ac:dyDescent="0.25">
      <c r="C544" s="39">
        <v>2017</v>
      </c>
      <c r="D544" s="62" t="s">
        <v>1001</v>
      </c>
      <c r="E544" s="63" t="s">
        <v>1008</v>
      </c>
      <c r="F544" s="64">
        <v>42872</v>
      </c>
      <c r="G544" s="65" t="s">
        <v>34</v>
      </c>
      <c r="H544" s="94">
        <v>5000000</v>
      </c>
      <c r="I544" s="27">
        <v>5210665</v>
      </c>
      <c r="J544" s="27" t="s">
        <v>519</v>
      </c>
      <c r="K544" s="26">
        <v>4.2132999999999997E-2</v>
      </c>
      <c r="L544" s="11" t="s">
        <v>464</v>
      </c>
      <c r="M544" s="15">
        <v>9</v>
      </c>
      <c r="N544" s="35" t="s">
        <v>226</v>
      </c>
      <c r="O544" s="15">
        <v>2</v>
      </c>
      <c r="P544" s="35" t="s">
        <v>492</v>
      </c>
      <c r="Q544" s="15"/>
      <c r="R544" s="24"/>
      <c r="S544" s="62" t="s">
        <v>816</v>
      </c>
      <c r="T544" s="15"/>
      <c r="U544" s="15"/>
      <c r="V544" s="54">
        <v>5000000</v>
      </c>
      <c r="W544" s="54">
        <v>5210665</v>
      </c>
      <c r="X544" s="54">
        <v>-210665</v>
      </c>
    </row>
    <row r="545" spans="3:24" x14ac:dyDescent="0.25">
      <c r="C545" s="39">
        <v>2017</v>
      </c>
      <c r="D545" s="62" t="s">
        <v>999</v>
      </c>
      <c r="E545" s="63" t="s">
        <v>1000</v>
      </c>
      <c r="F545" s="64">
        <v>42871</v>
      </c>
      <c r="G545" s="65" t="s">
        <v>34</v>
      </c>
      <c r="H545" s="94">
        <v>9000000</v>
      </c>
      <c r="I545" s="27">
        <v>10805265</v>
      </c>
      <c r="J545" s="105" t="s">
        <v>519</v>
      </c>
      <c r="K545" s="26">
        <v>0.20058500000000001</v>
      </c>
      <c r="L545" s="11" t="s">
        <v>465</v>
      </c>
      <c r="M545" s="15">
        <v>2</v>
      </c>
      <c r="N545" s="35" t="s">
        <v>25</v>
      </c>
      <c r="O545" s="15">
        <v>2</v>
      </c>
      <c r="P545" s="35" t="s">
        <v>492</v>
      </c>
      <c r="Q545" s="15"/>
      <c r="R545" s="24"/>
      <c r="S545" s="62" t="s">
        <v>816</v>
      </c>
      <c r="T545" s="15"/>
      <c r="U545" s="15"/>
      <c r="V545" s="54">
        <v>9000000</v>
      </c>
      <c r="W545" s="54">
        <v>10805265</v>
      </c>
      <c r="X545" s="54">
        <v>-1805265</v>
      </c>
    </row>
    <row r="546" spans="3:24" x14ac:dyDescent="0.25">
      <c r="C546" s="39">
        <v>2017</v>
      </c>
      <c r="D546" s="62" t="s">
        <v>991</v>
      </c>
      <c r="E546" s="63" t="s">
        <v>992</v>
      </c>
      <c r="F546" s="64">
        <v>42846</v>
      </c>
      <c r="G546" s="65" t="s">
        <v>34</v>
      </c>
      <c r="H546" s="94">
        <v>2060000</v>
      </c>
      <c r="I546" s="27">
        <v>2614625</v>
      </c>
      <c r="J546" s="27"/>
      <c r="K546" s="26">
        <v>0.26923543689320389</v>
      </c>
      <c r="L546" s="11" t="s">
        <v>465</v>
      </c>
      <c r="M546" s="15">
        <v>5</v>
      </c>
      <c r="N546" s="35" t="s">
        <v>226</v>
      </c>
      <c r="O546" s="15">
        <v>2</v>
      </c>
      <c r="P546" s="35" t="s">
        <v>457</v>
      </c>
      <c r="Q546" s="15"/>
      <c r="R546" s="24"/>
      <c r="S546" s="62" t="s">
        <v>630</v>
      </c>
      <c r="T546" s="15"/>
      <c r="U546" s="15"/>
      <c r="V546" s="54">
        <v>2060000</v>
      </c>
      <c r="W546" s="54">
        <v>2614625</v>
      </c>
      <c r="X546" s="54">
        <v>-554625</v>
      </c>
    </row>
    <row r="547" spans="3:24" x14ac:dyDescent="0.25">
      <c r="C547" s="39">
        <v>2017</v>
      </c>
      <c r="D547" s="62" t="s">
        <v>987</v>
      </c>
      <c r="E547" s="63" t="s">
        <v>988</v>
      </c>
      <c r="F547" s="64">
        <v>42845</v>
      </c>
      <c r="G547" s="65" t="s">
        <v>34</v>
      </c>
      <c r="H547" s="94">
        <v>1520000</v>
      </c>
      <c r="I547" s="27">
        <v>994200</v>
      </c>
      <c r="J547" s="27"/>
      <c r="K547" s="26">
        <v>-0.34592105263157896</v>
      </c>
      <c r="L547" s="11" t="s">
        <v>464</v>
      </c>
      <c r="M547" s="15">
        <v>4</v>
      </c>
      <c r="N547" s="35" t="s">
        <v>25</v>
      </c>
      <c r="O547" s="15">
        <v>2</v>
      </c>
      <c r="P547" s="35" t="s">
        <v>492</v>
      </c>
      <c r="Q547" s="15"/>
      <c r="R547" s="24"/>
      <c r="S547" s="62" t="s">
        <v>816</v>
      </c>
      <c r="T547" s="15"/>
      <c r="U547" s="15"/>
      <c r="V547" s="54">
        <v>1520000</v>
      </c>
      <c r="W547" s="54">
        <v>994200</v>
      </c>
      <c r="X547" s="54">
        <v>525800</v>
      </c>
    </row>
    <row r="548" spans="3:24" x14ac:dyDescent="0.25">
      <c r="C548" s="39">
        <v>2017</v>
      </c>
      <c r="D548" s="62" t="s">
        <v>977</v>
      </c>
      <c r="E548" s="63" t="s">
        <v>978</v>
      </c>
      <c r="F548" s="64">
        <v>42831</v>
      </c>
      <c r="G548" s="65" t="s">
        <v>34</v>
      </c>
      <c r="H548" s="94">
        <v>1655000</v>
      </c>
      <c r="I548" s="27">
        <v>1398667</v>
      </c>
      <c r="J548" s="27"/>
      <c r="K548" s="26">
        <v>-0.15488398791540786</v>
      </c>
      <c r="L548" s="11" t="s">
        <v>464</v>
      </c>
      <c r="M548" s="15">
        <v>3</v>
      </c>
      <c r="N548" s="35" t="s">
        <v>93</v>
      </c>
      <c r="O548" s="15">
        <v>2</v>
      </c>
      <c r="P548" s="35" t="s">
        <v>492</v>
      </c>
      <c r="Q548" s="15"/>
      <c r="R548" s="24"/>
      <c r="S548" s="62" t="s">
        <v>816</v>
      </c>
      <c r="T548" s="15"/>
      <c r="U548" s="15"/>
      <c r="V548" s="54">
        <v>1655000</v>
      </c>
      <c r="W548" s="54">
        <v>1398667</v>
      </c>
      <c r="X548" s="54">
        <v>256333</v>
      </c>
    </row>
    <row r="549" spans="3:24" x14ac:dyDescent="0.25">
      <c r="C549" s="39">
        <v>2017</v>
      </c>
      <c r="D549" s="62" t="s">
        <v>966</v>
      </c>
      <c r="E549" s="63" t="s">
        <v>967</v>
      </c>
      <c r="F549" s="64">
        <v>42823</v>
      </c>
      <c r="G549" s="65" t="s">
        <v>34</v>
      </c>
      <c r="H549" s="27">
        <v>3700000</v>
      </c>
      <c r="I549" s="27">
        <v>2490000</v>
      </c>
      <c r="J549" s="27">
        <v>3185240</v>
      </c>
      <c r="K549" s="26">
        <v>-0.32702702702702702</v>
      </c>
      <c r="L549" s="11" t="s">
        <v>464</v>
      </c>
      <c r="M549" s="15">
        <v>7</v>
      </c>
      <c r="N549" s="35" t="s">
        <v>93</v>
      </c>
      <c r="O549" s="15">
        <v>1</v>
      </c>
      <c r="P549" s="35" t="s">
        <v>457</v>
      </c>
      <c r="Q549" s="15"/>
      <c r="R549" s="24" t="s">
        <v>976</v>
      </c>
      <c r="S549" s="62" t="s">
        <v>630</v>
      </c>
      <c r="T549" s="15"/>
      <c r="U549" s="15"/>
      <c r="V549" s="54">
        <v>3700000</v>
      </c>
      <c r="W549" s="54">
        <v>2490000</v>
      </c>
      <c r="X549" s="54">
        <v>1210000</v>
      </c>
    </row>
    <row r="550" spans="3:24" x14ac:dyDescent="0.25">
      <c r="C550" s="39">
        <v>2017</v>
      </c>
      <c r="D550" s="62" t="s">
        <v>916</v>
      </c>
      <c r="E550" s="63" t="s">
        <v>917</v>
      </c>
      <c r="F550" s="64">
        <v>42780</v>
      </c>
      <c r="G550" s="65" t="s">
        <v>34</v>
      </c>
      <c r="H550" s="94">
        <v>2580000</v>
      </c>
      <c r="I550" s="27">
        <v>1386000</v>
      </c>
      <c r="J550" s="27"/>
      <c r="K550" s="26">
        <v>-0.46279069767441861</v>
      </c>
      <c r="L550" s="11" t="s">
        <v>464</v>
      </c>
      <c r="M550" s="15">
        <v>16</v>
      </c>
      <c r="N550" s="35" t="s">
        <v>25</v>
      </c>
      <c r="O550" s="15">
        <v>1</v>
      </c>
      <c r="P550" s="35" t="s">
        <v>458</v>
      </c>
      <c r="Q550" s="15"/>
      <c r="R550" s="24" t="s">
        <v>1020</v>
      </c>
      <c r="S550" s="62" t="s">
        <v>616</v>
      </c>
      <c r="T550" s="15"/>
      <c r="U550" s="15"/>
      <c r="V550" s="54">
        <v>2580000</v>
      </c>
      <c r="W550" s="54">
        <v>1386000</v>
      </c>
      <c r="X550" s="54">
        <v>1194000</v>
      </c>
    </row>
    <row r="551" spans="3:24" x14ac:dyDescent="0.25">
      <c r="C551" s="39">
        <v>2017</v>
      </c>
      <c r="D551" s="62" t="s">
        <v>901</v>
      </c>
      <c r="E551" s="63" t="s">
        <v>902</v>
      </c>
      <c r="F551" s="64">
        <v>42774</v>
      </c>
      <c r="G551" s="65" t="s">
        <v>34</v>
      </c>
      <c r="H551" s="94">
        <v>970000</v>
      </c>
      <c r="I551" s="27">
        <v>756482</v>
      </c>
      <c r="J551" s="27"/>
      <c r="K551" s="26">
        <v>-0.22012164948453608</v>
      </c>
      <c r="L551" s="11" t="s">
        <v>464</v>
      </c>
      <c r="M551" s="15">
        <v>9</v>
      </c>
      <c r="N551" s="35" t="s">
        <v>25</v>
      </c>
      <c r="O551" s="15">
        <v>1</v>
      </c>
      <c r="P551" s="35" t="s">
        <v>458</v>
      </c>
      <c r="Q551" s="15"/>
      <c r="R551" s="24"/>
      <c r="S551" s="62" t="s">
        <v>616</v>
      </c>
      <c r="T551" s="15"/>
      <c r="U551" s="15"/>
      <c r="V551" s="54">
        <v>970000</v>
      </c>
      <c r="W551" s="54">
        <v>756482</v>
      </c>
      <c r="X551" s="54">
        <v>213518</v>
      </c>
    </row>
    <row r="552" spans="3:24" x14ac:dyDescent="0.25">
      <c r="C552" s="39">
        <v>2017</v>
      </c>
      <c r="D552" s="62" t="s">
        <v>880</v>
      </c>
      <c r="E552" s="63" t="s">
        <v>881</v>
      </c>
      <c r="F552" s="64">
        <v>42768</v>
      </c>
      <c r="G552" s="65" t="s">
        <v>34</v>
      </c>
      <c r="H552" s="94">
        <v>4800000</v>
      </c>
      <c r="I552" s="27">
        <v>3901193</v>
      </c>
      <c r="J552" s="27"/>
      <c r="K552" s="26">
        <v>-0.18725145833333334</v>
      </c>
      <c r="L552" s="11" t="s">
        <v>464</v>
      </c>
      <c r="M552" s="15">
        <v>14</v>
      </c>
      <c r="N552" s="35" t="s">
        <v>93</v>
      </c>
      <c r="O552" s="15">
        <v>1</v>
      </c>
      <c r="P552" s="35" t="s">
        <v>458</v>
      </c>
      <c r="Q552" s="15"/>
      <c r="R552" s="24"/>
      <c r="S552" s="62" t="s">
        <v>616</v>
      </c>
      <c r="T552" s="15"/>
      <c r="U552" s="15"/>
      <c r="V552" s="54">
        <v>4800000</v>
      </c>
      <c r="W552" s="54">
        <v>3901193</v>
      </c>
      <c r="X552" s="54">
        <v>898807</v>
      </c>
    </row>
    <row r="553" spans="3:24" x14ac:dyDescent="0.25">
      <c r="C553" s="39">
        <v>2017</v>
      </c>
      <c r="D553" s="62" t="s">
        <v>868</v>
      </c>
      <c r="E553" s="63" t="s">
        <v>869</v>
      </c>
      <c r="F553" s="64">
        <v>42761</v>
      </c>
      <c r="G553" s="65" t="s">
        <v>34</v>
      </c>
      <c r="H553" s="94">
        <v>5100000</v>
      </c>
      <c r="I553" s="27">
        <v>4640176</v>
      </c>
      <c r="J553" s="27" t="s">
        <v>519</v>
      </c>
      <c r="K553" s="26">
        <v>-9.0161568627450978E-2</v>
      </c>
      <c r="L553" s="11" t="s">
        <v>464</v>
      </c>
      <c r="M553" s="15">
        <v>7</v>
      </c>
      <c r="N553" s="35" t="s">
        <v>93</v>
      </c>
      <c r="O553" s="15">
        <v>1</v>
      </c>
      <c r="P553" s="35" t="s">
        <v>458</v>
      </c>
      <c r="Q553" s="15"/>
      <c r="R553" s="24"/>
      <c r="S553" s="62" t="s">
        <v>784</v>
      </c>
      <c r="T553" s="15"/>
      <c r="U553" s="15"/>
      <c r="V553" s="54">
        <v>5100000</v>
      </c>
      <c r="W553" s="54">
        <v>4640176</v>
      </c>
      <c r="X553" s="54">
        <v>459824</v>
      </c>
    </row>
    <row r="554" spans="3:24" x14ac:dyDescent="0.25">
      <c r="C554" s="39">
        <v>2017</v>
      </c>
      <c r="D554" s="62" t="s">
        <v>832</v>
      </c>
      <c r="E554" s="63" t="s">
        <v>833</v>
      </c>
      <c r="F554" s="64">
        <v>42752</v>
      </c>
      <c r="G554" s="65" t="s">
        <v>34</v>
      </c>
      <c r="H554" s="94">
        <v>4200000</v>
      </c>
      <c r="I554" s="27">
        <v>3987114</v>
      </c>
      <c r="J554" s="27"/>
      <c r="K554" s="26">
        <v>-5.0687142857142854E-2</v>
      </c>
      <c r="L554" s="11" t="s">
        <v>464</v>
      </c>
      <c r="M554" s="15">
        <v>3</v>
      </c>
      <c r="N554" s="35" t="s">
        <v>25</v>
      </c>
      <c r="O554" s="15">
        <v>1</v>
      </c>
      <c r="P554" s="35" t="s">
        <v>492</v>
      </c>
      <c r="Q554" s="15"/>
      <c r="R554" s="24"/>
      <c r="S554" s="62" t="s">
        <v>816</v>
      </c>
      <c r="T554" s="15"/>
      <c r="U554" s="15"/>
      <c r="V554" s="54">
        <v>4200000</v>
      </c>
      <c r="W554" s="54">
        <v>3987114</v>
      </c>
      <c r="X554" s="54">
        <v>212886</v>
      </c>
    </row>
    <row r="555" spans="3:24" x14ac:dyDescent="0.25">
      <c r="C555" s="39"/>
    </row>
    <row r="556" spans="3:24" x14ac:dyDescent="0.25">
      <c r="C556" s="39"/>
      <c r="K556" s="398" t="s">
        <v>1183</v>
      </c>
      <c r="L556" s="398"/>
    </row>
    <row r="557" spans="3:24" x14ac:dyDescent="0.25">
      <c r="C557" s="39"/>
      <c r="K557" s="142" t="s">
        <v>190</v>
      </c>
      <c r="L557" s="143">
        <f>+M557/N557</f>
        <v>0.76470588235294112</v>
      </c>
      <c r="M557" s="15">
        <v>13</v>
      </c>
      <c r="N557" s="11">
        <v>17</v>
      </c>
      <c r="P557">
        <v>4</v>
      </c>
    </row>
    <row r="558" spans="3:24" x14ac:dyDescent="0.25">
      <c r="C558" s="39"/>
      <c r="K558" s="142" t="s">
        <v>1206</v>
      </c>
      <c r="L558" s="143">
        <f>+M558/N558</f>
        <v>0.67741935483870963</v>
      </c>
      <c r="M558" s="15">
        <v>21</v>
      </c>
      <c r="N558" s="11">
        <v>31</v>
      </c>
      <c r="P558">
        <v>6.1</v>
      </c>
    </row>
    <row r="559" spans="3:24" x14ac:dyDescent="0.25">
      <c r="C559" s="39"/>
      <c r="K559" s="142" t="s">
        <v>693</v>
      </c>
      <c r="L559" s="143">
        <f>+M559/N559</f>
        <v>0.63636363636363635</v>
      </c>
      <c r="M559" s="15">
        <v>7</v>
      </c>
      <c r="N559" s="11">
        <v>11</v>
      </c>
      <c r="P559">
        <v>4.5</v>
      </c>
    </row>
    <row r="560" spans="3:24" x14ac:dyDescent="0.25">
      <c r="C560" s="39"/>
      <c r="K560" s="142" t="s">
        <v>756</v>
      </c>
      <c r="L560" s="143">
        <f t="shared" ref="L560" si="32">+M560/N560</f>
        <v>0.16666666666666666</v>
      </c>
      <c r="M560" s="15">
        <v>1</v>
      </c>
      <c r="N560" s="11">
        <v>6</v>
      </c>
      <c r="P560">
        <v>5.5</v>
      </c>
    </row>
    <row r="561" spans="2:19" x14ac:dyDescent="0.25">
      <c r="C561" s="39"/>
    </row>
    <row r="562" spans="2:19" x14ac:dyDescent="0.25">
      <c r="C562" s="39"/>
    </row>
    <row r="563" spans="2:19" x14ac:dyDescent="0.25">
      <c r="C563" s="39"/>
    </row>
    <row r="564" spans="2:19" x14ac:dyDescent="0.25">
      <c r="C564" s="39"/>
    </row>
    <row r="565" spans="2:19" x14ac:dyDescent="0.25">
      <c r="C565" s="39"/>
    </row>
    <row r="566" spans="2:19" x14ac:dyDescent="0.25">
      <c r="B566" s="144"/>
      <c r="C566" s="145"/>
      <c r="D566" s="144"/>
      <c r="E566" s="144"/>
      <c r="F566" s="144"/>
      <c r="G566" s="144"/>
      <c r="H566" s="144"/>
      <c r="I566" s="144"/>
      <c r="J566" s="144"/>
      <c r="K566" s="144"/>
      <c r="L566" s="144"/>
      <c r="M566" s="144"/>
      <c r="N566" s="146"/>
      <c r="O566" s="144"/>
      <c r="P566" s="144"/>
      <c r="Q566" s="144"/>
      <c r="R566" s="144"/>
      <c r="S566" s="144"/>
    </row>
    <row r="567" spans="2:19" x14ac:dyDescent="0.25">
      <c r="C567" s="39"/>
    </row>
    <row r="568" spans="2:19" x14ac:dyDescent="0.25">
      <c r="C568" s="39"/>
    </row>
    <row r="569" spans="2:19" x14ac:dyDescent="0.25">
      <c r="C569" s="39"/>
      <c r="D569" t="s">
        <v>1174</v>
      </c>
    </row>
    <row r="570" spans="2:19" x14ac:dyDescent="0.25">
      <c r="C570" s="39"/>
      <c r="D570" t="s">
        <v>1177</v>
      </c>
      <c r="F570" t="s">
        <v>1175</v>
      </c>
      <c r="G570" t="s">
        <v>1176</v>
      </c>
    </row>
    <row r="571" spans="2:19" x14ac:dyDescent="0.25">
      <c r="C571" s="39"/>
      <c r="F571">
        <v>14</v>
      </c>
      <c r="G571">
        <v>5</v>
      </c>
      <c r="H571" s="66">
        <f>+F571/(G571+F571)</f>
        <v>0.73684210526315785</v>
      </c>
    </row>
    <row r="572" spans="2:19" x14ac:dyDescent="0.25">
      <c r="C572" s="39"/>
    </row>
    <row r="573" spans="2:19" x14ac:dyDescent="0.25">
      <c r="C573" s="39"/>
    </row>
    <row r="574" spans="2:19" x14ac:dyDescent="0.25">
      <c r="B574" s="147"/>
      <c r="C574" s="148"/>
      <c r="D574" s="147"/>
      <c r="E574" s="147"/>
      <c r="F574" s="147"/>
      <c r="G574" s="147"/>
      <c r="H574" s="147"/>
      <c r="I574" s="147"/>
      <c r="J574" s="147"/>
      <c r="K574" s="147"/>
      <c r="L574" s="147"/>
      <c r="M574" s="147"/>
      <c r="N574" s="149"/>
      <c r="O574" s="147"/>
      <c r="P574" s="147"/>
      <c r="Q574" s="147"/>
      <c r="R574" s="147"/>
      <c r="S574" s="147"/>
    </row>
    <row r="575" spans="2:19" x14ac:dyDescent="0.25">
      <c r="C575" s="39"/>
    </row>
    <row r="576" spans="2:19" x14ac:dyDescent="0.25">
      <c r="C576" s="39"/>
      <c r="R576">
        <f>+H597+H625+H652+H675</f>
        <v>34</v>
      </c>
    </row>
    <row r="577" spans="3:24" x14ac:dyDescent="0.25">
      <c r="C577" s="39"/>
    </row>
    <row r="578" spans="3:24" x14ac:dyDescent="0.25">
      <c r="C578" s="39"/>
    </row>
    <row r="579" spans="3:24" x14ac:dyDescent="0.25">
      <c r="C579" s="39">
        <v>2017</v>
      </c>
      <c r="D579" s="102" t="s">
        <v>1136</v>
      </c>
      <c r="E579" s="63" t="s">
        <v>1137</v>
      </c>
      <c r="F579" s="64">
        <v>43074</v>
      </c>
      <c r="G579" s="65" t="s">
        <v>34</v>
      </c>
      <c r="H579" s="94">
        <v>1530000</v>
      </c>
      <c r="I579" s="27">
        <v>1189000</v>
      </c>
      <c r="J579" s="27"/>
      <c r="K579" s="26">
        <v>-0.22287581699346407</v>
      </c>
      <c r="L579" s="11" t="s">
        <v>464</v>
      </c>
      <c r="M579" s="15">
        <v>3</v>
      </c>
      <c r="N579" s="35" t="s">
        <v>25</v>
      </c>
      <c r="O579" s="15">
        <v>4</v>
      </c>
      <c r="P579" s="35" t="s">
        <v>458</v>
      </c>
      <c r="Q579" s="15"/>
      <c r="R579" s="24"/>
      <c r="S579" s="62" t="s">
        <v>616</v>
      </c>
      <c r="T579" s="15"/>
      <c r="U579" s="15"/>
      <c r="V579" s="54">
        <v>1530000</v>
      </c>
      <c r="W579" s="54">
        <v>1189000</v>
      </c>
      <c r="X579" s="54">
        <v>341000</v>
      </c>
    </row>
    <row r="580" spans="3:24" x14ac:dyDescent="0.25">
      <c r="C580" s="39">
        <v>2017</v>
      </c>
      <c r="D580" s="102" t="s">
        <v>1129</v>
      </c>
      <c r="E580" s="63" t="s">
        <v>1130</v>
      </c>
      <c r="F580" s="64">
        <v>43068</v>
      </c>
      <c r="G580" s="65" t="s">
        <v>34</v>
      </c>
      <c r="H580" s="94">
        <v>6600000</v>
      </c>
      <c r="I580" s="27">
        <v>5189333</v>
      </c>
      <c r="J580" s="27" t="s">
        <v>519</v>
      </c>
      <c r="K580" s="26">
        <v>-0.21373742424242423</v>
      </c>
      <c r="L580" s="11" t="s">
        <v>464</v>
      </c>
      <c r="M580" s="15">
        <v>7</v>
      </c>
      <c r="N580" s="35" t="s">
        <v>25</v>
      </c>
      <c r="O580" s="15">
        <v>4</v>
      </c>
      <c r="P580" s="35" t="s">
        <v>458</v>
      </c>
      <c r="Q580" s="15"/>
      <c r="R580" s="24"/>
      <c r="S580" s="62" t="s">
        <v>616</v>
      </c>
      <c r="T580" s="15"/>
      <c r="U580" s="15"/>
      <c r="V580" s="54">
        <v>6600000</v>
      </c>
      <c r="W580" s="54">
        <v>5189333</v>
      </c>
      <c r="X580" s="54">
        <v>1410667</v>
      </c>
    </row>
    <row r="581" spans="3:24" x14ac:dyDescent="0.25">
      <c r="C581" s="39">
        <v>2017</v>
      </c>
      <c r="D581" s="62" t="s">
        <v>1124</v>
      </c>
      <c r="E581" s="63" t="s">
        <v>1125</v>
      </c>
      <c r="F581" s="64">
        <v>43053</v>
      </c>
      <c r="G581" s="65" t="s">
        <v>693</v>
      </c>
      <c r="H581" s="94">
        <v>820000</v>
      </c>
      <c r="I581" s="27">
        <v>861500</v>
      </c>
      <c r="J581" s="27"/>
      <c r="K581" s="26">
        <v>5.0609756097560979E-2</v>
      </c>
      <c r="L581" s="11" t="s">
        <v>464</v>
      </c>
      <c r="M581" s="15">
        <v>4</v>
      </c>
      <c r="N581" s="35" t="s">
        <v>25</v>
      </c>
      <c r="O581" s="15">
        <v>4</v>
      </c>
      <c r="P581" s="35" t="s">
        <v>458</v>
      </c>
      <c r="Q581" s="15"/>
      <c r="R581" s="24"/>
      <c r="S581" s="62" t="s">
        <v>616</v>
      </c>
      <c r="T581" s="15"/>
      <c r="U581" s="15"/>
      <c r="V581" s="54">
        <v>820000</v>
      </c>
      <c r="W581" s="54">
        <v>861500</v>
      </c>
      <c r="X581" s="54">
        <v>-41500</v>
      </c>
    </row>
    <row r="582" spans="3:24" x14ac:dyDescent="0.25">
      <c r="C582" s="39">
        <v>2017</v>
      </c>
      <c r="D582" s="62" t="s">
        <v>1116</v>
      </c>
      <c r="E582" s="63" t="s">
        <v>1117</v>
      </c>
      <c r="F582" s="64">
        <v>43047</v>
      </c>
      <c r="G582" s="65" t="s">
        <v>190</v>
      </c>
      <c r="H582" s="94">
        <v>26900000</v>
      </c>
      <c r="I582" s="27">
        <v>26600000</v>
      </c>
      <c r="J582" s="27" t="s">
        <v>519</v>
      </c>
      <c r="K582" s="26">
        <v>-1.1152416356877323E-2</v>
      </c>
      <c r="L582" s="11" t="s">
        <v>464</v>
      </c>
      <c r="M582" s="15">
        <v>3</v>
      </c>
      <c r="N582" s="35" t="s">
        <v>25</v>
      </c>
      <c r="O582" s="15">
        <v>4</v>
      </c>
      <c r="P582" s="35" t="s">
        <v>458</v>
      </c>
      <c r="Q582" s="15"/>
      <c r="R582" s="24"/>
      <c r="S582" s="62" t="s">
        <v>616</v>
      </c>
      <c r="T582" s="15"/>
      <c r="U582" s="15"/>
      <c r="V582" s="54">
        <v>26900000</v>
      </c>
      <c r="W582" s="54">
        <v>26600000</v>
      </c>
      <c r="X582" s="54">
        <v>300000</v>
      </c>
    </row>
    <row r="583" spans="3:24" x14ac:dyDescent="0.25">
      <c r="C583" s="39">
        <v>2017</v>
      </c>
      <c r="D583" s="62" t="s">
        <v>1099</v>
      </c>
      <c r="E583" s="63" t="s">
        <v>1100</v>
      </c>
      <c r="F583" s="64">
        <v>43025</v>
      </c>
      <c r="G583" s="65" t="s">
        <v>34</v>
      </c>
      <c r="H583" s="94">
        <v>3000000</v>
      </c>
      <c r="I583" s="27">
        <v>2812500</v>
      </c>
      <c r="J583" s="27"/>
      <c r="K583" s="26">
        <v>-6.25E-2</v>
      </c>
      <c r="L583" s="11" t="s">
        <v>464</v>
      </c>
      <c r="M583" s="15">
        <v>2</v>
      </c>
      <c r="N583" s="35" t="s">
        <v>25</v>
      </c>
      <c r="O583" s="15">
        <v>4</v>
      </c>
      <c r="P583" s="35" t="s">
        <v>458</v>
      </c>
      <c r="Q583" s="15"/>
      <c r="R583" s="24"/>
      <c r="S583" s="62" t="s">
        <v>616</v>
      </c>
      <c r="T583" s="15"/>
      <c r="U583" s="15"/>
      <c r="V583" s="54">
        <v>3000000</v>
      </c>
      <c r="W583" s="54">
        <v>2812500</v>
      </c>
      <c r="X583" s="54">
        <v>187500</v>
      </c>
    </row>
    <row r="584" spans="3:24" x14ac:dyDescent="0.25">
      <c r="C584" s="39">
        <v>2017</v>
      </c>
      <c r="D584" s="62" t="s">
        <v>1093</v>
      </c>
      <c r="E584" s="63" t="s">
        <v>1094</v>
      </c>
      <c r="F584" s="64">
        <v>43013</v>
      </c>
      <c r="G584" s="65" t="s">
        <v>34</v>
      </c>
      <c r="H584" s="94">
        <v>970000</v>
      </c>
      <c r="I584" s="27">
        <v>1285000</v>
      </c>
      <c r="J584" s="27"/>
      <c r="K584" s="26">
        <v>0.32474226804123713</v>
      </c>
      <c r="L584" s="11" t="s">
        <v>465</v>
      </c>
      <c r="M584" s="15">
        <v>6</v>
      </c>
      <c r="N584" s="35" t="s">
        <v>25</v>
      </c>
      <c r="O584" s="15">
        <v>4</v>
      </c>
      <c r="P584" s="35" t="s">
        <v>458</v>
      </c>
      <c r="Q584" s="15"/>
      <c r="R584" s="24"/>
      <c r="S584" s="62" t="s">
        <v>616</v>
      </c>
      <c r="T584" s="15"/>
      <c r="U584" s="15"/>
      <c r="V584" s="54">
        <v>970000</v>
      </c>
      <c r="W584" s="54">
        <v>1285000</v>
      </c>
      <c r="X584" s="54">
        <v>-315000</v>
      </c>
    </row>
    <row r="585" spans="3:24" x14ac:dyDescent="0.25">
      <c r="C585" s="39">
        <v>2017</v>
      </c>
      <c r="D585" s="62" t="s">
        <v>1068</v>
      </c>
      <c r="E585" s="63" t="s">
        <v>1069</v>
      </c>
      <c r="F585" s="64">
        <v>42964</v>
      </c>
      <c r="G585" s="65" t="s">
        <v>190</v>
      </c>
      <c r="H585" s="94">
        <v>8500000</v>
      </c>
      <c r="I585" s="27">
        <v>5682000</v>
      </c>
      <c r="J585" s="105" t="s">
        <v>519</v>
      </c>
      <c r="K585" s="26">
        <v>-0.33152941176470591</v>
      </c>
      <c r="L585" s="11" t="s">
        <v>465</v>
      </c>
      <c r="M585" s="15">
        <v>3</v>
      </c>
      <c r="N585" s="35" t="s">
        <v>25</v>
      </c>
      <c r="O585" s="15">
        <v>3</v>
      </c>
      <c r="P585" s="35" t="s">
        <v>458</v>
      </c>
      <c r="Q585" s="15"/>
      <c r="R585" s="24"/>
      <c r="S585" s="62" t="s">
        <v>616</v>
      </c>
      <c r="T585" s="15"/>
      <c r="U585" s="15"/>
      <c r="V585" s="54">
        <v>8500000</v>
      </c>
      <c r="W585" s="54">
        <v>5682000</v>
      </c>
      <c r="X585" s="54">
        <v>2818000</v>
      </c>
    </row>
    <row r="586" spans="3:24" x14ac:dyDescent="0.25">
      <c r="C586" s="101">
        <v>2017</v>
      </c>
      <c r="D586" s="62" t="s">
        <v>1038</v>
      </c>
      <c r="E586" s="63" t="s">
        <v>1039</v>
      </c>
      <c r="F586" s="64">
        <v>42901</v>
      </c>
      <c r="G586" s="65" t="s">
        <v>693</v>
      </c>
      <c r="H586" s="94">
        <v>850000</v>
      </c>
      <c r="I586" s="27">
        <v>887000</v>
      </c>
      <c r="J586" s="27"/>
      <c r="K586" s="26">
        <v>4.3529411764705879E-2</v>
      </c>
      <c r="L586" s="11" t="s">
        <v>464</v>
      </c>
      <c r="M586" s="15">
        <v>3</v>
      </c>
      <c r="N586" s="35" t="s">
        <v>25</v>
      </c>
      <c r="O586" s="15">
        <v>2</v>
      </c>
      <c r="P586" s="35" t="s">
        <v>458</v>
      </c>
      <c r="Q586" s="15"/>
      <c r="R586" s="24"/>
      <c r="S586" s="62" t="s">
        <v>616</v>
      </c>
      <c r="T586" s="15"/>
      <c r="U586" s="15"/>
      <c r="V586" s="54">
        <v>850000</v>
      </c>
      <c r="W586" s="54">
        <v>887000</v>
      </c>
      <c r="X586" s="54">
        <v>-37000</v>
      </c>
    </row>
    <row r="587" spans="3:24" x14ac:dyDescent="0.25">
      <c r="C587" s="39">
        <v>2017</v>
      </c>
      <c r="D587" s="62" t="s">
        <v>1035</v>
      </c>
      <c r="E587" s="63" t="s">
        <v>1036</v>
      </c>
      <c r="F587" s="64">
        <v>42900</v>
      </c>
      <c r="G587" s="65" t="s">
        <v>756</v>
      </c>
      <c r="H587" s="94">
        <v>2900000</v>
      </c>
      <c r="I587" s="27">
        <v>1157000</v>
      </c>
      <c r="J587" s="27"/>
      <c r="K587" s="26">
        <v>-0.6010344827586207</v>
      </c>
      <c r="L587" s="11" t="s">
        <v>465</v>
      </c>
      <c r="M587" s="15">
        <v>5</v>
      </c>
      <c r="N587" s="35" t="s">
        <v>25</v>
      </c>
      <c r="O587" s="15">
        <v>2</v>
      </c>
      <c r="P587" s="35" t="s">
        <v>458</v>
      </c>
      <c r="Q587" s="15"/>
      <c r="R587" s="24"/>
      <c r="S587" s="62" t="s">
        <v>447</v>
      </c>
      <c r="T587" s="15"/>
      <c r="U587" s="15"/>
      <c r="V587" s="54">
        <v>2900000</v>
      </c>
      <c r="W587" s="54">
        <v>1157000</v>
      </c>
      <c r="X587" s="54">
        <v>1743000</v>
      </c>
    </row>
    <row r="588" spans="3:24" x14ac:dyDescent="0.25">
      <c r="C588" s="39">
        <v>2017</v>
      </c>
      <c r="D588" s="62" t="s">
        <v>1025</v>
      </c>
      <c r="E588" s="63" t="s">
        <v>1026</v>
      </c>
      <c r="F588" s="64">
        <v>42893</v>
      </c>
      <c r="G588" s="65" t="s">
        <v>693</v>
      </c>
      <c r="H588" s="94">
        <v>650000</v>
      </c>
      <c r="I588" s="27">
        <v>865508</v>
      </c>
      <c r="J588" s="27"/>
      <c r="K588" s="26">
        <v>0.3315507692307692</v>
      </c>
      <c r="L588" s="11" t="s">
        <v>465</v>
      </c>
      <c r="M588" s="15">
        <v>3</v>
      </c>
      <c r="N588" s="35" t="s">
        <v>25</v>
      </c>
      <c r="O588" s="15">
        <v>2</v>
      </c>
      <c r="P588" s="35" t="s">
        <v>458</v>
      </c>
      <c r="Q588" s="15"/>
      <c r="R588" s="24"/>
      <c r="S588" s="62" t="s">
        <v>616</v>
      </c>
      <c r="T588" s="15"/>
      <c r="U588" s="15"/>
      <c r="V588" s="54">
        <v>650000</v>
      </c>
      <c r="W588" s="54">
        <v>865508</v>
      </c>
      <c r="X588" s="54">
        <v>-215508</v>
      </c>
    </row>
    <row r="589" spans="3:24" x14ac:dyDescent="0.25">
      <c r="C589" s="39">
        <v>2017</v>
      </c>
      <c r="D589" s="62" t="s">
        <v>1023</v>
      </c>
      <c r="E589" s="63" t="s">
        <v>1024</v>
      </c>
      <c r="F589" s="64">
        <v>42893</v>
      </c>
      <c r="G589" s="65" t="s">
        <v>693</v>
      </c>
      <c r="H589" s="94">
        <v>1070000</v>
      </c>
      <c r="I589" s="27">
        <v>758000</v>
      </c>
      <c r="J589" s="27"/>
      <c r="K589" s="26">
        <v>-0.29158878504672897</v>
      </c>
      <c r="L589" s="11" t="s">
        <v>465</v>
      </c>
      <c r="M589" s="15">
        <v>5</v>
      </c>
      <c r="N589" s="35" t="s">
        <v>25</v>
      </c>
      <c r="O589" s="15">
        <v>2</v>
      </c>
      <c r="P589" s="35" t="s">
        <v>458</v>
      </c>
      <c r="Q589" s="15"/>
      <c r="R589" s="24"/>
      <c r="S589" s="62" t="s">
        <v>616</v>
      </c>
      <c r="T589" s="15"/>
      <c r="U589" s="15"/>
      <c r="V589" s="54">
        <v>1070000</v>
      </c>
      <c r="W589" s="54">
        <v>758000</v>
      </c>
      <c r="X589" s="54">
        <v>312000</v>
      </c>
    </row>
    <row r="590" spans="3:24" x14ac:dyDescent="0.25">
      <c r="C590" s="39">
        <v>2017</v>
      </c>
      <c r="D590" s="62" t="s">
        <v>1014</v>
      </c>
      <c r="E590" s="63" t="s">
        <v>1015</v>
      </c>
      <c r="F590" s="64">
        <v>42886</v>
      </c>
      <c r="G590" s="65" t="s">
        <v>34</v>
      </c>
      <c r="H590" s="94">
        <v>1140000</v>
      </c>
      <c r="I590" s="27">
        <v>904780</v>
      </c>
      <c r="J590" s="27"/>
      <c r="K590" s="26">
        <v>-0.20633333333333334</v>
      </c>
      <c r="L590" s="11" t="s">
        <v>464</v>
      </c>
      <c r="M590" s="15">
        <v>9</v>
      </c>
      <c r="N590" s="35" t="s">
        <v>25</v>
      </c>
      <c r="O590" s="15">
        <v>2</v>
      </c>
      <c r="P590" s="35" t="s">
        <v>458</v>
      </c>
      <c r="Q590" s="15"/>
      <c r="R590" s="24"/>
      <c r="S590" s="62" t="s">
        <v>616</v>
      </c>
      <c r="T590" s="15"/>
      <c r="U590" s="15"/>
      <c r="V590" s="54">
        <v>1140000</v>
      </c>
      <c r="W590" s="54">
        <v>904780</v>
      </c>
      <c r="X590" s="54">
        <v>235220</v>
      </c>
    </row>
    <row r="591" spans="3:24" x14ac:dyDescent="0.25">
      <c r="C591" s="39">
        <v>2017</v>
      </c>
      <c r="D591" s="62" t="s">
        <v>981</v>
      </c>
      <c r="E591" s="63" t="s">
        <v>982</v>
      </c>
      <c r="F591" s="64">
        <v>42844</v>
      </c>
      <c r="G591" s="65" t="s">
        <v>190</v>
      </c>
      <c r="H591" s="94">
        <v>18870000</v>
      </c>
      <c r="I591" s="27">
        <v>19910000</v>
      </c>
      <c r="J591" s="27" t="s">
        <v>519</v>
      </c>
      <c r="K591" s="26">
        <v>5.5113937466878642E-2</v>
      </c>
      <c r="L591" s="11" t="s">
        <v>464</v>
      </c>
      <c r="M591" s="15">
        <v>3</v>
      </c>
      <c r="N591" s="35" t="s">
        <v>25</v>
      </c>
      <c r="O591" s="15">
        <v>2</v>
      </c>
      <c r="P591" s="35" t="s">
        <v>458</v>
      </c>
      <c r="Q591" s="15"/>
      <c r="R591" s="24"/>
      <c r="S591" s="62" t="s">
        <v>616</v>
      </c>
      <c r="T591" s="15"/>
      <c r="U591" s="15"/>
      <c r="V591" s="54">
        <v>18870000</v>
      </c>
      <c r="W591" s="54">
        <v>19910000</v>
      </c>
      <c r="X591" s="54">
        <v>-1040000</v>
      </c>
    </row>
    <row r="592" spans="3:24" x14ac:dyDescent="0.25">
      <c r="C592" s="39">
        <v>2017</v>
      </c>
      <c r="D592" s="62" t="s">
        <v>901</v>
      </c>
      <c r="E592" s="63" t="s">
        <v>902</v>
      </c>
      <c r="F592" s="64">
        <v>42774</v>
      </c>
      <c r="G592" s="65" t="s">
        <v>34</v>
      </c>
      <c r="H592" s="94">
        <v>970000</v>
      </c>
      <c r="I592" s="27">
        <v>756482</v>
      </c>
      <c r="J592" s="27"/>
      <c r="K592" s="26">
        <v>-0.22012164948453608</v>
      </c>
      <c r="L592" s="11" t="s">
        <v>464</v>
      </c>
      <c r="M592" s="15">
        <v>9</v>
      </c>
      <c r="N592" s="35" t="s">
        <v>25</v>
      </c>
      <c r="O592" s="15">
        <v>1</v>
      </c>
      <c r="P592" s="35" t="s">
        <v>458</v>
      </c>
      <c r="Q592" s="15"/>
      <c r="R592" s="24"/>
      <c r="S592" s="62" t="s">
        <v>616</v>
      </c>
      <c r="T592" s="15"/>
      <c r="U592" s="15"/>
      <c r="V592" s="54">
        <v>970000</v>
      </c>
      <c r="W592" s="54">
        <v>756482</v>
      </c>
      <c r="X592" s="54">
        <v>213518</v>
      </c>
    </row>
    <row r="593" spans="3:32" x14ac:dyDescent="0.25">
      <c r="C593" s="39">
        <v>2017</v>
      </c>
      <c r="D593" s="62" t="s">
        <v>862</v>
      </c>
      <c r="E593" s="63" t="s">
        <v>863</v>
      </c>
      <c r="F593" s="64">
        <v>42759</v>
      </c>
      <c r="G593" s="65" t="s">
        <v>190</v>
      </c>
      <c r="H593" s="94">
        <v>69800000</v>
      </c>
      <c r="I593" s="27">
        <v>67107000</v>
      </c>
      <c r="J593" s="27" t="s">
        <v>519</v>
      </c>
      <c r="K593" s="26">
        <v>-3.8581661891117482E-2</v>
      </c>
      <c r="L593" s="11" t="s">
        <v>464</v>
      </c>
      <c r="M593" s="15">
        <v>9</v>
      </c>
      <c r="N593" s="35" t="s">
        <v>25</v>
      </c>
      <c r="O593" s="15">
        <v>1</v>
      </c>
      <c r="P593" s="35" t="s">
        <v>458</v>
      </c>
      <c r="Q593" s="15"/>
      <c r="R593" s="24"/>
      <c r="S593" s="62" t="s">
        <v>616</v>
      </c>
      <c r="T593" s="15"/>
      <c r="U593" s="15"/>
      <c r="V593" s="54">
        <v>69800000</v>
      </c>
      <c r="W593" s="54">
        <v>67107000</v>
      </c>
      <c r="X593" s="54">
        <v>2693000</v>
      </c>
    </row>
    <row r="594" spans="3:32" x14ac:dyDescent="0.25">
      <c r="C594" s="39"/>
      <c r="E594" s="85"/>
      <c r="F594" s="85"/>
      <c r="G594" s="85"/>
      <c r="H594" s="86">
        <f>SUM(H579:H593)</f>
        <v>144570000</v>
      </c>
      <c r="I594" s="86">
        <f>SUM(I579:I593)</f>
        <v>135965103</v>
      </c>
      <c r="J594" s="85"/>
      <c r="K594" s="87">
        <f>+I594/H594</f>
        <v>0.94047937331396558</v>
      </c>
      <c r="L594" s="85">
        <f>COUNTA(L579:L593)</f>
        <v>15</v>
      </c>
      <c r="M594" s="88">
        <f>SUM(M579:M593)/L594</f>
        <v>4.9333333333333336</v>
      </c>
      <c r="N594" s="89"/>
      <c r="O594" s="85"/>
      <c r="P594" s="119"/>
      <c r="Q594" s="85"/>
    </row>
    <row r="595" spans="3:32" x14ac:dyDescent="0.25">
      <c r="C595" s="39"/>
    </row>
    <row r="596" spans="3:32" x14ac:dyDescent="0.25">
      <c r="C596" s="39"/>
      <c r="E596" s="150" t="s">
        <v>1179</v>
      </c>
      <c r="F596" s="70"/>
      <c r="G596" s="70"/>
      <c r="H596" s="121" t="str">
        <f>"'17 final"</f>
        <v>'17 final</v>
      </c>
      <c r="P596" s="11"/>
      <c r="W596" s="168"/>
      <c r="X596" s="168"/>
      <c r="Y596" s="168"/>
      <c r="Z596" s="168"/>
      <c r="AA596" s="169" t="s">
        <v>1200</v>
      </c>
      <c r="AB596" s="170" t="str">
        <f>"'17 all"</f>
        <v>'17 all</v>
      </c>
      <c r="AC596" s="70" t="s">
        <v>1201</v>
      </c>
      <c r="AD596" s="70" t="s">
        <v>1202</v>
      </c>
      <c r="AE596" s="70" t="s">
        <v>1203</v>
      </c>
      <c r="AF596" s="70" t="s">
        <v>1204</v>
      </c>
    </row>
    <row r="597" spans="3:32" x14ac:dyDescent="0.25">
      <c r="C597" s="39"/>
      <c r="E597" s="71" t="s">
        <v>800</v>
      </c>
      <c r="F597" s="11"/>
      <c r="G597" s="11"/>
      <c r="H597" s="104">
        <f>+L594</f>
        <v>15</v>
      </c>
      <c r="P597" s="11"/>
      <c r="AA597" s="71" t="s">
        <v>800</v>
      </c>
      <c r="AB597" s="171">
        <v>34</v>
      </c>
      <c r="AC597" s="104">
        <v>15</v>
      </c>
      <c r="AD597" s="104">
        <v>9</v>
      </c>
      <c r="AE597" s="104">
        <v>7</v>
      </c>
      <c r="AF597" s="104">
        <v>3</v>
      </c>
    </row>
    <row r="598" spans="3:32" x14ac:dyDescent="0.25">
      <c r="C598" s="39"/>
      <c r="E598" s="72" t="s">
        <v>801</v>
      </c>
      <c r="F598" s="11"/>
      <c r="G598" s="11"/>
      <c r="H598" s="104">
        <f>+H597-H599</f>
        <v>10</v>
      </c>
      <c r="P598" s="11"/>
      <c r="AA598" s="72" t="s">
        <v>801</v>
      </c>
      <c r="AB598" s="171">
        <v>19</v>
      </c>
      <c r="AC598" s="104">
        <v>10</v>
      </c>
      <c r="AD598" s="104">
        <v>5</v>
      </c>
      <c r="AE598" s="104">
        <v>2</v>
      </c>
      <c r="AF598" s="104">
        <v>2</v>
      </c>
    </row>
    <row r="599" spans="3:32" x14ac:dyDescent="0.25">
      <c r="C599" s="39"/>
      <c r="E599" s="72" t="s">
        <v>802</v>
      </c>
      <c r="F599" s="11"/>
      <c r="G599" s="11"/>
      <c r="H599" s="104">
        <v>5</v>
      </c>
      <c r="P599" s="11"/>
      <c r="AA599" s="72" t="s">
        <v>802</v>
      </c>
      <c r="AB599" s="171">
        <v>15</v>
      </c>
      <c r="AC599" s="104">
        <v>5</v>
      </c>
      <c r="AD599" s="104">
        <v>4</v>
      </c>
      <c r="AE599" s="104">
        <v>5</v>
      </c>
      <c r="AF599" s="104">
        <v>1</v>
      </c>
    </row>
    <row r="600" spans="3:32" x14ac:dyDescent="0.25">
      <c r="C600" s="39"/>
      <c r="E600" s="72"/>
      <c r="F600" s="11"/>
      <c r="G600" s="11"/>
      <c r="H600" s="104"/>
      <c r="P600" s="11"/>
      <c r="AA600" s="72"/>
      <c r="AB600" s="171"/>
      <c r="AC600" s="104"/>
      <c r="AD600" s="104"/>
      <c r="AE600" s="104"/>
      <c r="AF600" s="104"/>
    </row>
    <row r="601" spans="3:32" x14ac:dyDescent="0.25">
      <c r="C601" s="39"/>
      <c r="E601" s="72" t="s">
        <v>1144</v>
      </c>
      <c r="F601" s="78"/>
      <c r="G601" s="78"/>
      <c r="H601" s="122">
        <f>+I594/1000000</f>
        <v>135.965103</v>
      </c>
      <c r="I601" s="52"/>
      <c r="P601" s="11"/>
      <c r="AA601" s="72" t="s">
        <v>1144</v>
      </c>
      <c r="AB601" s="172">
        <v>260.86096099999997</v>
      </c>
      <c r="AC601" s="122">
        <v>135.965103</v>
      </c>
      <c r="AD601" s="122">
        <v>78.535071000000002</v>
      </c>
      <c r="AE601" s="122">
        <v>32.957763999999997</v>
      </c>
      <c r="AF601" s="122">
        <v>13.403022999999999</v>
      </c>
    </row>
    <row r="602" spans="3:32" x14ac:dyDescent="0.25">
      <c r="C602" s="39"/>
      <c r="E602" s="72" t="s">
        <v>806</v>
      </c>
      <c r="F602" s="75"/>
      <c r="G602" s="75"/>
      <c r="H602" s="123">
        <f>+M594</f>
        <v>4.9333333333333336</v>
      </c>
      <c r="K602" s="166" t="s">
        <v>1199</v>
      </c>
      <c r="L602" s="166"/>
      <c r="M602" s="166"/>
      <c r="N602" s="167"/>
      <c r="O602" s="166"/>
      <c r="P602" s="167"/>
      <c r="Q602" s="166"/>
      <c r="R602" s="166"/>
      <c r="AA602" s="72" t="s">
        <v>806</v>
      </c>
      <c r="AB602" s="173">
        <v>5.7058823529411766</v>
      </c>
      <c r="AC602" s="123">
        <v>4.9333333333333336</v>
      </c>
      <c r="AD602" s="123">
        <v>6.5555555555555554</v>
      </c>
      <c r="AE602" s="123">
        <v>5.8571428571428568</v>
      </c>
      <c r="AF602" s="123">
        <v>6.666666666666667</v>
      </c>
    </row>
    <row r="603" spans="3:32" x14ac:dyDescent="0.25">
      <c r="C603" s="39"/>
      <c r="E603" s="72" t="s">
        <v>807</v>
      </c>
      <c r="F603" s="74"/>
      <c r="G603" s="74"/>
      <c r="H603" s="124">
        <f>+I594/H594</f>
        <v>0.94047937331396558</v>
      </c>
      <c r="P603" s="11"/>
      <c r="AA603" s="72" t="s">
        <v>807</v>
      </c>
      <c r="AB603" s="174">
        <v>0.86020325961622568</v>
      </c>
      <c r="AC603" s="124">
        <v>0.94047937331396558</v>
      </c>
      <c r="AD603" s="124">
        <v>0.7957267883888941</v>
      </c>
      <c r="AE603" s="124">
        <v>0.7524603652968036</v>
      </c>
      <c r="AF603" s="124">
        <v>0.82790925937364879</v>
      </c>
    </row>
    <row r="604" spans="3:32" x14ac:dyDescent="0.25">
      <c r="C604" s="39"/>
      <c r="E604" s="72"/>
      <c r="F604" s="11"/>
      <c r="G604" s="11"/>
      <c r="H604" s="104"/>
      <c r="P604" s="11"/>
      <c r="AA604" s="72"/>
      <c r="AB604" s="171"/>
      <c r="AC604" s="104"/>
      <c r="AD604" s="104"/>
      <c r="AE604" s="104"/>
      <c r="AF604" s="104"/>
    </row>
    <row r="605" spans="3:32" x14ac:dyDescent="0.25">
      <c r="C605" s="39"/>
      <c r="E605" s="72" t="s">
        <v>803</v>
      </c>
      <c r="F605" s="74"/>
      <c r="G605" s="74"/>
      <c r="H605" s="108">
        <f>10/15</f>
        <v>0.66666666666666663</v>
      </c>
      <c r="P605" s="11"/>
      <c r="AA605" s="72" t="s">
        <v>803</v>
      </c>
      <c r="AB605" s="152">
        <v>0.61764705882352944</v>
      </c>
      <c r="AC605" s="108">
        <v>0.66666666666666663</v>
      </c>
      <c r="AD605" s="108">
        <v>0.66666666666666663</v>
      </c>
      <c r="AE605" s="108">
        <v>0.42857142857142855</v>
      </c>
      <c r="AF605" s="108">
        <v>0.66666666666666663</v>
      </c>
    </row>
    <row r="606" spans="3:32" x14ac:dyDescent="0.25">
      <c r="C606" s="107"/>
      <c r="D606" s="52"/>
      <c r="E606" s="72" t="s">
        <v>804</v>
      </c>
      <c r="F606" s="74"/>
      <c r="G606" s="74"/>
      <c r="H606" s="108">
        <f>6/H598</f>
        <v>0.6</v>
      </c>
      <c r="P606" s="11"/>
      <c r="AA606" s="72" t="s">
        <v>804</v>
      </c>
      <c r="AB606" s="152">
        <v>0.63157894736842102</v>
      </c>
      <c r="AC606" s="108">
        <v>0.6</v>
      </c>
      <c r="AD606" s="108">
        <v>0.8</v>
      </c>
      <c r="AE606" s="108">
        <v>0.5</v>
      </c>
      <c r="AF606" s="108">
        <v>0.5</v>
      </c>
    </row>
    <row r="607" spans="3:32" x14ac:dyDescent="0.25">
      <c r="C607" s="107"/>
      <c r="D607" s="52"/>
      <c r="E607" s="72" t="s">
        <v>805</v>
      </c>
      <c r="F607" s="74"/>
      <c r="G607" s="74"/>
      <c r="H607" s="108">
        <f>4/H599</f>
        <v>0.8</v>
      </c>
      <c r="P607" s="11"/>
      <c r="AA607" s="72" t="s">
        <v>805</v>
      </c>
      <c r="AB607" s="152">
        <v>0.6</v>
      </c>
      <c r="AC607" s="108">
        <v>0.8</v>
      </c>
      <c r="AD607" s="108">
        <v>0.5</v>
      </c>
      <c r="AE607" s="108">
        <v>0.4</v>
      </c>
      <c r="AF607" s="108">
        <v>1</v>
      </c>
    </row>
    <row r="608" spans="3:32" x14ac:dyDescent="0.25">
      <c r="C608" s="39"/>
      <c r="E608" s="72"/>
      <c r="F608" s="11"/>
      <c r="G608" s="11"/>
      <c r="H608" s="104"/>
      <c r="P608" s="11"/>
      <c r="AA608" s="72"/>
      <c r="AB608" s="171"/>
      <c r="AC608" s="104"/>
      <c r="AD608" s="104"/>
      <c r="AE608" s="104"/>
      <c r="AF608" s="104"/>
    </row>
    <row r="609" spans="3:32" x14ac:dyDescent="0.25">
      <c r="C609" s="39"/>
      <c r="E609" s="72" t="s">
        <v>1141</v>
      </c>
      <c r="F609" s="11"/>
      <c r="G609" s="11"/>
      <c r="H609" s="104">
        <v>7</v>
      </c>
      <c r="AA609" s="72" t="s">
        <v>1141</v>
      </c>
      <c r="AB609" s="171">
        <v>13</v>
      </c>
      <c r="AC609" s="104">
        <v>7</v>
      </c>
      <c r="AD609" s="104">
        <v>2</v>
      </c>
      <c r="AE609" s="104">
        <v>2</v>
      </c>
      <c r="AF609" s="104">
        <v>2</v>
      </c>
    </row>
    <row r="610" spans="3:32" x14ac:dyDescent="0.25">
      <c r="E610" s="106" t="s">
        <v>1143</v>
      </c>
      <c r="F610" s="108"/>
      <c r="G610" s="108"/>
      <c r="H610" s="108">
        <f>+H609/H597</f>
        <v>0.46666666666666667</v>
      </c>
      <c r="AA610" s="106" t="s">
        <v>1143</v>
      </c>
      <c r="AB610" s="152">
        <v>0.41176470588235292</v>
      </c>
      <c r="AC610" s="108">
        <v>0.46666666666666667</v>
      </c>
      <c r="AD610" s="108">
        <v>0.22222222222222221</v>
      </c>
      <c r="AE610" s="108">
        <v>0.2857142857142857</v>
      </c>
      <c r="AF610" s="108">
        <v>0.66666666666666663</v>
      </c>
    </row>
    <row r="611" spans="3:32" x14ac:dyDescent="0.25">
      <c r="C611" s="39"/>
      <c r="AA611" s="72"/>
      <c r="AB611" s="104"/>
    </row>
    <row r="612" spans="3:32" x14ac:dyDescent="0.25">
      <c r="C612" s="39"/>
      <c r="AA612" s="106"/>
      <c r="AB612" s="175" t="s">
        <v>1205</v>
      </c>
    </row>
    <row r="613" spans="3:32" x14ac:dyDescent="0.25">
      <c r="C613" s="39">
        <v>2017</v>
      </c>
      <c r="D613" s="102" t="s">
        <v>1135</v>
      </c>
      <c r="E613" s="63" t="s">
        <v>982</v>
      </c>
      <c r="F613" s="64">
        <v>43074</v>
      </c>
      <c r="G613" s="65" t="s">
        <v>34</v>
      </c>
      <c r="H613" s="94">
        <v>38000000</v>
      </c>
      <c r="I613" s="27">
        <f>$I$12</f>
        <v>28470000</v>
      </c>
      <c r="J613" s="27"/>
      <c r="K613" s="26">
        <f>+$K$12</f>
        <v>-0.25078947368421051</v>
      </c>
      <c r="L613" s="78" t="str">
        <f>+$L$12</f>
        <v>GOOD</v>
      </c>
      <c r="M613" s="15">
        <f>+$M$12</f>
        <v>4</v>
      </c>
      <c r="N613" s="35" t="s">
        <v>93</v>
      </c>
      <c r="O613" s="15">
        <v>4</v>
      </c>
      <c r="P613" s="35" t="s">
        <v>458</v>
      </c>
      <c r="Q613" s="15"/>
      <c r="R613" s="24" t="str">
        <f>+$R$12</f>
        <v>1st and 2nd bidders disqualified.</v>
      </c>
      <c r="S613" s="62" t="s">
        <v>616</v>
      </c>
      <c r="T613" s="15"/>
      <c r="U613" s="15"/>
      <c r="V613" s="54"/>
      <c r="W613" s="54"/>
      <c r="X613" s="54"/>
    </row>
    <row r="614" spans="3:32" x14ac:dyDescent="0.25">
      <c r="C614" s="39">
        <v>2017</v>
      </c>
      <c r="D614" s="62" t="s">
        <v>1101</v>
      </c>
      <c r="E614" s="63" t="s">
        <v>1102</v>
      </c>
      <c r="F614" s="64">
        <v>43025</v>
      </c>
      <c r="G614" s="65" t="s">
        <v>34</v>
      </c>
      <c r="H614" s="94">
        <v>2800000</v>
      </c>
      <c r="I614" s="27">
        <v>2847000</v>
      </c>
      <c r="J614" s="27"/>
      <c r="K614" s="26">
        <v>1.6785714285714286E-2</v>
      </c>
      <c r="L614" s="11" t="s">
        <v>464</v>
      </c>
      <c r="M614" s="15">
        <v>9</v>
      </c>
      <c r="N614" s="35" t="s">
        <v>93</v>
      </c>
      <c r="O614" s="15">
        <v>4</v>
      </c>
      <c r="P614" s="35" t="s">
        <v>458</v>
      </c>
      <c r="Q614" s="15"/>
      <c r="R614" s="24"/>
      <c r="S614" s="62" t="s">
        <v>616</v>
      </c>
      <c r="T614" s="15"/>
      <c r="U614" s="15"/>
      <c r="V614" s="54"/>
      <c r="W614" s="54"/>
      <c r="X614" s="54"/>
    </row>
    <row r="615" spans="3:32" x14ac:dyDescent="0.25">
      <c r="C615" s="39">
        <v>2017</v>
      </c>
      <c r="D615" s="62" t="s">
        <v>1057</v>
      </c>
      <c r="E615" s="63" t="s">
        <v>1058</v>
      </c>
      <c r="F615" s="64">
        <v>42949</v>
      </c>
      <c r="G615" s="65" t="s">
        <v>34</v>
      </c>
      <c r="H615" s="94">
        <v>1650000</v>
      </c>
      <c r="I615" s="27">
        <v>1320718</v>
      </c>
      <c r="J615" s="27"/>
      <c r="K615" s="26">
        <v>-0.19956484848484848</v>
      </c>
      <c r="L615" s="11" t="s">
        <v>464</v>
      </c>
      <c r="M615" s="15">
        <v>4</v>
      </c>
      <c r="N615" s="35" t="s">
        <v>93</v>
      </c>
      <c r="O615" s="15">
        <v>3</v>
      </c>
      <c r="P615" s="35" t="s">
        <v>458</v>
      </c>
      <c r="Q615" s="15"/>
      <c r="R615" s="24"/>
      <c r="S615" s="62" t="s">
        <v>616</v>
      </c>
      <c r="T615" s="15"/>
      <c r="U615" s="15"/>
      <c r="V615" s="54"/>
      <c r="W615" s="54"/>
      <c r="X615" s="54"/>
    </row>
    <row r="616" spans="3:32" x14ac:dyDescent="0.25">
      <c r="C616" s="39">
        <v>2017</v>
      </c>
      <c r="D616" s="62" t="s">
        <v>1052</v>
      </c>
      <c r="E616" s="63" t="s">
        <v>1053</v>
      </c>
      <c r="F616" s="64">
        <v>42948</v>
      </c>
      <c r="G616" s="65" t="s">
        <v>34</v>
      </c>
      <c r="H616" s="94">
        <v>1330000</v>
      </c>
      <c r="I616" s="27">
        <v>936000</v>
      </c>
      <c r="J616" s="27"/>
      <c r="K616" s="26">
        <v>-0.29624060150375942</v>
      </c>
      <c r="L616" s="11" t="s">
        <v>464</v>
      </c>
      <c r="M616" s="15">
        <v>6</v>
      </c>
      <c r="N616" s="35" t="s">
        <v>93</v>
      </c>
      <c r="O616" s="15">
        <v>3</v>
      </c>
      <c r="P616" s="35" t="s">
        <v>458</v>
      </c>
      <c r="Q616" s="15"/>
      <c r="R616" s="24"/>
      <c r="S616" s="62" t="s">
        <v>616</v>
      </c>
      <c r="T616" s="15"/>
      <c r="U616" s="15"/>
      <c r="V616" s="54"/>
      <c r="W616" s="54"/>
      <c r="X616" s="54"/>
    </row>
    <row r="617" spans="3:32" x14ac:dyDescent="0.25">
      <c r="C617" s="39">
        <v>2017</v>
      </c>
      <c r="D617" s="62" t="s">
        <v>1009</v>
      </c>
      <c r="E617" s="63" t="s">
        <v>1010</v>
      </c>
      <c r="F617" s="64">
        <v>42880</v>
      </c>
      <c r="G617" s="65" t="s">
        <v>34</v>
      </c>
      <c r="H617" s="94">
        <v>2850000</v>
      </c>
      <c r="I617" s="27">
        <v>1808548</v>
      </c>
      <c r="J617" s="27"/>
      <c r="K617" s="26">
        <v>-0.36542175438596491</v>
      </c>
      <c r="L617" s="11" t="s">
        <v>465</v>
      </c>
      <c r="M617" s="15">
        <v>11</v>
      </c>
      <c r="N617" s="35" t="s">
        <v>93</v>
      </c>
      <c r="O617" s="15">
        <v>2</v>
      </c>
      <c r="P617" s="35" t="s">
        <v>458</v>
      </c>
      <c r="Q617" s="15"/>
      <c r="R617" s="24"/>
      <c r="S617" s="62" t="s">
        <v>442</v>
      </c>
      <c r="T617" s="15"/>
      <c r="U617" s="15"/>
      <c r="V617" s="54"/>
      <c r="W617" s="54"/>
      <c r="X617" s="54"/>
    </row>
    <row r="618" spans="3:32" x14ac:dyDescent="0.25">
      <c r="C618" s="39">
        <v>2017</v>
      </c>
      <c r="D618" s="62" t="s">
        <v>880</v>
      </c>
      <c r="E618" s="63" t="s">
        <v>881</v>
      </c>
      <c r="F618" s="64">
        <v>42768</v>
      </c>
      <c r="G618" s="65" t="s">
        <v>34</v>
      </c>
      <c r="H618" s="94">
        <v>4800000</v>
      </c>
      <c r="I618" s="27">
        <v>3901193</v>
      </c>
      <c r="J618" s="27"/>
      <c r="K618" s="26">
        <v>-0.18725145833333334</v>
      </c>
      <c r="L618" s="11" t="s">
        <v>464</v>
      </c>
      <c r="M618" s="15">
        <v>14</v>
      </c>
      <c r="N618" s="35" t="s">
        <v>93</v>
      </c>
      <c r="O618" s="15">
        <v>1</v>
      </c>
      <c r="P618" s="35" t="s">
        <v>458</v>
      </c>
      <c r="Q618" s="15"/>
      <c r="R618" s="24"/>
      <c r="S618" s="62" t="s">
        <v>616</v>
      </c>
      <c r="T618" s="15"/>
      <c r="U618" s="15"/>
      <c r="V618" s="54"/>
      <c r="W618" s="54"/>
      <c r="X618" s="54"/>
    </row>
    <row r="619" spans="3:32" x14ac:dyDescent="0.25">
      <c r="C619" s="39">
        <v>2017</v>
      </c>
      <c r="D619" s="62" t="s">
        <v>876</v>
      </c>
      <c r="E619" s="63" t="s">
        <v>877</v>
      </c>
      <c r="F619" s="64">
        <v>42765</v>
      </c>
      <c r="G619" s="65" t="s">
        <v>756</v>
      </c>
      <c r="H619" s="94">
        <v>6500000</v>
      </c>
      <c r="I619" s="27">
        <v>5987000</v>
      </c>
      <c r="J619" s="27" t="s">
        <v>519</v>
      </c>
      <c r="K619" s="26">
        <v>-7.8923076923076929E-2</v>
      </c>
      <c r="L619" s="11" t="s">
        <v>464</v>
      </c>
      <c r="M619" s="15">
        <v>5</v>
      </c>
      <c r="N619" s="35" t="s">
        <v>93</v>
      </c>
      <c r="O619" s="15">
        <v>1</v>
      </c>
      <c r="P619" s="35" t="s">
        <v>458</v>
      </c>
      <c r="Q619" s="15"/>
      <c r="R619" s="24"/>
      <c r="S619" s="62" t="s">
        <v>447</v>
      </c>
      <c r="T619" s="15"/>
      <c r="U619" s="15"/>
      <c r="V619" s="54"/>
      <c r="W619" s="54"/>
      <c r="X619" s="54"/>
    </row>
    <row r="620" spans="3:32" x14ac:dyDescent="0.25">
      <c r="C620" s="39">
        <v>2017</v>
      </c>
      <c r="D620" s="62" t="s">
        <v>830</v>
      </c>
      <c r="E620" s="63" t="s">
        <v>831</v>
      </c>
      <c r="F620" s="64">
        <v>42746</v>
      </c>
      <c r="G620" s="65" t="s">
        <v>190</v>
      </c>
      <c r="H620" s="94">
        <v>12071025</v>
      </c>
      <c r="I620" s="27">
        <v>9977777</v>
      </c>
      <c r="J620" s="105" t="s">
        <v>519</v>
      </c>
      <c r="K620" s="26">
        <v>-0.17341095723022693</v>
      </c>
      <c r="L620" s="11" t="s">
        <v>465</v>
      </c>
      <c r="M620" s="15">
        <v>3</v>
      </c>
      <c r="N620" s="35" t="s">
        <v>93</v>
      </c>
      <c r="O620" s="15">
        <v>1</v>
      </c>
      <c r="P620" s="35" t="s">
        <v>458</v>
      </c>
      <c r="Q620" s="15"/>
      <c r="R620" s="24"/>
      <c r="S620" s="62" t="s">
        <v>616</v>
      </c>
      <c r="T620" s="15"/>
      <c r="U620" s="15"/>
      <c r="V620" s="54"/>
      <c r="W620" s="54"/>
      <c r="X620" s="54"/>
    </row>
    <row r="621" spans="3:32" x14ac:dyDescent="0.25">
      <c r="C621" s="39">
        <v>2017</v>
      </c>
      <c r="D621" s="62" t="s">
        <v>828</v>
      </c>
      <c r="E621" s="63" t="s">
        <v>829</v>
      </c>
      <c r="F621" s="64">
        <v>42739</v>
      </c>
      <c r="G621" s="65" t="s">
        <v>190</v>
      </c>
      <c r="H621" s="94">
        <v>28695000</v>
      </c>
      <c r="I621" s="27">
        <v>31768035</v>
      </c>
      <c r="J621" s="27" t="s">
        <v>519</v>
      </c>
      <c r="K621" s="26">
        <v>0.10709304756926294</v>
      </c>
      <c r="L621" s="11" t="s">
        <v>464</v>
      </c>
      <c r="M621" s="15">
        <v>2</v>
      </c>
      <c r="N621" s="35" t="s">
        <v>93</v>
      </c>
      <c r="O621" s="15">
        <v>1</v>
      </c>
      <c r="P621" s="35" t="s">
        <v>458</v>
      </c>
      <c r="Q621" s="15"/>
      <c r="R621" s="24"/>
      <c r="S621" s="62" t="s">
        <v>616</v>
      </c>
      <c r="T621" s="15"/>
      <c r="U621" s="15"/>
      <c r="V621" s="54"/>
      <c r="W621" s="54"/>
      <c r="X621" s="54"/>
    </row>
    <row r="622" spans="3:32" x14ac:dyDescent="0.25">
      <c r="C622" s="39"/>
      <c r="E622" s="85"/>
      <c r="F622" s="85"/>
      <c r="G622" s="85"/>
      <c r="H622" s="86">
        <f>SUM(H613:H621)</f>
        <v>98696025</v>
      </c>
      <c r="I622" s="86">
        <f>SUM(I613:I621)</f>
        <v>87016271</v>
      </c>
      <c r="J622" s="85"/>
      <c r="K622" s="87">
        <f>+I622/H622</f>
        <v>0.8816593272120129</v>
      </c>
      <c r="L622" s="85">
        <f>COUNTA(L613:L621)</f>
        <v>9</v>
      </c>
      <c r="M622" s="88">
        <f>SUM(M613:M621)/L622</f>
        <v>6.4444444444444446</v>
      </c>
      <c r="N622" s="89"/>
      <c r="O622" s="85"/>
      <c r="P622" s="119">
        <f>22/L622</f>
        <v>2.4444444444444446</v>
      </c>
      <c r="Q622" s="85"/>
    </row>
    <row r="623" spans="3:32" x14ac:dyDescent="0.25">
      <c r="C623" s="39"/>
    </row>
    <row r="624" spans="3:32" x14ac:dyDescent="0.25">
      <c r="C624" s="39"/>
      <c r="E624" s="150" t="s">
        <v>1180</v>
      </c>
      <c r="F624" s="70"/>
      <c r="G624" s="70"/>
      <c r="H624" s="121" t="str">
        <f>"'17 final"</f>
        <v>'17 final</v>
      </c>
      <c r="P624" s="11"/>
    </row>
    <row r="625" spans="3:16" x14ac:dyDescent="0.25">
      <c r="C625" s="39"/>
      <c r="E625" s="71" t="s">
        <v>800</v>
      </c>
      <c r="F625" s="11"/>
      <c r="G625" s="11"/>
      <c r="H625" s="104">
        <f>+L622</f>
        <v>9</v>
      </c>
      <c r="P625" s="11"/>
    </row>
    <row r="626" spans="3:16" x14ac:dyDescent="0.25">
      <c r="C626" s="39"/>
      <c r="E626" s="72" t="s">
        <v>801</v>
      </c>
      <c r="F626" s="11"/>
      <c r="G626" s="11"/>
      <c r="H626" s="104">
        <f>+H625-H627</f>
        <v>5</v>
      </c>
      <c r="P626" s="11"/>
    </row>
    <row r="627" spans="3:16" x14ac:dyDescent="0.25">
      <c r="C627" s="39"/>
      <c r="E627" s="72" t="s">
        <v>802</v>
      </c>
      <c r="F627" s="11"/>
      <c r="G627" s="11"/>
      <c r="H627" s="104">
        <v>4</v>
      </c>
      <c r="P627" s="11"/>
    </row>
    <row r="628" spans="3:16" x14ac:dyDescent="0.25">
      <c r="C628" s="39"/>
      <c r="E628" s="72"/>
      <c r="F628" s="11"/>
      <c r="G628" s="11"/>
      <c r="H628" s="104"/>
      <c r="P628" s="11"/>
    </row>
    <row r="629" spans="3:16" x14ac:dyDescent="0.25">
      <c r="C629" s="39"/>
      <c r="E629" s="72" t="s">
        <v>1144</v>
      </c>
      <c r="F629" s="78"/>
      <c r="G629" s="78"/>
      <c r="H629" s="122">
        <f>+I622/1000000</f>
        <v>87.016271000000003</v>
      </c>
      <c r="I629" s="52"/>
      <c r="P629" s="11"/>
    </row>
    <row r="630" spans="3:16" x14ac:dyDescent="0.25">
      <c r="C630" s="39"/>
      <c r="E630" s="72" t="s">
        <v>806</v>
      </c>
      <c r="F630" s="75"/>
      <c r="G630" s="75"/>
      <c r="H630" s="123">
        <f>+M622</f>
        <v>6.4444444444444446</v>
      </c>
      <c r="P630" s="11"/>
    </row>
    <row r="631" spans="3:16" x14ac:dyDescent="0.25">
      <c r="C631" s="39"/>
      <c r="E631" s="72" t="s">
        <v>807</v>
      </c>
      <c r="F631" s="74"/>
      <c r="G631" s="74"/>
      <c r="H631" s="124">
        <f>+I622/H622</f>
        <v>0.8816593272120129</v>
      </c>
      <c r="P631" s="11"/>
    </row>
    <row r="632" spans="3:16" x14ac:dyDescent="0.25">
      <c r="C632" s="39"/>
      <c r="E632" s="72"/>
      <c r="F632" s="11"/>
      <c r="G632" s="11"/>
      <c r="H632" s="104"/>
      <c r="P632" s="11"/>
    </row>
    <row r="633" spans="3:16" x14ac:dyDescent="0.25">
      <c r="C633" s="39"/>
      <c r="E633" s="72" t="s">
        <v>803</v>
      </c>
      <c r="F633" s="74"/>
      <c r="G633" s="74"/>
      <c r="H633" s="108">
        <f>6/H625</f>
        <v>0.66666666666666663</v>
      </c>
      <c r="P633" s="11"/>
    </row>
    <row r="634" spans="3:16" x14ac:dyDescent="0.25">
      <c r="C634" s="107"/>
      <c r="D634" s="52"/>
      <c r="E634" s="72" t="s">
        <v>804</v>
      </c>
      <c r="F634" s="74"/>
      <c r="G634" s="74"/>
      <c r="H634" s="108">
        <f>4/H626</f>
        <v>0.8</v>
      </c>
      <c r="P634" s="11"/>
    </row>
    <row r="635" spans="3:16" x14ac:dyDescent="0.25">
      <c r="C635" s="107"/>
      <c r="D635" s="52"/>
      <c r="E635" s="72" t="s">
        <v>805</v>
      </c>
      <c r="F635" s="74"/>
      <c r="G635" s="74"/>
      <c r="H635" s="108">
        <f>2/H627</f>
        <v>0.5</v>
      </c>
      <c r="P635" s="11"/>
    </row>
    <row r="636" spans="3:16" x14ac:dyDescent="0.25">
      <c r="C636" s="39"/>
      <c r="E636" s="72"/>
      <c r="F636" s="11"/>
      <c r="G636" s="11"/>
      <c r="H636" s="104"/>
      <c r="P636" s="11"/>
    </row>
    <row r="637" spans="3:16" x14ac:dyDescent="0.25">
      <c r="C637" s="39"/>
      <c r="E637" s="72" t="s">
        <v>1141</v>
      </c>
      <c r="F637" s="11"/>
      <c r="G637" s="11"/>
      <c r="H637" s="104">
        <v>2</v>
      </c>
    </row>
    <row r="638" spans="3:16" x14ac:dyDescent="0.25">
      <c r="E638" s="106" t="s">
        <v>1143</v>
      </c>
      <c r="F638" s="108"/>
      <c r="G638" s="108"/>
      <c r="H638" s="108">
        <f>+H637/H625</f>
        <v>0.22222222222222221</v>
      </c>
    </row>
    <row r="639" spans="3:16" x14ac:dyDescent="0.25">
      <c r="C639" s="39"/>
    </row>
    <row r="640" spans="3:16" x14ac:dyDescent="0.25">
      <c r="C640" s="38"/>
    </row>
    <row r="641" spans="3:24" x14ac:dyDescent="0.25">
      <c r="C641" s="39"/>
    </row>
    <row r="642" spans="3:24" x14ac:dyDescent="0.25">
      <c r="C642" s="39">
        <v>2017</v>
      </c>
      <c r="D642" s="102" t="s">
        <v>1145</v>
      </c>
      <c r="E642" s="63" t="s">
        <v>1146</v>
      </c>
      <c r="F642" s="64">
        <v>43083</v>
      </c>
      <c r="G642" s="65" t="s">
        <v>190</v>
      </c>
      <c r="H642" s="94">
        <v>4872000</v>
      </c>
      <c r="I642" s="27">
        <v>3997350</v>
      </c>
      <c r="J642" s="27"/>
      <c r="K642" s="26">
        <v>-0.17952586206896551</v>
      </c>
      <c r="L642" s="11" t="s">
        <v>464</v>
      </c>
      <c r="M642" s="15">
        <v>5</v>
      </c>
      <c r="N642" s="35" t="s">
        <v>93</v>
      </c>
      <c r="O642" s="15">
        <v>4</v>
      </c>
      <c r="P642" s="35" t="s">
        <v>458</v>
      </c>
      <c r="Q642" s="15"/>
      <c r="R642" s="24"/>
      <c r="S642" s="62" t="s">
        <v>784</v>
      </c>
      <c r="T642" s="15"/>
      <c r="U642" s="15"/>
      <c r="V642" s="54">
        <v>4872000</v>
      </c>
      <c r="W642" s="54">
        <v>3997350</v>
      </c>
      <c r="X642" s="54">
        <v>874650</v>
      </c>
    </row>
    <row r="643" spans="3:24" x14ac:dyDescent="0.25">
      <c r="C643" s="39">
        <v>2017</v>
      </c>
      <c r="D643" s="62" t="s">
        <v>1063</v>
      </c>
      <c r="E643" s="63" t="s">
        <v>1064</v>
      </c>
      <c r="F643" s="64">
        <v>42951</v>
      </c>
      <c r="G643" s="65" t="s">
        <v>34</v>
      </c>
      <c r="H643" s="94">
        <v>6040000</v>
      </c>
      <c r="I643" s="27">
        <v>4845475</v>
      </c>
      <c r="J643" s="27" t="s">
        <v>519</v>
      </c>
      <c r="K643" s="26">
        <v>-0.19776903973509935</v>
      </c>
      <c r="L643" s="11" t="s">
        <v>464</v>
      </c>
      <c r="M643" s="15">
        <v>8</v>
      </c>
      <c r="N643" s="35" t="s">
        <v>93</v>
      </c>
      <c r="O643" s="15">
        <v>3</v>
      </c>
      <c r="P643" s="35" t="s">
        <v>458</v>
      </c>
      <c r="Q643" s="15"/>
      <c r="R643" s="24"/>
      <c r="S643" s="62" t="s">
        <v>784</v>
      </c>
      <c r="T643" s="15"/>
      <c r="U643" s="15"/>
      <c r="V643" s="54">
        <v>6040000</v>
      </c>
      <c r="W643" s="54">
        <v>4845475</v>
      </c>
      <c r="X643" s="54">
        <v>1194525</v>
      </c>
    </row>
    <row r="644" spans="3:24" x14ac:dyDescent="0.25">
      <c r="C644" s="39">
        <v>2017</v>
      </c>
      <c r="D644" s="62" t="s">
        <v>1047</v>
      </c>
      <c r="E644" s="63" t="s">
        <v>982</v>
      </c>
      <c r="F644" s="64">
        <v>42941</v>
      </c>
      <c r="G644" s="65" t="s">
        <v>34</v>
      </c>
      <c r="H644" s="94">
        <v>7200000</v>
      </c>
      <c r="I644" s="27">
        <v>1936000</v>
      </c>
      <c r="J644" s="105" t="s">
        <v>519</v>
      </c>
      <c r="K644" s="26">
        <v>-0.73111111111111116</v>
      </c>
      <c r="L644" s="11" t="s">
        <v>465</v>
      </c>
      <c r="M644" s="15">
        <v>4</v>
      </c>
      <c r="N644" s="35" t="s">
        <v>93</v>
      </c>
      <c r="O644" s="15">
        <v>3</v>
      </c>
      <c r="P644" s="35" t="s">
        <v>458</v>
      </c>
      <c r="Q644" s="15"/>
      <c r="R644" s="24"/>
      <c r="S644" s="62" t="s">
        <v>616</v>
      </c>
      <c r="T644" s="15"/>
      <c r="U644" s="15"/>
      <c r="V644" s="54">
        <v>7200000</v>
      </c>
      <c r="W644" s="54">
        <v>1936000</v>
      </c>
      <c r="X644" s="54">
        <v>5264000</v>
      </c>
    </row>
    <row r="645" spans="3:24" x14ac:dyDescent="0.25">
      <c r="C645" s="39">
        <v>2017</v>
      </c>
      <c r="D645" s="62" t="s">
        <v>1028</v>
      </c>
      <c r="E645" s="63" t="s">
        <v>1029</v>
      </c>
      <c r="F645" s="64">
        <v>42894</v>
      </c>
      <c r="G645" s="65" t="s">
        <v>756</v>
      </c>
      <c r="H645" s="94">
        <v>6445000</v>
      </c>
      <c r="I645" s="27">
        <v>7166666</v>
      </c>
      <c r="J645" s="105" t="s">
        <v>519</v>
      </c>
      <c r="K645" s="26">
        <v>0.11197300232738557</v>
      </c>
      <c r="L645" s="11" t="s">
        <v>465</v>
      </c>
      <c r="M645" s="15">
        <v>11</v>
      </c>
      <c r="N645" s="35" t="s">
        <v>93</v>
      </c>
      <c r="O645" s="15">
        <v>2</v>
      </c>
      <c r="P645" s="35" t="s">
        <v>458</v>
      </c>
      <c r="Q645" s="15"/>
      <c r="R645" s="24"/>
      <c r="S645" s="62" t="s">
        <v>784</v>
      </c>
      <c r="T645" s="15"/>
      <c r="U645" s="15"/>
      <c r="V645" s="54">
        <v>6445000</v>
      </c>
      <c r="W645" s="54">
        <v>7166666</v>
      </c>
      <c r="X645" s="54">
        <v>-721666</v>
      </c>
    </row>
    <row r="646" spans="3:24" x14ac:dyDescent="0.25">
      <c r="C646" s="39">
        <v>2017</v>
      </c>
      <c r="D646" s="62" t="s">
        <v>964</v>
      </c>
      <c r="E646" s="63" t="s">
        <v>965</v>
      </c>
      <c r="F646" s="64">
        <v>42815</v>
      </c>
      <c r="G646" s="65" t="s">
        <v>190</v>
      </c>
      <c r="H646" s="27">
        <v>3750000</v>
      </c>
      <c r="I646" s="27">
        <v>2468147</v>
      </c>
      <c r="J646" s="27"/>
      <c r="K646" s="26">
        <v>-0.34182746666666669</v>
      </c>
      <c r="L646" s="11" t="s">
        <v>465</v>
      </c>
      <c r="M646" s="15">
        <v>3</v>
      </c>
      <c r="N646" s="35" t="s">
        <v>93</v>
      </c>
      <c r="O646" s="15">
        <v>1</v>
      </c>
      <c r="P646" s="35" t="s">
        <v>458</v>
      </c>
      <c r="Q646" s="15"/>
      <c r="R646" s="24"/>
      <c r="S646" s="62" t="s">
        <v>784</v>
      </c>
      <c r="T646" s="15"/>
      <c r="U646" s="15"/>
      <c r="V646" s="54">
        <v>3750000</v>
      </c>
      <c r="W646" s="54">
        <v>2468147</v>
      </c>
      <c r="X646" s="54">
        <v>1281853</v>
      </c>
    </row>
    <row r="647" spans="3:24" x14ac:dyDescent="0.25">
      <c r="C647" s="39">
        <v>2017</v>
      </c>
      <c r="D647" s="62" t="s">
        <v>914</v>
      </c>
      <c r="E647" s="63" t="s">
        <v>933</v>
      </c>
      <c r="F647" s="64">
        <v>42787</v>
      </c>
      <c r="G647" s="65" t="s">
        <v>190</v>
      </c>
      <c r="H647" s="94">
        <v>10393000</v>
      </c>
      <c r="I647" s="27">
        <v>7903950</v>
      </c>
      <c r="J647" s="105" t="s">
        <v>519</v>
      </c>
      <c r="K647" s="26">
        <v>-0.2394929279322621</v>
      </c>
      <c r="L647" s="11" t="s">
        <v>465</v>
      </c>
      <c r="M647" s="15">
        <v>3</v>
      </c>
      <c r="N647" s="35" t="s">
        <v>93</v>
      </c>
      <c r="O647" s="15">
        <v>1</v>
      </c>
      <c r="P647" s="35" t="s">
        <v>458</v>
      </c>
      <c r="Q647" s="15"/>
      <c r="R647" s="24" t="s">
        <v>932</v>
      </c>
      <c r="S647" s="62" t="s">
        <v>784</v>
      </c>
      <c r="T647" s="15"/>
      <c r="U647" s="15"/>
      <c r="V647" s="54">
        <v>10393000</v>
      </c>
      <c r="W647" s="54">
        <v>7903950</v>
      </c>
      <c r="X647" s="54">
        <v>2489050</v>
      </c>
    </row>
    <row r="648" spans="3:24" x14ac:dyDescent="0.25">
      <c r="C648" s="39">
        <v>2017</v>
      </c>
      <c r="D648" s="62" t="s">
        <v>868</v>
      </c>
      <c r="E648" s="63" t="s">
        <v>869</v>
      </c>
      <c r="F648" s="64">
        <v>42761</v>
      </c>
      <c r="G648" s="65" t="s">
        <v>34</v>
      </c>
      <c r="H648" s="94">
        <v>5100000</v>
      </c>
      <c r="I648" s="27">
        <v>4640176</v>
      </c>
      <c r="J648" s="27" t="s">
        <v>519</v>
      </c>
      <c r="K648" s="26">
        <v>-9.0161568627450978E-2</v>
      </c>
      <c r="L648" s="11" t="s">
        <v>464</v>
      </c>
      <c r="M648" s="15">
        <v>7</v>
      </c>
      <c r="N648" s="35" t="s">
        <v>93</v>
      </c>
      <c r="O648" s="15">
        <v>1</v>
      </c>
      <c r="P648" s="35" t="s">
        <v>458</v>
      </c>
      <c r="Q648" s="15"/>
      <c r="R648" s="24"/>
      <c r="S648" s="62" t="s">
        <v>784</v>
      </c>
      <c r="T648" s="15"/>
      <c r="U648" s="15"/>
      <c r="V648" s="54">
        <v>5100000</v>
      </c>
      <c r="W648" s="54">
        <v>4640176</v>
      </c>
      <c r="X648" s="54">
        <v>459824</v>
      </c>
    </row>
    <row r="649" spans="3:24" x14ac:dyDescent="0.25">
      <c r="C649" s="39"/>
      <c r="E649" s="85"/>
      <c r="F649" s="85"/>
      <c r="G649" s="85"/>
      <c r="H649" s="86">
        <f>SUM(H642:H648)</f>
        <v>43800000</v>
      </c>
      <c r="I649" s="86">
        <f>SUM(I642:I648)</f>
        <v>32957764</v>
      </c>
      <c r="J649" s="85"/>
      <c r="K649" s="87">
        <f>+I649/H649</f>
        <v>0.7524603652968036</v>
      </c>
      <c r="L649" s="85">
        <f>COUNTA(L642:L648)</f>
        <v>7</v>
      </c>
      <c r="M649" s="88">
        <f>SUM(M642:M648)/L649</f>
        <v>5.8571428571428568</v>
      </c>
      <c r="N649" s="89"/>
      <c r="O649" s="85"/>
      <c r="P649" s="119">
        <f>22/L649</f>
        <v>3.1428571428571428</v>
      </c>
      <c r="Q649" s="85"/>
    </row>
    <row r="650" spans="3:24" x14ac:dyDescent="0.25">
      <c r="C650" s="39"/>
    </row>
    <row r="651" spans="3:24" x14ac:dyDescent="0.25">
      <c r="C651" s="39"/>
      <c r="E651" s="150" t="s">
        <v>1181</v>
      </c>
      <c r="F651" s="70"/>
      <c r="G651" s="70"/>
      <c r="H651" s="121" t="str">
        <f>"'17 final"</f>
        <v>'17 final</v>
      </c>
      <c r="P651" s="11"/>
    </row>
    <row r="652" spans="3:24" x14ac:dyDescent="0.25">
      <c r="C652" s="39"/>
      <c r="E652" s="71" t="s">
        <v>800</v>
      </c>
      <c r="F652" s="11"/>
      <c r="G652" s="11"/>
      <c r="H652" s="104">
        <f>+L649</f>
        <v>7</v>
      </c>
      <c r="P652" s="11"/>
    </row>
    <row r="653" spans="3:24" x14ac:dyDescent="0.25">
      <c r="C653" s="39"/>
      <c r="E653" s="72" t="s">
        <v>801</v>
      </c>
      <c r="F653" s="11"/>
      <c r="G653" s="11"/>
      <c r="H653" s="104">
        <f>+H652-H654</f>
        <v>2</v>
      </c>
      <c r="P653" s="11"/>
    </row>
    <row r="654" spans="3:24" x14ac:dyDescent="0.25">
      <c r="C654" s="39"/>
      <c r="E654" s="72" t="s">
        <v>802</v>
      </c>
      <c r="F654" s="11"/>
      <c r="G654" s="11"/>
      <c r="H654" s="104">
        <v>5</v>
      </c>
      <c r="P654" s="11"/>
    </row>
    <row r="655" spans="3:24" x14ac:dyDescent="0.25">
      <c r="C655" s="39"/>
      <c r="E655" s="72"/>
      <c r="F655" s="11"/>
      <c r="G655" s="11"/>
      <c r="H655" s="104"/>
      <c r="P655" s="11"/>
    </row>
    <row r="656" spans="3:24" x14ac:dyDescent="0.25">
      <c r="C656" s="39"/>
      <c r="E656" s="72" t="s">
        <v>1144</v>
      </c>
      <c r="F656" s="78"/>
      <c r="G656" s="78"/>
      <c r="H656" s="122">
        <f>+I649/1000000</f>
        <v>32.957763999999997</v>
      </c>
      <c r="I656" s="52"/>
      <c r="P656" s="11"/>
    </row>
    <row r="657" spans="3:24" x14ac:dyDescent="0.25">
      <c r="C657" s="39"/>
      <c r="E657" s="72" t="s">
        <v>806</v>
      </c>
      <c r="F657" s="75"/>
      <c r="G657" s="75"/>
      <c r="H657" s="123">
        <f>+M649</f>
        <v>5.8571428571428568</v>
      </c>
      <c r="P657" s="11"/>
    </row>
    <row r="658" spans="3:24" x14ac:dyDescent="0.25">
      <c r="C658" s="39"/>
      <c r="E658" s="72" t="s">
        <v>807</v>
      </c>
      <c r="F658" s="74"/>
      <c r="G658" s="74"/>
      <c r="H658" s="124">
        <f>+I649/H649</f>
        <v>0.7524603652968036</v>
      </c>
      <c r="P658" s="11"/>
    </row>
    <row r="659" spans="3:24" x14ac:dyDescent="0.25">
      <c r="C659" s="39"/>
      <c r="E659" s="72"/>
      <c r="F659" s="11"/>
      <c r="G659" s="11"/>
      <c r="H659" s="104"/>
      <c r="P659" s="11"/>
    </row>
    <row r="660" spans="3:24" x14ac:dyDescent="0.25">
      <c r="C660" s="39"/>
      <c r="E660" s="72" t="s">
        <v>803</v>
      </c>
      <c r="F660" s="74"/>
      <c r="G660" s="74"/>
      <c r="H660" s="108">
        <f>3/H652</f>
        <v>0.42857142857142855</v>
      </c>
      <c r="P660" s="11"/>
    </row>
    <row r="661" spans="3:24" x14ac:dyDescent="0.25">
      <c r="C661" s="107"/>
      <c r="D661" s="52"/>
      <c r="E661" s="72" t="s">
        <v>804</v>
      </c>
      <c r="F661" s="74"/>
      <c r="G661" s="74"/>
      <c r="H661" s="108">
        <f>1/H653</f>
        <v>0.5</v>
      </c>
      <c r="P661" s="11"/>
    </row>
    <row r="662" spans="3:24" x14ac:dyDescent="0.25">
      <c r="C662" s="107"/>
      <c r="D662" s="52"/>
      <c r="E662" s="72" t="s">
        <v>805</v>
      </c>
      <c r="F662" s="74"/>
      <c r="G662" s="74"/>
      <c r="H662" s="108">
        <f>2/H654</f>
        <v>0.4</v>
      </c>
      <c r="P662" s="11"/>
    </row>
    <row r="663" spans="3:24" x14ac:dyDescent="0.25">
      <c r="C663" s="39"/>
      <c r="E663" s="72"/>
      <c r="F663" s="11"/>
      <c r="G663" s="11"/>
      <c r="H663" s="104"/>
      <c r="P663" s="11"/>
    </row>
    <row r="664" spans="3:24" x14ac:dyDescent="0.25">
      <c r="C664" s="39"/>
      <c r="E664" s="72" t="s">
        <v>1141</v>
      </c>
      <c r="F664" s="11"/>
      <c r="G664" s="11"/>
      <c r="H664" s="104">
        <v>2</v>
      </c>
    </row>
    <row r="665" spans="3:24" x14ac:dyDescent="0.25">
      <c r="E665" s="106" t="s">
        <v>1143</v>
      </c>
      <c r="F665" s="108"/>
      <c r="G665" s="108"/>
      <c r="H665" s="108">
        <f>+H664/H652</f>
        <v>0.2857142857142857</v>
      </c>
    </row>
    <row r="666" spans="3:24" x14ac:dyDescent="0.25">
      <c r="C666" s="39"/>
    </row>
    <row r="667" spans="3:24" x14ac:dyDescent="0.25">
      <c r="C667" s="38"/>
    </row>
    <row r="668" spans="3:24" x14ac:dyDescent="0.25">
      <c r="C668" s="39"/>
    </row>
    <row r="669" spans="3:24" x14ac:dyDescent="0.25">
      <c r="C669" s="39">
        <v>2017</v>
      </c>
      <c r="D669" s="102" t="s">
        <v>1150</v>
      </c>
      <c r="E669" s="63" t="s">
        <v>1151</v>
      </c>
      <c r="F669" s="64">
        <v>43083</v>
      </c>
      <c r="G669" s="65" t="s">
        <v>693</v>
      </c>
      <c r="H669" s="94">
        <v>979000</v>
      </c>
      <c r="I669" s="27">
        <v>1168000</v>
      </c>
      <c r="J669" s="27"/>
      <c r="K669" s="26">
        <v>0.1930541368743616</v>
      </c>
      <c r="L669" s="11" t="s">
        <v>465</v>
      </c>
      <c r="M669" s="15">
        <v>2</v>
      </c>
      <c r="N669" s="35" t="s">
        <v>25</v>
      </c>
      <c r="O669" s="15">
        <v>4</v>
      </c>
      <c r="P669" s="35" t="s">
        <v>458</v>
      </c>
      <c r="Q669" s="15"/>
      <c r="R669" s="24"/>
      <c r="S669" s="62" t="s">
        <v>784</v>
      </c>
      <c r="T669" s="15"/>
      <c r="U669" s="15"/>
      <c r="V669" s="54">
        <v>979000</v>
      </c>
      <c r="W669" s="54">
        <v>1168000</v>
      </c>
      <c r="X669" s="54">
        <v>-189000</v>
      </c>
    </row>
    <row r="670" spans="3:24" x14ac:dyDescent="0.25">
      <c r="C670" s="39">
        <v>2017</v>
      </c>
      <c r="D670" s="62" t="s">
        <v>986</v>
      </c>
      <c r="E670" s="63" t="s">
        <v>982</v>
      </c>
      <c r="F670" s="64">
        <v>42845</v>
      </c>
      <c r="G670" s="65" t="s">
        <v>190</v>
      </c>
      <c r="H670" s="94">
        <v>12630000</v>
      </c>
      <c r="I670" s="27">
        <v>10849023</v>
      </c>
      <c r="J670" s="27" t="s">
        <v>519</v>
      </c>
      <c r="K670" s="26">
        <v>-0.14101163895486934</v>
      </c>
      <c r="L670" s="11" t="s">
        <v>464</v>
      </c>
      <c r="M670" s="15">
        <v>2</v>
      </c>
      <c r="N670" s="35" t="s">
        <v>25</v>
      </c>
      <c r="O670" s="15">
        <v>2</v>
      </c>
      <c r="P670" s="35" t="s">
        <v>458</v>
      </c>
      <c r="Q670" s="15"/>
      <c r="R670" s="24"/>
      <c r="S670" s="62" t="s">
        <v>616</v>
      </c>
      <c r="T670" s="15"/>
      <c r="U670" s="15"/>
      <c r="V670" s="54">
        <v>12630000</v>
      </c>
      <c r="W670" s="54">
        <v>10849023</v>
      </c>
      <c r="X670" s="54">
        <v>1780977</v>
      </c>
    </row>
    <row r="671" spans="3:24" x14ac:dyDescent="0.25">
      <c r="C671" s="39">
        <v>2017</v>
      </c>
      <c r="D671" s="62" t="s">
        <v>916</v>
      </c>
      <c r="E671" s="63" t="s">
        <v>917</v>
      </c>
      <c r="F671" s="64">
        <v>42780</v>
      </c>
      <c r="G671" s="65" t="s">
        <v>34</v>
      </c>
      <c r="H671" s="94">
        <v>2580000</v>
      </c>
      <c r="I671" s="27">
        <v>1386000</v>
      </c>
      <c r="J671" s="27"/>
      <c r="K671" s="26">
        <v>-0.46279069767441861</v>
      </c>
      <c r="L671" s="11" t="s">
        <v>464</v>
      </c>
      <c r="M671" s="15">
        <v>16</v>
      </c>
      <c r="N671" s="35" t="s">
        <v>25</v>
      </c>
      <c r="O671" s="15">
        <v>1</v>
      </c>
      <c r="P671" s="35" t="s">
        <v>458</v>
      </c>
      <c r="Q671" s="15"/>
      <c r="R671" s="24" t="s">
        <v>1020</v>
      </c>
      <c r="S671" s="62" t="s">
        <v>616</v>
      </c>
      <c r="T671" s="15"/>
      <c r="U671" s="15"/>
      <c r="V671" s="54">
        <v>2580000</v>
      </c>
      <c r="W671" s="54">
        <v>1386000</v>
      </c>
      <c r="X671" s="54">
        <v>1194000</v>
      </c>
    </row>
    <row r="672" spans="3:24" x14ac:dyDescent="0.25">
      <c r="C672" s="39"/>
      <c r="E672" s="85"/>
      <c r="F672" s="85"/>
      <c r="G672" s="85"/>
      <c r="H672" s="86">
        <f>SUM(H669:H671)</f>
        <v>16189000</v>
      </c>
      <c r="I672" s="86">
        <f>SUM(I669:I671)</f>
        <v>13403023</v>
      </c>
      <c r="J672" s="85"/>
      <c r="K672" s="87">
        <f>+I672/H672</f>
        <v>0.82790925937364879</v>
      </c>
      <c r="L672" s="85">
        <f>COUNTA(L669:L671)</f>
        <v>3</v>
      </c>
      <c r="M672" s="88">
        <f>SUM(M669:M671)/L672</f>
        <v>6.666666666666667</v>
      </c>
      <c r="N672" s="89"/>
      <c r="O672" s="85"/>
      <c r="P672" s="119">
        <f>22/L672</f>
        <v>7.333333333333333</v>
      </c>
      <c r="Q672" s="85"/>
    </row>
    <row r="673" spans="3:16" x14ac:dyDescent="0.25">
      <c r="C673" s="39"/>
    </row>
    <row r="674" spans="3:16" x14ac:dyDescent="0.25">
      <c r="C674" s="39"/>
      <c r="E674" s="150" t="s">
        <v>1182</v>
      </c>
      <c r="F674" s="70"/>
      <c r="G674" s="70"/>
      <c r="H674" s="121" t="str">
        <f>"'17 final"</f>
        <v>'17 final</v>
      </c>
      <c r="P674" s="11"/>
    </row>
    <row r="675" spans="3:16" x14ac:dyDescent="0.25">
      <c r="C675" s="39"/>
      <c r="E675" s="71" t="s">
        <v>800</v>
      </c>
      <c r="F675" s="11"/>
      <c r="G675" s="11"/>
      <c r="H675" s="104">
        <f>+L672</f>
        <v>3</v>
      </c>
      <c r="P675" s="11"/>
    </row>
    <row r="676" spans="3:16" x14ac:dyDescent="0.25">
      <c r="C676" s="39"/>
      <c r="E676" s="72" t="s">
        <v>801</v>
      </c>
      <c r="F676" s="11"/>
      <c r="G676" s="11"/>
      <c r="H676" s="104">
        <f>+H675-H677</f>
        <v>2</v>
      </c>
      <c r="P676" s="11"/>
    </row>
    <row r="677" spans="3:16" x14ac:dyDescent="0.25">
      <c r="C677" s="39"/>
      <c r="E677" s="72" t="s">
        <v>802</v>
      </c>
      <c r="F677" s="11"/>
      <c r="G677" s="11"/>
      <c r="H677" s="104">
        <v>1</v>
      </c>
      <c r="P677" s="11"/>
    </row>
    <row r="678" spans="3:16" x14ac:dyDescent="0.25">
      <c r="C678" s="39"/>
      <c r="E678" s="72"/>
      <c r="F678" s="11"/>
      <c r="G678" s="11"/>
      <c r="H678" s="104"/>
      <c r="P678" s="11"/>
    </row>
    <row r="679" spans="3:16" x14ac:dyDescent="0.25">
      <c r="C679" s="39"/>
      <c r="E679" s="72" t="s">
        <v>1144</v>
      </c>
      <c r="F679" s="78"/>
      <c r="G679" s="78"/>
      <c r="H679" s="122">
        <f>+I672/1000000</f>
        <v>13.403022999999999</v>
      </c>
      <c r="I679" s="52"/>
      <c r="P679" s="11"/>
    </row>
    <row r="680" spans="3:16" x14ac:dyDescent="0.25">
      <c r="C680" s="39"/>
      <c r="E680" s="72" t="s">
        <v>806</v>
      </c>
      <c r="F680" s="75"/>
      <c r="G680" s="75"/>
      <c r="H680" s="123">
        <f>+M672</f>
        <v>6.666666666666667</v>
      </c>
      <c r="P680" s="11"/>
    </row>
    <row r="681" spans="3:16" x14ac:dyDescent="0.25">
      <c r="C681" s="39"/>
      <c r="E681" s="72" t="s">
        <v>807</v>
      </c>
      <c r="F681" s="74"/>
      <c r="G681" s="74"/>
      <c r="H681" s="124">
        <f>+I672/H672</f>
        <v>0.82790925937364879</v>
      </c>
      <c r="P681" s="11"/>
    </row>
    <row r="682" spans="3:16" x14ac:dyDescent="0.25">
      <c r="C682" s="39"/>
      <c r="E682" s="72"/>
      <c r="F682" s="11"/>
      <c r="G682" s="11"/>
      <c r="H682" s="104"/>
      <c r="P682" s="11"/>
    </row>
    <row r="683" spans="3:16" x14ac:dyDescent="0.25">
      <c r="C683" s="39"/>
      <c r="E683" s="72" t="s">
        <v>803</v>
      </c>
      <c r="F683" s="74"/>
      <c r="G683" s="74"/>
      <c r="H683" s="108">
        <f>2/3</f>
        <v>0.66666666666666663</v>
      </c>
      <c r="P683" s="11"/>
    </row>
    <row r="684" spans="3:16" x14ac:dyDescent="0.25">
      <c r="C684" s="107"/>
      <c r="D684" s="52"/>
      <c r="E684" s="72" t="s">
        <v>804</v>
      </c>
      <c r="F684" s="74"/>
      <c r="G684" s="74"/>
      <c r="H684" s="108">
        <f>1/2</f>
        <v>0.5</v>
      </c>
      <c r="P684" s="11"/>
    </row>
    <row r="685" spans="3:16" x14ac:dyDescent="0.25">
      <c r="C685" s="107"/>
      <c r="D685" s="52"/>
      <c r="E685" s="72" t="s">
        <v>805</v>
      </c>
      <c r="F685" s="74"/>
      <c r="G685" s="74"/>
      <c r="H685" s="108">
        <f>1/1</f>
        <v>1</v>
      </c>
      <c r="P685" s="11"/>
    </row>
    <row r="686" spans="3:16" x14ac:dyDescent="0.25">
      <c r="C686" s="39"/>
      <c r="E686" s="72"/>
      <c r="F686" s="11"/>
      <c r="G686" s="11"/>
      <c r="H686" s="104"/>
      <c r="P686" s="11"/>
    </row>
    <row r="687" spans="3:16" x14ac:dyDescent="0.25">
      <c r="C687" s="39"/>
      <c r="E687" s="72" t="s">
        <v>1141</v>
      </c>
      <c r="F687" s="11"/>
      <c r="G687" s="11"/>
      <c r="H687" s="104">
        <v>2</v>
      </c>
    </row>
    <row r="688" spans="3:16" x14ac:dyDescent="0.25">
      <c r="E688" s="106" t="s">
        <v>1143</v>
      </c>
      <c r="F688" s="108"/>
      <c r="G688" s="108"/>
      <c r="H688" s="108">
        <f>+H687/H675</f>
        <v>0.66666666666666663</v>
      </c>
    </row>
    <row r="689" spans="2:22" x14ac:dyDescent="0.25">
      <c r="C689" s="39"/>
    </row>
    <row r="690" spans="2:22" x14ac:dyDescent="0.25">
      <c r="C690" s="38"/>
    </row>
    <row r="691" spans="2:22" x14ac:dyDescent="0.25">
      <c r="C691" s="38"/>
    </row>
    <row r="692" spans="2:22" x14ac:dyDescent="0.25">
      <c r="C692" s="38"/>
    </row>
    <row r="693" spans="2:22" x14ac:dyDescent="0.25">
      <c r="B693" s="163"/>
      <c r="C693" s="164"/>
      <c r="D693" s="163"/>
      <c r="E693" s="163"/>
      <c r="F693" s="163"/>
      <c r="G693" s="163"/>
      <c r="H693" s="163"/>
      <c r="I693" s="163"/>
      <c r="J693" s="163"/>
      <c r="K693" s="163"/>
      <c r="L693" s="163"/>
      <c r="M693" s="163"/>
      <c r="N693" s="165"/>
      <c r="O693" s="163"/>
      <c r="P693" s="163"/>
      <c r="Q693" s="163"/>
      <c r="R693" s="163"/>
      <c r="S693" s="163"/>
      <c r="T693" s="163"/>
      <c r="U693" s="163"/>
      <c r="V693" s="163"/>
    </row>
    <row r="694" spans="2:22" x14ac:dyDescent="0.25">
      <c r="C694" s="38"/>
    </row>
    <row r="695" spans="2:22" x14ac:dyDescent="0.25">
      <c r="C695" s="38"/>
    </row>
    <row r="696" spans="2:22" x14ac:dyDescent="0.25">
      <c r="C696" s="38"/>
    </row>
    <row r="697" spans="2:22" x14ac:dyDescent="0.25">
      <c r="C697" s="38"/>
    </row>
    <row r="698" spans="2:22" x14ac:dyDescent="0.25">
      <c r="C698" s="38"/>
      <c r="E698" s="14" t="s">
        <v>1197</v>
      </c>
      <c r="F698">
        <v>1996</v>
      </c>
      <c r="G698">
        <v>70</v>
      </c>
      <c r="I698" s="7">
        <f>AVERAGE(G698:G719)/100</f>
        <v>0.71</v>
      </c>
      <c r="J698" s="1" t="s">
        <v>1222</v>
      </c>
    </row>
    <row r="699" spans="2:22" x14ac:dyDescent="0.25">
      <c r="C699" s="38"/>
      <c r="F699">
        <f>+F698+1</f>
        <v>1997</v>
      </c>
      <c r="G699">
        <v>68</v>
      </c>
    </row>
    <row r="700" spans="2:22" x14ac:dyDescent="0.25">
      <c r="C700" s="38"/>
      <c r="F700">
        <f t="shared" ref="F700:F719" si="33">+F699+1</f>
        <v>1998</v>
      </c>
      <c r="G700">
        <v>67</v>
      </c>
    </row>
    <row r="701" spans="2:22" x14ac:dyDescent="0.25">
      <c r="C701" s="38"/>
      <c r="F701">
        <f t="shared" si="33"/>
        <v>1999</v>
      </c>
      <c r="G701" s="30">
        <v>76</v>
      </c>
    </row>
    <row r="702" spans="2:22" x14ac:dyDescent="0.25">
      <c r="C702" s="38"/>
      <c r="F702">
        <f t="shared" si="33"/>
        <v>2000</v>
      </c>
      <c r="G702">
        <v>63</v>
      </c>
    </row>
    <row r="703" spans="2:22" x14ac:dyDescent="0.25">
      <c r="C703" s="38"/>
      <c r="F703">
        <f t="shared" si="33"/>
        <v>2001</v>
      </c>
      <c r="G703">
        <v>65</v>
      </c>
    </row>
    <row r="704" spans="2:22" x14ac:dyDescent="0.25">
      <c r="C704" s="38"/>
      <c r="F704">
        <f t="shared" si="33"/>
        <v>2002</v>
      </c>
      <c r="G704">
        <v>66</v>
      </c>
    </row>
    <row r="705" spans="3:7" x14ac:dyDescent="0.25">
      <c r="C705" s="38"/>
      <c r="F705">
        <f t="shared" si="33"/>
        <v>2003</v>
      </c>
      <c r="G705">
        <v>66</v>
      </c>
    </row>
    <row r="706" spans="3:7" x14ac:dyDescent="0.25">
      <c r="C706" s="38"/>
      <c r="F706">
        <f t="shared" si="33"/>
        <v>2004</v>
      </c>
      <c r="G706">
        <v>67</v>
      </c>
    </row>
    <row r="707" spans="3:7" x14ac:dyDescent="0.25">
      <c r="C707" s="38"/>
      <c r="F707">
        <f t="shared" si="33"/>
        <v>2005</v>
      </c>
      <c r="G707">
        <v>71</v>
      </c>
    </row>
    <row r="708" spans="3:7" x14ac:dyDescent="0.25">
      <c r="C708" s="38"/>
      <c r="F708">
        <f t="shared" si="33"/>
        <v>2006</v>
      </c>
      <c r="G708" s="30">
        <v>75</v>
      </c>
    </row>
    <row r="709" spans="3:7" x14ac:dyDescent="0.25">
      <c r="C709" s="38"/>
      <c r="F709">
        <f t="shared" si="33"/>
        <v>2007</v>
      </c>
      <c r="G709">
        <v>70</v>
      </c>
    </row>
    <row r="710" spans="3:7" x14ac:dyDescent="0.25">
      <c r="C710" s="38"/>
      <c r="F710">
        <f t="shared" si="33"/>
        <v>2008</v>
      </c>
      <c r="G710" s="30">
        <v>79</v>
      </c>
    </row>
    <row r="711" spans="3:7" x14ac:dyDescent="0.25">
      <c r="C711" s="38"/>
      <c r="F711">
        <f t="shared" si="33"/>
        <v>2009</v>
      </c>
      <c r="G711">
        <v>71</v>
      </c>
    </row>
    <row r="712" spans="3:7" x14ac:dyDescent="0.25">
      <c r="C712" s="38"/>
      <c r="F712">
        <f t="shared" si="33"/>
        <v>2010</v>
      </c>
      <c r="G712">
        <v>74</v>
      </c>
    </row>
    <row r="713" spans="3:7" x14ac:dyDescent="0.25">
      <c r="C713" s="38"/>
      <c r="F713">
        <f t="shared" si="33"/>
        <v>2011</v>
      </c>
      <c r="G713" s="30">
        <v>83</v>
      </c>
    </row>
    <row r="714" spans="3:7" x14ac:dyDescent="0.25">
      <c r="C714" s="38"/>
      <c r="F714">
        <f t="shared" si="33"/>
        <v>2012</v>
      </c>
      <c r="G714" s="30">
        <v>80</v>
      </c>
    </row>
    <row r="715" spans="3:7" x14ac:dyDescent="0.25">
      <c r="C715" s="38"/>
      <c r="F715">
        <f t="shared" si="33"/>
        <v>2013</v>
      </c>
      <c r="G715" s="30">
        <v>81</v>
      </c>
    </row>
    <row r="716" spans="3:7" x14ac:dyDescent="0.25">
      <c r="C716" s="38"/>
      <c r="F716">
        <f t="shared" si="33"/>
        <v>2014</v>
      </c>
      <c r="G716" s="30">
        <v>85</v>
      </c>
    </row>
    <row r="717" spans="3:7" x14ac:dyDescent="0.25">
      <c r="C717" s="38"/>
      <c r="F717">
        <f t="shared" si="33"/>
        <v>2015</v>
      </c>
      <c r="G717">
        <v>56</v>
      </c>
    </row>
    <row r="718" spans="3:7" x14ac:dyDescent="0.25">
      <c r="C718" s="38"/>
      <c r="F718">
        <f t="shared" si="33"/>
        <v>2016</v>
      </c>
      <c r="G718">
        <v>63</v>
      </c>
    </row>
    <row r="719" spans="3:7" x14ac:dyDescent="0.25">
      <c r="C719" s="38"/>
      <c r="F719">
        <f t="shared" si="33"/>
        <v>2017</v>
      </c>
      <c r="G719">
        <v>66</v>
      </c>
    </row>
    <row r="720" spans="3:7" x14ac:dyDescent="0.25">
      <c r="C720" s="38"/>
    </row>
    <row r="721" spans="3:7" x14ac:dyDescent="0.25">
      <c r="C721" s="38"/>
    </row>
    <row r="722" spans="3:7" x14ac:dyDescent="0.25">
      <c r="C722" s="38"/>
    </row>
    <row r="723" spans="3:7" x14ac:dyDescent="0.25">
      <c r="C723" s="38"/>
    </row>
    <row r="724" spans="3:7" x14ac:dyDescent="0.25">
      <c r="C724" s="38"/>
    </row>
    <row r="725" spans="3:7" x14ac:dyDescent="0.25">
      <c r="C725" s="38"/>
      <c r="E725" s="2" t="s">
        <v>1198</v>
      </c>
      <c r="F725">
        <v>2014</v>
      </c>
      <c r="G725">
        <v>6.2</v>
      </c>
    </row>
    <row r="726" spans="3:7" x14ac:dyDescent="0.25">
      <c r="C726" s="38"/>
      <c r="F726">
        <v>2015</v>
      </c>
      <c r="G726">
        <v>6.4</v>
      </c>
    </row>
    <row r="727" spans="3:7" x14ac:dyDescent="0.25">
      <c r="C727" s="38"/>
      <c r="F727">
        <v>2016</v>
      </c>
      <c r="G727">
        <v>5.9</v>
      </c>
    </row>
    <row r="728" spans="3:7" x14ac:dyDescent="0.25">
      <c r="C728" s="38"/>
      <c r="F728">
        <v>2017</v>
      </c>
      <c r="G728">
        <v>5.3</v>
      </c>
    </row>
    <row r="729" spans="3:7" x14ac:dyDescent="0.25">
      <c r="C729" s="38"/>
    </row>
    <row r="730" spans="3:7" x14ac:dyDescent="0.25">
      <c r="C730" s="38"/>
    </row>
    <row r="731" spans="3:7" x14ac:dyDescent="0.25">
      <c r="C731" s="38"/>
    </row>
    <row r="732" spans="3:7" x14ac:dyDescent="0.25">
      <c r="C732" s="38"/>
    </row>
    <row r="733" spans="3:7" x14ac:dyDescent="0.25">
      <c r="C733" s="38"/>
    </row>
    <row r="734" spans="3:7" x14ac:dyDescent="0.25">
      <c r="C734" s="38"/>
    </row>
    <row r="735" spans="3:7" x14ac:dyDescent="0.25">
      <c r="C735" s="38"/>
    </row>
    <row r="736" spans="3:7" x14ac:dyDescent="0.25">
      <c r="C736" s="38"/>
    </row>
    <row r="737" spans="3:3" x14ac:dyDescent="0.25">
      <c r="C737" s="38"/>
    </row>
    <row r="738" spans="3:3" x14ac:dyDescent="0.25">
      <c r="C738" s="38"/>
    </row>
    <row r="739" spans="3:3" x14ac:dyDescent="0.25">
      <c r="C739" s="38"/>
    </row>
    <row r="740" spans="3:3" x14ac:dyDescent="0.25">
      <c r="C740" s="38"/>
    </row>
    <row r="741" spans="3:3" x14ac:dyDescent="0.25">
      <c r="C741" s="38"/>
    </row>
    <row r="742" spans="3:3" x14ac:dyDescent="0.25">
      <c r="C742" s="38"/>
    </row>
    <row r="743" spans="3:3" x14ac:dyDescent="0.25">
      <c r="C743" s="38"/>
    </row>
    <row r="744" spans="3:3" x14ac:dyDescent="0.25">
      <c r="C744" s="38"/>
    </row>
    <row r="745" spans="3:3" x14ac:dyDescent="0.25">
      <c r="C745" s="38"/>
    </row>
    <row r="746" spans="3:3" x14ac:dyDescent="0.25">
      <c r="C746" s="38"/>
    </row>
    <row r="747" spans="3:3" x14ac:dyDescent="0.25">
      <c r="C747" s="38"/>
    </row>
    <row r="748" spans="3:3" x14ac:dyDescent="0.25">
      <c r="C748" s="38"/>
    </row>
    <row r="749" spans="3:3" x14ac:dyDescent="0.25">
      <c r="C749" s="38"/>
    </row>
    <row r="750" spans="3:3" x14ac:dyDescent="0.25">
      <c r="C750" s="38"/>
    </row>
    <row r="751" spans="3:3" x14ac:dyDescent="0.25">
      <c r="C751" s="38"/>
    </row>
    <row r="752" spans="3:3" x14ac:dyDescent="0.25">
      <c r="C752" s="38"/>
    </row>
    <row r="753" spans="3:3" x14ac:dyDescent="0.25">
      <c r="C753" s="38"/>
    </row>
    <row r="754" spans="3:3" x14ac:dyDescent="0.25">
      <c r="C754" s="38"/>
    </row>
    <row r="755" spans="3:3" x14ac:dyDescent="0.25">
      <c r="C755" s="38"/>
    </row>
    <row r="756" spans="3:3" x14ac:dyDescent="0.25">
      <c r="C756" s="38"/>
    </row>
    <row r="757" spans="3:3" x14ac:dyDescent="0.25">
      <c r="C757" s="38"/>
    </row>
    <row r="758" spans="3:3" x14ac:dyDescent="0.25">
      <c r="C758" s="38"/>
    </row>
    <row r="759" spans="3:3" x14ac:dyDescent="0.25">
      <c r="C759" s="38"/>
    </row>
    <row r="760" spans="3:3" x14ac:dyDescent="0.25">
      <c r="C760" s="38"/>
    </row>
    <row r="761" spans="3:3" x14ac:dyDescent="0.25">
      <c r="C761" s="38"/>
    </row>
    <row r="762" spans="3:3" x14ac:dyDescent="0.25">
      <c r="C762" s="38"/>
    </row>
    <row r="763" spans="3:3" x14ac:dyDescent="0.25">
      <c r="C763" s="38"/>
    </row>
    <row r="764" spans="3:3" x14ac:dyDescent="0.25">
      <c r="C764" s="38"/>
    </row>
    <row r="765" spans="3:3" x14ac:dyDescent="0.25">
      <c r="C765" s="38"/>
    </row>
    <row r="766" spans="3:3" x14ac:dyDescent="0.25">
      <c r="C766" s="38"/>
    </row>
    <row r="767" spans="3:3" x14ac:dyDescent="0.25">
      <c r="C767" s="38"/>
    </row>
    <row r="768" spans="3:3" x14ac:dyDescent="0.25">
      <c r="C768" s="38"/>
    </row>
    <row r="769" spans="3:3" x14ac:dyDescent="0.25">
      <c r="C769" s="38"/>
    </row>
    <row r="770" spans="3:3" x14ac:dyDescent="0.25">
      <c r="C770" s="38"/>
    </row>
    <row r="771" spans="3:3" x14ac:dyDescent="0.25">
      <c r="C771" s="38"/>
    </row>
    <row r="772" spans="3:3" x14ac:dyDescent="0.25">
      <c r="C772" s="38"/>
    </row>
    <row r="773" spans="3:3" x14ac:dyDescent="0.25">
      <c r="C773" s="38"/>
    </row>
    <row r="774" spans="3:3" x14ac:dyDescent="0.25">
      <c r="C774" s="38"/>
    </row>
    <row r="775" spans="3:3" x14ac:dyDescent="0.25">
      <c r="C775" s="38"/>
    </row>
    <row r="776" spans="3:3" x14ac:dyDescent="0.25">
      <c r="C776" s="38"/>
    </row>
    <row r="777" spans="3:3" x14ac:dyDescent="0.25">
      <c r="C777" s="38"/>
    </row>
    <row r="778" spans="3:3" x14ac:dyDescent="0.25">
      <c r="C778" s="38"/>
    </row>
    <row r="779" spans="3:3" x14ac:dyDescent="0.25">
      <c r="C779" s="38"/>
    </row>
    <row r="780" spans="3:3" x14ac:dyDescent="0.25">
      <c r="C780" s="38"/>
    </row>
    <row r="781" spans="3:3" x14ac:dyDescent="0.25">
      <c r="C781" s="38"/>
    </row>
    <row r="782" spans="3:3" x14ac:dyDescent="0.25">
      <c r="C782" s="38"/>
    </row>
  </sheetData>
  <mergeCells count="1">
    <mergeCell ref="K556:L556"/>
  </mergeCells>
  <conditionalFormatting sqref="L77:L79 L614:L621 L642:L648 L669:L671 L579:L593 L253:L255 L495:L510 L257:L286">
    <cfRule type="containsText" dxfId="3115" priority="542" operator="containsText" text="FAIL">
      <formula>NOT(ISERROR(SEARCH("FAIL",L77)))</formula>
    </cfRule>
  </conditionalFormatting>
  <conditionalFormatting sqref="L77:L79 L614:L621 L642:L648 L669:L671 L579:L593 L253:L255 L495:L510 L257:L286">
    <cfRule type="containsText" dxfId="3114" priority="541" operator="containsText" text="GOOD">
      <formula>NOT(ISERROR(SEARCH("GOOD",L77)))</formula>
    </cfRule>
  </conditionalFormatting>
  <conditionalFormatting sqref="L8 L10">
    <cfRule type="containsText" dxfId="3113" priority="262" operator="containsText" text="FAIL">
      <formula>NOT(ISERROR(SEARCH("FAIL",L8)))</formula>
    </cfRule>
  </conditionalFormatting>
  <conditionalFormatting sqref="L8 L10">
    <cfRule type="containsText" dxfId="3112" priority="261" operator="containsText" text="GOOD">
      <formula>NOT(ISERROR(SEARCH("GOOD",L8)))</formula>
    </cfRule>
  </conditionalFormatting>
  <conditionalFormatting sqref="L7">
    <cfRule type="containsText" dxfId="3111" priority="260" operator="containsText" text="FAIL">
      <formula>NOT(ISERROR(SEARCH("FAIL",L7)))</formula>
    </cfRule>
  </conditionalFormatting>
  <conditionalFormatting sqref="L7">
    <cfRule type="containsText" dxfId="3110" priority="259" operator="containsText" text="GOOD">
      <formula>NOT(ISERROR(SEARCH("GOOD",L7)))</formula>
    </cfRule>
  </conditionalFormatting>
  <conditionalFormatting sqref="L114">
    <cfRule type="containsText" dxfId="3109" priority="256" operator="containsText" text="FAIL">
      <formula>NOT(ISERROR(SEARCH("FAIL",L114)))</formula>
    </cfRule>
  </conditionalFormatting>
  <conditionalFormatting sqref="L114">
    <cfRule type="containsText" dxfId="3108" priority="255" operator="containsText" text="GOOD">
      <formula>NOT(ISERROR(SEARCH("GOOD",L114)))</formula>
    </cfRule>
  </conditionalFormatting>
  <conditionalFormatting sqref="L116:L136 L138:L146">
    <cfRule type="containsText" dxfId="3107" priority="252" operator="containsText" text="FAIL">
      <formula>NOT(ISERROR(SEARCH("FAIL",L116)))</formula>
    </cfRule>
  </conditionalFormatting>
  <conditionalFormatting sqref="L116:L136 L138:L146">
    <cfRule type="containsText" dxfId="3106" priority="251" operator="containsText" text="GOOD">
      <formula>NOT(ISERROR(SEARCH("GOOD",L116)))</formula>
    </cfRule>
  </conditionalFormatting>
  <conditionalFormatting sqref="L137">
    <cfRule type="containsText" dxfId="3105" priority="250" operator="containsText" text="FAIL">
      <formula>NOT(ISERROR(SEARCH("FAIL",L137)))</formula>
    </cfRule>
  </conditionalFormatting>
  <conditionalFormatting sqref="L137">
    <cfRule type="containsText" dxfId="3104" priority="249" operator="containsText" text="GOOD">
      <formula>NOT(ISERROR(SEARCH("GOOD",L137)))</formula>
    </cfRule>
  </conditionalFormatting>
  <conditionalFormatting sqref="L178:L186">
    <cfRule type="containsText" dxfId="3103" priority="240" operator="containsText" text="FAIL">
      <formula>NOT(ISERROR(SEARCH("FAIL",L178)))</formula>
    </cfRule>
  </conditionalFormatting>
  <conditionalFormatting sqref="L178:L186">
    <cfRule type="containsText" dxfId="3102" priority="239" operator="containsText" text="GOOD">
      <formula>NOT(ISERROR(SEARCH("GOOD",L178)))</formula>
    </cfRule>
  </conditionalFormatting>
  <conditionalFormatting sqref="L150 L152:L174">
    <cfRule type="containsText" dxfId="3101" priority="236" operator="containsText" text="FAIL">
      <formula>NOT(ISERROR(SEARCH("FAIL",L150)))</formula>
    </cfRule>
  </conditionalFormatting>
  <conditionalFormatting sqref="L150 L152:L174">
    <cfRule type="containsText" dxfId="3100" priority="235" operator="containsText" text="GOOD">
      <formula>NOT(ISERROR(SEARCH("GOOD",L150)))</formula>
    </cfRule>
  </conditionalFormatting>
  <conditionalFormatting sqref="L214:L230">
    <cfRule type="containsText" dxfId="3099" priority="220" operator="containsText" text="FAIL">
      <formula>NOT(ISERROR(SEARCH("FAIL",L214)))</formula>
    </cfRule>
  </conditionalFormatting>
  <conditionalFormatting sqref="L214:L230">
    <cfRule type="containsText" dxfId="3098" priority="219" operator="containsText" text="GOOD">
      <formula>NOT(ISERROR(SEARCH("GOOD",L214)))</formula>
    </cfRule>
  </conditionalFormatting>
  <conditionalFormatting sqref="L310:L319">
    <cfRule type="containsText" dxfId="3097" priority="218" operator="containsText" text="FAIL">
      <formula>NOT(ISERROR(SEARCH("FAIL",L310)))</formula>
    </cfRule>
  </conditionalFormatting>
  <conditionalFormatting sqref="L310:L319">
    <cfRule type="containsText" dxfId="3096" priority="217" operator="containsText" text="GOOD">
      <formula>NOT(ISERROR(SEARCH("GOOD",L310)))</formula>
    </cfRule>
  </conditionalFormatting>
  <conditionalFormatting sqref="L342:L345">
    <cfRule type="containsText" dxfId="3095" priority="216" operator="containsText" text="FAIL">
      <formula>NOT(ISERROR(SEARCH("FAIL",L342)))</formula>
    </cfRule>
  </conditionalFormatting>
  <conditionalFormatting sqref="L342:L345">
    <cfRule type="containsText" dxfId="3094" priority="215" operator="containsText" text="GOOD">
      <formula>NOT(ISERROR(SEARCH("GOOD",L342)))</formula>
    </cfRule>
  </conditionalFormatting>
  <conditionalFormatting sqref="L480">
    <cfRule type="containsText" dxfId="3093" priority="202" operator="containsText" text="FAIL">
      <formula>NOT(ISERROR(SEARCH("FAIL",L480)))</formula>
    </cfRule>
  </conditionalFormatting>
  <conditionalFormatting sqref="L480">
    <cfRule type="containsText" dxfId="3092" priority="201" operator="containsText" text="GOOD">
      <formula>NOT(ISERROR(SEARCH("GOOD",L480)))</formula>
    </cfRule>
  </conditionalFormatting>
  <conditionalFormatting sqref="L481:L490">
    <cfRule type="containsText" dxfId="3091" priority="198" operator="containsText" text="FAIL">
      <formula>NOT(ISERROR(SEARCH("FAIL",L481)))</formula>
    </cfRule>
  </conditionalFormatting>
  <conditionalFormatting sqref="L481:L490">
    <cfRule type="containsText" dxfId="3090" priority="197" operator="containsText" text="GOOD">
      <formula>NOT(ISERROR(SEARCH("GOOD",L481)))</formula>
    </cfRule>
  </conditionalFormatting>
  <conditionalFormatting sqref="L494">
    <cfRule type="containsText" dxfId="3089" priority="196" operator="containsText" text="FAIL">
      <formula>NOT(ISERROR(SEARCH("FAIL",L494)))</formula>
    </cfRule>
  </conditionalFormatting>
  <conditionalFormatting sqref="L494">
    <cfRule type="containsText" dxfId="3088" priority="195" operator="containsText" text="GOOD">
      <formula>NOT(ISERROR(SEARCH("GOOD",L494)))</formula>
    </cfRule>
  </conditionalFormatting>
  <conditionalFormatting sqref="L524 L526:L554">
    <cfRule type="containsText" dxfId="3087" priority="184" operator="containsText" text="FAIL">
      <formula>NOT(ISERROR(SEARCH("FAIL",L524)))</formula>
    </cfRule>
  </conditionalFormatting>
  <conditionalFormatting sqref="L524 L526:L554">
    <cfRule type="containsText" dxfId="3086" priority="183" operator="containsText" text="GOOD">
      <formula>NOT(ISERROR(SEARCH("GOOD",L524)))</formula>
    </cfRule>
  </conditionalFormatting>
  <conditionalFormatting sqref="L514:L519">
    <cfRule type="containsText" dxfId="3085" priority="182" operator="containsText" text="FAIL">
      <formula>NOT(ISERROR(SEARCH("FAIL",L514)))</formula>
    </cfRule>
  </conditionalFormatting>
  <conditionalFormatting sqref="L514:L519">
    <cfRule type="containsText" dxfId="3084" priority="181" operator="containsText" text="GOOD">
      <formula>NOT(ISERROR(SEARCH("GOOD",L514)))</formula>
    </cfRule>
  </conditionalFormatting>
  <conditionalFormatting sqref="L9">
    <cfRule type="containsText" dxfId="3083" priority="180" operator="containsText" text="FAIL">
      <formula>NOT(ISERROR(SEARCH("FAIL",L9)))</formula>
    </cfRule>
  </conditionalFormatting>
  <conditionalFormatting sqref="L9">
    <cfRule type="containsText" dxfId="3082" priority="179" operator="containsText" text="GOOD">
      <formula>NOT(ISERROR(SEARCH("GOOD",L9)))</formula>
    </cfRule>
  </conditionalFormatting>
  <conditionalFormatting sqref="L115">
    <cfRule type="containsText" dxfId="3081" priority="178" operator="containsText" text="FAIL">
      <formula>NOT(ISERROR(SEARCH("FAIL",L115)))</formula>
    </cfRule>
  </conditionalFormatting>
  <conditionalFormatting sqref="L115">
    <cfRule type="containsText" dxfId="3080" priority="177" operator="containsText" text="GOOD">
      <formula>NOT(ISERROR(SEARCH("GOOD",L115)))</formula>
    </cfRule>
  </conditionalFormatting>
  <conditionalFormatting sqref="L309">
    <cfRule type="containsText" dxfId="3079" priority="176" operator="containsText" text="FAIL">
      <formula>NOT(ISERROR(SEARCH("FAIL",L309)))</formula>
    </cfRule>
  </conditionalFormatting>
  <conditionalFormatting sqref="L309">
    <cfRule type="containsText" dxfId="3078" priority="175" operator="containsText" text="GOOD">
      <formula>NOT(ISERROR(SEARCH("GOOD",L309)))</formula>
    </cfRule>
  </conditionalFormatting>
  <conditionalFormatting sqref="L523">
    <cfRule type="containsText" dxfId="3077" priority="172" operator="containsText" text="FAIL">
      <formula>NOT(ISERROR(SEARCH("FAIL",L523)))</formula>
    </cfRule>
  </conditionalFormatting>
  <conditionalFormatting sqref="L523">
    <cfRule type="containsText" dxfId="3076" priority="171" operator="containsText" text="GOOD">
      <formula>NOT(ISERROR(SEARCH("GOOD",L523)))</formula>
    </cfRule>
  </conditionalFormatting>
  <conditionalFormatting sqref="L370">
    <cfRule type="containsText" dxfId="3075" priority="134" operator="containsText" text="FAIL">
      <formula>NOT(ISERROR(SEARCH("FAIL",L370)))</formula>
    </cfRule>
  </conditionalFormatting>
  <conditionalFormatting sqref="L370">
    <cfRule type="containsText" dxfId="3074" priority="133" operator="containsText" text="GOOD">
      <formula>NOT(ISERROR(SEARCH("GOOD",L370)))</formula>
    </cfRule>
  </conditionalFormatting>
  <conditionalFormatting sqref="L377">
    <cfRule type="containsText" dxfId="3073" priority="124" operator="containsText" text="FAIL">
      <formula>NOT(ISERROR(SEARCH("FAIL",L377)))</formula>
    </cfRule>
  </conditionalFormatting>
  <conditionalFormatting sqref="L377">
    <cfRule type="containsText" dxfId="3072" priority="123" operator="containsText" text="GOOD">
      <formula>NOT(ISERROR(SEARCH("GOOD",L377)))</formula>
    </cfRule>
  </conditionalFormatting>
  <conditionalFormatting sqref="L374">
    <cfRule type="containsText" dxfId="3071" priority="30" operator="containsText" text="FAIL">
      <formula>NOT(ISERROR(SEARCH("FAIL",L374)))</formula>
    </cfRule>
  </conditionalFormatting>
  <conditionalFormatting sqref="L374">
    <cfRule type="containsText" dxfId="3070" priority="29" operator="containsText" text="GOOD">
      <formula>NOT(ISERROR(SEARCH("GOOD",L374)))</formula>
    </cfRule>
  </conditionalFormatting>
  <conditionalFormatting sqref="L378:L384">
    <cfRule type="containsText" dxfId="3069" priority="28" operator="containsText" text="FAIL">
      <formula>NOT(ISERROR(SEARCH("FAIL",L378)))</formula>
    </cfRule>
  </conditionalFormatting>
  <conditionalFormatting sqref="L378:L384">
    <cfRule type="containsText" dxfId="3068" priority="27" operator="containsText" text="GOOD">
      <formula>NOT(ISERROR(SEARCH("GOOD",L378)))</formula>
    </cfRule>
  </conditionalFormatting>
  <conditionalFormatting sqref="L387:L402 L404:L456">
    <cfRule type="containsText" dxfId="3067" priority="26" operator="containsText" text="FAIL">
      <formula>NOT(ISERROR(SEARCH("FAIL",L387)))</formula>
    </cfRule>
  </conditionalFormatting>
  <conditionalFormatting sqref="L387:L402 L404:L456">
    <cfRule type="containsText" dxfId="3066" priority="25" operator="containsText" text="GOOD">
      <formula>NOT(ISERROR(SEARCH("GOOD",L387)))</formula>
    </cfRule>
  </conditionalFormatting>
  <conditionalFormatting sqref="K459">
    <cfRule type="containsText" dxfId="3065" priority="24" operator="containsText" text="FAIL">
      <formula>NOT(ISERROR(SEARCH("FAIL",K459)))</formula>
    </cfRule>
  </conditionalFormatting>
  <conditionalFormatting sqref="K459">
    <cfRule type="containsText" dxfId="3064" priority="23" operator="containsText" text="GOOD">
      <formula>NOT(ISERROR(SEARCH("GOOD",K459)))</formula>
    </cfRule>
  </conditionalFormatting>
  <conditionalFormatting sqref="L151">
    <cfRule type="containsText" dxfId="3063" priority="20" operator="containsText" text="FAIL">
      <formula>NOT(ISERROR(SEARCH("FAIL",L151)))</formula>
    </cfRule>
  </conditionalFormatting>
  <conditionalFormatting sqref="L151">
    <cfRule type="containsText" dxfId="3062" priority="19" operator="containsText" text="GOOD">
      <formula>NOT(ISERROR(SEARCH("GOOD",L151)))</formula>
    </cfRule>
  </conditionalFormatting>
  <conditionalFormatting sqref="Z7">
    <cfRule type="containsText" dxfId="3061" priority="12" operator="containsText" text="FAIL">
      <formula>NOT(ISERROR(SEARCH("FAIL",Z7)))</formula>
    </cfRule>
  </conditionalFormatting>
  <conditionalFormatting sqref="Z7">
    <cfRule type="containsText" dxfId="3060" priority="11" operator="containsText" text="GOOD">
      <formula>NOT(ISERROR(SEARCH("GOOD",Z7)))</formula>
    </cfRule>
  </conditionalFormatting>
  <conditionalFormatting sqref="Z7">
    <cfRule type="containsText" dxfId="3059" priority="10" operator="containsText" text="FAIL">
      <formula>NOT(ISERROR(SEARCH("FAIL",Z7)))</formula>
    </cfRule>
  </conditionalFormatting>
  <conditionalFormatting sqref="Z7">
    <cfRule type="containsText" dxfId="3058" priority="9" operator="containsText" text="GOOD">
      <formula>NOT(ISERROR(SEARCH("GOOD",Z7)))</formula>
    </cfRule>
  </conditionalFormatting>
  <conditionalFormatting sqref="L403">
    <cfRule type="containsText" dxfId="3057" priority="5" operator="containsText" text="GOOD">
      <formula>NOT(ISERROR(SEARCH("GOOD",L403)))</formula>
    </cfRule>
  </conditionalFormatting>
  <conditionalFormatting sqref="L256">
    <cfRule type="containsText" dxfId="3056" priority="8" operator="containsText" text="FAIL">
      <formula>NOT(ISERROR(SEARCH("FAIL",L256)))</formula>
    </cfRule>
  </conditionalFormatting>
  <conditionalFormatting sqref="L256">
    <cfRule type="containsText" dxfId="3055" priority="7" operator="containsText" text="GOOD">
      <formula>NOT(ISERROR(SEARCH("GOOD",L256)))</formula>
    </cfRule>
  </conditionalFormatting>
  <conditionalFormatting sqref="L403">
    <cfRule type="containsText" dxfId="3054" priority="6" operator="containsText" text="FAIL">
      <formula>NOT(ISERROR(SEARCH("FAIL",L403)))</formula>
    </cfRule>
  </conditionalFormatting>
  <conditionalFormatting sqref="L525">
    <cfRule type="containsText" dxfId="3053" priority="3" operator="containsText" text="GOOD">
      <formula>NOT(ISERROR(SEARCH("GOOD",L525)))</formula>
    </cfRule>
  </conditionalFormatting>
  <conditionalFormatting sqref="L525">
    <cfRule type="containsText" dxfId="3052" priority="4" operator="containsText" text="FAIL">
      <formula>NOT(ISERROR(SEARCH("FAIL",L525)))</formula>
    </cfRule>
  </conditionalFormatting>
  <conditionalFormatting sqref="L613">
    <cfRule type="containsText" dxfId="3051" priority="1" operator="containsText" text="GOOD">
      <formula>NOT(ISERROR(SEARCH("GOOD",L613)))</formula>
    </cfRule>
  </conditionalFormatting>
  <conditionalFormatting sqref="L613">
    <cfRule type="containsText" dxfId="3050" priority="2" operator="containsText" text="FAIL">
      <formula>NOT(ISERROR(SEARCH("FAIL",L613)))</formula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78" operator="containsText" text="FAIL" id="{A6BE24F9-B90B-4310-9109-06FAFB151F60}">
            <xm:f>NOT(ISERROR(SEARCH("FAIL",SUMMARY!L13)))</xm:f>
            <x14:dxf>
              <font>
                <b/>
                <i/>
                <color theme="0"/>
              </font>
              <fill>
                <patternFill>
                  <bgColor rgb="FFFF0000"/>
                </patternFill>
              </fill>
            </x14:dxf>
          </x14:cfRule>
          <xm:sqref>L179:L186 L59:L76 L38:L57 L25:L36 L11:L23</xm:sqref>
        </x14:conditionalFormatting>
        <x14:conditionalFormatting xmlns:xm="http://schemas.microsoft.com/office/excel/2006/main">
          <x14:cfRule type="containsText" priority="377" operator="containsText" text="GOOD" id="{24940A5F-9387-4757-B1D9-0B9329BD9752}">
            <xm:f>NOT(ISERROR(SEARCH("GOOD",SUMMARY!L13)))</xm:f>
            <x14:dxf>
              <font>
                <b/>
                <i/>
                <color theme="0"/>
              </font>
              <fill>
                <patternFill>
                  <bgColor rgb="FF00B050"/>
                </patternFill>
              </fill>
            </x14:dxf>
          </x14:cfRule>
          <xm:sqref>L179:L186 L59:L76 L38:L57 L25:L36 L11:L23</xm:sqref>
        </x14:conditionalFormatting>
        <x14:conditionalFormatting xmlns:xm="http://schemas.microsoft.com/office/excel/2006/main">
          <x14:cfRule type="containsText" priority="168" operator="containsText" text="FAIL" id="{C5724D80-3E32-4C2B-9350-607BF0A7628A}">
            <xm:f>NOT(ISERROR(SEARCH("FAIL",SUMMARY!L497)))</xm:f>
            <x14:dxf>
              <font>
                <b/>
                <i/>
                <color theme="0"/>
              </font>
              <fill>
                <patternFill>
                  <bgColor rgb="FFFF0000"/>
                </patternFill>
              </fill>
            </x14:dxf>
          </x14:cfRule>
          <xm:sqref>L579</xm:sqref>
        </x14:conditionalFormatting>
        <x14:conditionalFormatting xmlns:xm="http://schemas.microsoft.com/office/excel/2006/main">
          <x14:cfRule type="containsText" priority="167" operator="containsText" text="GOOD" id="{DF9C1614-7650-4B7E-8118-D6267180F0D9}">
            <xm:f>NOT(ISERROR(SEARCH("GOOD",SUMMARY!L497)))</xm:f>
            <x14:dxf>
              <font>
                <b/>
                <i/>
                <color theme="0"/>
              </font>
              <fill>
                <patternFill>
                  <bgColor rgb="FF00B050"/>
                </patternFill>
              </fill>
            </x14:dxf>
          </x14:cfRule>
          <xm:sqref>L579</xm:sqref>
        </x14:conditionalFormatting>
        <x14:conditionalFormatting xmlns:xm="http://schemas.microsoft.com/office/excel/2006/main">
          <x14:cfRule type="containsText" priority="683" operator="containsText" text="FAIL" id="{C166A120-D701-4C30-8090-63B1AC59DDDA}">
            <xm:f>NOT(ISERROR(SEARCH("FAIL",SUMMARY!L499)))</xm:f>
            <x14:dxf>
              <font>
                <b/>
                <i/>
                <color theme="0"/>
              </font>
              <fill>
                <patternFill>
                  <bgColor rgb="FFFF0000"/>
                </patternFill>
              </fill>
            </x14:dxf>
          </x14:cfRule>
          <xm:sqref>L580:L582</xm:sqref>
        </x14:conditionalFormatting>
        <x14:conditionalFormatting xmlns:xm="http://schemas.microsoft.com/office/excel/2006/main">
          <x14:cfRule type="containsText" priority="685" operator="containsText" text="GOOD" id="{911CD586-A092-4CB8-822E-33415B504CF8}">
            <xm:f>NOT(ISERROR(SEARCH("GOOD",SUMMARY!L499)))</xm:f>
            <x14:dxf>
              <font>
                <b/>
                <i/>
                <color theme="0"/>
              </font>
              <fill>
                <patternFill>
                  <bgColor rgb="FF00B050"/>
                </patternFill>
              </fill>
            </x14:dxf>
          </x14:cfRule>
          <xm:sqref>L580:L582</xm:sqref>
        </x14:conditionalFormatting>
        <x14:conditionalFormatting xmlns:xm="http://schemas.microsoft.com/office/excel/2006/main">
          <x14:cfRule type="containsText" priority="706" operator="containsText" text="FAIL" id="{C166A120-D701-4C30-8090-63B1AC59DDDA}">
            <xm:f>NOT(ISERROR(SEARCH("FAIL",SUMMARY!L503)))</xm:f>
            <x14:dxf>
              <font>
                <b/>
                <i/>
                <color theme="0"/>
              </font>
              <fill>
                <patternFill>
                  <bgColor rgb="FFFF0000"/>
                </patternFill>
              </fill>
            </x14:dxf>
          </x14:cfRule>
          <xm:sqref>L583:L585</xm:sqref>
        </x14:conditionalFormatting>
        <x14:conditionalFormatting xmlns:xm="http://schemas.microsoft.com/office/excel/2006/main">
          <x14:cfRule type="containsText" priority="708" operator="containsText" text="GOOD" id="{911CD586-A092-4CB8-822E-33415B504CF8}">
            <xm:f>NOT(ISERROR(SEARCH("GOOD",SUMMARY!L503)))</xm:f>
            <x14:dxf>
              <font>
                <b/>
                <i/>
                <color theme="0"/>
              </font>
              <fill>
                <patternFill>
                  <bgColor rgb="FF00B050"/>
                </patternFill>
              </fill>
            </x14:dxf>
          </x14:cfRule>
          <xm:sqref>L583:L585</xm:sqref>
        </x14:conditionalFormatting>
        <x14:conditionalFormatting xmlns:xm="http://schemas.microsoft.com/office/excel/2006/main">
          <x14:cfRule type="containsText" priority="729" operator="containsText" text="FAIL" id="{C166A120-D701-4C30-8090-63B1AC59DDDA}">
            <xm:f>NOT(ISERROR(SEARCH("FAIL",SUMMARY!L510)))</xm:f>
            <x14:dxf>
              <font>
                <b/>
                <i/>
                <color theme="0"/>
              </font>
              <fill>
                <patternFill>
                  <bgColor rgb="FFFF0000"/>
                </patternFill>
              </fill>
            </x14:dxf>
          </x14:cfRule>
          <xm:sqref>L586:L587</xm:sqref>
        </x14:conditionalFormatting>
        <x14:conditionalFormatting xmlns:xm="http://schemas.microsoft.com/office/excel/2006/main">
          <x14:cfRule type="containsText" priority="731" operator="containsText" text="GOOD" id="{911CD586-A092-4CB8-822E-33415B504CF8}">
            <xm:f>NOT(ISERROR(SEARCH("GOOD",SUMMARY!L510)))</xm:f>
            <x14:dxf>
              <font>
                <b/>
                <i/>
                <color theme="0"/>
              </font>
              <fill>
                <patternFill>
                  <bgColor rgb="FF00B050"/>
                </patternFill>
              </fill>
            </x14:dxf>
          </x14:cfRule>
          <xm:sqref>L586:L587</xm:sqref>
        </x14:conditionalFormatting>
        <x14:conditionalFormatting xmlns:xm="http://schemas.microsoft.com/office/excel/2006/main">
          <x14:cfRule type="containsText" priority="752" operator="containsText" text="FAIL" id="{C166A120-D701-4C30-8090-63B1AC59DDDA}">
            <xm:f>NOT(ISERROR(SEARCH("FAIL",SUMMARY!L513)))</xm:f>
            <x14:dxf>
              <font>
                <b/>
                <i/>
                <color theme="0"/>
              </font>
              <fill>
                <patternFill>
                  <bgColor rgb="FFFF0000"/>
                </patternFill>
              </fill>
            </x14:dxf>
          </x14:cfRule>
          <xm:sqref>L588:L590</xm:sqref>
        </x14:conditionalFormatting>
        <x14:conditionalFormatting xmlns:xm="http://schemas.microsoft.com/office/excel/2006/main">
          <x14:cfRule type="containsText" priority="754" operator="containsText" text="GOOD" id="{911CD586-A092-4CB8-822E-33415B504CF8}">
            <xm:f>NOT(ISERROR(SEARCH("GOOD",SUMMARY!L513)))</xm:f>
            <x14:dxf>
              <font>
                <b/>
                <i/>
                <color theme="0"/>
              </font>
              <fill>
                <patternFill>
                  <bgColor rgb="FF00B050"/>
                </patternFill>
              </fill>
            </x14:dxf>
          </x14:cfRule>
          <xm:sqref>L588:L590</xm:sqref>
        </x14:conditionalFormatting>
        <x14:conditionalFormatting xmlns:xm="http://schemas.microsoft.com/office/excel/2006/main">
          <x14:cfRule type="containsText" priority="775" operator="containsText" text="FAIL" id="{C166A120-D701-4C30-8090-63B1AC59DDDA}">
            <xm:f>NOT(ISERROR(SEARCH("FAIL",SUMMARY!L518)))</xm:f>
            <x14:dxf>
              <font>
                <b/>
                <i/>
                <color theme="0"/>
              </font>
              <fill>
                <patternFill>
                  <bgColor rgb="FFFF0000"/>
                </patternFill>
              </fill>
            </x14:dxf>
          </x14:cfRule>
          <xm:sqref>L591</xm:sqref>
        </x14:conditionalFormatting>
        <x14:conditionalFormatting xmlns:xm="http://schemas.microsoft.com/office/excel/2006/main">
          <x14:cfRule type="containsText" priority="777" operator="containsText" text="GOOD" id="{911CD586-A092-4CB8-822E-33415B504CF8}">
            <xm:f>NOT(ISERROR(SEARCH("GOOD",SUMMARY!L518)))</xm:f>
            <x14:dxf>
              <font>
                <b/>
                <i/>
                <color theme="0"/>
              </font>
              <fill>
                <patternFill>
                  <bgColor rgb="FF00B050"/>
                </patternFill>
              </fill>
            </x14:dxf>
          </x14:cfRule>
          <xm:sqref>L591</xm:sqref>
        </x14:conditionalFormatting>
        <x14:conditionalFormatting xmlns:xm="http://schemas.microsoft.com/office/excel/2006/main">
          <x14:cfRule type="containsText" priority="821" operator="containsText" text="FAIL" id="{C166A120-D701-4C30-8090-63B1AC59DDDA}">
            <xm:f>NOT(ISERROR(SEARCH("FAIL",SUMMARY!L523)))</xm:f>
            <x14:dxf>
              <font>
                <b/>
                <i/>
                <color theme="0"/>
              </font>
              <fill>
                <patternFill>
                  <bgColor rgb="FFFF0000"/>
                </patternFill>
              </fill>
            </x14:dxf>
          </x14:cfRule>
          <xm:sqref>L592</xm:sqref>
        </x14:conditionalFormatting>
        <x14:conditionalFormatting xmlns:xm="http://schemas.microsoft.com/office/excel/2006/main">
          <x14:cfRule type="containsText" priority="823" operator="containsText" text="GOOD" id="{911CD586-A092-4CB8-822E-33415B504CF8}">
            <xm:f>NOT(ISERROR(SEARCH("GOOD",SUMMARY!L523)))</xm:f>
            <x14:dxf>
              <font>
                <b/>
                <i/>
                <color theme="0"/>
              </font>
              <fill>
                <patternFill>
                  <bgColor rgb="FF00B050"/>
                </patternFill>
              </fill>
            </x14:dxf>
          </x14:cfRule>
          <xm:sqref>L592</xm:sqref>
        </x14:conditionalFormatting>
        <x14:conditionalFormatting xmlns:xm="http://schemas.microsoft.com/office/excel/2006/main">
          <x14:cfRule type="containsText" priority="840" operator="containsText" text="FAIL" id="{C166A120-D701-4C30-8090-63B1AC59DDDA}">
            <xm:f>NOT(ISERROR(SEARCH("FAIL",SUMMARY!L527)))</xm:f>
            <x14:dxf>
              <font>
                <b/>
                <i/>
                <color theme="0"/>
              </font>
              <fill>
                <patternFill>
                  <bgColor rgb="FFFF0000"/>
                </patternFill>
              </fill>
            </x14:dxf>
          </x14:cfRule>
          <xm:sqref>L593</xm:sqref>
        </x14:conditionalFormatting>
        <x14:conditionalFormatting xmlns:xm="http://schemas.microsoft.com/office/excel/2006/main">
          <x14:cfRule type="containsText" priority="841" operator="containsText" text="GOOD" id="{911CD586-A092-4CB8-822E-33415B504CF8}">
            <xm:f>NOT(ISERROR(SEARCH("GOOD",SUMMARY!L527)))</xm:f>
            <x14:dxf>
              <font>
                <b/>
                <i/>
                <color theme="0"/>
              </font>
              <fill>
                <patternFill>
                  <bgColor rgb="FF00B050"/>
                </patternFill>
              </fill>
            </x14:dxf>
          </x14:cfRule>
          <xm:sqref>L593</xm:sqref>
        </x14:conditionalFormatting>
        <x14:conditionalFormatting xmlns:xm="http://schemas.microsoft.com/office/excel/2006/main">
          <x14:cfRule type="containsText" priority="917" operator="containsText" text="FAIL" id="{646AEA0B-89D1-4B38-9EC2-2F2F9B450A59}">
            <xm:f>NOT(ISERROR(SEARCH("FAIL",SUMMARY!L556)))</xm:f>
            <x14:dxf>
              <font>
                <b/>
                <i/>
                <color theme="0"/>
              </font>
              <fill>
                <patternFill>
                  <bgColor rgb="FFFF0000"/>
                </patternFill>
              </fill>
            </x14:dxf>
          </x14:cfRule>
          <xm:sqref>L614</xm:sqref>
        </x14:conditionalFormatting>
        <x14:conditionalFormatting xmlns:xm="http://schemas.microsoft.com/office/excel/2006/main">
          <x14:cfRule type="containsText" priority="919" operator="containsText" text="GOOD" id="{574DA6DD-982E-41C2-B17B-435FF5E9CD6A}">
            <xm:f>NOT(ISERROR(SEARCH("GOOD",SUMMARY!L556)))</xm:f>
            <x14:dxf>
              <font>
                <b/>
                <i/>
                <color theme="0"/>
              </font>
              <fill>
                <patternFill>
                  <bgColor rgb="FF00B050"/>
                </patternFill>
              </fill>
            </x14:dxf>
          </x14:cfRule>
          <xm:sqref>L614</xm:sqref>
        </x14:conditionalFormatting>
        <x14:conditionalFormatting xmlns:xm="http://schemas.microsoft.com/office/excel/2006/main">
          <x14:cfRule type="containsText" priority="956" operator="containsText" text="FAIL" id="{646AEA0B-89D1-4B38-9EC2-2F2F9B450A59}">
            <xm:f>NOT(ISERROR(SEARCH("FAIL",SUMMARY!L561)))</xm:f>
            <x14:dxf>
              <font>
                <b/>
                <i/>
                <color theme="0"/>
              </font>
              <fill>
                <patternFill>
                  <bgColor rgb="FFFF0000"/>
                </patternFill>
              </fill>
            </x14:dxf>
          </x14:cfRule>
          <xm:sqref>L615:L616</xm:sqref>
        </x14:conditionalFormatting>
        <x14:conditionalFormatting xmlns:xm="http://schemas.microsoft.com/office/excel/2006/main">
          <x14:cfRule type="containsText" priority="958" operator="containsText" text="GOOD" id="{574DA6DD-982E-41C2-B17B-435FF5E9CD6A}">
            <xm:f>NOT(ISERROR(SEARCH("GOOD",SUMMARY!L561)))</xm:f>
            <x14:dxf>
              <font>
                <b/>
                <i/>
                <color theme="0"/>
              </font>
              <fill>
                <patternFill>
                  <bgColor rgb="FF00B050"/>
                </patternFill>
              </fill>
            </x14:dxf>
          </x14:cfRule>
          <xm:sqref>L615:L616</xm:sqref>
        </x14:conditionalFormatting>
        <x14:conditionalFormatting xmlns:xm="http://schemas.microsoft.com/office/excel/2006/main">
          <x14:cfRule type="containsText" priority="995" operator="containsText" text="FAIL" id="{646AEA0B-89D1-4B38-9EC2-2F2F9B450A59}">
            <xm:f>NOT(ISERROR(SEARCH("FAIL",SUMMARY!L570)))</xm:f>
            <x14:dxf>
              <font>
                <b/>
                <i/>
                <color theme="0"/>
              </font>
              <fill>
                <patternFill>
                  <bgColor rgb="FFFF0000"/>
                </patternFill>
              </fill>
            </x14:dxf>
          </x14:cfRule>
          <xm:sqref>L617</xm:sqref>
        </x14:conditionalFormatting>
        <x14:conditionalFormatting xmlns:xm="http://schemas.microsoft.com/office/excel/2006/main">
          <x14:cfRule type="containsText" priority="997" operator="containsText" text="GOOD" id="{574DA6DD-982E-41C2-B17B-435FF5E9CD6A}">
            <xm:f>NOT(ISERROR(SEARCH("GOOD",SUMMARY!L570)))</xm:f>
            <x14:dxf>
              <font>
                <b/>
                <i/>
                <color theme="0"/>
              </font>
              <fill>
                <patternFill>
                  <bgColor rgb="FF00B050"/>
                </patternFill>
              </fill>
            </x14:dxf>
          </x14:cfRule>
          <xm:sqref>L617</xm:sqref>
        </x14:conditionalFormatting>
        <x14:conditionalFormatting xmlns:xm="http://schemas.microsoft.com/office/excel/2006/main">
          <x14:cfRule type="containsText" priority="1034" operator="containsText" text="FAIL" id="{646AEA0B-89D1-4B38-9EC2-2F2F9B450A59}">
            <xm:f>NOT(ISERROR(SEARCH("FAIL",SUMMARY!L578)))</xm:f>
            <x14:dxf>
              <font>
                <b/>
                <i/>
                <color theme="0"/>
              </font>
              <fill>
                <patternFill>
                  <bgColor rgb="FFFF0000"/>
                </patternFill>
              </fill>
            </x14:dxf>
          </x14:cfRule>
          <xm:sqref>L618:L619</xm:sqref>
        </x14:conditionalFormatting>
        <x14:conditionalFormatting xmlns:xm="http://schemas.microsoft.com/office/excel/2006/main">
          <x14:cfRule type="containsText" priority="1036" operator="containsText" text="GOOD" id="{574DA6DD-982E-41C2-B17B-435FF5E9CD6A}">
            <xm:f>NOT(ISERROR(SEARCH("GOOD",SUMMARY!L578)))</xm:f>
            <x14:dxf>
              <font>
                <b/>
                <i/>
                <color theme="0"/>
              </font>
              <fill>
                <patternFill>
                  <bgColor rgb="FF00B050"/>
                </patternFill>
              </fill>
            </x14:dxf>
          </x14:cfRule>
          <xm:sqref>L618:L619</xm:sqref>
        </x14:conditionalFormatting>
        <x14:conditionalFormatting xmlns:xm="http://schemas.microsoft.com/office/excel/2006/main">
          <x14:cfRule type="containsText" priority="1071" operator="containsText" text="FAIL" id="{646AEA0B-89D1-4B38-9EC2-2F2F9B450A59}">
            <xm:f>NOT(ISERROR(SEARCH("FAIL",SUMMARY!L582)))</xm:f>
            <x14:dxf>
              <font>
                <b/>
                <i/>
                <color theme="0"/>
              </font>
              <fill>
                <patternFill>
                  <bgColor rgb="FFFF0000"/>
                </patternFill>
              </fill>
            </x14:dxf>
          </x14:cfRule>
          <xm:sqref>L620:L621</xm:sqref>
        </x14:conditionalFormatting>
        <x14:conditionalFormatting xmlns:xm="http://schemas.microsoft.com/office/excel/2006/main">
          <x14:cfRule type="containsText" priority="1072" operator="containsText" text="GOOD" id="{574DA6DD-982E-41C2-B17B-435FF5E9CD6A}">
            <xm:f>NOT(ISERROR(SEARCH("GOOD",SUMMARY!L582)))</xm:f>
            <x14:dxf>
              <font>
                <b/>
                <i/>
                <color theme="0"/>
              </font>
              <fill>
                <patternFill>
                  <bgColor rgb="FF00B050"/>
                </patternFill>
              </fill>
            </x14:dxf>
          </x14:cfRule>
          <xm:sqref>L620:L621</xm:sqref>
        </x14:conditionalFormatting>
        <x14:conditionalFormatting xmlns:xm="http://schemas.microsoft.com/office/excel/2006/main">
          <x14:cfRule type="containsText" priority="1119" operator="containsText" text="FAIL" id="{73AC421F-F438-4925-962A-9FD0B33A0770}">
            <xm:f>NOT(ISERROR(SEARCH("FAIL",SUMMARY!L615)))</xm:f>
            <x14:dxf>
              <font>
                <b/>
                <i/>
                <color theme="0"/>
              </font>
              <fill>
                <patternFill>
                  <bgColor rgb="FFFF0000"/>
                </patternFill>
              </fill>
            </x14:dxf>
          </x14:cfRule>
          <xm:sqref>L643</xm:sqref>
        </x14:conditionalFormatting>
        <x14:conditionalFormatting xmlns:xm="http://schemas.microsoft.com/office/excel/2006/main">
          <x14:cfRule type="containsText" priority="1121" operator="containsText" text="GOOD" id="{120245E0-71AC-42FE-A472-468B2136BA49}">
            <xm:f>NOT(ISERROR(SEARCH("GOOD",SUMMARY!L615)))</xm:f>
            <x14:dxf>
              <font>
                <b/>
                <i/>
                <color theme="0"/>
              </font>
              <fill>
                <patternFill>
                  <bgColor rgb="FF00B050"/>
                </patternFill>
              </fill>
            </x14:dxf>
          </x14:cfRule>
          <xm:sqref>L643</xm:sqref>
        </x14:conditionalFormatting>
        <x14:conditionalFormatting xmlns:xm="http://schemas.microsoft.com/office/excel/2006/main">
          <x14:cfRule type="containsText" priority="1168" operator="containsText" text="FAIL" id="{73AC421F-F438-4925-962A-9FD0B33A0770}">
            <xm:f>NOT(ISERROR(SEARCH("FAIL",SUMMARY!L618)))</xm:f>
            <x14:dxf>
              <font>
                <b/>
                <i/>
                <color theme="0"/>
              </font>
              <fill>
                <patternFill>
                  <bgColor rgb="FFFF0000"/>
                </patternFill>
              </fill>
            </x14:dxf>
          </x14:cfRule>
          <xm:sqref>L644</xm:sqref>
        </x14:conditionalFormatting>
        <x14:conditionalFormatting xmlns:xm="http://schemas.microsoft.com/office/excel/2006/main">
          <x14:cfRule type="containsText" priority="1170" operator="containsText" text="GOOD" id="{120245E0-71AC-42FE-A472-468B2136BA49}">
            <xm:f>NOT(ISERROR(SEARCH("GOOD",SUMMARY!L618)))</xm:f>
            <x14:dxf>
              <font>
                <b/>
                <i/>
                <color theme="0"/>
              </font>
              <fill>
                <patternFill>
                  <bgColor rgb="FF00B050"/>
                </patternFill>
              </fill>
            </x14:dxf>
          </x14:cfRule>
          <xm:sqref>L644</xm:sqref>
        </x14:conditionalFormatting>
        <x14:conditionalFormatting xmlns:xm="http://schemas.microsoft.com/office/excel/2006/main">
          <x14:cfRule type="containsText" priority="1217" operator="containsText" text="FAIL" id="{73AC421F-F438-4925-962A-9FD0B33A0770}">
            <xm:f>NOT(ISERROR(SEARCH("FAIL",SUMMARY!L621)))</xm:f>
            <x14:dxf>
              <font>
                <b/>
                <i/>
                <color theme="0"/>
              </font>
              <fill>
                <patternFill>
                  <bgColor rgb="FFFF0000"/>
                </patternFill>
              </fill>
            </x14:dxf>
          </x14:cfRule>
          <xm:sqref>L645</xm:sqref>
        </x14:conditionalFormatting>
        <x14:conditionalFormatting xmlns:xm="http://schemas.microsoft.com/office/excel/2006/main">
          <x14:cfRule type="containsText" priority="1219" operator="containsText" text="GOOD" id="{120245E0-71AC-42FE-A472-468B2136BA49}">
            <xm:f>NOT(ISERROR(SEARCH("GOOD",SUMMARY!L621)))</xm:f>
            <x14:dxf>
              <font>
                <b/>
                <i/>
                <color theme="0"/>
              </font>
              <fill>
                <patternFill>
                  <bgColor rgb="FF00B050"/>
                </patternFill>
              </fill>
            </x14:dxf>
          </x14:cfRule>
          <xm:sqref>L645</xm:sqref>
        </x14:conditionalFormatting>
        <x14:conditionalFormatting xmlns:xm="http://schemas.microsoft.com/office/excel/2006/main">
          <x14:cfRule type="containsText" priority="1266" operator="containsText" text="FAIL" id="{73AC421F-F438-4925-962A-9FD0B33A0770}">
            <xm:f>NOT(ISERROR(SEARCH("FAIL",SUMMARY!L628)))</xm:f>
            <x14:dxf>
              <font>
                <b/>
                <i/>
                <color theme="0"/>
              </font>
              <fill>
                <patternFill>
                  <bgColor rgb="FFFF0000"/>
                </patternFill>
              </fill>
            </x14:dxf>
          </x14:cfRule>
          <xm:sqref>L646</xm:sqref>
        </x14:conditionalFormatting>
        <x14:conditionalFormatting xmlns:xm="http://schemas.microsoft.com/office/excel/2006/main">
          <x14:cfRule type="containsText" priority="1268" operator="containsText" text="GOOD" id="{120245E0-71AC-42FE-A472-468B2136BA49}">
            <xm:f>NOT(ISERROR(SEARCH("GOOD",SUMMARY!L628)))</xm:f>
            <x14:dxf>
              <font>
                <b/>
                <i/>
                <color theme="0"/>
              </font>
              <fill>
                <patternFill>
                  <bgColor rgb="FF00B050"/>
                </patternFill>
              </fill>
            </x14:dxf>
          </x14:cfRule>
          <xm:sqref>L646</xm:sqref>
        </x14:conditionalFormatting>
        <x14:conditionalFormatting xmlns:xm="http://schemas.microsoft.com/office/excel/2006/main">
          <x14:cfRule type="containsText" priority="1315" operator="containsText" text="FAIL" id="{73AC421F-F438-4925-962A-9FD0B33A0770}">
            <xm:f>NOT(ISERROR(SEARCH("FAIL",SUMMARY!L238)))</xm:f>
            <x14:dxf>
              <font>
                <b/>
                <i/>
                <color theme="0"/>
              </font>
              <fill>
                <patternFill>
                  <bgColor rgb="FFFF0000"/>
                </patternFill>
              </fill>
            </x14:dxf>
          </x14:cfRule>
          <xm:sqref>L647 L255 L257:L277</xm:sqref>
        </x14:conditionalFormatting>
        <x14:conditionalFormatting xmlns:xm="http://schemas.microsoft.com/office/excel/2006/main">
          <x14:cfRule type="containsText" priority="1317" operator="containsText" text="GOOD" id="{120245E0-71AC-42FE-A472-468B2136BA49}">
            <xm:f>NOT(ISERROR(SEARCH("GOOD",SUMMARY!L238)))</xm:f>
            <x14:dxf>
              <font>
                <b/>
                <i/>
                <color theme="0"/>
              </font>
              <fill>
                <patternFill>
                  <bgColor rgb="FF00B050"/>
                </patternFill>
              </fill>
            </x14:dxf>
          </x14:cfRule>
          <xm:sqref>L647 L255 L257:L277</xm:sqref>
        </x14:conditionalFormatting>
        <x14:conditionalFormatting xmlns:xm="http://schemas.microsoft.com/office/excel/2006/main">
          <x14:cfRule type="containsText" priority="1360" operator="containsText" text="FAIL" id="{73AC421F-F438-4925-962A-9FD0B33A0770}">
            <xm:f>NOT(ISERROR(SEARCH("FAIL",SUMMARY!L635)))</xm:f>
            <x14:dxf>
              <font>
                <b/>
                <i/>
                <color theme="0"/>
              </font>
              <fill>
                <patternFill>
                  <bgColor rgb="FFFF0000"/>
                </patternFill>
              </fill>
            </x14:dxf>
          </x14:cfRule>
          <xm:sqref>L648</xm:sqref>
        </x14:conditionalFormatting>
        <x14:conditionalFormatting xmlns:xm="http://schemas.microsoft.com/office/excel/2006/main">
          <x14:cfRule type="containsText" priority="1361" operator="containsText" text="GOOD" id="{120245E0-71AC-42FE-A472-468B2136BA49}">
            <xm:f>NOT(ISERROR(SEARCH("GOOD",SUMMARY!L635)))</xm:f>
            <x14:dxf>
              <font>
                <b/>
                <i/>
                <color theme="0"/>
              </font>
              <fill>
                <patternFill>
                  <bgColor rgb="FF00B050"/>
                </patternFill>
              </fill>
            </x14:dxf>
          </x14:cfRule>
          <xm:sqref>L648</xm:sqref>
        </x14:conditionalFormatting>
        <x14:conditionalFormatting xmlns:xm="http://schemas.microsoft.com/office/excel/2006/main">
          <x14:cfRule type="containsText" priority="1408" operator="containsText" text="FAIL" id="{73AC421F-F438-4925-962A-9FD0B33A0770}">
            <xm:f>NOT(ISERROR(SEARCH("FAIL",SUMMARY!L681)))</xm:f>
            <x14:dxf>
              <font>
                <b/>
                <i/>
                <color theme="0"/>
              </font>
              <fill>
                <patternFill>
                  <bgColor rgb="FFFF0000"/>
                </patternFill>
              </fill>
            </x14:dxf>
          </x14:cfRule>
          <xm:sqref>L670</xm:sqref>
        </x14:conditionalFormatting>
        <x14:conditionalFormatting xmlns:xm="http://schemas.microsoft.com/office/excel/2006/main">
          <x14:cfRule type="containsText" priority="1409" operator="containsText" text="GOOD" id="{120245E0-71AC-42FE-A472-468B2136BA49}">
            <xm:f>NOT(ISERROR(SEARCH("GOOD",SUMMARY!L681)))</xm:f>
            <x14:dxf>
              <font>
                <b/>
                <i/>
                <color theme="0"/>
              </font>
              <fill>
                <patternFill>
                  <bgColor rgb="FF00B050"/>
                </patternFill>
              </fill>
            </x14:dxf>
          </x14:cfRule>
          <xm:sqref>L670</xm:sqref>
        </x14:conditionalFormatting>
        <x14:conditionalFormatting xmlns:xm="http://schemas.microsoft.com/office/excel/2006/main">
          <x14:cfRule type="containsText" priority="1471" operator="containsText" text="FAIL" id="{73AC421F-F438-4925-962A-9FD0B33A0770}">
            <xm:f>NOT(ISERROR(SEARCH("FAIL",SUMMARY!L686)))</xm:f>
            <x14:dxf>
              <font>
                <b/>
                <i/>
                <color theme="0"/>
              </font>
              <fill>
                <patternFill>
                  <bgColor rgb="FFFF0000"/>
                </patternFill>
              </fill>
            </x14:dxf>
          </x14:cfRule>
          <xm:sqref>L671</xm:sqref>
        </x14:conditionalFormatting>
        <x14:conditionalFormatting xmlns:xm="http://schemas.microsoft.com/office/excel/2006/main">
          <x14:cfRule type="containsText" priority="1473" operator="containsText" text="GOOD" id="{120245E0-71AC-42FE-A472-468B2136BA49}">
            <xm:f>NOT(ISERROR(SEARCH("GOOD",SUMMARY!L686)))</xm:f>
            <x14:dxf>
              <font>
                <b/>
                <i/>
                <color theme="0"/>
              </font>
              <fill>
                <patternFill>
                  <bgColor rgb="FF00B050"/>
                </patternFill>
              </fill>
            </x14:dxf>
          </x14:cfRule>
          <xm:sqref>L671</xm:sqref>
        </x14:conditionalFormatting>
        <x14:conditionalFormatting xmlns:xm="http://schemas.microsoft.com/office/excel/2006/main">
          <x14:cfRule type="containsText" priority="1520" operator="containsText" text="FAIL" id="{97AC77CF-E290-44D8-89CF-DB02DC0E3541}">
            <xm:f>NOT(ISERROR(SEARCH("FAIL",SUMMARY!L262)))</xm:f>
            <x14:dxf>
              <font>
                <b/>
                <i/>
                <color theme="0"/>
              </font>
              <fill>
                <patternFill>
                  <bgColor rgb="FFFF0000"/>
                </patternFill>
              </fill>
            </x14:dxf>
          </x14:cfRule>
          <xm:sqref>L278:L286</xm:sqref>
        </x14:conditionalFormatting>
        <x14:conditionalFormatting xmlns:xm="http://schemas.microsoft.com/office/excel/2006/main">
          <x14:cfRule type="containsText" priority="1521" operator="containsText" text="GOOD" id="{68DD8482-39C9-4D7A-B5DB-83F360C85D39}">
            <xm:f>NOT(ISERROR(SEARCH("GOOD",SUMMARY!L262)))</xm:f>
            <x14:dxf>
              <font>
                <b/>
                <i/>
                <color theme="0"/>
              </font>
              <fill>
                <patternFill>
                  <bgColor rgb="FF00B050"/>
                </patternFill>
              </fill>
            </x14:dxf>
          </x14:cfRule>
          <xm:sqref>L278:L286</xm:sqref>
        </x14:conditionalFormatting>
        <x14:conditionalFormatting xmlns:xm="http://schemas.microsoft.com/office/excel/2006/main">
          <x14:cfRule type="containsText" priority="69" operator="containsText" text="FAIL" id="{5D2C375D-36CF-40E7-ACB4-B55401AF7AEE}">
            <xm:f>NOT(ISERROR(SEARCH("FAIL",SUMMARY!L482)))</xm:f>
            <x14:dxf>
              <font>
                <b/>
                <i/>
                <color theme="0"/>
              </font>
              <fill>
                <patternFill>
                  <bgColor rgb="FFFF0000"/>
                </patternFill>
              </fill>
            </x14:dxf>
          </x14:cfRule>
          <xm:sqref>L460</xm:sqref>
        </x14:conditionalFormatting>
        <x14:conditionalFormatting xmlns:xm="http://schemas.microsoft.com/office/excel/2006/main">
          <x14:cfRule type="containsText" priority="1522" operator="containsText" text="GOOD" id="{FC931B52-0C7C-4E0B-84AF-57995D097503}">
            <xm:f>NOT(ISERROR(SEARCH("GOOD",SUMMARY!L482)))</xm:f>
            <x14:dxf>
              <font>
                <b/>
                <i/>
                <color theme="0"/>
              </font>
              <fill>
                <patternFill>
                  <bgColor rgb="FF00B050"/>
                </patternFill>
              </fill>
            </x14:dxf>
          </x14:cfRule>
          <xm:sqref>L460</xm:sqref>
        </x14:conditionalFormatting>
      </x14:conditionalFormattings>
    </ext>
  </extLst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900-000000000000}">
  <sheetPr codeName="Sheet139">
    <tabColor rgb="FFFF0000"/>
  </sheetPr>
  <dimension ref="A2:O45"/>
  <sheetViews>
    <sheetView workbookViewId="0">
      <selection activeCell="M26" sqref="M26"/>
    </sheetView>
  </sheetViews>
  <sheetFormatPr defaultRowHeight="15" x14ac:dyDescent="0.25"/>
  <cols>
    <col min="1" max="2" width="4.42578125" customWidth="1"/>
    <col min="3" max="3" width="3" customWidth="1"/>
    <col min="4" max="4" width="24.85546875" customWidth="1"/>
    <col min="5" max="5" width="3" customWidth="1"/>
    <col min="6" max="6" width="15.7109375" customWidth="1"/>
    <col min="7" max="7" width="8.5703125" customWidth="1"/>
    <col min="8" max="8" width="5.85546875" customWidth="1"/>
    <col min="9" max="15" width="15.7109375" customWidth="1"/>
  </cols>
  <sheetData>
    <row r="2" spans="1:11" x14ac:dyDescent="0.25">
      <c r="C2" s="15" t="s">
        <v>32</v>
      </c>
      <c r="E2" s="15"/>
      <c r="F2" s="15"/>
      <c r="G2" s="15" t="s">
        <v>33</v>
      </c>
      <c r="H2" s="15"/>
      <c r="I2" s="15"/>
      <c r="J2" s="15"/>
      <c r="K2" s="15"/>
    </row>
    <row r="3" spans="1:11" ht="18.75" x14ac:dyDescent="0.3">
      <c r="C3" s="3" t="s">
        <v>26</v>
      </c>
      <c r="J3" s="8" t="s">
        <v>17</v>
      </c>
    </row>
    <row r="4" spans="1:11" x14ac:dyDescent="0.25">
      <c r="D4" s="2" t="s">
        <v>0</v>
      </c>
      <c r="E4" s="1"/>
      <c r="F4" t="s">
        <v>102</v>
      </c>
      <c r="I4" s="2" t="s">
        <v>4</v>
      </c>
    </row>
    <row r="5" spans="1:11" x14ac:dyDescent="0.25">
      <c r="D5" s="2" t="s">
        <v>1</v>
      </c>
      <c r="F5" t="s">
        <v>228</v>
      </c>
    </row>
    <row r="6" spans="1:11" x14ac:dyDescent="0.25">
      <c r="D6" s="2" t="s">
        <v>2</v>
      </c>
      <c r="F6" s="6">
        <v>42297</v>
      </c>
      <c r="H6" s="11"/>
    </row>
    <row r="7" spans="1:11" x14ac:dyDescent="0.25">
      <c r="D7" s="2" t="s">
        <v>3</v>
      </c>
      <c r="F7" s="5">
        <v>900000</v>
      </c>
      <c r="G7" s="23" t="s">
        <v>187</v>
      </c>
      <c r="H7" s="11"/>
    </row>
    <row r="8" spans="1:11" x14ac:dyDescent="0.25">
      <c r="D8" s="2" t="s">
        <v>18</v>
      </c>
      <c r="F8" s="5">
        <f>MIN(I23:I41)</f>
        <v>2997984.5</v>
      </c>
      <c r="H8" s="11"/>
    </row>
    <row r="9" spans="1:11" x14ac:dyDescent="0.25">
      <c r="D9" s="2" t="s">
        <v>67</v>
      </c>
      <c r="F9" s="4">
        <f>+F8-F7</f>
        <v>2097984.5</v>
      </c>
      <c r="G9" s="16">
        <f>+F9/F7</f>
        <v>2.3310938888888888</v>
      </c>
      <c r="H9" s="12" t="s">
        <v>20</v>
      </c>
      <c r="I9" s="11" t="str">
        <f>(IF(G9&lt;-0.1,"FAIL",IF(G9&gt;0.05,"FAIL","GOOD")))</f>
        <v>FAIL</v>
      </c>
      <c r="J9" s="14" t="s">
        <v>72</v>
      </c>
    </row>
    <row r="10" spans="1:11" x14ac:dyDescent="0.25">
      <c r="D10" s="2" t="s">
        <v>68</v>
      </c>
      <c r="F10" s="4">
        <f>+F7-F12</f>
        <v>-2802842.25</v>
      </c>
      <c r="H10" s="11"/>
    </row>
    <row r="11" spans="1:11" x14ac:dyDescent="0.25">
      <c r="A11" s="30"/>
      <c r="D11" s="2" t="s">
        <v>71</v>
      </c>
      <c r="F11" s="11" t="str">
        <f>(IF(F7&lt;J12,"FAIL",IF(F7&gt;J13,"FAIL","GOOD")))</f>
        <v>FAIL</v>
      </c>
      <c r="H11" s="11"/>
    </row>
    <row r="12" spans="1:11" x14ac:dyDescent="0.25">
      <c r="D12" s="2" t="s">
        <v>28</v>
      </c>
      <c r="F12" s="4">
        <f>SUM(I23:I41)/H12</f>
        <v>3702842.25</v>
      </c>
      <c r="G12" s="14"/>
      <c r="H12" s="11">
        <f>COUNT(I23:I41)</f>
        <v>2</v>
      </c>
      <c r="I12" s="1" t="s">
        <v>31</v>
      </c>
      <c r="J12" s="4">
        <f>+F8*0.9</f>
        <v>2698186.0500000003</v>
      </c>
      <c r="K12" s="1" t="s">
        <v>69</v>
      </c>
    </row>
    <row r="13" spans="1:11" x14ac:dyDescent="0.25">
      <c r="D13" s="2" t="s">
        <v>29</v>
      </c>
      <c r="F13" s="4">
        <f>MAX(I23:I41)-MIN(I23:I41)</f>
        <v>1409715.5</v>
      </c>
      <c r="G13" s="399">
        <f>MEDIAN(I23:I41)</f>
        <v>3702842.25</v>
      </c>
      <c r="H13" s="400"/>
      <c r="I13" s="1" t="s">
        <v>30</v>
      </c>
      <c r="J13" s="4">
        <f>+F12*1.1</f>
        <v>4073126.4750000006</v>
      </c>
      <c r="K13" s="1" t="s">
        <v>70</v>
      </c>
    </row>
    <row r="14" spans="1:11" x14ac:dyDescent="0.25">
      <c r="H14" s="11"/>
    </row>
    <row r="15" spans="1:11" x14ac:dyDescent="0.25">
      <c r="D15" s="2" t="s">
        <v>8</v>
      </c>
      <c r="F15" s="4"/>
      <c r="G15" s="1" t="s">
        <v>9</v>
      </c>
      <c r="H15" s="11"/>
      <c r="I15" t="s">
        <v>15</v>
      </c>
      <c r="J15" s="7" t="e">
        <f>+F16/F15</f>
        <v>#DIV/0!</v>
      </c>
    </row>
    <row r="16" spans="1:11" x14ac:dyDescent="0.25">
      <c r="F16" s="4"/>
      <c r="G16" s="1" t="s">
        <v>10</v>
      </c>
      <c r="H16" s="11"/>
      <c r="I16" t="s">
        <v>14</v>
      </c>
      <c r="J16" s="7" t="e">
        <f>+F17/F16</f>
        <v>#DIV/0!</v>
      </c>
    </row>
    <row r="17" spans="3:15" x14ac:dyDescent="0.25">
      <c r="F17" s="4"/>
      <c r="G17" s="1" t="s">
        <v>11</v>
      </c>
      <c r="H17" s="11"/>
      <c r="I17" t="s">
        <v>13</v>
      </c>
      <c r="J17" s="7" t="e">
        <f>+F18/F17</f>
        <v>#DIV/0!</v>
      </c>
      <c r="M17" s="21"/>
      <c r="N17" s="21"/>
      <c r="O17" s="21"/>
    </row>
    <row r="18" spans="3:15" x14ac:dyDescent="0.25">
      <c r="F18" s="4"/>
      <c r="G18" s="1" t="s">
        <v>12</v>
      </c>
      <c r="H18" s="11"/>
      <c r="I18" t="s">
        <v>16</v>
      </c>
      <c r="J18" s="7" t="e">
        <f>+F8/F18</f>
        <v>#DIV/0!</v>
      </c>
      <c r="M18" s="21"/>
      <c r="N18" s="21"/>
      <c r="O18" s="21"/>
    </row>
    <row r="19" spans="3:15" x14ac:dyDescent="0.25">
      <c r="F19" s="2" t="s">
        <v>51</v>
      </c>
      <c r="H19" s="11" t="s">
        <v>52</v>
      </c>
      <c r="I19" t="s">
        <v>41</v>
      </c>
      <c r="J19" s="7" t="e">
        <f>+F8/F15</f>
        <v>#DIV/0!</v>
      </c>
      <c r="M19" s="21"/>
      <c r="N19" s="21"/>
      <c r="O19" s="21"/>
    </row>
    <row r="20" spans="3:15" x14ac:dyDescent="0.25">
      <c r="H20" s="11"/>
      <c r="M20" s="21"/>
      <c r="N20" s="21"/>
      <c r="O20" s="21"/>
    </row>
    <row r="21" spans="3:15" x14ac:dyDescent="0.25">
      <c r="C21" s="9"/>
      <c r="D21" s="13" t="s">
        <v>21</v>
      </c>
      <c r="E21" s="9"/>
      <c r="F21" s="9" t="s">
        <v>22</v>
      </c>
      <c r="G21" s="9" t="s">
        <v>23</v>
      </c>
      <c r="H21" s="13" t="s">
        <v>27</v>
      </c>
      <c r="I21" s="10" t="s">
        <v>24</v>
      </c>
      <c r="J21" s="9"/>
      <c r="K21" s="9"/>
      <c r="L21" s="9"/>
      <c r="M21" s="21"/>
      <c r="N21" s="21"/>
      <c r="O21" s="21"/>
    </row>
    <row r="22" spans="3:15" ht="6" customHeight="1" x14ac:dyDescent="0.25">
      <c r="M22" s="21"/>
      <c r="N22" s="21"/>
      <c r="O22" s="21"/>
    </row>
    <row r="23" spans="3:15" x14ac:dyDescent="0.25">
      <c r="C23" s="33" t="str">
        <f>IF(H23=1,"u","")</f>
        <v>u</v>
      </c>
      <c r="D23" s="11" t="s">
        <v>793</v>
      </c>
      <c r="E23" s="33"/>
      <c r="F23" t="s">
        <v>103</v>
      </c>
      <c r="G23" t="s">
        <v>93</v>
      </c>
      <c r="H23">
        <f>RANK(I23,I$23:I$41,1)</f>
        <v>1</v>
      </c>
      <c r="I23" s="4">
        <v>2997984.5</v>
      </c>
      <c r="J23" s="4"/>
      <c r="K23" s="4"/>
      <c r="L23" s="4"/>
      <c r="M23" s="22"/>
      <c r="N23" s="22"/>
      <c r="O23" s="22"/>
    </row>
    <row r="24" spans="3:15" x14ac:dyDescent="0.25">
      <c r="C24" s="33" t="str">
        <f>IF(H24=1,"u","")</f>
        <v/>
      </c>
      <c r="D24" s="11" t="s">
        <v>104</v>
      </c>
      <c r="E24" s="33"/>
      <c r="F24" t="s">
        <v>105</v>
      </c>
      <c r="G24" t="s">
        <v>93</v>
      </c>
      <c r="H24">
        <f>RANK(I24,I$23:I$41,1)</f>
        <v>2</v>
      </c>
      <c r="I24" s="4">
        <v>4407700</v>
      </c>
      <c r="J24" s="4"/>
      <c r="K24" s="4"/>
      <c r="L24" s="4"/>
      <c r="M24" s="22"/>
      <c r="N24" s="22"/>
      <c r="O24" s="22"/>
    </row>
    <row r="25" spans="3:15" x14ac:dyDescent="0.25">
      <c r="C25" s="33" t="str">
        <f t="shared" ref="C25:C41" si="0">IF(H25=1,"u","")</f>
        <v/>
      </c>
      <c r="D25" s="11"/>
      <c r="E25" s="33" t="str">
        <f t="shared" ref="E25:E41" si="1">IF(H25=1,"t","")</f>
        <v/>
      </c>
      <c r="I25" s="4"/>
      <c r="J25" s="4"/>
      <c r="K25" s="4"/>
      <c r="L25" s="4"/>
      <c r="M25" s="22"/>
      <c r="N25" s="22"/>
      <c r="O25" s="22"/>
    </row>
    <row r="26" spans="3:15" x14ac:dyDescent="0.25">
      <c r="C26" s="33" t="str">
        <f t="shared" si="0"/>
        <v/>
      </c>
      <c r="D26" s="11"/>
      <c r="E26" s="33" t="str">
        <f t="shared" si="1"/>
        <v/>
      </c>
      <c r="I26" s="4"/>
      <c r="J26" s="4"/>
      <c r="K26" s="4"/>
      <c r="L26" s="4"/>
      <c r="M26" s="22"/>
      <c r="N26" s="22"/>
      <c r="O26" s="22"/>
    </row>
    <row r="27" spans="3:15" x14ac:dyDescent="0.25">
      <c r="C27" s="33" t="str">
        <f t="shared" si="0"/>
        <v/>
      </c>
      <c r="D27" s="11"/>
      <c r="E27" s="33" t="str">
        <f t="shared" si="1"/>
        <v/>
      </c>
      <c r="I27" s="4"/>
      <c r="J27" s="4"/>
      <c r="K27" s="4"/>
      <c r="L27" s="4"/>
      <c r="M27" s="22"/>
      <c r="N27" s="22"/>
      <c r="O27" s="22"/>
    </row>
    <row r="28" spans="3:15" x14ac:dyDescent="0.25">
      <c r="C28" s="33" t="str">
        <f t="shared" si="0"/>
        <v/>
      </c>
      <c r="D28" s="11"/>
      <c r="E28" s="33" t="str">
        <f t="shared" si="1"/>
        <v/>
      </c>
      <c r="I28" s="4"/>
      <c r="J28" s="4"/>
      <c r="K28" s="4"/>
      <c r="L28" s="4"/>
      <c r="M28" s="22"/>
      <c r="N28" s="22"/>
      <c r="O28" s="22"/>
    </row>
    <row r="29" spans="3:15" x14ac:dyDescent="0.25">
      <c r="C29" s="33" t="str">
        <f t="shared" si="0"/>
        <v/>
      </c>
      <c r="D29" s="11"/>
      <c r="E29" s="33" t="str">
        <f t="shared" si="1"/>
        <v/>
      </c>
      <c r="I29" s="4"/>
      <c r="J29" s="4"/>
      <c r="K29" s="4"/>
      <c r="L29" s="4"/>
      <c r="M29" s="22"/>
      <c r="N29" s="22"/>
      <c r="O29" s="22"/>
    </row>
    <row r="30" spans="3:15" x14ac:dyDescent="0.25">
      <c r="C30" s="33" t="str">
        <f t="shared" si="0"/>
        <v/>
      </c>
      <c r="D30" s="11"/>
      <c r="E30" s="33" t="str">
        <f t="shared" si="1"/>
        <v/>
      </c>
      <c r="I30" s="4"/>
      <c r="J30" s="4"/>
      <c r="K30" s="4"/>
      <c r="L30" s="4"/>
      <c r="M30" s="22"/>
      <c r="N30" s="22"/>
      <c r="O30" s="22"/>
    </row>
    <row r="31" spans="3:15" x14ac:dyDescent="0.25">
      <c r="C31" s="33" t="str">
        <f t="shared" si="0"/>
        <v/>
      </c>
      <c r="D31" s="11"/>
      <c r="E31" s="33" t="str">
        <f t="shared" si="1"/>
        <v/>
      </c>
      <c r="M31" s="21"/>
      <c r="N31" s="21"/>
      <c r="O31" s="21"/>
    </row>
    <row r="32" spans="3:15" x14ac:dyDescent="0.25">
      <c r="C32" s="33" t="str">
        <f t="shared" si="0"/>
        <v/>
      </c>
      <c r="D32" s="11"/>
      <c r="E32" s="33" t="str">
        <f t="shared" si="1"/>
        <v/>
      </c>
      <c r="M32" s="21"/>
      <c r="N32" s="21"/>
      <c r="O32" s="21"/>
    </row>
    <row r="33" spans="3:15" x14ac:dyDescent="0.25">
      <c r="C33" s="33" t="str">
        <f t="shared" si="0"/>
        <v/>
      </c>
      <c r="D33" s="11"/>
      <c r="E33" s="33" t="str">
        <f t="shared" si="1"/>
        <v/>
      </c>
      <c r="M33" s="21"/>
      <c r="N33" s="21"/>
      <c r="O33" s="21"/>
    </row>
    <row r="34" spans="3:15" x14ac:dyDescent="0.25">
      <c r="C34" s="33" t="str">
        <f t="shared" si="0"/>
        <v/>
      </c>
      <c r="D34" s="11"/>
      <c r="E34" s="33" t="str">
        <f t="shared" si="1"/>
        <v/>
      </c>
      <c r="M34" s="21"/>
      <c r="N34" s="21"/>
      <c r="O34" s="21"/>
    </row>
    <row r="35" spans="3:15" x14ac:dyDescent="0.25">
      <c r="C35" s="33" t="str">
        <f t="shared" si="0"/>
        <v/>
      </c>
      <c r="D35" s="11"/>
      <c r="E35" s="33" t="str">
        <f t="shared" si="1"/>
        <v/>
      </c>
      <c r="M35" s="21"/>
      <c r="N35" s="21"/>
      <c r="O35" s="21"/>
    </row>
    <row r="36" spans="3:15" x14ac:dyDescent="0.25">
      <c r="C36" s="33" t="str">
        <f t="shared" si="0"/>
        <v/>
      </c>
      <c r="D36" s="11"/>
      <c r="E36" s="33" t="str">
        <f t="shared" si="1"/>
        <v/>
      </c>
      <c r="M36" s="21"/>
      <c r="N36" s="21"/>
      <c r="O36" s="21"/>
    </row>
    <row r="37" spans="3:15" x14ac:dyDescent="0.25">
      <c r="C37" s="33" t="str">
        <f t="shared" si="0"/>
        <v/>
      </c>
      <c r="D37" s="11"/>
      <c r="E37" s="33" t="str">
        <f t="shared" si="1"/>
        <v/>
      </c>
      <c r="M37" s="21"/>
      <c r="N37" s="21"/>
      <c r="O37" s="21"/>
    </row>
    <row r="38" spans="3:15" x14ac:dyDescent="0.25">
      <c r="C38" s="33" t="str">
        <f t="shared" si="0"/>
        <v/>
      </c>
      <c r="D38" s="11"/>
      <c r="E38" s="33" t="str">
        <f t="shared" si="1"/>
        <v/>
      </c>
      <c r="M38" s="21"/>
      <c r="N38" s="21"/>
      <c r="O38" s="21"/>
    </row>
    <row r="39" spans="3:15" x14ac:dyDescent="0.25">
      <c r="C39" s="33" t="str">
        <f t="shared" si="0"/>
        <v/>
      </c>
      <c r="D39" s="11"/>
      <c r="E39" s="33" t="str">
        <f t="shared" si="1"/>
        <v/>
      </c>
      <c r="M39" s="21"/>
      <c r="N39" s="21"/>
      <c r="O39" s="21"/>
    </row>
    <row r="40" spans="3:15" x14ac:dyDescent="0.25">
      <c r="C40" s="33" t="str">
        <f t="shared" si="0"/>
        <v/>
      </c>
      <c r="D40" s="11"/>
      <c r="E40" s="33" t="str">
        <f t="shared" si="1"/>
        <v/>
      </c>
      <c r="M40" s="21"/>
      <c r="N40" s="21"/>
      <c r="O40" s="21"/>
    </row>
    <row r="41" spans="3:15" x14ac:dyDescent="0.25">
      <c r="C41" s="33" t="str">
        <f t="shared" si="0"/>
        <v/>
      </c>
      <c r="D41" s="11"/>
      <c r="E41" s="33" t="str">
        <f t="shared" si="1"/>
        <v/>
      </c>
      <c r="M41" s="21"/>
      <c r="N41" s="21"/>
      <c r="O41" s="21"/>
    </row>
    <row r="42" spans="3:15" ht="6" customHeight="1" x14ac:dyDescent="0.25">
      <c r="C42" s="9"/>
      <c r="D42" s="9"/>
      <c r="E42" s="9"/>
      <c r="F42" s="9"/>
      <c r="G42" s="9"/>
      <c r="H42" s="9"/>
      <c r="I42" s="9"/>
      <c r="J42" s="9"/>
      <c r="K42" s="9"/>
      <c r="L42" s="9"/>
      <c r="M42" s="21"/>
      <c r="N42" s="21"/>
      <c r="O42" s="21"/>
    </row>
    <row r="43" spans="3:15" ht="6" customHeight="1" x14ac:dyDescent="0.25">
      <c r="M43" s="21"/>
      <c r="N43" s="21"/>
      <c r="O43" s="21"/>
    </row>
    <row r="44" spans="3:15" x14ac:dyDescent="0.25">
      <c r="C44" s="15" t="s">
        <v>79</v>
      </c>
      <c r="M44" s="21"/>
      <c r="N44" s="21"/>
      <c r="O44" s="21"/>
    </row>
    <row r="45" spans="3:15" x14ac:dyDescent="0.25">
      <c r="C45" s="15" t="s">
        <v>78</v>
      </c>
    </row>
  </sheetData>
  <mergeCells count="1">
    <mergeCell ref="G13:H13"/>
  </mergeCells>
  <conditionalFormatting sqref="I9">
    <cfRule type="containsText" dxfId="426" priority="10" operator="containsText" text="FAIL">
      <formula>NOT(ISERROR(SEARCH("FAIL",I9)))</formula>
    </cfRule>
  </conditionalFormatting>
  <conditionalFormatting sqref="I9">
    <cfRule type="containsText" dxfId="425" priority="9" operator="containsText" text="GOOD">
      <formula>NOT(ISERROR(SEARCH("GOOD",I9)))</formula>
    </cfRule>
  </conditionalFormatting>
  <conditionalFormatting sqref="F11">
    <cfRule type="containsText" dxfId="424" priority="8" operator="containsText" text="FAIL">
      <formula>NOT(ISERROR(SEARCH("FAIL",F11)))</formula>
    </cfRule>
  </conditionalFormatting>
  <conditionalFormatting sqref="F11">
    <cfRule type="containsText" dxfId="423" priority="7" operator="containsText" text="GOOD">
      <formula>NOT(ISERROR(SEARCH("GOOD",F11)))</formula>
    </cfRule>
  </conditionalFormatting>
  <conditionalFormatting sqref="D23:D41">
    <cfRule type="expression" dxfId="422" priority="5">
      <formula>H23=1</formula>
    </cfRule>
  </conditionalFormatting>
  <conditionalFormatting sqref="C23:C41">
    <cfRule type="expression" dxfId="421" priority="4">
      <formula>H23=1</formula>
    </cfRule>
  </conditionalFormatting>
  <conditionalFormatting sqref="E23:E41">
    <cfRule type="expression" dxfId="420" priority="3">
      <formula>H23=1</formula>
    </cfRule>
  </conditionalFormatting>
  <pageMargins left="0.7" right="0.7" top="0.75" bottom="0.75" header="0.3" footer="0.3"/>
  <pageSetup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sheetPr codeName="Sheet89">
    <tabColor rgb="FFFF0000"/>
  </sheetPr>
  <dimension ref="A2:O47"/>
  <sheetViews>
    <sheetView zoomScaleNormal="100" workbookViewId="0">
      <selection activeCell="M18" sqref="M18"/>
    </sheetView>
  </sheetViews>
  <sheetFormatPr defaultRowHeight="15" x14ac:dyDescent="0.25"/>
  <cols>
    <col min="1" max="2" width="4.42578125" customWidth="1"/>
    <col min="3" max="3" width="3" customWidth="1"/>
    <col min="4" max="4" width="24.85546875" customWidth="1"/>
    <col min="5" max="5" width="3" customWidth="1"/>
    <col min="6" max="6" width="15.7109375" customWidth="1"/>
    <col min="7" max="7" width="8.5703125" customWidth="1"/>
    <col min="8" max="8" width="5.85546875" customWidth="1"/>
    <col min="9" max="15" width="15.7109375" customWidth="1"/>
  </cols>
  <sheetData>
    <row r="2" spans="1:11" x14ac:dyDescent="0.25">
      <c r="C2" s="15" t="s">
        <v>32</v>
      </c>
      <c r="E2" s="15"/>
      <c r="F2" s="15"/>
      <c r="G2" s="15" t="s">
        <v>33</v>
      </c>
      <c r="H2" s="15"/>
      <c r="I2" s="15"/>
      <c r="J2" s="15"/>
      <c r="K2" s="15"/>
    </row>
    <row r="3" spans="1:11" ht="18.75" x14ac:dyDescent="0.3">
      <c r="C3" s="3" t="s">
        <v>26</v>
      </c>
      <c r="J3" s="8" t="s">
        <v>17</v>
      </c>
    </row>
    <row r="4" spans="1:11" x14ac:dyDescent="0.25">
      <c r="D4" s="2" t="s">
        <v>0</v>
      </c>
      <c r="E4" s="1"/>
      <c r="F4" t="s">
        <v>776</v>
      </c>
      <c r="I4" s="2" t="s">
        <v>4</v>
      </c>
      <c r="J4" t="s">
        <v>630</v>
      </c>
    </row>
    <row r="5" spans="1:11" x14ac:dyDescent="0.25">
      <c r="D5" s="2" t="s">
        <v>1</v>
      </c>
      <c r="F5" t="s">
        <v>777</v>
      </c>
    </row>
    <row r="6" spans="1:11" x14ac:dyDescent="0.25">
      <c r="D6" s="2" t="s">
        <v>2</v>
      </c>
      <c r="F6" s="6">
        <v>42691</v>
      </c>
      <c r="H6" s="11"/>
    </row>
    <row r="7" spans="1:11" x14ac:dyDescent="0.25">
      <c r="D7" s="2" t="s">
        <v>3</v>
      </c>
      <c r="F7" s="5">
        <v>1400000</v>
      </c>
      <c r="G7" s="2" t="s">
        <v>693</v>
      </c>
      <c r="H7" s="11"/>
    </row>
    <row r="8" spans="1:11" x14ac:dyDescent="0.25">
      <c r="D8" s="2" t="s">
        <v>18</v>
      </c>
      <c r="F8" s="5">
        <f>MIN(I23:I43)</f>
        <v>529000</v>
      </c>
      <c r="H8" s="11"/>
    </row>
    <row r="9" spans="1:11" x14ac:dyDescent="0.25">
      <c r="D9" s="2" t="s">
        <v>67</v>
      </c>
      <c r="F9" s="4">
        <f>+F8-F7</f>
        <v>-871000</v>
      </c>
      <c r="G9" s="16">
        <f>+F9/F7</f>
        <v>-0.62214285714285711</v>
      </c>
      <c r="H9" s="12" t="s">
        <v>20</v>
      </c>
      <c r="I9" s="11" t="str">
        <f>(IF(G9&lt;-0.1,"FAIL",IF(G9&gt;0.05,"FAIL","GOOD")))</f>
        <v>FAIL</v>
      </c>
      <c r="J9" s="14" t="s">
        <v>72</v>
      </c>
    </row>
    <row r="10" spans="1:11" x14ac:dyDescent="0.25">
      <c r="D10" s="2" t="s">
        <v>68</v>
      </c>
      <c r="F10" s="4">
        <f>+F7-F12</f>
        <v>-547624</v>
      </c>
      <c r="H10" s="11"/>
    </row>
    <row r="11" spans="1:11" x14ac:dyDescent="0.25">
      <c r="A11" s="52"/>
      <c r="D11" s="2" t="s">
        <v>71</v>
      </c>
      <c r="F11" s="11" t="str">
        <f>(IF(F7&lt;J12,"FAIL",IF(F7&gt;J13,"FAIL","GOOD")))</f>
        <v>GOOD</v>
      </c>
      <c r="H11" s="11"/>
    </row>
    <row r="12" spans="1:11" x14ac:dyDescent="0.25">
      <c r="D12" s="2" t="s">
        <v>28</v>
      </c>
      <c r="F12" s="4">
        <f>SUM(I23:I43)/H12</f>
        <v>1947624</v>
      </c>
      <c r="G12" s="14"/>
      <c r="H12" s="11">
        <f>COUNT(I23:I43)</f>
        <v>6</v>
      </c>
      <c r="I12" s="1" t="s">
        <v>31</v>
      </c>
      <c r="J12" s="4">
        <f>+F8*0.9</f>
        <v>476100</v>
      </c>
      <c r="K12" s="1" t="s">
        <v>69</v>
      </c>
    </row>
    <row r="13" spans="1:11" x14ac:dyDescent="0.25">
      <c r="D13" s="2" t="s">
        <v>29</v>
      </c>
      <c r="F13" s="4">
        <f>MAX(I23:I43)-MIN(I23:I43)</f>
        <v>2901000</v>
      </c>
      <c r="G13" s="399">
        <f>MEDIAN(I23:I43)</f>
        <v>1709372</v>
      </c>
      <c r="H13" s="400"/>
      <c r="I13" s="1" t="s">
        <v>30</v>
      </c>
      <c r="J13" s="4">
        <f>+F12*1.1</f>
        <v>2142386.4000000004</v>
      </c>
      <c r="K13" s="1" t="s">
        <v>70</v>
      </c>
    </row>
    <row r="14" spans="1:11" x14ac:dyDescent="0.25">
      <c r="H14" s="11"/>
    </row>
    <row r="15" spans="1:11" x14ac:dyDescent="0.25">
      <c r="D15" s="2" t="s">
        <v>8</v>
      </c>
      <c r="F15" s="4"/>
      <c r="G15" s="1" t="s">
        <v>9</v>
      </c>
      <c r="H15" s="11"/>
      <c r="I15" t="s">
        <v>15</v>
      </c>
      <c r="J15" s="7" t="e">
        <f>+F16/F15</f>
        <v>#DIV/0!</v>
      </c>
    </row>
    <row r="16" spans="1:11" x14ac:dyDescent="0.25">
      <c r="F16" s="4"/>
      <c r="G16" s="1" t="s">
        <v>10</v>
      </c>
      <c r="H16" s="11"/>
      <c r="I16" t="s">
        <v>14</v>
      </c>
      <c r="J16" s="7" t="e">
        <f>+F17/F16</f>
        <v>#DIV/0!</v>
      </c>
    </row>
    <row r="17" spans="3:15" x14ac:dyDescent="0.25">
      <c r="F17" s="4"/>
      <c r="G17" s="1" t="s">
        <v>11</v>
      </c>
      <c r="H17" s="11"/>
      <c r="I17" t="s">
        <v>13</v>
      </c>
      <c r="J17" s="7" t="e">
        <f>+F18/F17</f>
        <v>#DIV/0!</v>
      </c>
      <c r="M17" s="21"/>
      <c r="N17" s="21"/>
      <c r="O17" s="21"/>
    </row>
    <row r="18" spans="3:15" x14ac:dyDescent="0.25">
      <c r="F18" s="4"/>
      <c r="G18" s="1" t="s">
        <v>12</v>
      </c>
      <c r="H18" s="11"/>
      <c r="I18" t="s">
        <v>16</v>
      </c>
      <c r="J18" s="7" t="e">
        <f>+F8/F18</f>
        <v>#DIV/0!</v>
      </c>
      <c r="M18" s="21"/>
      <c r="N18" s="21"/>
      <c r="O18" s="21"/>
    </row>
    <row r="19" spans="3:15" x14ac:dyDescent="0.25">
      <c r="F19" s="2" t="s">
        <v>51</v>
      </c>
      <c r="G19">
        <v>0</v>
      </c>
      <c r="H19" s="11" t="s">
        <v>52</v>
      </c>
      <c r="I19" t="s">
        <v>41</v>
      </c>
      <c r="J19" s="7" t="e">
        <f>+F8/F15</f>
        <v>#DIV/0!</v>
      </c>
      <c r="M19" s="21"/>
      <c r="N19" s="21"/>
      <c r="O19" s="21"/>
    </row>
    <row r="20" spans="3:15" x14ac:dyDescent="0.25">
      <c r="H20" s="11"/>
      <c r="M20" s="21"/>
      <c r="N20" s="21"/>
      <c r="O20" s="21"/>
    </row>
    <row r="21" spans="3:15" x14ac:dyDescent="0.25">
      <c r="C21" s="9"/>
      <c r="D21" s="13" t="s">
        <v>21</v>
      </c>
      <c r="E21" s="9"/>
      <c r="F21" s="9" t="s">
        <v>22</v>
      </c>
      <c r="G21" s="9" t="s">
        <v>23</v>
      </c>
      <c r="H21" s="13" t="s">
        <v>27</v>
      </c>
      <c r="I21" s="10" t="s">
        <v>24</v>
      </c>
      <c r="J21" s="9"/>
      <c r="K21" s="9"/>
      <c r="L21" s="9"/>
      <c r="M21" s="21"/>
      <c r="N21" s="21"/>
      <c r="O21" s="21"/>
    </row>
    <row r="22" spans="3:15" ht="6" customHeight="1" x14ac:dyDescent="0.25">
      <c r="M22" s="21"/>
      <c r="N22" s="21"/>
      <c r="O22" s="21"/>
    </row>
    <row r="23" spans="3:15" x14ac:dyDescent="0.25">
      <c r="C23" s="33" t="str">
        <f>IF(H23=1,"u","")</f>
        <v/>
      </c>
      <c r="D23" s="11" t="s">
        <v>792</v>
      </c>
      <c r="E23" s="33"/>
      <c r="F23" t="s">
        <v>778</v>
      </c>
      <c r="G23" t="s">
        <v>25</v>
      </c>
      <c r="H23">
        <f t="shared" ref="H23:H28" si="0">RANK(I23,I$23:I$43,1)</f>
        <v>6</v>
      </c>
      <c r="I23" s="4">
        <v>3430000</v>
      </c>
      <c r="J23" s="4"/>
      <c r="K23" s="4"/>
      <c r="L23" s="4"/>
      <c r="M23" s="22"/>
      <c r="N23" s="22"/>
      <c r="O23" s="22"/>
    </row>
    <row r="24" spans="3:15" x14ac:dyDescent="0.25">
      <c r="C24" s="33" t="str">
        <f>IF(H24=1,"u","")</f>
        <v/>
      </c>
      <c r="D24" s="11" t="s">
        <v>708</v>
      </c>
      <c r="E24" s="33"/>
      <c r="F24" t="s">
        <v>709</v>
      </c>
      <c r="G24" t="s">
        <v>93</v>
      </c>
      <c r="H24">
        <f t="shared" si="0"/>
        <v>4</v>
      </c>
      <c r="I24" s="4">
        <v>1765000</v>
      </c>
      <c r="J24" s="4"/>
      <c r="K24" s="4"/>
      <c r="L24" s="4"/>
      <c r="M24" s="22"/>
      <c r="N24" s="22"/>
      <c r="O24" s="22"/>
    </row>
    <row r="25" spans="3:15" x14ac:dyDescent="0.25">
      <c r="C25" s="33" t="str">
        <f>IF(H25=1,"u","")</f>
        <v>u</v>
      </c>
      <c r="D25" s="11" t="s">
        <v>779</v>
      </c>
      <c r="E25" s="33"/>
      <c r="F25" t="s">
        <v>109</v>
      </c>
      <c r="G25" t="s">
        <v>25</v>
      </c>
      <c r="H25">
        <f t="shared" si="0"/>
        <v>1</v>
      </c>
      <c r="I25" s="4">
        <v>529000</v>
      </c>
      <c r="J25" s="4"/>
      <c r="K25" s="4"/>
      <c r="L25" s="4"/>
      <c r="M25" s="22"/>
      <c r="N25" s="22"/>
      <c r="O25" s="22"/>
    </row>
    <row r="26" spans="3:15" x14ac:dyDescent="0.25">
      <c r="C26" s="33" t="str">
        <f t="shared" ref="C26:C43" si="1">IF(H26=1,"u","")</f>
        <v/>
      </c>
      <c r="D26" s="11" t="s">
        <v>725</v>
      </c>
      <c r="E26" s="33"/>
      <c r="F26" t="s">
        <v>780</v>
      </c>
      <c r="G26" t="s">
        <v>25</v>
      </c>
      <c r="H26">
        <f t="shared" si="0"/>
        <v>5</v>
      </c>
      <c r="I26" s="4">
        <v>2700000</v>
      </c>
      <c r="J26" s="4"/>
      <c r="K26" s="4"/>
      <c r="L26" s="4"/>
      <c r="M26" s="22"/>
      <c r="N26" s="22"/>
      <c r="O26" s="22"/>
    </row>
    <row r="27" spans="3:15" x14ac:dyDescent="0.25">
      <c r="C27" s="33" t="str">
        <f>IF(H27=1,"u","")</f>
        <v/>
      </c>
      <c r="D27" s="11" t="s">
        <v>781</v>
      </c>
      <c r="E27" s="33"/>
      <c r="F27" t="s">
        <v>92</v>
      </c>
      <c r="G27" t="s">
        <v>93</v>
      </c>
      <c r="H27">
        <f t="shared" si="0"/>
        <v>2</v>
      </c>
      <c r="I27" s="4">
        <v>1608000</v>
      </c>
      <c r="J27" s="4"/>
      <c r="K27" s="4"/>
      <c r="L27" s="4"/>
      <c r="M27" s="22"/>
      <c r="N27" s="22"/>
      <c r="O27" s="22"/>
    </row>
    <row r="28" spans="3:15" x14ac:dyDescent="0.25">
      <c r="C28" s="33" t="str">
        <f>IF(H28=1,"u","")</f>
        <v/>
      </c>
      <c r="D28" s="11" t="s">
        <v>446</v>
      </c>
      <c r="E28" s="33"/>
      <c r="F28" t="s">
        <v>95</v>
      </c>
      <c r="G28" t="s">
        <v>93</v>
      </c>
      <c r="H28">
        <f t="shared" si="0"/>
        <v>3</v>
      </c>
      <c r="I28" s="4">
        <v>1653744</v>
      </c>
      <c r="J28" s="4"/>
      <c r="K28" s="4"/>
      <c r="L28" s="4"/>
      <c r="M28" s="22"/>
      <c r="N28" s="22"/>
      <c r="O28" s="22"/>
    </row>
    <row r="29" spans="3:15" x14ac:dyDescent="0.25">
      <c r="C29" s="33" t="str">
        <f t="shared" si="1"/>
        <v/>
      </c>
      <c r="D29" s="11"/>
      <c r="E29" s="33"/>
      <c r="I29" s="4"/>
      <c r="J29" s="4"/>
      <c r="K29" s="4"/>
      <c r="L29" s="4"/>
      <c r="M29" s="22"/>
      <c r="N29" s="22"/>
      <c r="O29" s="22"/>
    </row>
    <row r="30" spans="3:15" x14ac:dyDescent="0.25">
      <c r="C30" s="33" t="str">
        <f t="shared" si="1"/>
        <v/>
      </c>
      <c r="D30" s="11"/>
      <c r="E30" s="33"/>
      <c r="I30" s="4"/>
      <c r="J30" s="4"/>
      <c r="K30" s="4"/>
      <c r="L30" s="4"/>
      <c r="M30" s="22"/>
      <c r="N30" s="22"/>
      <c r="O30" s="22"/>
    </row>
    <row r="31" spans="3:15" x14ac:dyDescent="0.25">
      <c r="C31" s="33" t="str">
        <f t="shared" si="1"/>
        <v/>
      </c>
      <c r="D31" s="11"/>
      <c r="E31" s="33"/>
      <c r="I31" s="4"/>
      <c r="J31" s="4"/>
      <c r="K31" s="4"/>
      <c r="L31" s="4"/>
      <c r="M31" s="22"/>
      <c r="N31" s="22"/>
      <c r="O31" s="22"/>
    </row>
    <row r="32" spans="3:15" x14ac:dyDescent="0.25">
      <c r="C32" s="33" t="str">
        <f t="shared" si="1"/>
        <v/>
      </c>
      <c r="D32" s="11"/>
      <c r="E32" s="33"/>
      <c r="I32" s="4"/>
      <c r="J32" s="4"/>
      <c r="K32" s="4"/>
      <c r="L32" s="4"/>
      <c r="M32" s="22"/>
      <c r="N32" s="22"/>
      <c r="O32" s="22"/>
    </row>
    <row r="33" spans="3:15" x14ac:dyDescent="0.25">
      <c r="C33" s="33" t="str">
        <f t="shared" si="1"/>
        <v/>
      </c>
      <c r="D33" s="11"/>
      <c r="E33" s="33"/>
      <c r="I33" s="4"/>
      <c r="M33" s="21"/>
      <c r="N33" s="21"/>
      <c r="O33" s="21"/>
    </row>
    <row r="34" spans="3:15" x14ac:dyDescent="0.25">
      <c r="C34" s="33" t="str">
        <f t="shared" si="1"/>
        <v/>
      </c>
      <c r="D34" s="11"/>
      <c r="E34" s="33" t="str">
        <f t="shared" ref="E34:E43" si="2">IF(H34=1,"t","")</f>
        <v/>
      </c>
      <c r="M34" s="21"/>
      <c r="N34" s="21"/>
      <c r="O34" s="21"/>
    </row>
    <row r="35" spans="3:15" x14ac:dyDescent="0.25">
      <c r="C35" s="33" t="str">
        <f t="shared" si="1"/>
        <v/>
      </c>
      <c r="D35" s="11"/>
      <c r="E35" s="33" t="str">
        <f t="shared" si="2"/>
        <v/>
      </c>
      <c r="M35" s="21"/>
      <c r="N35" s="21"/>
      <c r="O35" s="21"/>
    </row>
    <row r="36" spans="3:15" x14ac:dyDescent="0.25">
      <c r="C36" s="33" t="str">
        <f t="shared" si="1"/>
        <v/>
      </c>
      <c r="D36" s="11"/>
      <c r="E36" s="33" t="str">
        <f t="shared" si="2"/>
        <v/>
      </c>
      <c r="M36" s="21"/>
      <c r="N36" s="21"/>
      <c r="O36" s="21"/>
    </row>
    <row r="37" spans="3:15" x14ac:dyDescent="0.25">
      <c r="C37" s="33" t="str">
        <f t="shared" si="1"/>
        <v/>
      </c>
      <c r="D37" s="11"/>
      <c r="E37" s="33" t="str">
        <f t="shared" si="2"/>
        <v/>
      </c>
      <c r="M37" s="21"/>
      <c r="N37" s="21"/>
      <c r="O37" s="21"/>
    </row>
    <row r="38" spans="3:15" x14ac:dyDescent="0.25">
      <c r="C38" s="33" t="str">
        <f t="shared" si="1"/>
        <v/>
      </c>
      <c r="D38" s="11"/>
      <c r="E38" s="33" t="str">
        <f t="shared" si="2"/>
        <v/>
      </c>
      <c r="M38" s="21"/>
      <c r="N38" s="21"/>
      <c r="O38" s="21"/>
    </row>
    <row r="39" spans="3:15" x14ac:dyDescent="0.25">
      <c r="C39" s="33" t="str">
        <f t="shared" si="1"/>
        <v/>
      </c>
      <c r="D39" s="11"/>
      <c r="E39" s="33" t="str">
        <f t="shared" si="2"/>
        <v/>
      </c>
      <c r="M39" s="21"/>
      <c r="N39" s="21"/>
      <c r="O39" s="21"/>
    </row>
    <row r="40" spans="3:15" x14ac:dyDescent="0.25">
      <c r="C40" s="33" t="str">
        <f t="shared" si="1"/>
        <v/>
      </c>
      <c r="D40" s="11"/>
      <c r="E40" s="33" t="str">
        <f t="shared" si="2"/>
        <v/>
      </c>
      <c r="M40" s="21"/>
      <c r="N40" s="21"/>
      <c r="O40" s="21"/>
    </row>
    <row r="41" spans="3:15" x14ac:dyDescent="0.25">
      <c r="C41" s="33" t="str">
        <f t="shared" si="1"/>
        <v/>
      </c>
      <c r="D41" s="11"/>
      <c r="E41" s="33" t="str">
        <f t="shared" si="2"/>
        <v/>
      </c>
      <c r="M41" s="21"/>
      <c r="N41" s="21"/>
      <c r="O41" s="21"/>
    </row>
    <row r="42" spans="3:15" x14ac:dyDescent="0.25">
      <c r="C42" s="33" t="str">
        <f t="shared" si="1"/>
        <v/>
      </c>
      <c r="D42" s="11"/>
      <c r="E42" s="33" t="str">
        <f t="shared" si="2"/>
        <v/>
      </c>
      <c r="M42" s="21"/>
      <c r="N42" s="21"/>
      <c r="O42" s="21"/>
    </row>
    <row r="43" spans="3:15" x14ac:dyDescent="0.25">
      <c r="C43" s="33" t="str">
        <f t="shared" si="1"/>
        <v/>
      </c>
      <c r="D43" s="11"/>
      <c r="E43" s="33" t="str">
        <f t="shared" si="2"/>
        <v/>
      </c>
      <c r="M43" s="21"/>
      <c r="N43" s="21"/>
      <c r="O43" s="21"/>
    </row>
    <row r="44" spans="3:15" ht="6" customHeight="1" x14ac:dyDescent="0.25">
      <c r="C44" s="9"/>
      <c r="D44" s="9"/>
      <c r="E44" s="9"/>
      <c r="F44" s="9"/>
      <c r="G44" s="9"/>
      <c r="H44" s="9"/>
      <c r="I44" s="9"/>
      <c r="J44" s="9"/>
      <c r="K44" s="9"/>
      <c r="L44" s="9"/>
      <c r="M44" s="21"/>
      <c r="N44" s="21"/>
      <c r="O44" s="21"/>
    </row>
    <row r="45" spans="3:15" ht="6" customHeight="1" x14ac:dyDescent="0.25">
      <c r="M45" s="21"/>
      <c r="N45" s="21"/>
      <c r="O45" s="21"/>
    </row>
    <row r="46" spans="3:15" x14ac:dyDescent="0.25">
      <c r="C46" s="15" t="s">
        <v>79</v>
      </c>
      <c r="M46" s="21"/>
      <c r="N46" s="21"/>
      <c r="O46" s="21"/>
    </row>
    <row r="47" spans="3:15" x14ac:dyDescent="0.25">
      <c r="C47" s="15" t="s">
        <v>78</v>
      </c>
    </row>
  </sheetData>
  <mergeCells count="1">
    <mergeCell ref="G13:H13"/>
  </mergeCells>
  <conditionalFormatting sqref="I9">
    <cfRule type="containsText" dxfId="1075" priority="13" operator="containsText" text="FAIL">
      <formula>NOT(ISERROR(SEARCH("FAIL",I9)))</formula>
    </cfRule>
  </conditionalFormatting>
  <conditionalFormatting sqref="I9">
    <cfRule type="containsText" dxfId="1074" priority="12" operator="containsText" text="GOOD">
      <formula>NOT(ISERROR(SEARCH("GOOD",I9)))</formula>
    </cfRule>
  </conditionalFormatting>
  <conditionalFormatting sqref="F11">
    <cfRule type="containsText" dxfId="1073" priority="11" operator="containsText" text="FAIL">
      <formula>NOT(ISERROR(SEARCH("FAIL",F11)))</formula>
    </cfRule>
  </conditionalFormatting>
  <conditionalFormatting sqref="F11">
    <cfRule type="containsText" dxfId="1072" priority="10" operator="containsText" text="GOOD">
      <formula>NOT(ISERROR(SEARCH("GOOD",F11)))</formula>
    </cfRule>
  </conditionalFormatting>
  <conditionalFormatting sqref="D25">
    <cfRule type="expression" dxfId="1071" priority="9" stopIfTrue="1">
      <formula>IF($H$25=1,0)</formula>
    </cfRule>
  </conditionalFormatting>
  <conditionalFormatting sqref="D23:D26 D29:D43">
    <cfRule type="expression" dxfId="1070" priority="8">
      <formula>H23=1</formula>
    </cfRule>
  </conditionalFormatting>
  <conditionalFormatting sqref="C23:C26 C29:C43">
    <cfRule type="expression" dxfId="1069" priority="7">
      <formula>H23=1</formula>
    </cfRule>
  </conditionalFormatting>
  <conditionalFormatting sqref="E23:E26 E29:E43">
    <cfRule type="expression" dxfId="1068" priority="6">
      <formula>H23=1</formula>
    </cfRule>
  </conditionalFormatting>
  <conditionalFormatting sqref="F11">
    <cfRule type="containsText" dxfId="1067" priority="5" operator="containsText" text="FAIL">
      <formula>NOT(ISERROR(SEARCH("FAIL",F11)))</formula>
    </cfRule>
  </conditionalFormatting>
  <conditionalFormatting sqref="F11">
    <cfRule type="containsText" dxfId="1066" priority="4" operator="containsText" text="GOOD">
      <formula>NOT(ISERROR(SEARCH("GOOD",F11)))</formula>
    </cfRule>
  </conditionalFormatting>
  <conditionalFormatting sqref="D27:D28">
    <cfRule type="expression" dxfId="1065" priority="3">
      <formula>H27=1</formula>
    </cfRule>
  </conditionalFormatting>
  <conditionalFormatting sqref="C27:C28">
    <cfRule type="expression" dxfId="1064" priority="2">
      <formula>H27=1</formula>
    </cfRule>
  </conditionalFormatting>
  <conditionalFormatting sqref="E27:E28">
    <cfRule type="expression" dxfId="1063" priority="1">
      <formula>H27=1</formula>
    </cfRule>
  </conditionalFormatting>
  <pageMargins left="0.7" right="0.7" top="0.75" bottom="0.75" header="0.3" footer="0.3"/>
  <pageSetup scale="68"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sheetPr codeName="Sheet50"/>
  <dimension ref="A2:P47"/>
  <sheetViews>
    <sheetView zoomScaleNormal="100" workbookViewId="0">
      <selection activeCell="K9" sqref="K9"/>
    </sheetView>
  </sheetViews>
  <sheetFormatPr defaultRowHeight="15" x14ac:dyDescent="0.25"/>
  <cols>
    <col min="1" max="2" width="4.42578125" customWidth="1"/>
    <col min="3" max="3" width="3" customWidth="1"/>
    <col min="4" max="4" width="24.85546875" customWidth="1"/>
    <col min="5" max="5" width="3" customWidth="1"/>
    <col min="6" max="6" width="15.7109375" customWidth="1"/>
    <col min="7" max="7" width="8.5703125" customWidth="1"/>
    <col min="8" max="8" width="5.85546875" customWidth="1"/>
    <col min="9" max="15" width="15.7109375" customWidth="1"/>
  </cols>
  <sheetData>
    <row r="2" spans="1:16" x14ac:dyDescent="0.25">
      <c r="C2" s="15" t="s">
        <v>32</v>
      </c>
      <c r="E2" s="15"/>
      <c r="F2" s="15"/>
      <c r="G2" s="15" t="s">
        <v>33</v>
      </c>
      <c r="H2" s="15"/>
      <c r="I2" s="15"/>
      <c r="J2" s="15"/>
      <c r="K2" s="15"/>
    </row>
    <row r="3" spans="1:16" ht="18.75" x14ac:dyDescent="0.3">
      <c r="C3" s="3" t="s">
        <v>26</v>
      </c>
      <c r="J3" s="8" t="s">
        <v>17</v>
      </c>
      <c r="P3" s="100"/>
    </row>
    <row r="4" spans="1:16" x14ac:dyDescent="0.25">
      <c r="D4" s="2" t="s">
        <v>0</v>
      </c>
      <c r="E4" s="1"/>
      <c r="F4" t="s">
        <v>1021</v>
      </c>
      <c r="I4" s="2" t="s">
        <v>4</v>
      </c>
      <c r="J4" t="s">
        <v>630</v>
      </c>
    </row>
    <row r="5" spans="1:16" x14ac:dyDescent="0.25">
      <c r="D5" s="2" t="s">
        <v>1</v>
      </c>
      <c r="F5" t="s">
        <v>1022</v>
      </c>
    </row>
    <row r="6" spans="1:16" x14ac:dyDescent="0.25">
      <c r="D6" s="2" t="s">
        <v>2</v>
      </c>
      <c r="F6" s="6">
        <v>42892</v>
      </c>
      <c r="H6" s="11"/>
    </row>
    <row r="7" spans="1:16" x14ac:dyDescent="0.25">
      <c r="D7" s="2" t="s">
        <v>3</v>
      </c>
      <c r="F7" s="5">
        <v>771000</v>
      </c>
      <c r="G7" s="2" t="s">
        <v>34</v>
      </c>
      <c r="H7" s="11"/>
    </row>
    <row r="8" spans="1:16" x14ac:dyDescent="0.25">
      <c r="D8" s="2" t="s">
        <v>18</v>
      </c>
      <c r="F8" s="5">
        <f>MIN(I23:I43)</f>
        <v>946600</v>
      </c>
      <c r="H8" s="11"/>
    </row>
    <row r="9" spans="1:16" x14ac:dyDescent="0.25">
      <c r="D9" s="2" t="s">
        <v>67</v>
      </c>
      <c r="F9" s="4">
        <f>+F8-F7</f>
        <v>175600</v>
      </c>
      <c r="G9" s="16">
        <f>+F9/F7</f>
        <v>0.22775616083009079</v>
      </c>
      <c r="H9" s="12" t="s">
        <v>20</v>
      </c>
      <c r="I9" s="11" t="str">
        <f>(IF(G9&lt;-0.1,"FAIL",IF(G9&gt;0.05,"FAIL","GOOD")))</f>
        <v>FAIL</v>
      </c>
      <c r="J9" s="14" t="s">
        <v>72</v>
      </c>
    </row>
    <row r="10" spans="1:16" x14ac:dyDescent="0.25">
      <c r="D10" s="2" t="s">
        <v>68</v>
      </c>
      <c r="F10" s="4">
        <f>+F7-F12</f>
        <v>-278156</v>
      </c>
      <c r="H10" s="11"/>
    </row>
    <row r="11" spans="1:16" x14ac:dyDescent="0.25">
      <c r="A11" s="52"/>
      <c r="D11" s="2" t="s">
        <v>71</v>
      </c>
      <c r="F11" s="11" t="str">
        <f>(IF(F7&lt;J12,"FAIL",IF(F7&gt;J13,"FAIL","GOOD")))</f>
        <v>FAIL</v>
      </c>
      <c r="H11" s="11"/>
    </row>
    <row r="12" spans="1:16" x14ac:dyDescent="0.25">
      <c r="D12" s="2" t="s">
        <v>28</v>
      </c>
      <c r="F12" s="4">
        <f>SUM(I23:I43)/H12</f>
        <v>1049156</v>
      </c>
      <c r="G12" s="14"/>
      <c r="H12" s="11">
        <f>COUNT(I23:I43)</f>
        <v>2</v>
      </c>
      <c r="I12" s="1" t="s">
        <v>31</v>
      </c>
      <c r="J12" s="4">
        <f>+F8*0.9</f>
        <v>851940</v>
      </c>
      <c r="K12" s="1" t="s">
        <v>69</v>
      </c>
    </row>
    <row r="13" spans="1:16" x14ac:dyDescent="0.25">
      <c r="D13" s="2" t="s">
        <v>29</v>
      </c>
      <c r="F13" s="4">
        <f>MAX(I23:I43)-MIN(I23:I43)</f>
        <v>205112</v>
      </c>
      <c r="G13" s="399">
        <f>MEDIAN(I23:I43)</f>
        <v>1049156</v>
      </c>
      <c r="H13" s="400"/>
      <c r="I13" s="1" t="s">
        <v>30</v>
      </c>
      <c r="J13" s="4">
        <f>+F12*1.1</f>
        <v>1154071.6000000001</v>
      </c>
      <c r="K13" s="1" t="s">
        <v>70</v>
      </c>
    </row>
    <row r="14" spans="1:16" x14ac:dyDescent="0.25">
      <c r="H14" s="11"/>
    </row>
    <row r="15" spans="1:16" x14ac:dyDescent="0.25">
      <c r="D15" s="2" t="s">
        <v>8</v>
      </c>
      <c r="F15" s="4"/>
      <c r="G15" s="1" t="s">
        <v>9</v>
      </c>
      <c r="H15" s="11"/>
      <c r="I15" t="s">
        <v>15</v>
      </c>
      <c r="J15" s="7" t="e">
        <f>+F16/F15</f>
        <v>#DIV/0!</v>
      </c>
    </row>
    <row r="16" spans="1:16" x14ac:dyDescent="0.25">
      <c r="F16" s="4"/>
      <c r="G16" s="1" t="s">
        <v>10</v>
      </c>
      <c r="H16" s="11"/>
      <c r="I16" t="s">
        <v>14</v>
      </c>
      <c r="J16" s="7" t="e">
        <f>+F17/F16</f>
        <v>#DIV/0!</v>
      </c>
    </row>
    <row r="17" spans="3:15" x14ac:dyDescent="0.25">
      <c r="F17" s="4"/>
      <c r="G17" s="1" t="s">
        <v>11</v>
      </c>
      <c r="H17" s="11"/>
      <c r="I17" t="s">
        <v>13</v>
      </c>
      <c r="J17" s="7" t="e">
        <f>+F18/F17</f>
        <v>#DIV/0!</v>
      </c>
      <c r="M17" s="21"/>
      <c r="N17" s="21"/>
      <c r="O17" s="21"/>
    </row>
    <row r="18" spans="3:15" x14ac:dyDescent="0.25">
      <c r="F18" s="4"/>
      <c r="G18" s="1" t="s">
        <v>12</v>
      </c>
      <c r="H18" s="11"/>
      <c r="I18" t="s">
        <v>16</v>
      </c>
      <c r="J18" s="7" t="e">
        <f>+F8/F18</f>
        <v>#DIV/0!</v>
      </c>
      <c r="M18" s="21"/>
      <c r="N18" s="21"/>
      <c r="O18" s="21"/>
    </row>
    <row r="19" spans="3:15" x14ac:dyDescent="0.25">
      <c r="F19" s="2" t="s">
        <v>51</v>
      </c>
      <c r="G19">
        <v>0</v>
      </c>
      <c r="H19" s="11" t="s">
        <v>52</v>
      </c>
      <c r="I19" t="s">
        <v>41</v>
      </c>
      <c r="J19" s="7" t="e">
        <f>+F8/F15</f>
        <v>#DIV/0!</v>
      </c>
      <c r="M19" s="21"/>
      <c r="N19" s="21"/>
      <c r="O19" s="21"/>
    </row>
    <row r="20" spans="3:15" x14ac:dyDescent="0.25">
      <c r="H20" s="11"/>
      <c r="M20" s="21"/>
      <c r="N20" s="21"/>
      <c r="O20" s="21"/>
    </row>
    <row r="21" spans="3:15" x14ac:dyDescent="0.25">
      <c r="C21" s="9"/>
      <c r="D21" s="13" t="s">
        <v>21</v>
      </c>
      <c r="E21" s="9"/>
      <c r="F21" s="9" t="s">
        <v>22</v>
      </c>
      <c r="G21" s="9" t="s">
        <v>23</v>
      </c>
      <c r="H21" s="13" t="s">
        <v>27</v>
      </c>
      <c r="I21" s="10" t="s">
        <v>24</v>
      </c>
      <c r="J21" s="9"/>
      <c r="K21" s="9"/>
      <c r="L21" s="9"/>
      <c r="M21" s="21"/>
      <c r="N21" s="21"/>
      <c r="O21" s="21"/>
    </row>
    <row r="22" spans="3:15" ht="6" customHeight="1" x14ac:dyDescent="0.25">
      <c r="M22" s="21"/>
      <c r="N22" s="21"/>
      <c r="O22" s="21"/>
    </row>
    <row r="23" spans="3:15" x14ac:dyDescent="0.25">
      <c r="C23" s="33" t="str">
        <f>IF(H23=1,"u","")</f>
        <v>u</v>
      </c>
      <c r="D23" s="11" t="s">
        <v>781</v>
      </c>
      <c r="E23" s="33"/>
      <c r="F23" t="s">
        <v>92</v>
      </c>
      <c r="G23" t="s">
        <v>93</v>
      </c>
      <c r="H23">
        <f>RANK(I23,I$23:I$43,1)</f>
        <v>1</v>
      </c>
      <c r="I23" s="4">
        <v>946600</v>
      </c>
      <c r="J23" s="4"/>
      <c r="K23" s="4"/>
      <c r="L23" s="4"/>
      <c r="M23" s="22"/>
      <c r="N23" s="22"/>
      <c r="O23" s="22"/>
    </row>
    <row r="24" spans="3:15" x14ac:dyDescent="0.25">
      <c r="C24" s="33" t="str">
        <f>IF(H24=1,"u","")</f>
        <v/>
      </c>
      <c r="D24" s="11" t="s">
        <v>766</v>
      </c>
      <c r="E24" s="33"/>
      <c r="F24" t="s">
        <v>145</v>
      </c>
      <c r="G24" t="s">
        <v>25</v>
      </c>
      <c r="H24">
        <f>RANK(I24,I$23:I$43,1)</f>
        <v>2</v>
      </c>
      <c r="I24" s="4">
        <v>1151712</v>
      </c>
      <c r="J24" s="4"/>
      <c r="K24" s="4"/>
      <c r="L24" s="4"/>
      <c r="M24" s="22"/>
      <c r="N24" s="22"/>
      <c r="O24" s="22"/>
    </row>
    <row r="25" spans="3:15" x14ac:dyDescent="0.25">
      <c r="C25" s="33" t="str">
        <f>IF(H25=1,"u","")</f>
        <v/>
      </c>
      <c r="D25" s="11"/>
      <c r="E25" s="33"/>
      <c r="I25" s="4"/>
      <c r="J25" s="4"/>
      <c r="K25" s="4"/>
      <c r="L25" s="4"/>
      <c r="M25" s="22"/>
      <c r="N25" s="22"/>
      <c r="O25" s="22"/>
    </row>
    <row r="26" spans="3:15" x14ac:dyDescent="0.25">
      <c r="C26" s="33"/>
      <c r="D26" s="11"/>
      <c r="E26" s="33"/>
      <c r="I26" s="4"/>
      <c r="J26" s="4"/>
      <c r="K26" s="4"/>
      <c r="L26" s="4"/>
      <c r="M26" s="22"/>
      <c r="N26" s="22"/>
      <c r="O26" s="22"/>
    </row>
    <row r="27" spans="3:15" x14ac:dyDescent="0.25">
      <c r="C27" s="33"/>
      <c r="D27" s="11"/>
      <c r="E27" s="33"/>
      <c r="I27" s="4"/>
      <c r="J27" s="4"/>
      <c r="K27" s="4"/>
      <c r="L27" s="4"/>
      <c r="M27" s="22"/>
      <c r="N27" s="22"/>
      <c r="O27" s="22"/>
    </row>
    <row r="28" spans="3:15" x14ac:dyDescent="0.25">
      <c r="C28" s="33"/>
      <c r="D28" s="11"/>
      <c r="E28" s="33"/>
      <c r="I28" s="4"/>
      <c r="J28" s="4"/>
      <c r="K28" s="4"/>
      <c r="L28" s="4"/>
      <c r="M28" s="22"/>
      <c r="N28" s="22"/>
      <c r="O28" s="22"/>
    </row>
    <row r="29" spans="3:15" x14ac:dyDescent="0.25">
      <c r="C29" s="33" t="str">
        <f t="shared" ref="C29:C43" si="0">IF(H29=1,"u","")</f>
        <v/>
      </c>
      <c r="D29" s="11"/>
      <c r="E29" s="33"/>
      <c r="I29" s="4"/>
      <c r="J29" s="4"/>
      <c r="K29" s="4"/>
      <c r="L29" s="4"/>
      <c r="M29" s="22"/>
      <c r="N29" s="22"/>
      <c r="O29" s="22"/>
    </row>
    <row r="30" spans="3:15" x14ac:dyDescent="0.25">
      <c r="C30" s="33" t="str">
        <f t="shared" si="0"/>
        <v/>
      </c>
      <c r="D30" s="11"/>
      <c r="E30" s="33"/>
      <c r="I30" s="4"/>
      <c r="J30" s="4"/>
      <c r="K30" s="4"/>
      <c r="L30" s="4"/>
      <c r="M30" s="22"/>
      <c r="N30" s="22"/>
      <c r="O30" s="22"/>
    </row>
    <row r="31" spans="3:15" x14ac:dyDescent="0.25">
      <c r="C31" s="33" t="str">
        <f t="shared" si="0"/>
        <v/>
      </c>
      <c r="D31" s="11"/>
      <c r="E31" s="33"/>
      <c r="I31" s="4"/>
      <c r="J31" s="4"/>
      <c r="K31" s="4"/>
      <c r="L31" s="4"/>
      <c r="M31" s="22"/>
      <c r="N31" s="22"/>
      <c r="O31" s="22"/>
    </row>
    <row r="32" spans="3:15" x14ac:dyDescent="0.25">
      <c r="C32" s="33" t="str">
        <f t="shared" si="0"/>
        <v/>
      </c>
      <c r="D32" s="11"/>
      <c r="E32" s="33"/>
      <c r="I32" s="4"/>
      <c r="J32" s="4"/>
      <c r="K32" s="4"/>
      <c r="L32" s="4"/>
      <c r="M32" s="22"/>
      <c r="N32" s="22"/>
      <c r="O32" s="22"/>
    </row>
    <row r="33" spans="3:15" x14ac:dyDescent="0.25">
      <c r="C33" s="33" t="str">
        <f t="shared" si="0"/>
        <v/>
      </c>
      <c r="D33" s="11"/>
      <c r="E33" s="33"/>
      <c r="I33" s="4"/>
      <c r="M33" s="21"/>
      <c r="N33" s="21"/>
      <c r="O33" s="21"/>
    </row>
    <row r="34" spans="3:15" x14ac:dyDescent="0.25">
      <c r="C34" s="33" t="str">
        <f t="shared" si="0"/>
        <v/>
      </c>
      <c r="D34" s="11"/>
      <c r="E34" s="33" t="str">
        <f t="shared" ref="E34:E43" si="1">IF(H34=1,"t","")</f>
        <v/>
      </c>
      <c r="M34" s="21"/>
      <c r="N34" s="21"/>
      <c r="O34" s="21"/>
    </row>
    <row r="35" spans="3:15" x14ac:dyDescent="0.25">
      <c r="C35" s="33" t="str">
        <f t="shared" si="0"/>
        <v/>
      </c>
      <c r="D35" s="11"/>
      <c r="E35" s="33" t="str">
        <f t="shared" si="1"/>
        <v/>
      </c>
      <c r="M35" s="21"/>
      <c r="N35" s="21"/>
      <c r="O35" s="21"/>
    </row>
    <row r="36" spans="3:15" x14ac:dyDescent="0.25">
      <c r="C36" s="33" t="str">
        <f t="shared" si="0"/>
        <v/>
      </c>
      <c r="D36" s="11"/>
      <c r="E36" s="33" t="str">
        <f t="shared" si="1"/>
        <v/>
      </c>
      <c r="M36" s="21"/>
      <c r="N36" s="21"/>
      <c r="O36" s="21"/>
    </row>
    <row r="37" spans="3:15" x14ac:dyDescent="0.25">
      <c r="C37" s="33" t="str">
        <f t="shared" si="0"/>
        <v/>
      </c>
      <c r="D37" s="11"/>
      <c r="E37" s="33" t="str">
        <f t="shared" si="1"/>
        <v/>
      </c>
      <c r="M37" s="21"/>
      <c r="N37" s="21"/>
      <c r="O37" s="21"/>
    </row>
    <row r="38" spans="3:15" x14ac:dyDescent="0.25">
      <c r="C38" s="33" t="str">
        <f t="shared" si="0"/>
        <v/>
      </c>
      <c r="D38" s="11"/>
      <c r="E38" s="33" t="str">
        <f t="shared" si="1"/>
        <v/>
      </c>
      <c r="M38" s="21"/>
      <c r="N38" s="21"/>
      <c r="O38" s="21"/>
    </row>
    <row r="39" spans="3:15" x14ac:dyDescent="0.25">
      <c r="C39" s="33" t="str">
        <f t="shared" si="0"/>
        <v/>
      </c>
      <c r="D39" s="11"/>
      <c r="E39" s="33" t="str">
        <f t="shared" si="1"/>
        <v/>
      </c>
      <c r="M39" s="21"/>
      <c r="N39" s="21"/>
      <c r="O39" s="21"/>
    </row>
    <row r="40" spans="3:15" x14ac:dyDescent="0.25">
      <c r="C40" s="33" t="str">
        <f t="shared" si="0"/>
        <v/>
      </c>
      <c r="D40" s="11"/>
      <c r="E40" s="33" t="str">
        <f t="shared" si="1"/>
        <v/>
      </c>
      <c r="M40" s="21"/>
      <c r="N40" s="21"/>
      <c r="O40" s="21"/>
    </row>
    <row r="41" spans="3:15" x14ac:dyDescent="0.25">
      <c r="C41" s="33" t="str">
        <f t="shared" si="0"/>
        <v/>
      </c>
      <c r="D41" s="11"/>
      <c r="E41" s="33" t="str">
        <f t="shared" si="1"/>
        <v/>
      </c>
      <c r="M41" s="21"/>
      <c r="N41" s="21"/>
      <c r="O41" s="21"/>
    </row>
    <row r="42" spans="3:15" x14ac:dyDescent="0.25">
      <c r="C42" s="33" t="str">
        <f t="shared" si="0"/>
        <v/>
      </c>
      <c r="D42" s="11"/>
      <c r="E42" s="33" t="str">
        <f t="shared" si="1"/>
        <v/>
      </c>
      <c r="M42" s="21"/>
      <c r="N42" s="21"/>
      <c r="O42" s="21"/>
    </row>
    <row r="43" spans="3:15" x14ac:dyDescent="0.25">
      <c r="C43" s="33" t="str">
        <f t="shared" si="0"/>
        <v/>
      </c>
      <c r="D43" s="11"/>
      <c r="E43" s="33" t="str">
        <f t="shared" si="1"/>
        <v/>
      </c>
      <c r="M43" s="21"/>
      <c r="N43" s="21"/>
      <c r="O43" s="21"/>
    </row>
    <row r="44" spans="3:15" ht="6" customHeight="1" x14ac:dyDescent="0.25">
      <c r="C44" s="9"/>
      <c r="D44" s="9"/>
      <c r="E44" s="9"/>
      <c r="F44" s="9"/>
      <c r="G44" s="9"/>
      <c r="H44" s="9"/>
      <c r="I44" s="9"/>
      <c r="J44" s="9"/>
      <c r="K44" s="9"/>
      <c r="L44" s="9"/>
      <c r="M44" s="21"/>
      <c r="N44" s="21"/>
      <c r="O44" s="21"/>
    </row>
    <row r="45" spans="3:15" ht="6" customHeight="1" x14ac:dyDescent="0.25">
      <c r="M45" s="21"/>
      <c r="N45" s="21"/>
      <c r="O45" s="21"/>
    </row>
    <row r="46" spans="3:15" x14ac:dyDescent="0.25">
      <c r="C46" s="15" t="s">
        <v>79</v>
      </c>
      <c r="M46" s="21"/>
      <c r="N46" s="21"/>
      <c r="O46" s="21"/>
    </row>
    <row r="47" spans="3:15" x14ac:dyDescent="0.25">
      <c r="C47" s="15" t="s">
        <v>78</v>
      </c>
    </row>
  </sheetData>
  <mergeCells count="1">
    <mergeCell ref="G13:H13"/>
  </mergeCells>
  <conditionalFormatting sqref="I9">
    <cfRule type="containsText" dxfId="1741" priority="16" operator="containsText" text="FAIL">
      <formula>NOT(ISERROR(SEARCH("FAIL",I9)))</formula>
    </cfRule>
  </conditionalFormatting>
  <conditionalFormatting sqref="I9">
    <cfRule type="containsText" dxfId="1740" priority="15" operator="containsText" text="GOOD">
      <formula>NOT(ISERROR(SEARCH("GOOD",I9)))</formula>
    </cfRule>
  </conditionalFormatting>
  <conditionalFormatting sqref="F11">
    <cfRule type="containsText" dxfId="1739" priority="14" operator="containsText" text="FAIL">
      <formula>NOT(ISERROR(SEARCH("FAIL",F11)))</formula>
    </cfRule>
  </conditionalFormatting>
  <conditionalFormatting sqref="F11">
    <cfRule type="containsText" dxfId="1738" priority="13" operator="containsText" text="GOOD">
      <formula>NOT(ISERROR(SEARCH("GOOD",F11)))</formula>
    </cfRule>
  </conditionalFormatting>
  <conditionalFormatting sqref="D25">
    <cfRule type="expression" dxfId="1737" priority="12" stopIfTrue="1">
      <formula>IF($H$25=1,0)</formula>
    </cfRule>
  </conditionalFormatting>
  <conditionalFormatting sqref="D23 D29:D43 D25:D26">
    <cfRule type="expression" dxfId="1736" priority="11">
      <formula>H23=1</formula>
    </cfRule>
  </conditionalFormatting>
  <conditionalFormatting sqref="C23:C26 C29:C43">
    <cfRule type="expression" dxfId="1735" priority="10">
      <formula>H23=1</formula>
    </cfRule>
  </conditionalFormatting>
  <conditionalFormatting sqref="E23 E29:E43 E25:E26">
    <cfRule type="expression" dxfId="1734" priority="9">
      <formula>H23=1</formula>
    </cfRule>
  </conditionalFormatting>
  <conditionalFormatting sqref="F11">
    <cfRule type="containsText" dxfId="1733" priority="8" operator="containsText" text="FAIL">
      <formula>NOT(ISERROR(SEARCH("FAIL",F11)))</formula>
    </cfRule>
  </conditionalFormatting>
  <conditionalFormatting sqref="F11">
    <cfRule type="containsText" dxfId="1732" priority="7" operator="containsText" text="GOOD">
      <formula>NOT(ISERROR(SEARCH("GOOD",F11)))</formula>
    </cfRule>
  </conditionalFormatting>
  <conditionalFormatting sqref="D27:D28">
    <cfRule type="expression" dxfId="1731" priority="6">
      <formula>H27=1</formula>
    </cfRule>
  </conditionalFormatting>
  <conditionalFormatting sqref="C27:C28">
    <cfRule type="expression" dxfId="1730" priority="5">
      <formula>H27=1</formula>
    </cfRule>
  </conditionalFormatting>
  <conditionalFormatting sqref="E27:E28">
    <cfRule type="expression" dxfId="1729" priority="4">
      <formula>H27=1</formula>
    </cfRule>
  </conditionalFormatting>
  <conditionalFormatting sqref="D24">
    <cfRule type="expression" dxfId="1728" priority="3" stopIfTrue="1">
      <formula>IF($H$25=1,0)</formula>
    </cfRule>
  </conditionalFormatting>
  <conditionalFormatting sqref="D24">
    <cfRule type="expression" dxfId="1727" priority="2">
      <formula>H24=1</formula>
    </cfRule>
  </conditionalFormatting>
  <conditionalFormatting sqref="E24">
    <cfRule type="expression" dxfId="1726" priority="1">
      <formula>H24=1</formula>
    </cfRule>
  </conditionalFormatting>
  <pageMargins left="0.7" right="0.7" top="0.75" bottom="0.75" header="0.3" footer="0.3"/>
  <pageSetup scale="68"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sheetPr codeName="Sheet72"/>
  <dimension ref="A2:O47"/>
  <sheetViews>
    <sheetView zoomScaleNormal="100" workbookViewId="0">
      <selection activeCell="K26" sqref="K26"/>
    </sheetView>
  </sheetViews>
  <sheetFormatPr defaultRowHeight="15" x14ac:dyDescent="0.25"/>
  <cols>
    <col min="1" max="2" width="4.42578125" customWidth="1"/>
    <col min="3" max="3" width="3" customWidth="1"/>
    <col min="4" max="4" width="24.85546875" customWidth="1"/>
    <col min="5" max="5" width="3" customWidth="1"/>
    <col min="6" max="6" width="15.7109375" customWidth="1"/>
    <col min="7" max="7" width="8.5703125" customWidth="1"/>
    <col min="8" max="8" width="5.85546875" customWidth="1"/>
    <col min="9" max="15" width="15.7109375" customWidth="1"/>
  </cols>
  <sheetData>
    <row r="2" spans="1:11" x14ac:dyDescent="0.25">
      <c r="C2" s="15" t="s">
        <v>32</v>
      </c>
      <c r="E2" s="15"/>
      <c r="F2" s="15"/>
      <c r="G2" s="15" t="s">
        <v>33</v>
      </c>
      <c r="H2" s="15"/>
      <c r="I2" s="15"/>
      <c r="J2" s="15"/>
      <c r="K2" s="15"/>
    </row>
    <row r="3" spans="1:11" ht="18.75" x14ac:dyDescent="0.3">
      <c r="C3" s="3" t="s">
        <v>26</v>
      </c>
      <c r="J3" s="8" t="s">
        <v>17</v>
      </c>
    </row>
    <row r="4" spans="1:11" x14ac:dyDescent="0.25">
      <c r="D4" s="2" t="s">
        <v>0</v>
      </c>
      <c r="E4" s="1"/>
      <c r="F4" t="s">
        <v>898</v>
      </c>
      <c r="I4" s="2" t="s">
        <v>4</v>
      </c>
      <c r="J4" t="s">
        <v>630</v>
      </c>
    </row>
    <row r="5" spans="1:11" x14ac:dyDescent="0.25">
      <c r="D5" s="2" t="s">
        <v>1</v>
      </c>
      <c r="F5" t="s">
        <v>717</v>
      </c>
    </row>
    <row r="6" spans="1:11" x14ac:dyDescent="0.25">
      <c r="D6" s="2" t="s">
        <v>2</v>
      </c>
      <c r="F6" s="6">
        <v>42773</v>
      </c>
      <c r="H6" s="11"/>
    </row>
    <row r="7" spans="1:11" x14ac:dyDescent="0.25">
      <c r="D7" s="2" t="s">
        <v>3</v>
      </c>
      <c r="F7" s="5">
        <v>1965000</v>
      </c>
      <c r="G7" s="2" t="s">
        <v>190</v>
      </c>
      <c r="H7" s="11"/>
    </row>
    <row r="8" spans="1:11" x14ac:dyDescent="0.25">
      <c r="D8" s="2" t="s">
        <v>18</v>
      </c>
      <c r="F8" s="5">
        <f>MIN(I23:I43)</f>
        <v>1450000</v>
      </c>
      <c r="H8" s="11"/>
    </row>
    <row r="9" spans="1:11" x14ac:dyDescent="0.25">
      <c r="D9" s="2" t="s">
        <v>67</v>
      </c>
      <c r="F9" s="4">
        <f>+F8-F7</f>
        <v>-515000</v>
      </c>
      <c r="G9" s="16">
        <f>+F9/F7</f>
        <v>-0.26208651399491095</v>
      </c>
      <c r="H9" s="12" t="s">
        <v>20</v>
      </c>
      <c r="I9" s="11" t="str">
        <f>(IF(G9&lt;-0.1,"FAIL",IF(G9&gt;0.05,"FAIL","GOOD")))</f>
        <v>FAIL</v>
      </c>
      <c r="J9" s="14" t="s">
        <v>72</v>
      </c>
    </row>
    <row r="10" spans="1:11" x14ac:dyDescent="0.25">
      <c r="D10" s="2" t="s">
        <v>68</v>
      </c>
      <c r="F10" s="4">
        <f>+F7-F12</f>
        <v>-599821.66666666651</v>
      </c>
      <c r="H10" s="11"/>
    </row>
    <row r="11" spans="1:11" x14ac:dyDescent="0.25">
      <c r="A11" s="52"/>
      <c r="D11" s="2" t="s">
        <v>71</v>
      </c>
      <c r="F11" s="11" t="str">
        <f>(IF(F7&lt;J12,"FAIL",IF(F7&gt;J13,"FAIL","GOOD")))</f>
        <v>GOOD</v>
      </c>
      <c r="H11" s="11"/>
    </row>
    <row r="12" spans="1:11" x14ac:dyDescent="0.25">
      <c r="D12" s="2" t="s">
        <v>28</v>
      </c>
      <c r="F12" s="4">
        <f>SUM(I23:I43)/H12</f>
        <v>2564821.6666666665</v>
      </c>
      <c r="G12" s="14"/>
      <c r="H12" s="11">
        <f>COUNT(I23:I43)</f>
        <v>6</v>
      </c>
      <c r="I12" s="1" t="s">
        <v>31</v>
      </c>
      <c r="J12" s="4">
        <f>+F8*0.9</f>
        <v>1305000</v>
      </c>
      <c r="K12" s="1" t="s">
        <v>69</v>
      </c>
    </row>
    <row r="13" spans="1:11" x14ac:dyDescent="0.25">
      <c r="D13" s="2" t="s">
        <v>29</v>
      </c>
      <c r="F13" s="4">
        <f>MAX(I23:I43)-MIN(I23:I43)</f>
        <v>2207500</v>
      </c>
      <c r="G13" s="399">
        <f>MEDIAN(I23:I43)</f>
        <v>2507650</v>
      </c>
      <c r="H13" s="400"/>
      <c r="I13" s="1" t="s">
        <v>30</v>
      </c>
      <c r="J13" s="4">
        <f>+F12*1.1</f>
        <v>2821303.8333333335</v>
      </c>
      <c r="K13" s="1" t="s">
        <v>70</v>
      </c>
    </row>
    <row r="14" spans="1:11" x14ac:dyDescent="0.25">
      <c r="H14" s="11"/>
    </row>
    <row r="15" spans="1:11" x14ac:dyDescent="0.25">
      <c r="D15" s="2" t="s">
        <v>8</v>
      </c>
      <c r="F15" s="4"/>
      <c r="G15" s="1" t="s">
        <v>9</v>
      </c>
      <c r="H15" s="11"/>
      <c r="I15" t="s">
        <v>15</v>
      </c>
      <c r="J15" s="7" t="e">
        <f>+F16/F15</f>
        <v>#DIV/0!</v>
      </c>
    </row>
    <row r="16" spans="1:11" x14ac:dyDescent="0.25">
      <c r="F16" s="4"/>
      <c r="G16" s="1" t="s">
        <v>10</v>
      </c>
      <c r="H16" s="11"/>
      <c r="I16" t="s">
        <v>14</v>
      </c>
      <c r="J16" s="7" t="e">
        <f>+F17/F16</f>
        <v>#DIV/0!</v>
      </c>
    </row>
    <row r="17" spans="3:15" x14ac:dyDescent="0.25">
      <c r="F17" s="4"/>
      <c r="G17" s="1" t="s">
        <v>11</v>
      </c>
      <c r="H17" s="11"/>
      <c r="I17" t="s">
        <v>13</v>
      </c>
      <c r="J17" s="7" t="e">
        <f>+F18/F17</f>
        <v>#DIV/0!</v>
      </c>
      <c r="M17" s="21"/>
      <c r="N17" s="21"/>
      <c r="O17" s="21"/>
    </row>
    <row r="18" spans="3:15" x14ac:dyDescent="0.25">
      <c r="F18" s="4"/>
      <c r="G18" s="1" t="s">
        <v>12</v>
      </c>
      <c r="H18" s="11"/>
      <c r="I18" t="s">
        <v>16</v>
      </c>
      <c r="J18" s="7" t="e">
        <f>+F8/F18</f>
        <v>#DIV/0!</v>
      </c>
      <c r="M18" s="21"/>
      <c r="N18" s="21"/>
      <c r="O18" s="21"/>
    </row>
    <row r="19" spans="3:15" x14ac:dyDescent="0.25">
      <c r="F19" s="2" t="s">
        <v>51</v>
      </c>
      <c r="G19">
        <v>0</v>
      </c>
      <c r="H19" s="11" t="s">
        <v>52</v>
      </c>
      <c r="I19" t="s">
        <v>41</v>
      </c>
      <c r="J19" s="7" t="e">
        <f>+F8/F15</f>
        <v>#DIV/0!</v>
      </c>
      <c r="M19" s="21"/>
      <c r="N19" s="21"/>
      <c r="O19" s="21"/>
    </row>
    <row r="20" spans="3:15" x14ac:dyDescent="0.25">
      <c r="H20" s="11"/>
      <c r="M20" s="21"/>
      <c r="N20" s="21"/>
      <c r="O20" s="21"/>
    </row>
    <row r="21" spans="3:15" x14ac:dyDescent="0.25">
      <c r="C21" s="9"/>
      <c r="D21" s="13" t="s">
        <v>21</v>
      </c>
      <c r="E21" s="9"/>
      <c r="F21" s="9" t="s">
        <v>22</v>
      </c>
      <c r="G21" s="9" t="s">
        <v>23</v>
      </c>
      <c r="H21" s="13" t="s">
        <v>27</v>
      </c>
      <c r="I21" s="10" t="s">
        <v>24</v>
      </c>
      <c r="J21" s="9"/>
      <c r="K21" s="9"/>
      <c r="L21" s="9"/>
      <c r="M21" s="21"/>
      <c r="N21" s="21"/>
      <c r="O21" s="21"/>
    </row>
    <row r="22" spans="3:15" ht="6" customHeight="1" x14ac:dyDescent="0.25">
      <c r="M22" s="21"/>
      <c r="N22" s="21"/>
      <c r="O22" s="21"/>
    </row>
    <row r="23" spans="3:15" x14ac:dyDescent="0.25">
      <c r="C23" s="33" t="str">
        <f>IF(H23=1,"u","")</f>
        <v/>
      </c>
      <c r="D23" s="11" t="s">
        <v>542</v>
      </c>
      <c r="E23" s="33"/>
      <c r="F23" t="s">
        <v>161</v>
      </c>
      <c r="G23" t="s">
        <v>93</v>
      </c>
      <c r="H23">
        <f t="shared" ref="H23:H28" si="0">RANK(I23,I$23:I$43,1)</f>
        <v>2</v>
      </c>
      <c r="I23" s="4">
        <v>2280000</v>
      </c>
      <c r="J23" s="4"/>
      <c r="K23" s="4"/>
      <c r="L23" s="4"/>
      <c r="M23" s="22"/>
      <c r="N23" s="22"/>
      <c r="O23" s="22"/>
    </row>
    <row r="24" spans="3:15" x14ac:dyDescent="0.25">
      <c r="C24" s="33" t="str">
        <f>IF(H24=1,"u","")</f>
        <v/>
      </c>
      <c r="D24" s="11" t="s">
        <v>676</v>
      </c>
      <c r="E24" s="33"/>
      <c r="F24" t="s">
        <v>85</v>
      </c>
      <c r="G24" t="s">
        <v>25</v>
      </c>
      <c r="H24">
        <f t="shared" si="0"/>
        <v>3</v>
      </c>
      <c r="I24" s="4">
        <v>2378300</v>
      </c>
      <c r="J24" s="4"/>
      <c r="K24" s="4"/>
      <c r="L24" s="4"/>
      <c r="M24" s="22"/>
      <c r="N24" s="22"/>
      <c r="O24" s="22"/>
    </row>
    <row r="25" spans="3:15" x14ac:dyDescent="0.25">
      <c r="C25" s="33" t="str">
        <f>IF(H25=1,"u","")</f>
        <v/>
      </c>
      <c r="D25" s="11" t="s">
        <v>439</v>
      </c>
      <c r="E25" s="33"/>
      <c r="F25" t="s">
        <v>147</v>
      </c>
      <c r="G25" t="s">
        <v>93</v>
      </c>
      <c r="H25">
        <f t="shared" si="0"/>
        <v>6</v>
      </c>
      <c r="I25" s="4">
        <v>3657500</v>
      </c>
      <c r="J25" s="4"/>
      <c r="K25" s="4"/>
      <c r="L25" s="4"/>
      <c r="M25" s="22"/>
      <c r="N25" s="22"/>
      <c r="O25" s="22"/>
    </row>
    <row r="26" spans="3:15" x14ac:dyDescent="0.25">
      <c r="C26" s="33" t="str">
        <f t="shared" ref="C26:C43" si="1">IF(H26=1,"u","")</f>
        <v>u</v>
      </c>
      <c r="D26" s="11" t="s">
        <v>438</v>
      </c>
      <c r="E26" s="33"/>
      <c r="F26" t="s">
        <v>131</v>
      </c>
      <c r="G26" t="s">
        <v>25</v>
      </c>
      <c r="H26">
        <f t="shared" si="0"/>
        <v>1</v>
      </c>
      <c r="I26" s="4">
        <v>1450000</v>
      </c>
      <c r="J26" s="4"/>
      <c r="K26" s="4"/>
      <c r="L26" s="4"/>
      <c r="M26" s="22"/>
      <c r="N26" s="22"/>
      <c r="O26" s="22"/>
    </row>
    <row r="27" spans="3:15" x14ac:dyDescent="0.25">
      <c r="C27" s="33" t="str">
        <f t="shared" si="1"/>
        <v/>
      </c>
      <c r="D27" s="11" t="s">
        <v>440</v>
      </c>
      <c r="E27" s="33"/>
      <c r="F27" t="s">
        <v>899</v>
      </c>
      <c r="G27" t="s">
        <v>25</v>
      </c>
      <c r="H27">
        <f t="shared" si="0"/>
        <v>5</v>
      </c>
      <c r="I27" s="4">
        <v>2986130</v>
      </c>
      <c r="J27" s="4"/>
      <c r="K27" s="4"/>
      <c r="L27" s="4"/>
      <c r="M27" s="22"/>
      <c r="N27" s="22"/>
      <c r="O27" s="22"/>
    </row>
    <row r="28" spans="3:15" x14ac:dyDescent="0.25">
      <c r="C28" s="33" t="str">
        <f t="shared" si="1"/>
        <v/>
      </c>
      <c r="D28" s="11" t="s">
        <v>773</v>
      </c>
      <c r="E28" s="33"/>
      <c r="F28" t="s">
        <v>407</v>
      </c>
      <c r="G28" t="s">
        <v>93</v>
      </c>
      <c r="H28">
        <f t="shared" si="0"/>
        <v>4</v>
      </c>
      <c r="I28" s="4">
        <v>2637000</v>
      </c>
      <c r="J28" s="4"/>
      <c r="K28" s="4"/>
      <c r="L28" s="4"/>
      <c r="M28" s="22"/>
      <c r="N28" s="22"/>
      <c r="O28" s="22"/>
    </row>
    <row r="29" spans="3:15" x14ac:dyDescent="0.25">
      <c r="C29" s="33" t="str">
        <f t="shared" si="1"/>
        <v/>
      </c>
      <c r="D29" s="11"/>
      <c r="E29" s="33"/>
      <c r="I29" s="4"/>
      <c r="J29" s="4"/>
      <c r="K29" s="4"/>
      <c r="L29" s="4"/>
      <c r="M29" s="22"/>
      <c r="N29" s="22"/>
      <c r="O29" s="22"/>
    </row>
    <row r="30" spans="3:15" x14ac:dyDescent="0.25">
      <c r="C30" s="33" t="str">
        <f t="shared" si="1"/>
        <v/>
      </c>
      <c r="D30" s="11"/>
      <c r="E30" s="33"/>
      <c r="I30" s="4"/>
      <c r="J30" s="4"/>
      <c r="K30" s="4"/>
      <c r="L30" s="4"/>
      <c r="M30" s="22"/>
      <c r="N30" s="22"/>
      <c r="O30" s="22"/>
    </row>
    <row r="31" spans="3:15" x14ac:dyDescent="0.25">
      <c r="C31" s="33" t="str">
        <f t="shared" si="1"/>
        <v/>
      </c>
      <c r="D31" s="11"/>
      <c r="E31" s="33"/>
      <c r="I31" s="4"/>
      <c r="J31" s="4"/>
      <c r="K31" s="4"/>
      <c r="L31" s="4"/>
      <c r="M31" s="22"/>
      <c r="N31" s="22"/>
      <c r="O31" s="22"/>
    </row>
    <row r="32" spans="3:15" x14ac:dyDescent="0.25">
      <c r="C32" s="33" t="str">
        <f t="shared" si="1"/>
        <v/>
      </c>
      <c r="D32" s="11"/>
      <c r="E32" s="33"/>
      <c r="I32" s="4"/>
      <c r="J32" s="4"/>
      <c r="K32" s="4"/>
      <c r="L32" s="4"/>
      <c r="M32" s="22"/>
      <c r="N32" s="22"/>
      <c r="O32" s="22"/>
    </row>
    <row r="33" spans="3:15" x14ac:dyDescent="0.25">
      <c r="C33" s="33" t="str">
        <f t="shared" si="1"/>
        <v/>
      </c>
      <c r="D33" s="11"/>
      <c r="E33" s="33"/>
      <c r="I33" s="4"/>
      <c r="M33" s="21"/>
      <c r="N33" s="21"/>
      <c r="O33" s="21"/>
    </row>
    <row r="34" spans="3:15" x14ac:dyDescent="0.25">
      <c r="C34" s="33" t="str">
        <f t="shared" si="1"/>
        <v/>
      </c>
      <c r="D34" s="11"/>
      <c r="E34" s="33"/>
      <c r="I34" s="4"/>
      <c r="M34" s="21"/>
      <c r="N34" s="21"/>
      <c r="O34" s="21"/>
    </row>
    <row r="35" spans="3:15" x14ac:dyDescent="0.25">
      <c r="C35" s="33" t="str">
        <f t="shared" si="1"/>
        <v/>
      </c>
      <c r="D35" s="11"/>
      <c r="E35" s="33"/>
      <c r="I35" s="4"/>
      <c r="M35" s="21"/>
      <c r="N35" s="21"/>
      <c r="O35" s="21"/>
    </row>
    <row r="36" spans="3:15" x14ac:dyDescent="0.25">
      <c r="C36" s="33" t="str">
        <f t="shared" si="1"/>
        <v/>
      </c>
      <c r="D36" s="11"/>
      <c r="E36" s="33"/>
      <c r="I36" s="4"/>
      <c r="M36" s="21"/>
      <c r="N36" s="21"/>
      <c r="O36" s="21"/>
    </row>
    <row r="37" spans="3:15" x14ac:dyDescent="0.25">
      <c r="C37" s="33" t="str">
        <f t="shared" si="1"/>
        <v/>
      </c>
      <c r="D37" s="11"/>
      <c r="E37" s="33" t="str">
        <f t="shared" ref="E37:E43" si="2">IF(H37=1,"t","")</f>
        <v/>
      </c>
      <c r="M37" s="21"/>
      <c r="N37" s="21"/>
      <c r="O37" s="21"/>
    </row>
    <row r="38" spans="3:15" x14ac:dyDescent="0.25">
      <c r="C38" s="33" t="str">
        <f t="shared" si="1"/>
        <v/>
      </c>
      <c r="D38" s="11"/>
      <c r="E38" s="33" t="str">
        <f t="shared" si="2"/>
        <v/>
      </c>
      <c r="M38" s="21"/>
      <c r="N38" s="21"/>
      <c r="O38" s="21"/>
    </row>
    <row r="39" spans="3:15" x14ac:dyDescent="0.25">
      <c r="C39" s="33" t="str">
        <f t="shared" si="1"/>
        <v/>
      </c>
      <c r="D39" s="11"/>
      <c r="E39" s="33" t="str">
        <f t="shared" si="2"/>
        <v/>
      </c>
      <c r="M39" s="21"/>
      <c r="N39" s="21"/>
      <c r="O39" s="21"/>
    </row>
    <row r="40" spans="3:15" x14ac:dyDescent="0.25">
      <c r="C40" s="33" t="str">
        <f t="shared" si="1"/>
        <v/>
      </c>
      <c r="D40" s="11"/>
      <c r="E40" s="33" t="str">
        <f t="shared" si="2"/>
        <v/>
      </c>
      <c r="M40" s="21"/>
      <c r="N40" s="21"/>
      <c r="O40" s="21"/>
    </row>
    <row r="41" spans="3:15" x14ac:dyDescent="0.25">
      <c r="C41" s="33" t="str">
        <f t="shared" si="1"/>
        <v/>
      </c>
      <c r="D41" s="11"/>
      <c r="E41" s="33" t="str">
        <f t="shared" si="2"/>
        <v/>
      </c>
      <c r="M41" s="21"/>
      <c r="N41" s="21"/>
      <c r="O41" s="21"/>
    </row>
    <row r="42" spans="3:15" x14ac:dyDescent="0.25">
      <c r="C42" s="33" t="str">
        <f t="shared" si="1"/>
        <v/>
      </c>
      <c r="D42" s="11"/>
      <c r="E42" s="33" t="str">
        <f t="shared" si="2"/>
        <v/>
      </c>
      <c r="M42" s="21"/>
      <c r="N42" s="21"/>
      <c r="O42" s="21"/>
    </row>
    <row r="43" spans="3:15" x14ac:dyDescent="0.25">
      <c r="C43" s="33" t="str">
        <f t="shared" si="1"/>
        <v/>
      </c>
      <c r="D43" s="11"/>
      <c r="E43" s="33" t="str">
        <f t="shared" si="2"/>
        <v/>
      </c>
      <c r="M43" s="21"/>
      <c r="N43" s="21"/>
      <c r="O43" s="21"/>
    </row>
    <row r="44" spans="3:15" ht="6" customHeight="1" x14ac:dyDescent="0.25">
      <c r="C44" s="9"/>
      <c r="D44" s="9"/>
      <c r="E44" s="9"/>
      <c r="F44" s="9"/>
      <c r="G44" s="9"/>
      <c r="H44" s="9"/>
      <c r="I44" s="9"/>
      <c r="J44" s="9"/>
      <c r="K44" s="9"/>
      <c r="L44" s="9"/>
      <c r="M44" s="21"/>
      <c r="N44" s="21"/>
      <c r="O44" s="21"/>
    </row>
    <row r="45" spans="3:15" ht="6" customHeight="1" x14ac:dyDescent="0.25">
      <c r="M45" s="21"/>
      <c r="N45" s="21"/>
      <c r="O45" s="21"/>
    </row>
    <row r="46" spans="3:15" x14ac:dyDescent="0.25">
      <c r="C46" s="15" t="s">
        <v>79</v>
      </c>
      <c r="M46" s="21"/>
      <c r="N46" s="21"/>
      <c r="O46" s="21"/>
    </row>
    <row r="47" spans="3:15" x14ac:dyDescent="0.25">
      <c r="C47" s="15" t="s">
        <v>78</v>
      </c>
    </row>
  </sheetData>
  <mergeCells count="1">
    <mergeCell ref="G13:H13"/>
  </mergeCells>
  <conditionalFormatting sqref="I9">
    <cfRule type="containsText" dxfId="1321" priority="14" operator="containsText" text="FAIL">
      <formula>NOT(ISERROR(SEARCH("FAIL",I9)))</formula>
    </cfRule>
  </conditionalFormatting>
  <conditionalFormatting sqref="I9">
    <cfRule type="containsText" dxfId="1320" priority="13" operator="containsText" text="GOOD">
      <formula>NOT(ISERROR(SEARCH("GOOD",I9)))</formula>
    </cfRule>
  </conditionalFormatting>
  <conditionalFormatting sqref="F11">
    <cfRule type="containsText" dxfId="1319" priority="12" operator="containsText" text="FAIL">
      <formula>NOT(ISERROR(SEARCH("FAIL",F11)))</formula>
    </cfRule>
  </conditionalFormatting>
  <conditionalFormatting sqref="F11">
    <cfRule type="containsText" dxfId="1318" priority="11" operator="containsText" text="GOOD">
      <formula>NOT(ISERROR(SEARCH("GOOD",F11)))</formula>
    </cfRule>
  </conditionalFormatting>
  <conditionalFormatting sqref="D25">
    <cfRule type="expression" dxfId="1317" priority="10" stopIfTrue="1">
      <formula>IF($H$25=1,0)</formula>
    </cfRule>
  </conditionalFormatting>
  <conditionalFormatting sqref="D23:D25 D29:D43">
    <cfRule type="expression" dxfId="1316" priority="9">
      <formula>H23=1</formula>
    </cfRule>
  </conditionalFormatting>
  <conditionalFormatting sqref="C23:C26 C29:C43">
    <cfRule type="expression" dxfId="1315" priority="8">
      <formula>H23=1</formula>
    </cfRule>
  </conditionalFormatting>
  <conditionalFormatting sqref="E23:E26 E29:E43">
    <cfRule type="expression" dxfId="1314" priority="7">
      <formula>H23=1</formula>
    </cfRule>
  </conditionalFormatting>
  <conditionalFormatting sqref="F11">
    <cfRule type="containsText" dxfId="1313" priority="6" operator="containsText" text="FAIL">
      <formula>NOT(ISERROR(SEARCH("FAIL",F11)))</formula>
    </cfRule>
  </conditionalFormatting>
  <conditionalFormatting sqref="F11">
    <cfRule type="containsText" dxfId="1312" priority="5" operator="containsText" text="GOOD">
      <formula>NOT(ISERROR(SEARCH("GOOD",F11)))</formula>
    </cfRule>
  </conditionalFormatting>
  <conditionalFormatting sqref="D27:D28">
    <cfRule type="expression" dxfId="1311" priority="4">
      <formula>H27=1</formula>
    </cfRule>
  </conditionalFormatting>
  <conditionalFormatting sqref="C27:C28">
    <cfRule type="expression" dxfId="1310" priority="3">
      <formula>H27=1</formula>
    </cfRule>
  </conditionalFormatting>
  <conditionalFormatting sqref="E27:E28">
    <cfRule type="expression" dxfId="1309" priority="2">
      <formula>H27=1</formula>
    </cfRule>
  </conditionalFormatting>
  <conditionalFormatting sqref="D26">
    <cfRule type="expression" dxfId="1308" priority="1">
      <formula>H26=1</formula>
    </cfRule>
  </conditionalFormatting>
  <pageMargins left="0.7" right="0.7" top="0.75" bottom="0.75" header="0.3" footer="0.3"/>
  <pageSetup scale="68" orientation="portrait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sheetPr codeName="Sheet57"/>
  <dimension ref="A2:O47"/>
  <sheetViews>
    <sheetView zoomScaleNormal="100" workbookViewId="0">
      <selection activeCell="G8" sqref="G8"/>
    </sheetView>
  </sheetViews>
  <sheetFormatPr defaultRowHeight="15" x14ac:dyDescent="0.25"/>
  <cols>
    <col min="1" max="2" width="4.42578125" customWidth="1"/>
    <col min="3" max="3" width="3" customWidth="1"/>
    <col min="4" max="4" width="24.85546875" customWidth="1"/>
    <col min="5" max="5" width="3" customWidth="1"/>
    <col min="6" max="6" width="15.7109375" customWidth="1"/>
    <col min="7" max="7" width="8.5703125" customWidth="1"/>
    <col min="8" max="8" width="5.85546875" customWidth="1"/>
    <col min="9" max="15" width="15.7109375" customWidth="1"/>
  </cols>
  <sheetData>
    <row r="2" spans="1:11" x14ac:dyDescent="0.25">
      <c r="C2" s="15" t="s">
        <v>32</v>
      </c>
      <c r="E2" s="15"/>
      <c r="F2" s="15"/>
      <c r="G2" s="15" t="s">
        <v>33</v>
      </c>
      <c r="H2" s="15"/>
      <c r="I2" s="15"/>
      <c r="J2" s="15"/>
      <c r="K2" s="15"/>
    </row>
    <row r="3" spans="1:11" ht="18.75" x14ac:dyDescent="0.3">
      <c r="C3" s="3" t="s">
        <v>26</v>
      </c>
      <c r="J3" s="8" t="s">
        <v>17</v>
      </c>
    </row>
    <row r="4" spans="1:11" x14ac:dyDescent="0.25">
      <c r="D4" s="2" t="s">
        <v>0</v>
      </c>
      <c r="E4" s="1"/>
      <c r="F4" t="s">
        <v>991</v>
      </c>
      <c r="I4" s="2" t="s">
        <v>4</v>
      </c>
      <c r="J4" t="s">
        <v>630</v>
      </c>
    </row>
    <row r="5" spans="1:11" x14ac:dyDescent="0.25">
      <c r="D5" s="2" t="s">
        <v>1</v>
      </c>
      <c r="F5" t="s">
        <v>992</v>
      </c>
    </row>
    <row r="6" spans="1:11" x14ac:dyDescent="0.25">
      <c r="D6" s="2" t="s">
        <v>2</v>
      </c>
      <c r="F6" s="6">
        <v>42846</v>
      </c>
      <c r="H6" s="11"/>
    </row>
    <row r="7" spans="1:11" x14ac:dyDescent="0.25">
      <c r="D7" s="2" t="s">
        <v>3</v>
      </c>
      <c r="F7" s="5">
        <v>2060000</v>
      </c>
      <c r="G7" s="2" t="s">
        <v>34</v>
      </c>
      <c r="H7" s="11"/>
    </row>
    <row r="8" spans="1:11" x14ac:dyDescent="0.25">
      <c r="D8" s="2" t="s">
        <v>18</v>
      </c>
      <c r="F8" s="5">
        <f>MIN(I23:I43)</f>
        <v>2614625</v>
      </c>
      <c r="H8" s="11"/>
    </row>
    <row r="9" spans="1:11" x14ac:dyDescent="0.25">
      <c r="D9" s="2" t="s">
        <v>67</v>
      </c>
      <c r="F9" s="4">
        <f>+F8-F7</f>
        <v>554625</v>
      </c>
      <c r="G9" s="16">
        <f>+F9/F7</f>
        <v>0.26923543689320389</v>
      </c>
      <c r="H9" s="12" t="s">
        <v>20</v>
      </c>
      <c r="I9" s="11" t="str">
        <f>(IF(G9&lt;-0.1,"FAIL",IF(G9&gt;0.05,"FAIL","GOOD")))</f>
        <v>FAIL</v>
      </c>
      <c r="J9" s="14" t="s">
        <v>72</v>
      </c>
    </row>
    <row r="10" spans="1:11" x14ac:dyDescent="0.25">
      <c r="D10" s="2" t="s">
        <v>68</v>
      </c>
      <c r="F10" s="4">
        <f>+F7-F12</f>
        <v>-1580145</v>
      </c>
      <c r="H10" s="11"/>
    </row>
    <row r="11" spans="1:11" x14ac:dyDescent="0.25">
      <c r="A11" s="52"/>
      <c r="D11" s="2" t="s">
        <v>71</v>
      </c>
      <c r="F11" s="11" t="str">
        <f>(IF(F7&lt;J12,"FAIL",IF(F7&gt;J13,"FAIL","GOOD")))</f>
        <v>FAIL</v>
      </c>
      <c r="H11" s="11"/>
    </row>
    <row r="12" spans="1:11" x14ac:dyDescent="0.25">
      <c r="D12" s="2" t="s">
        <v>28</v>
      </c>
      <c r="F12" s="4">
        <f>SUM(I23:I43)/H12</f>
        <v>3640145</v>
      </c>
      <c r="G12" s="14"/>
      <c r="H12" s="11">
        <f>COUNT(I23:I43)</f>
        <v>5</v>
      </c>
      <c r="I12" s="1" t="s">
        <v>31</v>
      </c>
      <c r="J12" s="4">
        <f>+F8*0.9</f>
        <v>2353162.5</v>
      </c>
      <c r="K12" s="1" t="s">
        <v>69</v>
      </c>
    </row>
    <row r="13" spans="1:11" x14ac:dyDescent="0.25">
      <c r="D13" s="2" t="s">
        <v>29</v>
      </c>
      <c r="F13" s="4">
        <f>MAX(I23:I43)-MIN(I23:I43)</f>
        <v>2472425</v>
      </c>
      <c r="G13" s="399">
        <f>MEDIAN(I23:I43)</f>
        <v>2872650</v>
      </c>
      <c r="H13" s="400"/>
      <c r="I13" s="1" t="s">
        <v>30</v>
      </c>
      <c r="J13" s="4">
        <f>+F12*1.1</f>
        <v>4004159.5000000005</v>
      </c>
      <c r="K13" s="1" t="s">
        <v>70</v>
      </c>
    </row>
    <row r="14" spans="1:11" x14ac:dyDescent="0.25">
      <c r="H14" s="11"/>
    </row>
    <row r="15" spans="1:11" x14ac:dyDescent="0.25">
      <c r="D15" s="2" t="s">
        <v>8</v>
      </c>
      <c r="F15" s="4"/>
      <c r="G15" s="1" t="s">
        <v>9</v>
      </c>
      <c r="H15" s="11"/>
      <c r="I15" t="s">
        <v>15</v>
      </c>
      <c r="J15" s="7" t="e">
        <f>+F16/F15</f>
        <v>#DIV/0!</v>
      </c>
    </row>
    <row r="16" spans="1:11" x14ac:dyDescent="0.25">
      <c r="F16" s="4"/>
      <c r="G16" s="1" t="s">
        <v>10</v>
      </c>
      <c r="H16" s="11"/>
      <c r="I16" t="s">
        <v>14</v>
      </c>
      <c r="J16" s="7" t="e">
        <f>+F17/F16</f>
        <v>#DIV/0!</v>
      </c>
    </row>
    <row r="17" spans="3:15" x14ac:dyDescent="0.25">
      <c r="F17" s="4"/>
      <c r="G17" s="1" t="s">
        <v>11</v>
      </c>
      <c r="H17" s="11"/>
      <c r="I17" t="s">
        <v>13</v>
      </c>
      <c r="J17" s="7" t="e">
        <f>+F18/F17</f>
        <v>#DIV/0!</v>
      </c>
      <c r="M17" s="21"/>
      <c r="N17" s="21"/>
      <c r="O17" s="21"/>
    </row>
    <row r="18" spans="3:15" x14ac:dyDescent="0.25">
      <c r="F18" s="4"/>
      <c r="G18" s="1" t="s">
        <v>12</v>
      </c>
      <c r="H18" s="11"/>
      <c r="I18" t="s">
        <v>16</v>
      </c>
      <c r="J18" s="7" t="e">
        <f>+F8/F18</f>
        <v>#DIV/0!</v>
      </c>
      <c r="M18" s="21"/>
      <c r="N18" s="21"/>
      <c r="O18" s="21"/>
    </row>
    <row r="19" spans="3:15" x14ac:dyDescent="0.25">
      <c r="F19" s="2" t="s">
        <v>51</v>
      </c>
      <c r="G19">
        <v>0</v>
      </c>
      <c r="H19" s="11" t="s">
        <v>52</v>
      </c>
      <c r="I19" t="s">
        <v>41</v>
      </c>
      <c r="J19" s="7" t="e">
        <f>+F8/F15</f>
        <v>#DIV/0!</v>
      </c>
      <c r="M19" s="21"/>
      <c r="N19" s="21"/>
      <c r="O19" s="21"/>
    </row>
    <row r="20" spans="3:15" x14ac:dyDescent="0.25">
      <c r="H20" s="11"/>
      <c r="M20" s="21"/>
      <c r="N20" s="21"/>
      <c r="O20" s="21"/>
    </row>
    <row r="21" spans="3:15" x14ac:dyDescent="0.25">
      <c r="C21" s="9"/>
      <c r="D21" s="13" t="s">
        <v>21</v>
      </c>
      <c r="E21" s="9"/>
      <c r="F21" s="9" t="s">
        <v>22</v>
      </c>
      <c r="G21" s="9" t="s">
        <v>23</v>
      </c>
      <c r="H21" s="13" t="s">
        <v>27</v>
      </c>
      <c r="I21" s="10" t="s">
        <v>24</v>
      </c>
      <c r="J21" s="9"/>
      <c r="K21" s="9"/>
      <c r="L21" s="9"/>
      <c r="M21" s="21"/>
      <c r="N21" s="21"/>
      <c r="O21" s="21"/>
    </row>
    <row r="22" spans="3:15" ht="6" customHeight="1" x14ac:dyDescent="0.25">
      <c r="M22" s="21"/>
      <c r="N22" s="21"/>
      <c r="O22" s="21"/>
    </row>
    <row r="23" spans="3:15" x14ac:dyDescent="0.25">
      <c r="C23" s="33" t="str">
        <f>IF(H23=1,"u","")</f>
        <v/>
      </c>
      <c r="D23" s="11" t="s">
        <v>542</v>
      </c>
      <c r="E23" s="33"/>
      <c r="F23" t="s">
        <v>161</v>
      </c>
      <c r="G23" t="s">
        <v>93</v>
      </c>
      <c r="H23">
        <f>RANK(I23,I$23:I$43,1)</f>
        <v>4</v>
      </c>
      <c r="I23" s="4">
        <v>4779000</v>
      </c>
      <c r="J23" s="4"/>
      <c r="K23" s="4"/>
      <c r="L23" s="4"/>
      <c r="M23" s="22"/>
      <c r="N23" s="22"/>
      <c r="O23" s="22"/>
    </row>
    <row r="24" spans="3:15" x14ac:dyDescent="0.25">
      <c r="C24" s="33" t="str">
        <f>IF(H24=1,"u","")</f>
        <v/>
      </c>
      <c r="D24" s="11" t="s">
        <v>676</v>
      </c>
      <c r="E24" s="33"/>
      <c r="F24" t="s">
        <v>85</v>
      </c>
      <c r="G24" t="s">
        <v>25</v>
      </c>
      <c r="H24">
        <f>RANK(I24,I$23:I$43,1)</f>
        <v>5</v>
      </c>
      <c r="I24" s="4">
        <v>5087050</v>
      </c>
      <c r="J24" s="4"/>
      <c r="K24" s="4"/>
      <c r="L24" s="4"/>
      <c r="M24" s="22"/>
      <c r="N24" s="22"/>
      <c r="O24" s="22"/>
    </row>
    <row r="25" spans="3:15" x14ac:dyDescent="0.25">
      <c r="C25" s="33" t="str">
        <f>IF(H25=1,"u","")</f>
        <v/>
      </c>
      <c r="D25" s="11" t="s">
        <v>993</v>
      </c>
      <c r="E25" s="33"/>
      <c r="F25" t="s">
        <v>131</v>
      </c>
      <c r="G25" t="s">
        <v>25</v>
      </c>
      <c r="H25">
        <f>RANK(I25,I$23:I$43,1)</f>
        <v>2</v>
      </c>
      <c r="I25" s="4">
        <v>2847400</v>
      </c>
      <c r="J25" s="4"/>
      <c r="K25" s="4"/>
      <c r="L25" s="4"/>
      <c r="M25" s="22"/>
      <c r="N25" s="22"/>
      <c r="O25" s="22"/>
    </row>
    <row r="26" spans="3:15" x14ac:dyDescent="0.25">
      <c r="C26" s="33" t="str">
        <f t="shared" ref="C26:C43" si="0">IF(H26=1,"u","")</f>
        <v/>
      </c>
      <c r="D26" s="11" t="s">
        <v>522</v>
      </c>
      <c r="E26" s="33"/>
      <c r="F26" t="s">
        <v>100</v>
      </c>
      <c r="G26" t="s">
        <v>93</v>
      </c>
      <c r="H26">
        <f>RANK(I26,I$23:I$43,1)</f>
        <v>3</v>
      </c>
      <c r="I26" s="4">
        <v>2872650</v>
      </c>
      <c r="J26" s="4"/>
      <c r="K26" s="4"/>
      <c r="L26" s="4"/>
      <c r="M26" s="22"/>
      <c r="N26" s="22"/>
      <c r="O26" s="22"/>
    </row>
    <row r="27" spans="3:15" x14ac:dyDescent="0.25">
      <c r="C27" s="33" t="str">
        <f t="shared" si="0"/>
        <v>u</v>
      </c>
      <c r="D27" s="11" t="s">
        <v>824</v>
      </c>
      <c r="E27" s="33"/>
      <c r="F27" t="s">
        <v>186</v>
      </c>
      <c r="G27" t="s">
        <v>25</v>
      </c>
      <c r="H27">
        <f>RANK(I27,I$23:I$43,1)</f>
        <v>1</v>
      </c>
      <c r="I27" s="4">
        <v>2614625</v>
      </c>
      <c r="J27" s="4"/>
      <c r="K27" s="4"/>
      <c r="L27" s="4"/>
      <c r="M27" s="22"/>
      <c r="N27" s="22"/>
      <c r="O27" s="22"/>
    </row>
    <row r="28" spans="3:15" x14ac:dyDescent="0.25">
      <c r="C28" s="33"/>
      <c r="D28" s="11"/>
      <c r="E28" s="33"/>
      <c r="I28" s="4"/>
      <c r="J28" s="4"/>
      <c r="K28" s="4"/>
      <c r="L28" s="4"/>
      <c r="M28" s="22"/>
      <c r="N28" s="22"/>
      <c r="O28" s="22"/>
    </row>
    <row r="29" spans="3:15" x14ac:dyDescent="0.25">
      <c r="C29" s="33" t="str">
        <f t="shared" si="0"/>
        <v/>
      </c>
      <c r="D29" s="11"/>
      <c r="E29" s="33"/>
      <c r="I29" s="4"/>
      <c r="J29" s="4"/>
      <c r="K29" s="4"/>
      <c r="L29" s="4"/>
      <c r="M29" s="22"/>
      <c r="N29" s="22"/>
      <c r="O29" s="22"/>
    </row>
    <row r="30" spans="3:15" x14ac:dyDescent="0.25">
      <c r="C30" s="33" t="str">
        <f t="shared" si="0"/>
        <v/>
      </c>
      <c r="D30" s="11"/>
      <c r="E30" s="33"/>
      <c r="I30" s="4"/>
      <c r="J30" s="4"/>
      <c r="K30" s="4"/>
      <c r="L30" s="4"/>
      <c r="M30" s="22"/>
      <c r="N30" s="22"/>
      <c r="O30" s="22"/>
    </row>
    <row r="31" spans="3:15" x14ac:dyDescent="0.25">
      <c r="C31" s="33" t="str">
        <f t="shared" si="0"/>
        <v/>
      </c>
      <c r="D31" s="11"/>
      <c r="E31" s="33"/>
      <c r="I31" s="4"/>
      <c r="J31" s="4"/>
      <c r="K31" s="4"/>
      <c r="L31" s="4"/>
      <c r="M31" s="22"/>
      <c r="N31" s="22"/>
      <c r="O31" s="22"/>
    </row>
    <row r="32" spans="3:15" x14ac:dyDescent="0.25">
      <c r="C32" s="33" t="str">
        <f t="shared" si="0"/>
        <v/>
      </c>
      <c r="D32" s="11"/>
      <c r="E32" s="33"/>
      <c r="I32" s="4"/>
      <c r="J32" s="4"/>
      <c r="K32" s="4"/>
      <c r="L32" s="4"/>
      <c r="M32" s="22"/>
      <c r="N32" s="22"/>
      <c r="O32" s="22"/>
    </row>
    <row r="33" spans="3:15" x14ac:dyDescent="0.25">
      <c r="C33" s="33" t="str">
        <f t="shared" si="0"/>
        <v/>
      </c>
      <c r="D33" s="11"/>
      <c r="E33" s="33"/>
      <c r="I33" s="4"/>
      <c r="M33" s="21"/>
      <c r="N33" s="21"/>
      <c r="O33" s="21"/>
    </row>
    <row r="34" spans="3:15" x14ac:dyDescent="0.25">
      <c r="C34" s="33" t="str">
        <f t="shared" si="0"/>
        <v/>
      </c>
      <c r="D34" s="11"/>
      <c r="E34" s="33" t="str">
        <f t="shared" ref="E34:E43" si="1">IF(H34=1,"t","")</f>
        <v/>
      </c>
      <c r="M34" s="21"/>
      <c r="N34" s="21"/>
      <c r="O34" s="21"/>
    </row>
    <row r="35" spans="3:15" x14ac:dyDescent="0.25">
      <c r="C35" s="33" t="str">
        <f t="shared" si="0"/>
        <v/>
      </c>
      <c r="D35" s="11"/>
      <c r="E35" s="33" t="str">
        <f t="shared" si="1"/>
        <v/>
      </c>
      <c r="M35" s="21"/>
      <c r="N35" s="21"/>
      <c r="O35" s="21"/>
    </row>
    <row r="36" spans="3:15" x14ac:dyDescent="0.25">
      <c r="C36" s="33" t="str">
        <f t="shared" si="0"/>
        <v/>
      </c>
      <c r="D36" s="11"/>
      <c r="E36" s="33" t="str">
        <f t="shared" si="1"/>
        <v/>
      </c>
      <c r="M36" s="21"/>
      <c r="N36" s="21"/>
      <c r="O36" s="21"/>
    </row>
    <row r="37" spans="3:15" x14ac:dyDescent="0.25">
      <c r="C37" s="33" t="str">
        <f t="shared" si="0"/>
        <v/>
      </c>
      <c r="D37" s="11"/>
      <c r="E37" s="33" t="str">
        <f t="shared" si="1"/>
        <v/>
      </c>
      <c r="M37" s="21"/>
      <c r="N37" s="21"/>
      <c r="O37" s="21"/>
    </row>
    <row r="38" spans="3:15" x14ac:dyDescent="0.25">
      <c r="C38" s="33" t="str">
        <f t="shared" si="0"/>
        <v/>
      </c>
      <c r="D38" s="11"/>
      <c r="E38" s="33" t="str">
        <f t="shared" si="1"/>
        <v/>
      </c>
      <c r="M38" s="21"/>
      <c r="N38" s="21"/>
      <c r="O38" s="21"/>
    </row>
    <row r="39" spans="3:15" x14ac:dyDescent="0.25">
      <c r="C39" s="33" t="str">
        <f t="shared" si="0"/>
        <v/>
      </c>
      <c r="D39" s="11"/>
      <c r="E39" s="33" t="str">
        <f t="shared" si="1"/>
        <v/>
      </c>
      <c r="M39" s="21"/>
      <c r="N39" s="21"/>
      <c r="O39" s="21"/>
    </row>
    <row r="40" spans="3:15" x14ac:dyDescent="0.25">
      <c r="C40" s="33" t="str">
        <f t="shared" si="0"/>
        <v/>
      </c>
      <c r="D40" s="11"/>
      <c r="E40" s="33" t="str">
        <f t="shared" si="1"/>
        <v/>
      </c>
      <c r="M40" s="21"/>
      <c r="N40" s="21"/>
      <c r="O40" s="21"/>
    </row>
    <row r="41" spans="3:15" x14ac:dyDescent="0.25">
      <c r="C41" s="33" t="str">
        <f t="shared" si="0"/>
        <v/>
      </c>
      <c r="D41" s="11"/>
      <c r="E41" s="33" t="str">
        <f t="shared" si="1"/>
        <v/>
      </c>
      <c r="M41" s="21"/>
      <c r="N41" s="21"/>
      <c r="O41" s="21"/>
    </row>
    <row r="42" spans="3:15" x14ac:dyDescent="0.25">
      <c r="C42" s="33" t="str">
        <f t="shared" si="0"/>
        <v/>
      </c>
      <c r="D42" s="11"/>
      <c r="E42" s="33" t="str">
        <f t="shared" si="1"/>
        <v/>
      </c>
      <c r="M42" s="21"/>
      <c r="N42" s="21"/>
      <c r="O42" s="21"/>
    </row>
    <row r="43" spans="3:15" x14ac:dyDescent="0.25">
      <c r="C43" s="33" t="str">
        <f t="shared" si="0"/>
        <v/>
      </c>
      <c r="D43" s="11"/>
      <c r="E43" s="33" t="str">
        <f t="shared" si="1"/>
        <v/>
      </c>
      <c r="M43" s="21"/>
      <c r="N43" s="21"/>
      <c r="O43" s="21"/>
    </row>
    <row r="44" spans="3:15" ht="6" customHeight="1" x14ac:dyDescent="0.25">
      <c r="C44" s="9"/>
      <c r="D44" s="9"/>
      <c r="E44" s="9"/>
      <c r="F44" s="9"/>
      <c r="G44" s="9"/>
      <c r="H44" s="9"/>
      <c r="I44" s="9"/>
      <c r="J44" s="9"/>
      <c r="K44" s="9"/>
      <c r="L44" s="9"/>
      <c r="M44" s="21"/>
      <c r="N44" s="21"/>
      <c r="O44" s="21"/>
    </row>
    <row r="45" spans="3:15" ht="6" customHeight="1" x14ac:dyDescent="0.25">
      <c r="M45" s="21"/>
      <c r="N45" s="21"/>
      <c r="O45" s="21"/>
    </row>
    <row r="46" spans="3:15" x14ac:dyDescent="0.25">
      <c r="C46" s="15" t="s">
        <v>79</v>
      </c>
      <c r="M46" s="21"/>
      <c r="N46" s="21"/>
      <c r="O46" s="21"/>
    </row>
    <row r="47" spans="3:15" x14ac:dyDescent="0.25">
      <c r="C47" s="15" t="s">
        <v>78</v>
      </c>
    </row>
  </sheetData>
  <mergeCells count="1">
    <mergeCell ref="G13:H13"/>
  </mergeCells>
  <conditionalFormatting sqref="I9">
    <cfRule type="containsText" dxfId="1616" priority="13" operator="containsText" text="FAIL">
      <formula>NOT(ISERROR(SEARCH("FAIL",I9)))</formula>
    </cfRule>
  </conditionalFormatting>
  <conditionalFormatting sqref="I9">
    <cfRule type="containsText" dxfId="1615" priority="12" operator="containsText" text="GOOD">
      <formula>NOT(ISERROR(SEARCH("GOOD",I9)))</formula>
    </cfRule>
  </conditionalFormatting>
  <conditionalFormatting sqref="F11">
    <cfRule type="containsText" dxfId="1614" priority="11" operator="containsText" text="FAIL">
      <formula>NOT(ISERROR(SEARCH("FAIL",F11)))</formula>
    </cfRule>
  </conditionalFormatting>
  <conditionalFormatting sqref="F11">
    <cfRule type="containsText" dxfId="1613" priority="10" operator="containsText" text="GOOD">
      <formula>NOT(ISERROR(SEARCH("GOOD",F11)))</formula>
    </cfRule>
  </conditionalFormatting>
  <conditionalFormatting sqref="D25">
    <cfRule type="expression" dxfId="1612" priority="9" stopIfTrue="1">
      <formula>IF($H$25=1,0)</formula>
    </cfRule>
  </conditionalFormatting>
  <conditionalFormatting sqref="D23:D26 D29:D43">
    <cfRule type="expression" dxfId="1611" priority="8">
      <formula>H23=1</formula>
    </cfRule>
  </conditionalFormatting>
  <conditionalFormatting sqref="C23:C26 C29:C43">
    <cfRule type="expression" dxfId="1610" priority="7">
      <formula>H23=1</formula>
    </cfRule>
  </conditionalFormatting>
  <conditionalFormatting sqref="E23:E26 E29:E43">
    <cfRule type="expression" dxfId="1609" priority="6">
      <formula>H23=1</formula>
    </cfRule>
  </conditionalFormatting>
  <conditionalFormatting sqref="F11">
    <cfRule type="containsText" dxfId="1608" priority="5" operator="containsText" text="FAIL">
      <formula>NOT(ISERROR(SEARCH("FAIL",F11)))</formula>
    </cfRule>
  </conditionalFormatting>
  <conditionalFormatting sqref="F11">
    <cfRule type="containsText" dxfId="1607" priority="4" operator="containsText" text="GOOD">
      <formula>NOT(ISERROR(SEARCH("GOOD",F11)))</formula>
    </cfRule>
  </conditionalFormatting>
  <conditionalFormatting sqref="D27:D28">
    <cfRule type="expression" dxfId="1606" priority="3">
      <formula>H27=1</formula>
    </cfRule>
  </conditionalFormatting>
  <conditionalFormatting sqref="C27:C28">
    <cfRule type="expression" dxfId="1605" priority="2">
      <formula>H27=1</formula>
    </cfRule>
  </conditionalFormatting>
  <conditionalFormatting sqref="E27:E28">
    <cfRule type="expression" dxfId="1604" priority="1">
      <formula>H27=1</formula>
    </cfRule>
  </conditionalFormatting>
  <pageMargins left="0.7" right="0.7" top="0.75" bottom="0.75" header="0.3" footer="0.3"/>
  <pageSetup scale="68" orientation="portrait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500-000000000000}">
  <sheetPr codeName="Sheet135"/>
  <dimension ref="A2:O47"/>
  <sheetViews>
    <sheetView workbookViewId="0">
      <selection activeCell="K33" sqref="K33"/>
    </sheetView>
  </sheetViews>
  <sheetFormatPr defaultRowHeight="15" x14ac:dyDescent="0.25"/>
  <cols>
    <col min="1" max="2" width="4.42578125" customWidth="1"/>
    <col min="3" max="3" width="3" customWidth="1"/>
    <col min="4" max="4" width="24.7109375" customWidth="1"/>
    <col min="5" max="5" width="3" customWidth="1"/>
    <col min="6" max="6" width="15.7109375" customWidth="1"/>
    <col min="7" max="7" width="8.5703125" customWidth="1"/>
    <col min="8" max="8" width="5.85546875" customWidth="1"/>
    <col min="9" max="15" width="15.7109375" customWidth="1"/>
  </cols>
  <sheetData>
    <row r="2" spans="1:11" x14ac:dyDescent="0.25">
      <c r="C2" s="15" t="s">
        <v>32</v>
      </c>
      <c r="E2" s="15"/>
      <c r="F2" s="15"/>
      <c r="G2" s="15" t="s">
        <v>33</v>
      </c>
      <c r="H2" s="15"/>
      <c r="I2" s="15"/>
      <c r="J2" s="15"/>
      <c r="K2" s="15"/>
    </row>
    <row r="3" spans="1:11" ht="18.75" x14ac:dyDescent="0.3">
      <c r="C3" s="3" t="s">
        <v>26</v>
      </c>
      <c r="J3" s="8" t="s">
        <v>47</v>
      </c>
    </row>
    <row r="4" spans="1:11" x14ac:dyDescent="0.25">
      <c r="D4" s="2" t="s">
        <v>0</v>
      </c>
      <c r="E4" s="1"/>
      <c r="F4" t="s">
        <v>196</v>
      </c>
      <c r="I4" s="2" t="s">
        <v>4</v>
      </c>
    </row>
    <row r="5" spans="1:11" x14ac:dyDescent="0.25">
      <c r="D5" s="2" t="s">
        <v>1</v>
      </c>
      <c r="F5" t="s">
        <v>197</v>
      </c>
    </row>
    <row r="6" spans="1:11" x14ac:dyDescent="0.25">
      <c r="D6" s="2" t="s">
        <v>2</v>
      </c>
      <c r="F6" s="6">
        <v>42307</v>
      </c>
      <c r="H6" s="11"/>
    </row>
    <row r="7" spans="1:11" x14ac:dyDescent="0.25">
      <c r="D7" s="2" t="s">
        <v>3</v>
      </c>
      <c r="F7" s="5">
        <f>+I7+J7</f>
        <v>7100000</v>
      </c>
      <c r="G7" s="2" t="s">
        <v>34</v>
      </c>
      <c r="H7" s="11"/>
      <c r="I7" s="19">
        <v>4310000</v>
      </c>
      <c r="J7" s="19">
        <v>2790000</v>
      </c>
    </row>
    <row r="8" spans="1:11" x14ac:dyDescent="0.25">
      <c r="D8" s="2" t="s">
        <v>18</v>
      </c>
      <c r="F8" s="5">
        <f>MIN(K23:K43)</f>
        <v>6676400</v>
      </c>
      <c r="H8" s="11"/>
      <c r="I8" s="18" t="s">
        <v>43</v>
      </c>
      <c r="J8" s="18" t="s">
        <v>44</v>
      </c>
    </row>
    <row r="9" spans="1:11" x14ac:dyDescent="0.25">
      <c r="D9" s="2" t="s">
        <v>19</v>
      </c>
      <c r="F9" s="4">
        <f>+F8-F7</f>
        <v>-423600</v>
      </c>
      <c r="G9" s="16">
        <f>+F9/F7</f>
        <v>-5.9661971830985913E-2</v>
      </c>
      <c r="H9" s="12" t="s">
        <v>20</v>
      </c>
      <c r="I9" s="11" t="str">
        <f>(IF(G9&lt;-0.1,"FAIL",IF(G9&gt;0.05,"FAIL","GOOD")))</f>
        <v>GOOD</v>
      </c>
      <c r="J9" s="14" t="s">
        <v>72</v>
      </c>
    </row>
    <row r="10" spans="1:11" x14ac:dyDescent="0.25">
      <c r="D10" s="2" t="s">
        <v>68</v>
      </c>
      <c r="F10" s="4">
        <f>+F7-F12</f>
        <v>-4890432.1363636367</v>
      </c>
      <c r="H10" s="11"/>
    </row>
    <row r="11" spans="1:11" x14ac:dyDescent="0.25">
      <c r="A11" s="30"/>
      <c r="D11" s="2" t="s">
        <v>71</v>
      </c>
      <c r="F11" s="11" t="str">
        <f>(IF(F7&lt;J12,"FAIL",IF(F7&gt;J13,"FAIL","GOOD")))</f>
        <v>GOOD</v>
      </c>
      <c r="H11" s="11"/>
    </row>
    <row r="12" spans="1:11" x14ac:dyDescent="0.25">
      <c r="D12" s="2" t="s">
        <v>28</v>
      </c>
      <c r="F12" s="4">
        <f>SUM(K23:K43)/H12</f>
        <v>11990432.136363637</v>
      </c>
      <c r="G12" s="14"/>
      <c r="H12" s="11">
        <f>COUNT(K23:K43)</f>
        <v>11</v>
      </c>
      <c r="I12" s="1" t="s">
        <v>31</v>
      </c>
      <c r="J12" s="4">
        <f>+F8*0.9</f>
        <v>6008760</v>
      </c>
      <c r="K12" s="1" t="s">
        <v>69</v>
      </c>
    </row>
    <row r="13" spans="1:11" x14ac:dyDescent="0.25">
      <c r="D13" s="2" t="s">
        <v>29</v>
      </c>
      <c r="F13" s="4">
        <f>MAX(K23:K43)-MIN(K23:K43)</f>
        <v>10048600</v>
      </c>
      <c r="G13" s="399">
        <f>MEDIAN(K23:K43)</f>
        <v>10740000</v>
      </c>
      <c r="H13" s="400"/>
      <c r="I13" s="1" t="s">
        <v>30</v>
      </c>
      <c r="J13" s="4">
        <f>+F12*1.1</f>
        <v>13189475.350000001</v>
      </c>
      <c r="K13" s="1" t="s">
        <v>70</v>
      </c>
    </row>
    <row r="14" spans="1:11" x14ac:dyDescent="0.25">
      <c r="H14" s="11"/>
    </row>
    <row r="15" spans="1:11" x14ac:dyDescent="0.25">
      <c r="D15" s="2" t="s">
        <v>8</v>
      </c>
      <c r="F15" s="4"/>
      <c r="G15" s="1" t="s">
        <v>9</v>
      </c>
      <c r="H15" s="11"/>
      <c r="I15" t="s">
        <v>15</v>
      </c>
      <c r="J15" s="7" t="e">
        <f>+F16/F15</f>
        <v>#DIV/0!</v>
      </c>
    </row>
    <row r="16" spans="1:11" x14ac:dyDescent="0.25">
      <c r="F16" s="4"/>
      <c r="G16" s="1" t="s">
        <v>10</v>
      </c>
      <c r="H16" s="11"/>
      <c r="I16" t="s">
        <v>14</v>
      </c>
      <c r="J16" s="7" t="e">
        <f>+F17/F16</f>
        <v>#DIV/0!</v>
      </c>
    </row>
    <row r="17" spans="3:15" x14ac:dyDescent="0.25">
      <c r="F17" s="4"/>
      <c r="G17" s="1" t="s">
        <v>11</v>
      </c>
      <c r="H17" s="11"/>
      <c r="I17" t="s">
        <v>13</v>
      </c>
      <c r="J17" s="7" t="e">
        <f>+F18/F17</f>
        <v>#DIV/0!</v>
      </c>
    </row>
    <row r="18" spans="3:15" x14ac:dyDescent="0.25">
      <c r="F18" s="4"/>
      <c r="G18" s="1" t="s">
        <v>12</v>
      </c>
      <c r="H18" s="11"/>
      <c r="I18" t="s">
        <v>16</v>
      </c>
      <c r="J18" s="7" t="e">
        <f>+F8/F18</f>
        <v>#DIV/0!</v>
      </c>
    </row>
    <row r="19" spans="3:15" x14ac:dyDescent="0.25">
      <c r="F19" s="2" t="s">
        <v>51</v>
      </c>
      <c r="G19">
        <v>0</v>
      </c>
      <c r="H19" s="11" t="s">
        <v>52</v>
      </c>
      <c r="I19" t="s">
        <v>41</v>
      </c>
      <c r="J19" s="7" t="e">
        <f>+F8/F15</f>
        <v>#DIV/0!</v>
      </c>
    </row>
    <row r="20" spans="3:15" x14ac:dyDescent="0.25">
      <c r="H20" s="11"/>
      <c r="M20" s="21"/>
      <c r="N20" s="21"/>
      <c r="O20" s="21"/>
    </row>
    <row r="21" spans="3:15" x14ac:dyDescent="0.25">
      <c r="C21" s="9"/>
      <c r="D21" s="13" t="s">
        <v>21</v>
      </c>
      <c r="E21" s="9"/>
      <c r="F21" s="9" t="s">
        <v>22</v>
      </c>
      <c r="G21" s="9" t="s">
        <v>23</v>
      </c>
      <c r="H21" s="13" t="s">
        <v>27</v>
      </c>
      <c r="I21" s="10" t="s">
        <v>38</v>
      </c>
      <c r="J21" s="10" t="s">
        <v>37</v>
      </c>
      <c r="K21" s="10" t="s">
        <v>39</v>
      </c>
      <c r="L21" s="9"/>
      <c r="M21" s="21"/>
      <c r="N21" s="21"/>
      <c r="O21" s="21"/>
    </row>
    <row r="22" spans="3:15" ht="6" customHeight="1" x14ac:dyDescent="0.25">
      <c r="M22" s="21"/>
      <c r="N22" s="21"/>
      <c r="O22" s="21"/>
    </row>
    <row r="23" spans="3:15" x14ac:dyDescent="0.25">
      <c r="C23" s="33" t="str">
        <f>IF(H23=1,"u","")</f>
        <v>u</v>
      </c>
      <c r="D23" s="23" t="s">
        <v>99</v>
      </c>
      <c r="E23" s="33"/>
      <c r="F23" t="s">
        <v>100</v>
      </c>
      <c r="G23" t="s">
        <v>93</v>
      </c>
      <c r="H23">
        <f>RANK(K23,K$23:K$43,1)</f>
        <v>1</v>
      </c>
      <c r="I23" s="4">
        <v>6460000</v>
      </c>
      <c r="J23" s="4">
        <v>216400</v>
      </c>
      <c r="K23" s="4">
        <f>+J23+I23</f>
        <v>6676400</v>
      </c>
      <c r="L23" s="4"/>
      <c r="M23" s="22"/>
      <c r="N23" s="22"/>
      <c r="O23" s="22"/>
    </row>
    <row r="24" spans="3:15" x14ac:dyDescent="0.25">
      <c r="C24" s="33" t="str">
        <f>IF(H24=1,"u","")</f>
        <v/>
      </c>
      <c r="D24" s="23" t="s">
        <v>198</v>
      </c>
      <c r="E24" s="33"/>
      <c r="F24" t="s">
        <v>199</v>
      </c>
      <c r="G24" t="s">
        <v>93</v>
      </c>
      <c r="H24">
        <f t="shared" ref="H24:H33" si="0">RANK(K24,K$23:K$43,1)</f>
        <v>2</v>
      </c>
      <c r="I24" s="4">
        <v>7232900</v>
      </c>
      <c r="J24" s="4">
        <v>1533000</v>
      </c>
      <c r="K24" s="4">
        <f t="shared" ref="K24:K33" si="1">+J24+I24</f>
        <v>8765900</v>
      </c>
      <c r="L24" s="4"/>
      <c r="M24" s="22"/>
      <c r="N24" s="22"/>
      <c r="O24" s="22"/>
    </row>
    <row r="25" spans="3:15" x14ac:dyDescent="0.25">
      <c r="C25" s="33" t="str">
        <f>IF(H25=1,"u","")</f>
        <v/>
      </c>
      <c r="D25" s="23" t="s">
        <v>178</v>
      </c>
      <c r="E25" s="33"/>
      <c r="F25" t="s">
        <v>179</v>
      </c>
      <c r="G25" t="s">
        <v>25</v>
      </c>
      <c r="H25">
        <f t="shared" si="0"/>
        <v>3</v>
      </c>
      <c r="I25" s="4">
        <v>8295278.5</v>
      </c>
      <c r="J25" s="4">
        <v>650000</v>
      </c>
      <c r="K25" s="4">
        <f t="shared" si="1"/>
        <v>8945278.5</v>
      </c>
      <c r="L25" s="4"/>
      <c r="M25" s="22"/>
      <c r="N25" s="22"/>
      <c r="O25" s="22"/>
    </row>
    <row r="26" spans="3:15" x14ac:dyDescent="0.25">
      <c r="C26" s="33" t="str">
        <f t="shared" ref="C26:C43" si="2">IF(H26=1,"u","")</f>
        <v/>
      </c>
      <c r="D26" s="23" t="s">
        <v>91</v>
      </c>
      <c r="E26" s="33"/>
      <c r="F26" t="s">
        <v>92</v>
      </c>
      <c r="G26" t="s">
        <v>93</v>
      </c>
      <c r="H26">
        <f t="shared" si="0"/>
        <v>4</v>
      </c>
      <c r="I26" s="4">
        <v>8501150</v>
      </c>
      <c r="J26" s="4">
        <v>1296000</v>
      </c>
      <c r="K26" s="4">
        <f t="shared" si="1"/>
        <v>9797150</v>
      </c>
      <c r="L26" s="4"/>
      <c r="M26" s="22"/>
      <c r="N26" s="22"/>
      <c r="O26" s="22"/>
    </row>
    <row r="27" spans="3:15" x14ac:dyDescent="0.25">
      <c r="C27" s="33" t="str">
        <f t="shared" si="2"/>
        <v/>
      </c>
      <c r="D27" s="23" t="s">
        <v>200</v>
      </c>
      <c r="E27" s="33"/>
      <c r="F27" t="s">
        <v>201</v>
      </c>
      <c r="G27" t="s">
        <v>25</v>
      </c>
      <c r="H27">
        <f t="shared" si="0"/>
        <v>5</v>
      </c>
      <c r="I27" s="4">
        <v>8748550</v>
      </c>
      <c r="J27" s="4">
        <v>1705000</v>
      </c>
      <c r="K27" s="4">
        <f t="shared" si="1"/>
        <v>10453550</v>
      </c>
      <c r="L27" s="4"/>
      <c r="M27" s="22"/>
      <c r="N27" s="22"/>
      <c r="O27" s="22"/>
    </row>
    <row r="28" spans="3:15" x14ac:dyDescent="0.25">
      <c r="C28" s="33" t="str">
        <f t="shared" si="2"/>
        <v/>
      </c>
      <c r="D28" s="23" t="s">
        <v>202</v>
      </c>
      <c r="E28" s="33"/>
      <c r="F28" t="s">
        <v>203</v>
      </c>
      <c r="G28" t="s">
        <v>204</v>
      </c>
      <c r="H28">
        <f t="shared" si="0"/>
        <v>6</v>
      </c>
      <c r="I28" s="4">
        <v>7913000</v>
      </c>
      <c r="J28" s="4">
        <v>2827000</v>
      </c>
      <c r="K28" s="4">
        <f t="shared" si="1"/>
        <v>10740000</v>
      </c>
      <c r="L28" s="4"/>
      <c r="M28" s="22"/>
      <c r="N28" s="22"/>
      <c r="O28" s="22"/>
    </row>
    <row r="29" spans="3:15" x14ac:dyDescent="0.25">
      <c r="C29" s="33" t="str">
        <f t="shared" si="2"/>
        <v/>
      </c>
      <c r="D29" s="23" t="s">
        <v>205</v>
      </c>
      <c r="E29" s="33"/>
      <c r="F29" t="s">
        <v>161</v>
      </c>
      <c r="G29" t="s">
        <v>93</v>
      </c>
      <c r="H29">
        <f t="shared" si="0"/>
        <v>7</v>
      </c>
      <c r="I29" s="4">
        <v>12278350</v>
      </c>
      <c r="J29" s="4">
        <v>1853775</v>
      </c>
      <c r="K29" s="4">
        <f t="shared" si="1"/>
        <v>14132125</v>
      </c>
      <c r="L29" s="4"/>
      <c r="M29" s="22"/>
      <c r="N29" s="22"/>
      <c r="O29" s="22"/>
    </row>
    <row r="30" spans="3:15" x14ac:dyDescent="0.25">
      <c r="C30" s="33" t="str">
        <f t="shared" si="2"/>
        <v/>
      </c>
      <c r="D30" s="23" t="s">
        <v>206</v>
      </c>
      <c r="E30" s="33"/>
      <c r="F30" t="s">
        <v>165</v>
      </c>
      <c r="G30" t="s">
        <v>93</v>
      </c>
      <c r="H30">
        <f t="shared" si="0"/>
        <v>8</v>
      </c>
      <c r="I30" s="4">
        <v>12081462</v>
      </c>
      <c r="J30" s="4">
        <v>2804538</v>
      </c>
      <c r="K30" s="4">
        <f t="shared" si="1"/>
        <v>14886000</v>
      </c>
      <c r="L30" s="4"/>
      <c r="M30" s="22"/>
      <c r="N30" s="22"/>
      <c r="O30" s="22"/>
    </row>
    <row r="31" spans="3:15" x14ac:dyDescent="0.25">
      <c r="C31" s="33" t="str">
        <f t="shared" si="2"/>
        <v/>
      </c>
      <c r="D31" s="23" t="s">
        <v>207</v>
      </c>
      <c r="E31" s="33"/>
      <c r="F31" t="s">
        <v>208</v>
      </c>
      <c r="G31" t="s">
        <v>93</v>
      </c>
      <c r="H31">
        <f t="shared" si="0"/>
        <v>9</v>
      </c>
      <c r="I31" s="4">
        <v>11631350</v>
      </c>
      <c r="J31" s="4">
        <v>3310000</v>
      </c>
      <c r="K31" s="4">
        <f t="shared" si="1"/>
        <v>14941350</v>
      </c>
      <c r="L31" s="4"/>
      <c r="M31" s="22"/>
      <c r="N31" s="22"/>
      <c r="O31" s="22"/>
    </row>
    <row r="32" spans="3:15" x14ac:dyDescent="0.25">
      <c r="C32" s="33" t="str">
        <f t="shared" si="2"/>
        <v/>
      </c>
      <c r="D32" s="23" t="s">
        <v>209</v>
      </c>
      <c r="E32" s="33"/>
      <c r="F32" t="s">
        <v>139</v>
      </c>
      <c r="G32" t="s">
        <v>25</v>
      </c>
      <c r="H32">
        <f t="shared" si="0"/>
        <v>10</v>
      </c>
      <c r="I32" s="4">
        <v>12928315</v>
      </c>
      <c r="J32" s="4">
        <v>2903685</v>
      </c>
      <c r="K32" s="4">
        <f t="shared" si="1"/>
        <v>15832000</v>
      </c>
      <c r="L32" s="4"/>
      <c r="M32" s="22"/>
      <c r="N32" s="22"/>
      <c r="O32" s="22"/>
    </row>
    <row r="33" spans="3:15" x14ac:dyDescent="0.25">
      <c r="C33" s="33" t="str">
        <f t="shared" si="2"/>
        <v/>
      </c>
      <c r="D33" s="23" t="s">
        <v>210</v>
      </c>
      <c r="E33" s="33"/>
      <c r="F33" t="s">
        <v>145</v>
      </c>
      <c r="G33" t="s">
        <v>25</v>
      </c>
      <c r="H33">
        <f t="shared" si="0"/>
        <v>11</v>
      </c>
      <c r="I33" s="4">
        <v>8679800</v>
      </c>
      <c r="J33" s="4">
        <v>8045200</v>
      </c>
      <c r="K33" s="4">
        <f t="shared" si="1"/>
        <v>16725000</v>
      </c>
      <c r="M33" s="21"/>
      <c r="N33" s="21"/>
      <c r="O33" s="21"/>
    </row>
    <row r="34" spans="3:15" x14ac:dyDescent="0.25">
      <c r="C34" s="33" t="str">
        <f t="shared" si="2"/>
        <v/>
      </c>
      <c r="D34" s="11"/>
      <c r="E34" s="33" t="str">
        <f t="shared" ref="E34:E43" si="3">IF(H34=1,"t","")</f>
        <v/>
      </c>
      <c r="K34" s="4"/>
      <c r="M34" s="21"/>
      <c r="N34" s="21"/>
      <c r="O34" s="21"/>
    </row>
    <row r="35" spans="3:15" x14ac:dyDescent="0.25">
      <c r="C35" s="33" t="str">
        <f t="shared" si="2"/>
        <v/>
      </c>
      <c r="D35" s="11"/>
      <c r="E35" s="33" t="str">
        <f t="shared" si="3"/>
        <v/>
      </c>
      <c r="K35" s="4"/>
      <c r="M35" s="21"/>
      <c r="N35" s="21"/>
      <c r="O35" s="21"/>
    </row>
    <row r="36" spans="3:15" x14ac:dyDescent="0.25">
      <c r="C36" s="33" t="str">
        <f t="shared" si="2"/>
        <v/>
      </c>
      <c r="D36" s="11"/>
      <c r="E36" s="33" t="str">
        <f t="shared" si="3"/>
        <v/>
      </c>
      <c r="K36" s="4"/>
      <c r="M36" s="21"/>
      <c r="N36" s="21"/>
      <c r="O36" s="21"/>
    </row>
    <row r="37" spans="3:15" x14ac:dyDescent="0.25">
      <c r="C37" s="33" t="str">
        <f t="shared" si="2"/>
        <v/>
      </c>
      <c r="D37" s="11"/>
      <c r="E37" s="33" t="str">
        <f t="shared" si="3"/>
        <v/>
      </c>
      <c r="K37" s="4"/>
      <c r="M37" s="21"/>
      <c r="N37" s="21"/>
      <c r="O37" s="21"/>
    </row>
    <row r="38" spans="3:15" x14ac:dyDescent="0.25">
      <c r="C38" s="33" t="str">
        <f t="shared" si="2"/>
        <v/>
      </c>
      <c r="D38" s="11"/>
      <c r="E38" s="33" t="str">
        <f t="shared" si="3"/>
        <v/>
      </c>
      <c r="K38" s="4"/>
      <c r="M38" s="21"/>
      <c r="N38" s="21"/>
      <c r="O38" s="21"/>
    </row>
    <row r="39" spans="3:15" x14ac:dyDescent="0.25">
      <c r="C39" s="33" t="str">
        <f t="shared" si="2"/>
        <v/>
      </c>
      <c r="D39" s="11"/>
      <c r="E39" s="33" t="str">
        <f t="shared" si="3"/>
        <v/>
      </c>
      <c r="K39" s="4"/>
      <c r="M39" s="21"/>
      <c r="N39" s="21"/>
      <c r="O39" s="21"/>
    </row>
    <row r="40" spans="3:15" x14ac:dyDescent="0.25">
      <c r="C40" s="33" t="str">
        <f t="shared" si="2"/>
        <v/>
      </c>
      <c r="D40" s="11"/>
      <c r="E40" s="33" t="str">
        <f t="shared" si="3"/>
        <v/>
      </c>
      <c r="K40" s="4"/>
      <c r="M40" s="21"/>
      <c r="N40" s="21"/>
      <c r="O40" s="21"/>
    </row>
    <row r="41" spans="3:15" x14ac:dyDescent="0.25">
      <c r="C41" s="33" t="str">
        <f t="shared" si="2"/>
        <v/>
      </c>
      <c r="D41" s="11"/>
      <c r="E41" s="33" t="str">
        <f t="shared" si="3"/>
        <v/>
      </c>
      <c r="K41" s="4"/>
      <c r="M41" s="21"/>
      <c r="N41" s="21"/>
      <c r="O41" s="21"/>
    </row>
    <row r="42" spans="3:15" x14ac:dyDescent="0.25">
      <c r="C42" s="33" t="str">
        <f t="shared" si="2"/>
        <v/>
      </c>
      <c r="D42" s="11"/>
      <c r="E42" s="33" t="str">
        <f t="shared" si="3"/>
        <v/>
      </c>
      <c r="K42" s="4"/>
      <c r="M42" s="21"/>
      <c r="N42" s="21"/>
      <c r="O42" s="21"/>
    </row>
    <row r="43" spans="3:15" x14ac:dyDescent="0.25">
      <c r="C43" s="33" t="str">
        <f t="shared" si="2"/>
        <v/>
      </c>
      <c r="D43" s="11"/>
      <c r="E43" s="33" t="str">
        <f t="shared" si="3"/>
        <v/>
      </c>
      <c r="K43" s="4"/>
      <c r="M43" s="21"/>
      <c r="N43" s="21"/>
      <c r="O43" s="21"/>
    </row>
    <row r="44" spans="3:15" ht="6" customHeight="1" x14ac:dyDescent="0.25">
      <c r="C44" s="9"/>
      <c r="D44" s="9"/>
      <c r="E44" s="9"/>
      <c r="F44" s="9"/>
      <c r="G44" s="9"/>
      <c r="H44" s="9"/>
      <c r="I44" s="9"/>
      <c r="J44" s="9"/>
      <c r="K44" s="9"/>
      <c r="L44" s="9"/>
      <c r="M44" s="21"/>
      <c r="N44" s="21"/>
      <c r="O44" s="21"/>
    </row>
    <row r="45" spans="3:15" ht="6" customHeight="1" x14ac:dyDescent="0.25">
      <c r="M45" s="21"/>
      <c r="N45" s="21"/>
      <c r="O45" s="21"/>
    </row>
    <row r="46" spans="3:15" x14ac:dyDescent="0.25">
      <c r="C46" s="15" t="s">
        <v>79</v>
      </c>
      <c r="M46" s="21"/>
      <c r="N46" s="21"/>
      <c r="O46" s="21"/>
    </row>
    <row r="47" spans="3:15" x14ac:dyDescent="0.25">
      <c r="C47" s="15" t="s">
        <v>78</v>
      </c>
    </row>
  </sheetData>
  <mergeCells count="1">
    <mergeCell ref="G13:H13"/>
  </mergeCells>
  <conditionalFormatting sqref="I9">
    <cfRule type="containsText" dxfId="481" priority="19" operator="containsText" text="FAIL">
      <formula>NOT(ISERROR(SEARCH("FAIL",I9)))</formula>
    </cfRule>
  </conditionalFormatting>
  <conditionalFormatting sqref="I9">
    <cfRule type="containsText" dxfId="480" priority="18" operator="containsText" text="GOOD">
      <formula>NOT(ISERROR(SEARCH("GOOD",I9)))</formula>
    </cfRule>
  </conditionalFormatting>
  <conditionalFormatting sqref="I9">
    <cfRule type="containsText" dxfId="479" priority="17" operator="containsText" text="FAIL">
      <formula>NOT(ISERROR(SEARCH("FAIL",I9)))</formula>
    </cfRule>
  </conditionalFormatting>
  <conditionalFormatting sqref="I9">
    <cfRule type="containsText" dxfId="478" priority="16" operator="containsText" text="GOOD">
      <formula>NOT(ISERROR(SEARCH("GOOD",I9)))</formula>
    </cfRule>
  </conditionalFormatting>
  <conditionalFormatting sqref="I9">
    <cfRule type="containsText" dxfId="477" priority="15" operator="containsText" text="FAIL">
      <formula>NOT(ISERROR(SEARCH("FAIL",I9)))</formula>
    </cfRule>
  </conditionalFormatting>
  <conditionalFormatting sqref="I9">
    <cfRule type="containsText" dxfId="476" priority="14" operator="containsText" text="GOOD">
      <formula>NOT(ISERROR(SEARCH("GOOD",I9)))</formula>
    </cfRule>
  </conditionalFormatting>
  <conditionalFormatting sqref="F11">
    <cfRule type="containsText" dxfId="475" priority="13" operator="containsText" text="FAIL">
      <formula>NOT(ISERROR(SEARCH("FAIL",F11)))</formula>
    </cfRule>
  </conditionalFormatting>
  <conditionalFormatting sqref="F11">
    <cfRule type="containsText" dxfId="474" priority="12" operator="containsText" text="GOOD">
      <formula>NOT(ISERROR(SEARCH("GOOD",F11)))</formula>
    </cfRule>
  </conditionalFormatting>
  <conditionalFormatting sqref="I9">
    <cfRule type="containsText" dxfId="473" priority="11" operator="containsText" text="FAIL">
      <formula>NOT(ISERROR(SEARCH("FAIL",I9)))</formula>
    </cfRule>
  </conditionalFormatting>
  <conditionalFormatting sqref="I9">
    <cfRule type="containsText" dxfId="472" priority="10" operator="containsText" text="GOOD">
      <formula>NOT(ISERROR(SEARCH("GOOD",I9)))</formula>
    </cfRule>
  </conditionalFormatting>
  <conditionalFormatting sqref="F11">
    <cfRule type="containsText" dxfId="471" priority="9" operator="containsText" text="FAIL">
      <formula>NOT(ISERROR(SEARCH("FAIL",F11)))</formula>
    </cfRule>
  </conditionalFormatting>
  <conditionalFormatting sqref="F11">
    <cfRule type="containsText" dxfId="470" priority="8" operator="containsText" text="GOOD">
      <formula>NOT(ISERROR(SEARCH("GOOD",F11)))</formula>
    </cfRule>
  </conditionalFormatting>
  <conditionalFormatting sqref="D25">
    <cfRule type="expression" dxfId="469" priority="7" stopIfTrue="1">
      <formula>IF($H$25=1,0)</formula>
    </cfRule>
  </conditionalFormatting>
  <conditionalFormatting sqref="D23:D43">
    <cfRule type="expression" dxfId="468" priority="6">
      <formula>H23=1</formula>
    </cfRule>
  </conditionalFormatting>
  <conditionalFormatting sqref="C23:C43">
    <cfRule type="expression" dxfId="467" priority="5">
      <formula>H23=1</formula>
    </cfRule>
  </conditionalFormatting>
  <conditionalFormatting sqref="E23:E43">
    <cfRule type="expression" dxfId="466" priority="4">
      <formula>H23=1</formula>
    </cfRule>
  </conditionalFormatting>
  <conditionalFormatting sqref="E23:E43">
    <cfRule type="expression" dxfId="465" priority="3">
      <formula>H23=1</formula>
    </cfRule>
  </conditionalFormatting>
  <conditionalFormatting sqref="F11">
    <cfRule type="containsText" dxfId="464" priority="2" operator="containsText" text="FAIL">
      <formula>NOT(ISERROR(SEARCH("FAIL",F11)))</formula>
    </cfRule>
  </conditionalFormatting>
  <conditionalFormatting sqref="F11">
    <cfRule type="containsText" dxfId="463" priority="1" operator="containsText" text="GOOD">
      <formula>NOT(ISERROR(SEARCH("GOOD",F11)))</formula>
    </cfRule>
  </conditionalFormatting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000-000000000000}">
  <sheetPr codeName="Sheet114"/>
  <dimension ref="A2:O47"/>
  <sheetViews>
    <sheetView zoomScaleNormal="100" workbookViewId="0">
      <selection activeCell="F6" sqref="F6"/>
    </sheetView>
  </sheetViews>
  <sheetFormatPr defaultRowHeight="15" x14ac:dyDescent="0.25"/>
  <cols>
    <col min="1" max="2" width="4.42578125" customWidth="1"/>
    <col min="3" max="3" width="3" customWidth="1"/>
    <col min="4" max="4" width="24.85546875" customWidth="1"/>
    <col min="5" max="5" width="3" customWidth="1"/>
    <col min="6" max="6" width="15.7109375" customWidth="1"/>
    <col min="7" max="7" width="8.5703125" customWidth="1"/>
    <col min="8" max="8" width="5.85546875" customWidth="1"/>
    <col min="9" max="15" width="15.7109375" customWidth="1"/>
  </cols>
  <sheetData>
    <row r="2" spans="1:11" x14ac:dyDescent="0.25">
      <c r="C2" s="15" t="s">
        <v>32</v>
      </c>
      <c r="E2" s="15"/>
      <c r="F2" s="15"/>
      <c r="G2" s="15" t="s">
        <v>33</v>
      </c>
      <c r="H2" s="15"/>
      <c r="I2" s="15"/>
      <c r="J2" s="15"/>
      <c r="K2" s="15"/>
    </row>
    <row r="3" spans="1:11" ht="18.75" x14ac:dyDescent="0.3">
      <c r="C3" s="3" t="s">
        <v>26</v>
      </c>
      <c r="J3" s="8" t="s">
        <v>17</v>
      </c>
    </row>
    <row r="4" spans="1:11" x14ac:dyDescent="0.25">
      <c r="D4" s="2" t="s">
        <v>0</v>
      </c>
      <c r="E4" s="1"/>
      <c r="F4" t="s">
        <v>625</v>
      </c>
      <c r="I4" s="2" t="s">
        <v>4</v>
      </c>
      <c r="J4" t="s">
        <v>447</v>
      </c>
    </row>
    <row r="5" spans="1:11" x14ac:dyDescent="0.25">
      <c r="D5" s="2" t="s">
        <v>1</v>
      </c>
      <c r="F5" t="s">
        <v>632</v>
      </c>
    </row>
    <row r="6" spans="1:11" x14ac:dyDescent="0.25">
      <c r="D6" s="2" t="s">
        <v>2</v>
      </c>
      <c r="F6" s="6">
        <v>42486</v>
      </c>
      <c r="H6" s="11"/>
    </row>
    <row r="7" spans="1:11" x14ac:dyDescent="0.25">
      <c r="D7" s="2" t="s">
        <v>3</v>
      </c>
      <c r="F7" s="5">
        <v>600000</v>
      </c>
      <c r="G7" s="2" t="s">
        <v>34</v>
      </c>
      <c r="H7" s="11"/>
    </row>
    <row r="8" spans="1:11" x14ac:dyDescent="0.25">
      <c r="D8" s="2" t="s">
        <v>18</v>
      </c>
      <c r="F8" s="5">
        <f>MIN(I23:I43)</f>
        <v>675000</v>
      </c>
      <c r="H8" s="11"/>
    </row>
    <row r="9" spans="1:11" x14ac:dyDescent="0.25">
      <c r="D9" s="2" t="s">
        <v>67</v>
      </c>
      <c r="F9" s="4">
        <f>+F8-F7</f>
        <v>75000</v>
      </c>
      <c r="G9" s="16">
        <f>+F9/F7</f>
        <v>0.125</v>
      </c>
      <c r="H9" s="12" t="s">
        <v>20</v>
      </c>
      <c r="I9" s="11" t="str">
        <f>(IF(G9&lt;-0.1,"FAIL",IF(G9&gt;0.05,"FAIL","GOOD")))</f>
        <v>FAIL</v>
      </c>
      <c r="J9" s="14" t="s">
        <v>72</v>
      </c>
    </row>
    <row r="10" spans="1:11" x14ac:dyDescent="0.25">
      <c r="D10" s="2" t="s">
        <v>68</v>
      </c>
      <c r="F10" s="4">
        <f>+F7-F12</f>
        <v>-300333.33333333337</v>
      </c>
      <c r="H10" s="11"/>
    </row>
    <row r="11" spans="1:11" x14ac:dyDescent="0.25">
      <c r="A11" s="52"/>
      <c r="D11" s="2" t="s">
        <v>71</v>
      </c>
      <c r="F11" s="11" t="str">
        <f>(IF(F7&lt;J12,"FAIL",IF(F7&gt;J13,"FAIL","GOOD")))</f>
        <v>FAIL</v>
      </c>
      <c r="H11" s="11"/>
    </row>
    <row r="12" spans="1:11" x14ac:dyDescent="0.25">
      <c r="D12" s="2" t="s">
        <v>28</v>
      </c>
      <c r="F12" s="4">
        <f>SUM(I23:I43)/H12</f>
        <v>900333.33333333337</v>
      </c>
      <c r="G12" s="14"/>
      <c r="H12" s="11">
        <f>COUNT(I23:I43)</f>
        <v>3</v>
      </c>
      <c r="I12" s="1" t="s">
        <v>31</v>
      </c>
      <c r="J12" s="4">
        <f>+F8*0.9</f>
        <v>607500</v>
      </c>
      <c r="K12" s="1" t="s">
        <v>69</v>
      </c>
    </row>
    <row r="13" spans="1:11" x14ac:dyDescent="0.25">
      <c r="D13" s="2" t="s">
        <v>29</v>
      </c>
      <c r="F13" s="4">
        <f>MAX(I23:I43)-MIN(I23:I43)</f>
        <v>665000</v>
      </c>
      <c r="G13" s="399">
        <f>MEDIAN(I23:I43)</f>
        <v>686000</v>
      </c>
      <c r="H13" s="400"/>
      <c r="I13" s="1" t="s">
        <v>30</v>
      </c>
      <c r="J13" s="4">
        <f>+F12*1.1</f>
        <v>990366.66666666674</v>
      </c>
      <c r="K13" s="1" t="s">
        <v>70</v>
      </c>
    </row>
    <row r="14" spans="1:11" x14ac:dyDescent="0.25">
      <c r="H14" s="11"/>
    </row>
    <row r="15" spans="1:11" x14ac:dyDescent="0.25">
      <c r="D15" s="2" t="s">
        <v>8</v>
      </c>
      <c r="F15" s="4"/>
      <c r="G15" s="1" t="s">
        <v>9</v>
      </c>
      <c r="H15" s="11"/>
      <c r="I15" t="s">
        <v>15</v>
      </c>
      <c r="J15" s="7" t="e">
        <f>+F16/F15</f>
        <v>#DIV/0!</v>
      </c>
    </row>
    <row r="16" spans="1:11" x14ac:dyDescent="0.25">
      <c r="F16" s="4"/>
      <c r="G16" s="1" t="s">
        <v>10</v>
      </c>
      <c r="H16" s="11"/>
      <c r="I16" t="s">
        <v>14</v>
      </c>
      <c r="J16" s="7" t="e">
        <f>+F17/F16</f>
        <v>#DIV/0!</v>
      </c>
    </row>
    <row r="17" spans="3:15" x14ac:dyDescent="0.25">
      <c r="F17" s="4"/>
      <c r="G17" s="1" t="s">
        <v>11</v>
      </c>
      <c r="H17" s="11"/>
      <c r="I17" t="s">
        <v>13</v>
      </c>
      <c r="J17" s="7" t="e">
        <f>+F18/F17</f>
        <v>#DIV/0!</v>
      </c>
      <c r="M17" s="21"/>
      <c r="N17" s="21"/>
      <c r="O17" s="21"/>
    </row>
    <row r="18" spans="3:15" x14ac:dyDescent="0.25">
      <c r="F18" s="4"/>
      <c r="G18" s="1" t="s">
        <v>12</v>
      </c>
      <c r="H18" s="11"/>
      <c r="I18" t="s">
        <v>16</v>
      </c>
      <c r="J18" s="7" t="e">
        <f>+F8/F18</f>
        <v>#DIV/0!</v>
      </c>
      <c r="M18" s="21"/>
      <c r="N18" s="21"/>
      <c r="O18" s="21"/>
    </row>
    <row r="19" spans="3:15" x14ac:dyDescent="0.25">
      <c r="F19" s="2" t="s">
        <v>51</v>
      </c>
      <c r="G19">
        <v>0</v>
      </c>
      <c r="H19" s="11" t="s">
        <v>52</v>
      </c>
      <c r="I19" t="s">
        <v>41</v>
      </c>
      <c r="J19" s="7" t="e">
        <f>+F8/F15</f>
        <v>#DIV/0!</v>
      </c>
      <c r="M19" s="21"/>
      <c r="N19" s="21"/>
      <c r="O19" s="21"/>
    </row>
    <row r="20" spans="3:15" x14ac:dyDescent="0.25">
      <c r="H20" s="11"/>
      <c r="M20" s="21"/>
      <c r="N20" s="21"/>
      <c r="O20" s="21"/>
    </row>
    <row r="21" spans="3:15" x14ac:dyDescent="0.25">
      <c r="C21" s="9"/>
      <c r="D21" s="13" t="s">
        <v>21</v>
      </c>
      <c r="E21" s="9"/>
      <c r="F21" s="9" t="s">
        <v>22</v>
      </c>
      <c r="G21" s="9" t="s">
        <v>23</v>
      </c>
      <c r="H21" s="13" t="s">
        <v>27</v>
      </c>
      <c r="I21" s="10" t="s">
        <v>24</v>
      </c>
      <c r="J21" s="9"/>
      <c r="K21" s="9"/>
      <c r="L21" s="9"/>
      <c r="M21" s="21"/>
      <c r="N21" s="21"/>
      <c r="O21" s="21"/>
    </row>
    <row r="22" spans="3:15" ht="6" customHeight="1" x14ac:dyDescent="0.25">
      <c r="M22" s="21"/>
      <c r="N22" s="21"/>
      <c r="O22" s="21"/>
    </row>
    <row r="23" spans="3:15" x14ac:dyDescent="0.25">
      <c r="C23" s="33" t="str">
        <f>IF(H23=1,"u","")</f>
        <v>u</v>
      </c>
      <c r="D23" s="11" t="s">
        <v>626</v>
      </c>
      <c r="E23" s="33"/>
      <c r="F23" t="s">
        <v>308</v>
      </c>
      <c r="G23" t="s">
        <v>25</v>
      </c>
      <c r="H23">
        <f>RANK(I23,I$23:I$43,1)</f>
        <v>1</v>
      </c>
      <c r="I23" s="4">
        <v>675000</v>
      </c>
      <c r="J23" s="4"/>
      <c r="K23" s="4"/>
      <c r="L23" s="4"/>
      <c r="M23" s="22"/>
      <c r="N23" s="22"/>
      <c r="O23" s="22"/>
    </row>
    <row r="24" spans="3:15" x14ac:dyDescent="0.25">
      <c r="C24" s="33" t="str">
        <f>IF(H24=1,"u","")</f>
        <v/>
      </c>
      <c r="D24" s="11" t="s">
        <v>627</v>
      </c>
      <c r="E24" s="33"/>
      <c r="F24" t="s">
        <v>147</v>
      </c>
      <c r="G24" t="s">
        <v>93</v>
      </c>
      <c r="H24">
        <f>RANK(I24,I$23:I$43,1)</f>
        <v>3</v>
      </c>
      <c r="I24" s="4">
        <v>1340000</v>
      </c>
      <c r="J24" s="4"/>
      <c r="K24" s="4"/>
      <c r="L24" s="4"/>
      <c r="M24" s="22"/>
      <c r="N24" s="22"/>
      <c r="O24" s="22"/>
    </row>
    <row r="25" spans="3:15" x14ac:dyDescent="0.25">
      <c r="C25" s="33" t="str">
        <f>IF(H25=1,"u","")</f>
        <v/>
      </c>
      <c r="D25" s="11" t="s">
        <v>628</v>
      </c>
      <c r="E25" s="33"/>
      <c r="F25" t="s">
        <v>95</v>
      </c>
      <c r="G25" t="s">
        <v>93</v>
      </c>
      <c r="H25">
        <f>RANK(I25,I$23:I$43,1)</f>
        <v>2</v>
      </c>
      <c r="I25" s="4">
        <v>686000</v>
      </c>
      <c r="J25" s="4"/>
      <c r="K25" s="4"/>
      <c r="L25" s="4"/>
      <c r="M25" s="22"/>
      <c r="N25" s="22"/>
      <c r="O25" s="22"/>
    </row>
    <row r="26" spans="3:15" x14ac:dyDescent="0.25">
      <c r="C26" s="33" t="str">
        <f t="shared" ref="C26:C43" si="0">IF(H26=1,"u","")</f>
        <v/>
      </c>
      <c r="D26" s="11"/>
      <c r="E26" s="33"/>
      <c r="I26" s="4"/>
      <c r="J26" s="4"/>
      <c r="K26" s="4"/>
      <c r="L26" s="4"/>
      <c r="M26" s="22"/>
      <c r="N26" s="22"/>
      <c r="O26" s="22"/>
    </row>
    <row r="27" spans="3:15" x14ac:dyDescent="0.25">
      <c r="C27" s="33" t="str">
        <f t="shared" si="0"/>
        <v/>
      </c>
      <c r="D27" s="11"/>
      <c r="E27" s="33"/>
      <c r="I27" s="4"/>
      <c r="J27" s="4"/>
      <c r="K27" s="4"/>
      <c r="L27" s="4"/>
      <c r="M27" s="22"/>
      <c r="N27" s="22"/>
      <c r="O27" s="22"/>
    </row>
    <row r="28" spans="3:15" x14ac:dyDescent="0.25">
      <c r="C28" s="33" t="str">
        <f t="shared" si="0"/>
        <v/>
      </c>
      <c r="D28" s="11"/>
      <c r="E28" s="33"/>
      <c r="I28" s="4"/>
      <c r="J28" s="4"/>
      <c r="K28" s="4"/>
      <c r="L28" s="4"/>
      <c r="M28" s="22"/>
      <c r="N28" s="22"/>
      <c r="O28" s="22"/>
    </row>
    <row r="29" spans="3:15" x14ac:dyDescent="0.25">
      <c r="C29" s="33" t="str">
        <f t="shared" si="0"/>
        <v/>
      </c>
      <c r="D29" s="11"/>
      <c r="E29" s="33"/>
      <c r="I29" s="4"/>
      <c r="J29" s="4"/>
      <c r="K29" s="4"/>
      <c r="L29" s="4"/>
      <c r="M29" s="22"/>
      <c r="N29" s="22"/>
      <c r="O29" s="22"/>
    </row>
    <row r="30" spans="3:15" x14ac:dyDescent="0.25">
      <c r="C30" s="33" t="str">
        <f t="shared" si="0"/>
        <v/>
      </c>
      <c r="D30" s="11"/>
      <c r="E30" s="33"/>
      <c r="I30" s="4"/>
      <c r="J30" s="4"/>
      <c r="K30" s="4"/>
      <c r="L30" s="4"/>
      <c r="M30" s="22"/>
      <c r="N30" s="22"/>
      <c r="O30" s="22"/>
    </row>
    <row r="31" spans="3:15" x14ac:dyDescent="0.25">
      <c r="C31" s="33" t="str">
        <f t="shared" si="0"/>
        <v/>
      </c>
      <c r="D31" s="11"/>
      <c r="E31" s="33"/>
      <c r="I31" s="4"/>
      <c r="J31" s="4"/>
      <c r="K31" s="4"/>
      <c r="L31" s="4"/>
      <c r="M31" s="22"/>
      <c r="N31" s="22"/>
      <c r="O31" s="22"/>
    </row>
    <row r="32" spans="3:15" x14ac:dyDescent="0.25">
      <c r="C32" s="33" t="str">
        <f t="shared" si="0"/>
        <v/>
      </c>
      <c r="D32" s="11"/>
      <c r="E32" s="33"/>
      <c r="I32" s="4"/>
      <c r="J32" s="4"/>
      <c r="K32" s="4"/>
      <c r="L32" s="4"/>
      <c r="M32" s="22"/>
      <c r="N32" s="22"/>
      <c r="O32" s="22"/>
    </row>
    <row r="33" spans="3:15" x14ac:dyDescent="0.25">
      <c r="C33" s="33" t="str">
        <f t="shared" si="0"/>
        <v/>
      </c>
      <c r="D33" s="11"/>
      <c r="E33" s="33"/>
      <c r="I33" s="4"/>
      <c r="M33" s="21"/>
      <c r="N33" s="21"/>
      <c r="O33" s="21"/>
    </row>
    <row r="34" spans="3:15" x14ac:dyDescent="0.25">
      <c r="C34" s="33" t="str">
        <f t="shared" si="0"/>
        <v/>
      </c>
      <c r="D34" s="11"/>
      <c r="E34" s="33" t="str">
        <f t="shared" ref="E34:E43" si="1">IF(H34=1,"t","")</f>
        <v/>
      </c>
      <c r="M34" s="21"/>
      <c r="N34" s="21"/>
      <c r="O34" s="21"/>
    </row>
    <row r="35" spans="3:15" x14ac:dyDescent="0.25">
      <c r="C35" s="33" t="str">
        <f t="shared" si="0"/>
        <v/>
      </c>
      <c r="D35" s="11"/>
      <c r="E35" s="33" t="str">
        <f t="shared" si="1"/>
        <v/>
      </c>
      <c r="M35" s="21"/>
      <c r="N35" s="21"/>
      <c r="O35" s="21"/>
    </row>
    <row r="36" spans="3:15" x14ac:dyDescent="0.25">
      <c r="C36" s="33" t="str">
        <f t="shared" si="0"/>
        <v/>
      </c>
      <c r="D36" s="11"/>
      <c r="E36" s="33" t="str">
        <f t="shared" si="1"/>
        <v/>
      </c>
      <c r="M36" s="21"/>
      <c r="N36" s="21"/>
      <c r="O36" s="21"/>
    </row>
    <row r="37" spans="3:15" x14ac:dyDescent="0.25">
      <c r="C37" s="33" t="str">
        <f t="shared" si="0"/>
        <v/>
      </c>
      <c r="D37" s="11"/>
      <c r="E37" s="33" t="str">
        <f t="shared" si="1"/>
        <v/>
      </c>
      <c r="M37" s="21"/>
      <c r="N37" s="21"/>
      <c r="O37" s="21"/>
    </row>
    <row r="38" spans="3:15" x14ac:dyDescent="0.25">
      <c r="C38" s="33" t="str">
        <f t="shared" si="0"/>
        <v/>
      </c>
      <c r="D38" s="11"/>
      <c r="E38" s="33" t="str">
        <f t="shared" si="1"/>
        <v/>
      </c>
      <c r="M38" s="21"/>
      <c r="N38" s="21"/>
      <c r="O38" s="21"/>
    </row>
    <row r="39" spans="3:15" x14ac:dyDescent="0.25">
      <c r="C39" s="33" t="str">
        <f t="shared" si="0"/>
        <v/>
      </c>
      <c r="D39" s="11"/>
      <c r="E39" s="33" t="str">
        <f t="shared" si="1"/>
        <v/>
      </c>
      <c r="M39" s="21"/>
      <c r="N39" s="21"/>
      <c r="O39" s="21"/>
    </row>
    <row r="40" spans="3:15" x14ac:dyDescent="0.25">
      <c r="C40" s="33" t="str">
        <f t="shared" si="0"/>
        <v/>
      </c>
      <c r="D40" s="11"/>
      <c r="E40" s="33" t="str">
        <f t="shared" si="1"/>
        <v/>
      </c>
      <c r="M40" s="21"/>
      <c r="N40" s="21"/>
      <c r="O40" s="21"/>
    </row>
    <row r="41" spans="3:15" x14ac:dyDescent="0.25">
      <c r="C41" s="33" t="str">
        <f t="shared" si="0"/>
        <v/>
      </c>
      <c r="D41" s="11"/>
      <c r="E41" s="33" t="str">
        <f t="shared" si="1"/>
        <v/>
      </c>
      <c r="M41" s="21"/>
      <c r="N41" s="21"/>
      <c r="O41" s="21"/>
    </row>
    <row r="42" spans="3:15" x14ac:dyDescent="0.25">
      <c r="C42" s="33" t="str">
        <f t="shared" si="0"/>
        <v/>
      </c>
      <c r="D42" s="11"/>
      <c r="E42" s="33" t="str">
        <f t="shared" si="1"/>
        <v/>
      </c>
      <c r="M42" s="21"/>
      <c r="N42" s="21"/>
      <c r="O42" s="21"/>
    </row>
    <row r="43" spans="3:15" x14ac:dyDescent="0.25">
      <c r="C43" s="33" t="str">
        <f t="shared" si="0"/>
        <v/>
      </c>
      <c r="D43" s="11"/>
      <c r="E43" s="33" t="str">
        <f t="shared" si="1"/>
        <v/>
      </c>
      <c r="M43" s="21"/>
      <c r="N43" s="21"/>
      <c r="O43" s="21"/>
    </row>
    <row r="44" spans="3:15" ht="6" customHeight="1" x14ac:dyDescent="0.25">
      <c r="C44" s="9"/>
      <c r="D44" s="9"/>
      <c r="E44" s="9"/>
      <c r="F44" s="9"/>
      <c r="G44" s="9"/>
      <c r="H44" s="9"/>
      <c r="I44" s="9"/>
      <c r="J44" s="9"/>
      <c r="K44" s="9"/>
      <c r="L44" s="9"/>
      <c r="M44" s="21"/>
      <c r="N44" s="21"/>
      <c r="O44" s="21"/>
    </row>
    <row r="45" spans="3:15" ht="6" customHeight="1" x14ac:dyDescent="0.25">
      <c r="M45" s="21"/>
      <c r="N45" s="21"/>
      <c r="O45" s="21"/>
    </row>
    <row r="46" spans="3:15" x14ac:dyDescent="0.25">
      <c r="C46" s="15" t="s">
        <v>79</v>
      </c>
      <c r="M46" s="21"/>
      <c r="N46" s="21"/>
      <c r="O46" s="21"/>
    </row>
    <row r="47" spans="3:15" x14ac:dyDescent="0.25">
      <c r="C47" s="15" t="s">
        <v>78</v>
      </c>
    </row>
  </sheetData>
  <mergeCells count="1">
    <mergeCell ref="G13:H13"/>
  </mergeCells>
  <conditionalFormatting sqref="I9">
    <cfRule type="containsText" dxfId="739" priority="10" operator="containsText" text="FAIL">
      <formula>NOT(ISERROR(SEARCH("FAIL",I9)))</formula>
    </cfRule>
  </conditionalFormatting>
  <conditionalFormatting sqref="I9">
    <cfRule type="containsText" dxfId="738" priority="9" operator="containsText" text="GOOD">
      <formula>NOT(ISERROR(SEARCH("GOOD",I9)))</formula>
    </cfRule>
  </conditionalFormatting>
  <conditionalFormatting sqref="F11">
    <cfRule type="containsText" dxfId="737" priority="8" operator="containsText" text="FAIL">
      <formula>NOT(ISERROR(SEARCH("FAIL",F11)))</formula>
    </cfRule>
  </conditionalFormatting>
  <conditionalFormatting sqref="F11">
    <cfRule type="containsText" dxfId="736" priority="7" operator="containsText" text="GOOD">
      <formula>NOT(ISERROR(SEARCH("GOOD",F11)))</formula>
    </cfRule>
  </conditionalFormatting>
  <conditionalFormatting sqref="D25">
    <cfRule type="expression" dxfId="735" priority="6" stopIfTrue="1">
      <formula>IF($H$25=1,0)</formula>
    </cfRule>
  </conditionalFormatting>
  <conditionalFormatting sqref="D23:D43">
    <cfRule type="expression" dxfId="734" priority="5">
      <formula>H23=1</formula>
    </cfRule>
  </conditionalFormatting>
  <conditionalFormatting sqref="C23:C43">
    <cfRule type="expression" dxfId="733" priority="4">
      <formula>H23=1</formula>
    </cfRule>
  </conditionalFormatting>
  <conditionalFormatting sqref="E23:E43">
    <cfRule type="expression" dxfId="732" priority="3">
      <formula>H23=1</formula>
    </cfRule>
  </conditionalFormatting>
  <conditionalFormatting sqref="F11">
    <cfRule type="containsText" dxfId="731" priority="2" operator="containsText" text="FAIL">
      <formula>NOT(ISERROR(SEARCH("FAIL",F11)))</formula>
    </cfRule>
  </conditionalFormatting>
  <conditionalFormatting sqref="F11">
    <cfRule type="containsText" dxfId="730" priority="1" operator="containsText" text="GOOD">
      <formula>NOT(ISERROR(SEARCH("GOOD",F11)))</formula>
    </cfRule>
  </conditionalFormatting>
  <pageMargins left="0.7" right="0.7" top="0.75" bottom="0.75" header="0.3" footer="0.3"/>
  <pageSetup scale="68"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 codeName="Sheet42"/>
  <dimension ref="A2:P47"/>
  <sheetViews>
    <sheetView zoomScaleNormal="100" workbookViewId="0">
      <selection activeCell="G8" sqref="G8"/>
    </sheetView>
  </sheetViews>
  <sheetFormatPr defaultRowHeight="15" x14ac:dyDescent="0.25"/>
  <cols>
    <col min="1" max="2" width="4.42578125" customWidth="1"/>
    <col min="3" max="3" width="3" customWidth="1"/>
    <col min="4" max="4" width="24.85546875" customWidth="1"/>
    <col min="5" max="5" width="3" customWidth="1"/>
    <col min="6" max="6" width="15.7109375" customWidth="1"/>
    <col min="7" max="7" width="8.5703125" customWidth="1"/>
    <col min="8" max="8" width="5.85546875" customWidth="1"/>
    <col min="9" max="15" width="15.7109375" customWidth="1"/>
  </cols>
  <sheetData>
    <row r="2" spans="1:16" x14ac:dyDescent="0.25">
      <c r="C2" s="15" t="s">
        <v>32</v>
      </c>
      <c r="E2" s="15"/>
      <c r="F2" s="15"/>
      <c r="G2" s="15" t="s">
        <v>33</v>
      </c>
      <c r="H2" s="15"/>
      <c r="I2" s="15"/>
      <c r="J2" s="15"/>
      <c r="K2" s="15"/>
    </row>
    <row r="3" spans="1:16" ht="18.75" x14ac:dyDescent="0.3">
      <c r="C3" s="3" t="s">
        <v>26</v>
      </c>
      <c r="J3" s="8" t="s">
        <v>17</v>
      </c>
      <c r="P3" s="100"/>
    </row>
    <row r="4" spans="1:16" x14ac:dyDescent="0.25">
      <c r="D4" s="2" t="s">
        <v>0</v>
      </c>
      <c r="E4" s="1"/>
      <c r="F4" t="s">
        <v>1049</v>
      </c>
      <c r="I4" s="2" t="s">
        <v>4</v>
      </c>
      <c r="J4" t="s">
        <v>536</v>
      </c>
    </row>
    <row r="5" spans="1:16" x14ac:dyDescent="0.25">
      <c r="D5" s="2" t="s">
        <v>1</v>
      </c>
      <c r="F5" t="s">
        <v>1050</v>
      </c>
    </row>
    <row r="6" spans="1:16" x14ac:dyDescent="0.25">
      <c r="D6" s="2" t="s">
        <v>2</v>
      </c>
      <c r="F6" s="6">
        <v>42942</v>
      </c>
      <c r="H6" s="11"/>
    </row>
    <row r="7" spans="1:16" x14ac:dyDescent="0.25">
      <c r="D7" s="2" t="s">
        <v>3</v>
      </c>
      <c r="F7" s="5">
        <v>700000</v>
      </c>
      <c r="G7" s="2" t="s">
        <v>34</v>
      </c>
      <c r="H7" s="11"/>
    </row>
    <row r="8" spans="1:16" x14ac:dyDescent="0.25">
      <c r="D8" s="2" t="s">
        <v>18</v>
      </c>
      <c r="F8" s="5">
        <f>MIN(I23:I43)</f>
        <v>614770</v>
      </c>
      <c r="H8" s="11"/>
    </row>
    <row r="9" spans="1:16" x14ac:dyDescent="0.25">
      <c r="D9" s="2" t="s">
        <v>67</v>
      </c>
      <c r="F9" s="4">
        <f>+F8-F7</f>
        <v>-85230</v>
      </c>
      <c r="G9" s="16">
        <f>+F9/F7</f>
        <v>-0.12175714285714286</v>
      </c>
      <c r="H9" s="12" t="s">
        <v>20</v>
      </c>
      <c r="I9" s="11" t="str">
        <f>(IF(G9&lt;-0.1,"FAIL",IF(G9&gt;0.05,"FAIL","GOOD")))</f>
        <v>FAIL</v>
      </c>
      <c r="J9" s="14" t="s">
        <v>72</v>
      </c>
    </row>
    <row r="10" spans="1:16" x14ac:dyDescent="0.25">
      <c r="D10" s="2" t="s">
        <v>68</v>
      </c>
      <c r="F10" s="4">
        <f>+F7-F12</f>
        <v>-26735</v>
      </c>
      <c r="H10" s="11"/>
    </row>
    <row r="11" spans="1:16" x14ac:dyDescent="0.25">
      <c r="A11" s="52"/>
      <c r="D11" s="2" t="s">
        <v>71</v>
      </c>
      <c r="F11" s="11" t="str">
        <f>(IF(F7&lt;J12,"FAIL",IF(F7&gt;J13,"FAIL","GOOD")))</f>
        <v>GOOD</v>
      </c>
      <c r="H11" s="11"/>
    </row>
    <row r="12" spans="1:16" x14ac:dyDescent="0.25">
      <c r="D12" s="2" t="s">
        <v>28</v>
      </c>
      <c r="F12" s="4">
        <f>SUM(I23:I43)/H12</f>
        <v>726735</v>
      </c>
      <c r="G12" s="14"/>
      <c r="H12" s="11">
        <f>COUNT(I23:I43)</f>
        <v>2</v>
      </c>
      <c r="I12" s="1" t="s">
        <v>31</v>
      </c>
      <c r="J12" s="4">
        <f>+F8*0.9</f>
        <v>553293</v>
      </c>
      <c r="K12" s="1" t="s">
        <v>69</v>
      </c>
    </row>
    <row r="13" spans="1:16" x14ac:dyDescent="0.25">
      <c r="D13" s="2" t="s">
        <v>29</v>
      </c>
      <c r="F13" s="4">
        <f>MAX(I23:I43)-MIN(I23:I43)</f>
        <v>223930</v>
      </c>
      <c r="G13" s="399">
        <f>MEDIAN(I23:I43)</f>
        <v>726735</v>
      </c>
      <c r="H13" s="400"/>
      <c r="I13" s="1" t="s">
        <v>30</v>
      </c>
      <c r="J13" s="4">
        <f>+F12*1.1</f>
        <v>799408.50000000012</v>
      </c>
      <c r="K13" s="1" t="s">
        <v>70</v>
      </c>
    </row>
    <row r="14" spans="1:16" x14ac:dyDescent="0.25">
      <c r="H14" s="11"/>
    </row>
    <row r="15" spans="1:16" x14ac:dyDescent="0.25">
      <c r="D15" s="2" t="s">
        <v>8</v>
      </c>
      <c r="F15" s="4"/>
      <c r="G15" s="1" t="s">
        <v>9</v>
      </c>
      <c r="H15" s="11"/>
      <c r="I15" t="s">
        <v>15</v>
      </c>
      <c r="J15" s="7" t="e">
        <f>+F16/F15</f>
        <v>#DIV/0!</v>
      </c>
    </row>
    <row r="16" spans="1:16" x14ac:dyDescent="0.25">
      <c r="F16" s="4"/>
      <c r="G16" s="1" t="s">
        <v>10</v>
      </c>
      <c r="H16" s="11"/>
      <c r="I16" t="s">
        <v>14</v>
      </c>
      <c r="J16" s="7" t="e">
        <f>+F17/F16</f>
        <v>#DIV/0!</v>
      </c>
    </row>
    <row r="17" spans="3:15" x14ac:dyDescent="0.25">
      <c r="F17" s="4"/>
      <c r="G17" s="1" t="s">
        <v>11</v>
      </c>
      <c r="H17" s="11"/>
      <c r="I17" t="s">
        <v>13</v>
      </c>
      <c r="J17" s="7" t="e">
        <f>+F18/F17</f>
        <v>#DIV/0!</v>
      </c>
      <c r="M17" s="21"/>
      <c r="N17" s="21"/>
      <c r="O17" s="21"/>
    </row>
    <row r="18" spans="3:15" x14ac:dyDescent="0.25">
      <c r="F18" s="4"/>
      <c r="G18" s="1" t="s">
        <v>12</v>
      </c>
      <c r="H18" s="11"/>
      <c r="I18" t="s">
        <v>16</v>
      </c>
      <c r="J18" s="7" t="e">
        <f>+F8/F18</f>
        <v>#DIV/0!</v>
      </c>
      <c r="M18" s="21"/>
      <c r="N18" s="21"/>
      <c r="O18" s="21"/>
    </row>
    <row r="19" spans="3:15" x14ac:dyDescent="0.25">
      <c r="F19" s="2" t="s">
        <v>51</v>
      </c>
      <c r="G19">
        <v>0</v>
      </c>
      <c r="H19" s="11" t="s">
        <v>52</v>
      </c>
      <c r="I19" t="s">
        <v>41</v>
      </c>
      <c r="J19" s="7" t="e">
        <f>+F8/F15</f>
        <v>#DIV/0!</v>
      </c>
      <c r="M19" s="21"/>
      <c r="N19" s="21"/>
      <c r="O19" s="21"/>
    </row>
    <row r="20" spans="3:15" x14ac:dyDescent="0.25">
      <c r="H20" s="11"/>
      <c r="M20" s="21"/>
      <c r="N20" s="21"/>
      <c r="O20" s="21"/>
    </row>
    <row r="21" spans="3:15" x14ac:dyDescent="0.25">
      <c r="C21" s="9"/>
      <c r="D21" s="13" t="s">
        <v>21</v>
      </c>
      <c r="E21" s="9"/>
      <c r="F21" s="9" t="s">
        <v>22</v>
      </c>
      <c r="G21" s="9" t="s">
        <v>23</v>
      </c>
      <c r="H21" s="13" t="s">
        <v>27</v>
      </c>
      <c r="I21" s="10" t="s">
        <v>24</v>
      </c>
      <c r="J21" s="9"/>
      <c r="K21" s="9"/>
      <c r="L21" s="9"/>
      <c r="M21" s="21"/>
      <c r="N21" s="21"/>
      <c r="O21" s="21"/>
    </row>
    <row r="22" spans="3:15" ht="6" customHeight="1" x14ac:dyDescent="0.25">
      <c r="M22" s="21"/>
      <c r="N22" s="21"/>
      <c r="O22" s="21"/>
    </row>
    <row r="23" spans="3:15" x14ac:dyDescent="0.25">
      <c r="C23" s="33" t="str">
        <f>IF(H23=1,"u","")</f>
        <v>u</v>
      </c>
      <c r="D23" s="11" t="s">
        <v>1051</v>
      </c>
      <c r="E23" s="33"/>
      <c r="F23" t="s">
        <v>145</v>
      </c>
      <c r="G23" t="s">
        <v>25</v>
      </c>
      <c r="H23">
        <f>RANK(I23,I$23:I$43,1)</f>
        <v>1</v>
      </c>
      <c r="I23" s="4">
        <v>614770</v>
      </c>
      <c r="J23" s="4"/>
      <c r="K23" s="4"/>
      <c r="L23" s="4"/>
      <c r="M23" s="22"/>
      <c r="N23" s="22"/>
      <c r="O23" s="22"/>
    </row>
    <row r="24" spans="3:15" x14ac:dyDescent="0.25">
      <c r="C24" s="33" t="str">
        <f>IF(H24=1,"u","")</f>
        <v/>
      </c>
      <c r="D24" s="11" t="s">
        <v>502</v>
      </c>
      <c r="E24" s="33"/>
      <c r="F24" t="s">
        <v>95</v>
      </c>
      <c r="G24" t="s">
        <v>93</v>
      </c>
      <c r="H24">
        <f>RANK(I24,I$23:I$43,1)</f>
        <v>2</v>
      </c>
      <c r="I24" s="4">
        <v>838700</v>
      </c>
      <c r="J24" s="4"/>
      <c r="K24" s="4"/>
      <c r="L24" s="4"/>
      <c r="M24" s="22"/>
      <c r="N24" s="22"/>
      <c r="O24" s="22"/>
    </row>
    <row r="25" spans="3:15" x14ac:dyDescent="0.25">
      <c r="C25" s="33" t="str">
        <f>IF(H25=1,"u","")</f>
        <v/>
      </c>
      <c r="D25" s="11"/>
      <c r="E25" s="33"/>
      <c r="I25" s="4"/>
      <c r="J25" s="4"/>
      <c r="K25" s="4"/>
      <c r="L25" s="4"/>
      <c r="M25" s="22"/>
      <c r="N25" s="22"/>
      <c r="O25" s="22"/>
    </row>
    <row r="26" spans="3:15" x14ac:dyDescent="0.25">
      <c r="C26" s="33"/>
      <c r="D26" s="11"/>
      <c r="E26" s="33"/>
      <c r="I26" s="4"/>
      <c r="J26" s="4"/>
      <c r="K26" s="4"/>
      <c r="L26" s="4"/>
      <c r="M26" s="22"/>
      <c r="N26" s="22"/>
      <c r="O26" s="22"/>
    </row>
    <row r="27" spans="3:15" x14ac:dyDescent="0.25">
      <c r="C27" s="33"/>
      <c r="D27" s="11"/>
      <c r="E27" s="33"/>
      <c r="I27" s="4"/>
      <c r="J27" s="4"/>
      <c r="K27" s="4"/>
      <c r="L27" s="4"/>
      <c r="M27" s="22"/>
      <c r="N27" s="22"/>
      <c r="O27" s="22"/>
    </row>
    <row r="28" spans="3:15" x14ac:dyDescent="0.25">
      <c r="C28" s="33"/>
      <c r="D28" s="11"/>
      <c r="E28" s="33"/>
      <c r="I28" s="4"/>
      <c r="J28" s="4"/>
      <c r="K28" s="4"/>
      <c r="L28" s="4"/>
      <c r="M28" s="22"/>
      <c r="N28" s="22"/>
      <c r="O28" s="22"/>
    </row>
    <row r="29" spans="3:15" x14ac:dyDescent="0.25">
      <c r="C29" s="33" t="str">
        <f t="shared" ref="C29:C43" si="0">IF(H29=1,"u","")</f>
        <v/>
      </c>
      <c r="D29" s="11"/>
      <c r="E29" s="33"/>
      <c r="I29" s="4"/>
      <c r="J29" s="4"/>
      <c r="K29" s="4"/>
      <c r="L29" s="4"/>
      <c r="M29" s="22"/>
      <c r="N29" s="22"/>
      <c r="O29" s="22"/>
    </row>
    <row r="30" spans="3:15" x14ac:dyDescent="0.25">
      <c r="C30" s="33" t="str">
        <f t="shared" si="0"/>
        <v/>
      </c>
      <c r="D30" s="11"/>
      <c r="E30" s="33"/>
      <c r="I30" s="4"/>
      <c r="J30" s="4"/>
      <c r="K30" s="4"/>
      <c r="L30" s="4"/>
      <c r="M30" s="22"/>
      <c r="N30" s="22"/>
      <c r="O30" s="22"/>
    </row>
    <row r="31" spans="3:15" x14ac:dyDescent="0.25">
      <c r="C31" s="33" t="str">
        <f t="shared" si="0"/>
        <v/>
      </c>
      <c r="D31" s="11"/>
      <c r="E31" s="33"/>
      <c r="I31" s="4"/>
      <c r="J31" s="4"/>
      <c r="K31" s="4"/>
      <c r="L31" s="4"/>
      <c r="M31" s="22"/>
      <c r="N31" s="22"/>
      <c r="O31" s="22"/>
    </row>
    <row r="32" spans="3:15" x14ac:dyDescent="0.25">
      <c r="C32" s="33" t="str">
        <f t="shared" si="0"/>
        <v/>
      </c>
      <c r="D32" s="11"/>
      <c r="E32" s="33"/>
      <c r="I32" s="4"/>
      <c r="J32" s="4"/>
      <c r="K32" s="4"/>
      <c r="L32" s="4"/>
      <c r="M32" s="22"/>
      <c r="N32" s="22"/>
      <c r="O32" s="22"/>
    </row>
    <row r="33" spans="3:15" x14ac:dyDescent="0.25">
      <c r="C33" s="33" t="str">
        <f t="shared" si="0"/>
        <v/>
      </c>
      <c r="D33" s="11"/>
      <c r="E33" s="33"/>
      <c r="I33" s="4"/>
      <c r="M33" s="21"/>
      <c r="N33" s="21"/>
      <c r="O33" s="21"/>
    </row>
    <row r="34" spans="3:15" x14ac:dyDescent="0.25">
      <c r="C34" s="33" t="str">
        <f t="shared" si="0"/>
        <v/>
      </c>
      <c r="D34" s="11"/>
      <c r="E34" s="33" t="str">
        <f t="shared" ref="E34:E43" si="1">IF(H34=1,"t","")</f>
        <v/>
      </c>
      <c r="M34" s="21"/>
      <c r="N34" s="21"/>
      <c r="O34" s="21"/>
    </row>
    <row r="35" spans="3:15" x14ac:dyDescent="0.25">
      <c r="C35" s="33" t="str">
        <f t="shared" si="0"/>
        <v/>
      </c>
      <c r="D35" s="11"/>
      <c r="E35" s="33" t="str">
        <f t="shared" si="1"/>
        <v/>
      </c>
      <c r="M35" s="21"/>
      <c r="N35" s="21"/>
      <c r="O35" s="21"/>
    </row>
    <row r="36" spans="3:15" x14ac:dyDescent="0.25">
      <c r="C36" s="33" t="str">
        <f t="shared" si="0"/>
        <v/>
      </c>
      <c r="D36" s="11"/>
      <c r="E36" s="33" t="str">
        <f t="shared" si="1"/>
        <v/>
      </c>
      <c r="M36" s="21"/>
      <c r="N36" s="21"/>
      <c r="O36" s="21"/>
    </row>
    <row r="37" spans="3:15" x14ac:dyDescent="0.25">
      <c r="C37" s="33" t="str">
        <f t="shared" si="0"/>
        <v/>
      </c>
      <c r="D37" s="11"/>
      <c r="E37" s="33" t="str">
        <f t="shared" si="1"/>
        <v/>
      </c>
      <c r="M37" s="21"/>
      <c r="N37" s="21"/>
      <c r="O37" s="21"/>
    </row>
    <row r="38" spans="3:15" x14ac:dyDescent="0.25">
      <c r="C38" s="33" t="str">
        <f t="shared" si="0"/>
        <v/>
      </c>
      <c r="D38" s="11"/>
      <c r="E38" s="33" t="str">
        <f t="shared" si="1"/>
        <v/>
      </c>
      <c r="M38" s="21"/>
      <c r="N38" s="21"/>
      <c r="O38" s="21"/>
    </row>
    <row r="39" spans="3:15" x14ac:dyDescent="0.25">
      <c r="C39" s="33" t="str">
        <f t="shared" si="0"/>
        <v/>
      </c>
      <c r="D39" s="11"/>
      <c r="E39" s="33" t="str">
        <f t="shared" si="1"/>
        <v/>
      </c>
      <c r="M39" s="21"/>
      <c r="N39" s="21"/>
      <c r="O39" s="21"/>
    </row>
    <row r="40" spans="3:15" x14ac:dyDescent="0.25">
      <c r="C40" s="33" t="str">
        <f t="shared" si="0"/>
        <v/>
      </c>
      <c r="D40" s="11"/>
      <c r="E40" s="33" t="str">
        <f t="shared" si="1"/>
        <v/>
      </c>
      <c r="M40" s="21"/>
      <c r="N40" s="21"/>
      <c r="O40" s="21"/>
    </row>
    <row r="41" spans="3:15" x14ac:dyDescent="0.25">
      <c r="C41" s="33" t="str">
        <f t="shared" si="0"/>
        <v/>
      </c>
      <c r="D41" s="11"/>
      <c r="E41" s="33" t="str">
        <f t="shared" si="1"/>
        <v/>
      </c>
      <c r="M41" s="21"/>
      <c r="N41" s="21"/>
      <c r="O41" s="21"/>
    </row>
    <row r="42" spans="3:15" x14ac:dyDescent="0.25">
      <c r="C42" s="33" t="str">
        <f t="shared" si="0"/>
        <v/>
      </c>
      <c r="D42" s="11"/>
      <c r="E42" s="33" t="str">
        <f t="shared" si="1"/>
        <v/>
      </c>
      <c r="M42" s="21"/>
      <c r="N42" s="21"/>
      <c r="O42" s="21"/>
    </row>
    <row r="43" spans="3:15" x14ac:dyDescent="0.25">
      <c r="C43" s="33" t="str">
        <f t="shared" si="0"/>
        <v/>
      </c>
      <c r="D43" s="11"/>
      <c r="E43" s="33" t="str">
        <f t="shared" si="1"/>
        <v/>
      </c>
      <c r="M43" s="21"/>
      <c r="N43" s="21"/>
      <c r="O43" s="21"/>
    </row>
    <row r="44" spans="3:15" ht="6" customHeight="1" x14ac:dyDescent="0.25">
      <c r="C44" s="9"/>
      <c r="D44" s="9"/>
      <c r="E44" s="9"/>
      <c r="F44" s="9"/>
      <c r="G44" s="9"/>
      <c r="H44" s="9"/>
      <c r="I44" s="9"/>
      <c r="J44" s="9"/>
      <c r="K44" s="9"/>
      <c r="L44" s="9"/>
      <c r="M44" s="21"/>
      <c r="N44" s="21"/>
      <c r="O44" s="21"/>
    </row>
    <row r="45" spans="3:15" ht="6" customHeight="1" x14ac:dyDescent="0.25">
      <c r="M45" s="21"/>
      <c r="N45" s="21"/>
      <c r="O45" s="21"/>
    </row>
    <row r="46" spans="3:15" x14ac:dyDescent="0.25">
      <c r="C46" s="15" t="s">
        <v>79</v>
      </c>
      <c r="M46" s="21"/>
      <c r="N46" s="21"/>
      <c r="O46" s="21"/>
    </row>
    <row r="47" spans="3:15" x14ac:dyDescent="0.25">
      <c r="C47" s="15" t="s">
        <v>78</v>
      </c>
    </row>
  </sheetData>
  <mergeCells count="1">
    <mergeCell ref="G13:H13"/>
  </mergeCells>
  <conditionalFormatting sqref="I9">
    <cfRule type="containsText" dxfId="1885" priority="16" operator="containsText" text="FAIL">
      <formula>NOT(ISERROR(SEARCH("FAIL",I9)))</formula>
    </cfRule>
  </conditionalFormatting>
  <conditionalFormatting sqref="I9">
    <cfRule type="containsText" dxfId="1884" priority="15" operator="containsText" text="GOOD">
      <formula>NOT(ISERROR(SEARCH("GOOD",I9)))</formula>
    </cfRule>
  </conditionalFormatting>
  <conditionalFormatting sqref="F11">
    <cfRule type="containsText" dxfId="1883" priority="14" operator="containsText" text="FAIL">
      <formula>NOT(ISERROR(SEARCH("FAIL",F11)))</formula>
    </cfRule>
  </conditionalFormatting>
  <conditionalFormatting sqref="F11">
    <cfRule type="containsText" dxfId="1882" priority="13" operator="containsText" text="GOOD">
      <formula>NOT(ISERROR(SEARCH("GOOD",F11)))</formula>
    </cfRule>
  </conditionalFormatting>
  <conditionalFormatting sqref="D25">
    <cfRule type="expression" dxfId="1881" priority="12" stopIfTrue="1">
      <formula>IF($H$25=1,0)</formula>
    </cfRule>
  </conditionalFormatting>
  <conditionalFormatting sqref="D23 D29:D43 D25:D26">
    <cfRule type="expression" dxfId="1880" priority="11">
      <formula>H23=1</formula>
    </cfRule>
  </conditionalFormatting>
  <conditionalFormatting sqref="C23:C26 C29:C43">
    <cfRule type="expression" dxfId="1879" priority="10">
      <formula>H23=1</formula>
    </cfRule>
  </conditionalFormatting>
  <conditionalFormatting sqref="E23 E29:E43 E25:E26">
    <cfRule type="expression" dxfId="1878" priority="9">
      <formula>H23=1</formula>
    </cfRule>
  </conditionalFormatting>
  <conditionalFormatting sqref="F11">
    <cfRule type="containsText" dxfId="1877" priority="8" operator="containsText" text="FAIL">
      <formula>NOT(ISERROR(SEARCH("FAIL",F11)))</formula>
    </cfRule>
  </conditionalFormatting>
  <conditionalFormatting sqref="F11">
    <cfRule type="containsText" dxfId="1876" priority="7" operator="containsText" text="GOOD">
      <formula>NOT(ISERROR(SEARCH("GOOD",F11)))</formula>
    </cfRule>
  </conditionalFormatting>
  <conditionalFormatting sqref="D27:D28">
    <cfRule type="expression" dxfId="1875" priority="6">
      <formula>H27=1</formula>
    </cfRule>
  </conditionalFormatting>
  <conditionalFormatting sqref="C27:C28">
    <cfRule type="expression" dxfId="1874" priority="5">
      <formula>H27=1</formula>
    </cfRule>
  </conditionalFormatting>
  <conditionalFormatting sqref="E27:E28">
    <cfRule type="expression" dxfId="1873" priority="4">
      <formula>H27=1</formula>
    </cfRule>
  </conditionalFormatting>
  <conditionalFormatting sqref="D24">
    <cfRule type="expression" dxfId="1872" priority="3" stopIfTrue="1">
      <formula>IF($H$25=1,0)</formula>
    </cfRule>
  </conditionalFormatting>
  <conditionalFormatting sqref="D24">
    <cfRule type="expression" dxfId="1871" priority="2">
      <formula>H24=1</formula>
    </cfRule>
  </conditionalFormatting>
  <conditionalFormatting sqref="E24">
    <cfRule type="expression" dxfId="1870" priority="1">
      <formula>H24=1</formula>
    </cfRule>
  </conditionalFormatting>
  <pageMargins left="0.7" right="0.7" top="0.75" bottom="0.75" header="0.3" footer="0.3"/>
  <pageSetup scale="68"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0-000000000000}">
  <sheetPr codeName="Sheet94"/>
  <dimension ref="A2:O47"/>
  <sheetViews>
    <sheetView view="pageBreakPreview" zoomScale="60" zoomScaleNormal="100" workbookViewId="0">
      <selection activeCell="L32" sqref="L32"/>
    </sheetView>
  </sheetViews>
  <sheetFormatPr defaultRowHeight="15" x14ac:dyDescent="0.25"/>
  <cols>
    <col min="1" max="2" width="4.42578125" customWidth="1"/>
    <col min="3" max="3" width="2.7109375" customWidth="1"/>
    <col min="4" max="4" width="24.7109375" customWidth="1"/>
    <col min="5" max="5" width="2.7109375" customWidth="1"/>
    <col min="6" max="6" width="15.7109375" customWidth="1"/>
    <col min="7" max="7" width="8.5703125" customWidth="1"/>
    <col min="8" max="8" width="5.85546875" customWidth="1"/>
    <col min="9" max="15" width="15.7109375" customWidth="1"/>
  </cols>
  <sheetData>
    <row r="2" spans="1:14" x14ac:dyDescent="0.25">
      <c r="C2" s="15" t="s">
        <v>32</v>
      </c>
      <c r="E2" s="15"/>
      <c r="F2" s="15"/>
      <c r="G2" s="15" t="s">
        <v>33</v>
      </c>
      <c r="H2" s="15"/>
      <c r="I2" s="15"/>
      <c r="J2" s="15"/>
      <c r="K2" s="15"/>
    </row>
    <row r="3" spans="1:14" ht="18.75" x14ac:dyDescent="0.3">
      <c r="C3" s="3" t="s">
        <v>26</v>
      </c>
      <c r="J3" s="8" t="s">
        <v>48</v>
      </c>
    </row>
    <row r="4" spans="1:14" x14ac:dyDescent="0.25">
      <c r="C4" s="1"/>
      <c r="D4" s="2" t="s">
        <v>0</v>
      </c>
      <c r="E4" s="1"/>
      <c r="F4" t="s">
        <v>767</v>
      </c>
      <c r="I4" s="2" t="s">
        <v>4</v>
      </c>
      <c r="J4" t="s">
        <v>630</v>
      </c>
    </row>
    <row r="5" spans="1:14" x14ac:dyDescent="0.25">
      <c r="D5" s="2" t="s">
        <v>1</v>
      </c>
      <c r="F5" t="s">
        <v>768</v>
      </c>
    </row>
    <row r="6" spans="1:14" x14ac:dyDescent="0.25">
      <c r="D6" s="2" t="s">
        <v>2</v>
      </c>
      <c r="F6" s="6">
        <v>42668</v>
      </c>
      <c r="H6" s="11"/>
    </row>
    <row r="7" spans="1:14" x14ac:dyDescent="0.25">
      <c r="D7" s="2" t="s">
        <v>3</v>
      </c>
      <c r="F7" s="5">
        <f>+K7+J7+I7+(L7*K7)</f>
        <v>67636000</v>
      </c>
      <c r="G7" s="2" t="s">
        <v>34</v>
      </c>
      <c r="H7" s="11"/>
      <c r="I7" s="19">
        <v>28100000</v>
      </c>
      <c r="J7" s="19">
        <v>31900000</v>
      </c>
      <c r="K7" s="19">
        <v>6640000</v>
      </c>
      <c r="L7" s="20">
        <v>0.15</v>
      </c>
    </row>
    <row r="8" spans="1:14" x14ac:dyDescent="0.25">
      <c r="D8" s="2" t="s">
        <v>18</v>
      </c>
      <c r="F8" s="5">
        <f>MIN(L23:L43)</f>
        <v>49942700</v>
      </c>
      <c r="H8" s="11"/>
      <c r="I8" s="18" t="s">
        <v>43</v>
      </c>
      <c r="J8" s="18" t="s">
        <v>44</v>
      </c>
      <c r="K8" s="18" t="s">
        <v>49</v>
      </c>
      <c r="L8" s="18" t="s">
        <v>50</v>
      </c>
    </row>
    <row r="9" spans="1:14" x14ac:dyDescent="0.25">
      <c r="D9" s="2" t="s">
        <v>19</v>
      </c>
      <c r="F9" s="4">
        <f>+F8-F7</f>
        <v>-17693300</v>
      </c>
      <c r="G9" s="16">
        <f>+F9/F7</f>
        <v>-0.26159589567685848</v>
      </c>
      <c r="H9" s="12" t="s">
        <v>20</v>
      </c>
      <c r="I9" s="11" t="str">
        <f>(IF(G9&lt;-0.1,"FAIL",IF(G9&gt;0.05,"FAIL","GOOD")))</f>
        <v>FAIL</v>
      </c>
      <c r="J9" s="14" t="s">
        <v>72</v>
      </c>
    </row>
    <row r="10" spans="1:14" x14ac:dyDescent="0.25">
      <c r="D10" s="2" t="s">
        <v>68</v>
      </c>
      <c r="F10" s="4">
        <f>+F7-F12</f>
        <v>9895496.1428571418</v>
      </c>
      <c r="H10" s="11"/>
      <c r="K10" s="31"/>
      <c r="N10" t="e">
        <f>LOOKUP(1,D23:D43)</f>
        <v>#N/A</v>
      </c>
    </row>
    <row r="11" spans="1:14" x14ac:dyDescent="0.25">
      <c r="A11" s="30"/>
      <c r="D11" s="2" t="s">
        <v>71</v>
      </c>
      <c r="F11" s="11" t="str">
        <f>(IF(F7&lt;J12,"FAIL",IF(F7&gt;J13,"FAIL","GOOD")))</f>
        <v>FAIL</v>
      </c>
      <c r="H11" s="11"/>
      <c r="L11" s="31"/>
      <c r="N11" t="e">
        <f>MATCH(1,D23:H43,0)</f>
        <v>#N/A</v>
      </c>
    </row>
    <row r="12" spans="1:14" x14ac:dyDescent="0.25">
      <c r="D12" s="2" t="s">
        <v>28</v>
      </c>
      <c r="F12" s="4">
        <f>SUM(L23:L43)/H12</f>
        <v>57740503.857142858</v>
      </c>
      <c r="G12" s="14"/>
      <c r="H12" s="11">
        <f>COUNT(L23:L43)</f>
        <v>7</v>
      </c>
      <c r="I12" s="1" t="s">
        <v>31</v>
      </c>
      <c r="J12" s="4">
        <f>+F8*0.9</f>
        <v>44948430</v>
      </c>
      <c r="K12" s="1" t="s">
        <v>69</v>
      </c>
      <c r="N12" t="str">
        <f>INDEX(D23:D43,MATCH(1,H23:H43,0))</f>
        <v>Trevcon Constr</v>
      </c>
    </row>
    <row r="13" spans="1:14" x14ac:dyDescent="0.25">
      <c r="D13" s="2" t="s">
        <v>29</v>
      </c>
      <c r="F13" s="4">
        <f>MAX(L23:L43)-MIN(L23:L43)</f>
        <v>17582999</v>
      </c>
      <c r="G13" s="399">
        <f>MEDIAN(L23:L43)</f>
        <v>57777778</v>
      </c>
      <c r="H13" s="400"/>
      <c r="I13" s="1" t="s">
        <v>30</v>
      </c>
      <c r="J13" s="4">
        <f>+F12*1.1</f>
        <v>63514554.242857151</v>
      </c>
      <c r="K13" s="1" t="s">
        <v>70</v>
      </c>
    </row>
    <row r="14" spans="1:14" x14ac:dyDescent="0.25">
      <c r="H14" s="11"/>
    </row>
    <row r="15" spans="1:14" x14ac:dyDescent="0.25">
      <c r="D15" s="2" t="s">
        <v>8</v>
      </c>
      <c r="F15" s="4">
        <v>5000000</v>
      </c>
      <c r="G15" s="1" t="s">
        <v>9</v>
      </c>
      <c r="H15" s="11"/>
      <c r="I15" t="s">
        <v>15</v>
      </c>
      <c r="J15" s="7">
        <f>+F16/F15</f>
        <v>1.2</v>
      </c>
    </row>
    <row r="16" spans="1:14" x14ac:dyDescent="0.25">
      <c r="F16" s="4">
        <v>6000000</v>
      </c>
      <c r="G16" s="1" t="s">
        <v>10</v>
      </c>
      <c r="H16" s="11"/>
      <c r="I16" t="s">
        <v>14</v>
      </c>
      <c r="J16" s="7">
        <f>+F17/F16</f>
        <v>1.0833333333333333</v>
      </c>
    </row>
    <row r="17" spans="3:15" x14ac:dyDescent="0.25">
      <c r="F17" s="4">
        <v>6500000</v>
      </c>
      <c r="G17" s="1" t="s">
        <v>11</v>
      </c>
      <c r="H17" s="11"/>
      <c r="I17" t="s">
        <v>13</v>
      </c>
      <c r="J17" s="7">
        <f>+F18/F17</f>
        <v>10.405538461538461</v>
      </c>
    </row>
    <row r="18" spans="3:15" x14ac:dyDescent="0.25">
      <c r="F18" s="4">
        <f>+F7</f>
        <v>67636000</v>
      </c>
      <c r="G18" s="1" t="s">
        <v>12</v>
      </c>
      <c r="H18" s="11"/>
      <c r="I18" t="s">
        <v>16</v>
      </c>
      <c r="J18" s="7">
        <f>+F8/F18</f>
        <v>0.73840410432314152</v>
      </c>
    </row>
    <row r="19" spans="3:15" x14ac:dyDescent="0.25">
      <c r="F19" s="2" t="s">
        <v>51</v>
      </c>
      <c r="G19">
        <v>0</v>
      </c>
      <c r="H19" s="11" t="s">
        <v>52</v>
      </c>
      <c r="I19" t="s">
        <v>41</v>
      </c>
      <c r="J19" s="7">
        <f>+F8/F15</f>
        <v>9.9885400000000004</v>
      </c>
    </row>
    <row r="20" spans="3:15" x14ac:dyDescent="0.25">
      <c r="H20" s="11"/>
    </row>
    <row r="21" spans="3:15" x14ac:dyDescent="0.25">
      <c r="C21" s="9"/>
      <c r="D21" s="13" t="s">
        <v>21</v>
      </c>
      <c r="E21" s="9"/>
      <c r="F21" s="9" t="s">
        <v>22</v>
      </c>
      <c r="G21" s="9" t="s">
        <v>23</v>
      </c>
      <c r="H21" s="13" t="s">
        <v>27</v>
      </c>
      <c r="I21" s="10" t="s">
        <v>38</v>
      </c>
      <c r="J21" s="10" t="s">
        <v>37</v>
      </c>
      <c r="K21" s="17" t="s">
        <v>42</v>
      </c>
      <c r="L21" s="10" t="s">
        <v>39</v>
      </c>
      <c r="M21" s="21"/>
      <c r="N21" s="21"/>
      <c r="O21" s="21"/>
    </row>
    <row r="22" spans="3:15" ht="6" customHeight="1" x14ac:dyDescent="0.25">
      <c r="M22" s="21"/>
      <c r="N22" s="21"/>
      <c r="O22" s="21"/>
    </row>
    <row r="23" spans="3:15" x14ac:dyDescent="0.25">
      <c r="C23" s="33" t="str">
        <f>IF(H23=1,"u","")</f>
        <v/>
      </c>
      <c r="D23" s="11" t="s">
        <v>655</v>
      </c>
      <c r="E23" s="33"/>
      <c r="F23" t="s">
        <v>135</v>
      </c>
      <c r="G23" t="s">
        <v>25</v>
      </c>
      <c r="H23">
        <f>RANK(L23,L$23:L$43,1)</f>
        <v>7</v>
      </c>
      <c r="I23" s="4">
        <v>29817077</v>
      </c>
      <c r="J23" s="4">
        <v>30072622</v>
      </c>
      <c r="K23" s="7">
        <v>0.15</v>
      </c>
      <c r="L23" s="4">
        <f>+I23+J23+(K23*K$7)+$K$7</f>
        <v>67525699</v>
      </c>
      <c r="M23" s="22"/>
      <c r="N23" s="22"/>
      <c r="O23" s="22"/>
    </row>
    <row r="24" spans="3:15" x14ac:dyDescent="0.25">
      <c r="C24" s="33" t="str">
        <f>IF(H24=1,"u","")</f>
        <v/>
      </c>
      <c r="D24" s="11" t="s">
        <v>657</v>
      </c>
      <c r="E24" s="33"/>
      <c r="F24" t="s">
        <v>658</v>
      </c>
      <c r="G24" t="s">
        <v>93</v>
      </c>
      <c r="H24">
        <f t="shared" ref="H24:H29" si="0">RANK(L24,L$23:L$43,1)</f>
        <v>4</v>
      </c>
      <c r="I24" s="4">
        <v>21853341</v>
      </c>
      <c r="J24" s="4">
        <v>28952437</v>
      </c>
      <c r="K24" s="7">
        <v>0.05</v>
      </c>
      <c r="L24" s="4">
        <f t="shared" ref="L24:L29" si="1">+I24+J24+(K24*K$7)+$K$7</f>
        <v>57777778</v>
      </c>
      <c r="M24" s="22"/>
      <c r="N24" s="22"/>
      <c r="O24" s="22"/>
    </row>
    <row r="25" spans="3:15" x14ac:dyDescent="0.25">
      <c r="C25" s="33" t="str">
        <f>IF(H25=1,"u","")</f>
        <v/>
      </c>
      <c r="D25" s="11" t="s">
        <v>568</v>
      </c>
      <c r="E25" s="33"/>
      <c r="F25" t="s">
        <v>292</v>
      </c>
      <c r="G25" t="s">
        <v>25</v>
      </c>
      <c r="H25">
        <f t="shared" si="0"/>
        <v>2</v>
      </c>
      <c r="I25" s="4">
        <v>16720784</v>
      </c>
      <c r="J25" s="4">
        <v>27942500</v>
      </c>
      <c r="K25" s="7">
        <v>0</v>
      </c>
      <c r="L25" s="4">
        <f t="shared" si="1"/>
        <v>51303284</v>
      </c>
      <c r="M25" s="22"/>
      <c r="N25" s="22"/>
      <c r="O25" s="22"/>
    </row>
    <row r="26" spans="3:15" x14ac:dyDescent="0.25">
      <c r="C26" s="33" t="str">
        <f t="shared" ref="C26:C43" si="2">IF(H26=1,"u","")</f>
        <v/>
      </c>
      <c r="D26" s="11" t="s">
        <v>491</v>
      </c>
      <c r="E26" s="33"/>
      <c r="F26" t="s">
        <v>203</v>
      </c>
      <c r="G26" t="s">
        <v>204</v>
      </c>
      <c r="H26">
        <f t="shared" si="0"/>
        <v>6</v>
      </c>
      <c r="I26" s="4">
        <v>14742318</v>
      </c>
      <c r="J26" s="4">
        <v>42821898</v>
      </c>
      <c r="K26" s="7">
        <v>3.5000000000000003E-2</v>
      </c>
      <c r="L26" s="4">
        <f t="shared" si="1"/>
        <v>64436616</v>
      </c>
      <c r="M26" s="22"/>
      <c r="N26" s="22"/>
      <c r="O26" s="22"/>
    </row>
    <row r="27" spans="3:15" x14ac:dyDescent="0.25">
      <c r="C27" s="33" t="str">
        <f t="shared" si="2"/>
        <v>u</v>
      </c>
      <c r="D27" s="11" t="s">
        <v>626</v>
      </c>
      <c r="E27" s="33"/>
      <c r="F27" t="s">
        <v>308</v>
      </c>
      <c r="G27" t="s">
        <v>25</v>
      </c>
      <c r="H27">
        <f t="shared" si="0"/>
        <v>1</v>
      </c>
      <c r="I27" s="4">
        <v>15074552</v>
      </c>
      <c r="J27" s="4">
        <v>28095348</v>
      </c>
      <c r="K27" s="7">
        <v>0.02</v>
      </c>
      <c r="L27" s="4">
        <f t="shared" si="1"/>
        <v>49942700</v>
      </c>
      <c r="M27" s="22"/>
      <c r="N27" s="22"/>
      <c r="O27" s="22"/>
    </row>
    <row r="28" spans="3:15" x14ac:dyDescent="0.25">
      <c r="C28" s="33" t="str">
        <f t="shared" si="2"/>
        <v/>
      </c>
      <c r="D28" s="11" t="s">
        <v>651</v>
      </c>
      <c r="E28" s="33"/>
      <c r="F28" t="s">
        <v>208</v>
      </c>
      <c r="G28" t="s">
        <v>93</v>
      </c>
      <c r="H28">
        <f t="shared" si="0"/>
        <v>3</v>
      </c>
      <c r="I28" s="4">
        <v>18460835</v>
      </c>
      <c r="J28" s="4">
        <v>28393165</v>
      </c>
      <c r="K28" s="7">
        <v>0.05</v>
      </c>
      <c r="L28" s="4">
        <f t="shared" si="1"/>
        <v>53826000</v>
      </c>
      <c r="M28" s="22"/>
      <c r="N28" s="22"/>
      <c r="O28" s="22"/>
    </row>
    <row r="29" spans="3:15" x14ac:dyDescent="0.25">
      <c r="C29" s="33" t="str">
        <f t="shared" si="2"/>
        <v/>
      </c>
      <c r="D29" s="11" t="s">
        <v>769</v>
      </c>
      <c r="E29" s="33"/>
      <c r="F29" t="s">
        <v>572</v>
      </c>
      <c r="G29" t="s">
        <v>321</v>
      </c>
      <c r="H29">
        <f t="shared" si="0"/>
        <v>5</v>
      </c>
      <c r="I29" s="4">
        <v>17382450</v>
      </c>
      <c r="J29" s="4">
        <v>34685000</v>
      </c>
      <c r="K29" s="7">
        <v>0.1</v>
      </c>
      <c r="L29" s="4">
        <f t="shared" si="1"/>
        <v>59371450</v>
      </c>
      <c r="M29" s="22"/>
      <c r="N29" s="22"/>
      <c r="O29" s="22"/>
    </row>
    <row r="30" spans="3:15" x14ac:dyDescent="0.25">
      <c r="C30" s="33" t="str">
        <f t="shared" si="2"/>
        <v/>
      </c>
      <c r="D30" s="11"/>
      <c r="E30" s="33" t="str">
        <f t="shared" ref="E30:E43" si="3">IF(H30=1,"t","")</f>
        <v/>
      </c>
      <c r="I30" s="4"/>
      <c r="J30" s="4"/>
      <c r="K30" s="7"/>
      <c r="L30" s="4"/>
      <c r="M30" s="22"/>
      <c r="N30" s="22"/>
      <c r="O30" s="22"/>
    </row>
    <row r="31" spans="3:15" x14ac:dyDescent="0.25">
      <c r="C31" s="33" t="str">
        <f t="shared" si="2"/>
        <v/>
      </c>
      <c r="D31" s="11"/>
      <c r="E31" s="33" t="str">
        <f t="shared" si="3"/>
        <v/>
      </c>
      <c r="I31" s="4"/>
      <c r="J31" s="4"/>
      <c r="K31" s="7"/>
      <c r="L31" s="4"/>
      <c r="M31" s="22"/>
      <c r="N31" s="22"/>
      <c r="O31" s="22"/>
    </row>
    <row r="32" spans="3:15" x14ac:dyDescent="0.25">
      <c r="C32" s="33" t="str">
        <f t="shared" si="2"/>
        <v/>
      </c>
      <c r="D32" s="11"/>
      <c r="E32" s="33" t="str">
        <f t="shared" si="3"/>
        <v/>
      </c>
      <c r="I32" s="4"/>
      <c r="J32" s="4"/>
      <c r="K32" s="7"/>
      <c r="L32" s="4"/>
      <c r="M32" s="22"/>
      <c r="N32" s="22"/>
      <c r="O32" s="22"/>
    </row>
    <row r="33" spans="3:15" x14ac:dyDescent="0.25">
      <c r="C33" s="33" t="str">
        <f t="shared" si="2"/>
        <v/>
      </c>
      <c r="D33" s="11"/>
      <c r="E33" s="33" t="str">
        <f t="shared" si="3"/>
        <v/>
      </c>
      <c r="I33" s="4"/>
      <c r="J33" s="4"/>
      <c r="K33" s="7"/>
      <c r="L33" s="4"/>
      <c r="M33" s="21"/>
      <c r="N33" s="21"/>
      <c r="O33" s="21"/>
    </row>
    <row r="34" spans="3:15" x14ac:dyDescent="0.25">
      <c r="C34" s="33" t="str">
        <f t="shared" si="2"/>
        <v/>
      </c>
      <c r="D34" s="11"/>
      <c r="E34" s="33" t="str">
        <f t="shared" si="3"/>
        <v/>
      </c>
      <c r="K34" s="7"/>
      <c r="M34" s="21"/>
      <c r="N34" s="21"/>
      <c r="O34" s="21"/>
    </row>
    <row r="35" spans="3:15" x14ac:dyDescent="0.25">
      <c r="C35" s="33" t="str">
        <f t="shared" si="2"/>
        <v/>
      </c>
      <c r="D35" s="11"/>
      <c r="E35" s="33" t="str">
        <f t="shared" si="3"/>
        <v/>
      </c>
      <c r="K35" s="7"/>
      <c r="M35" s="21"/>
      <c r="N35" s="21"/>
      <c r="O35" s="21"/>
    </row>
    <row r="36" spans="3:15" x14ac:dyDescent="0.25">
      <c r="C36" s="33" t="str">
        <f t="shared" si="2"/>
        <v/>
      </c>
      <c r="D36" s="11"/>
      <c r="E36" s="33" t="str">
        <f t="shared" si="3"/>
        <v/>
      </c>
      <c r="K36" s="7"/>
      <c r="M36" s="21"/>
      <c r="N36" s="21"/>
      <c r="O36" s="21"/>
    </row>
    <row r="37" spans="3:15" x14ac:dyDescent="0.25">
      <c r="C37" s="33" t="str">
        <f t="shared" si="2"/>
        <v/>
      </c>
      <c r="D37" s="11"/>
      <c r="E37" s="33" t="str">
        <f t="shared" si="3"/>
        <v/>
      </c>
      <c r="K37" s="7"/>
      <c r="M37" s="21"/>
      <c r="N37" s="21"/>
      <c r="O37" s="21"/>
    </row>
    <row r="38" spans="3:15" x14ac:dyDescent="0.25">
      <c r="C38" s="33" t="str">
        <f t="shared" si="2"/>
        <v/>
      </c>
      <c r="D38" s="11"/>
      <c r="E38" s="33" t="str">
        <f t="shared" si="3"/>
        <v/>
      </c>
      <c r="K38" s="7"/>
      <c r="M38" s="21"/>
      <c r="N38" s="21"/>
      <c r="O38" s="21"/>
    </row>
    <row r="39" spans="3:15" x14ac:dyDescent="0.25">
      <c r="C39" s="33" t="str">
        <f t="shared" si="2"/>
        <v/>
      </c>
      <c r="D39" s="11"/>
      <c r="E39" s="33" t="str">
        <f t="shared" si="3"/>
        <v/>
      </c>
      <c r="K39" s="7"/>
      <c r="M39" s="21"/>
      <c r="N39" s="21"/>
      <c r="O39" s="21"/>
    </row>
    <row r="40" spans="3:15" x14ac:dyDescent="0.25">
      <c r="C40" s="33" t="str">
        <f t="shared" si="2"/>
        <v/>
      </c>
      <c r="D40" s="11"/>
      <c r="E40" s="33" t="str">
        <f t="shared" si="3"/>
        <v/>
      </c>
      <c r="K40" s="7"/>
      <c r="M40" s="21"/>
      <c r="N40" s="21"/>
      <c r="O40" s="21"/>
    </row>
    <row r="41" spans="3:15" x14ac:dyDescent="0.25">
      <c r="C41" s="33" t="str">
        <f t="shared" si="2"/>
        <v/>
      </c>
      <c r="D41" s="11"/>
      <c r="E41" s="33" t="str">
        <f t="shared" si="3"/>
        <v/>
      </c>
      <c r="K41" s="7"/>
      <c r="M41" s="21"/>
      <c r="N41" s="21"/>
      <c r="O41" s="21"/>
    </row>
    <row r="42" spans="3:15" x14ac:dyDescent="0.25">
      <c r="C42" s="33" t="str">
        <f t="shared" si="2"/>
        <v/>
      </c>
      <c r="D42" s="11"/>
      <c r="E42" s="33" t="str">
        <f t="shared" si="3"/>
        <v/>
      </c>
      <c r="K42" s="7"/>
      <c r="M42" s="21"/>
      <c r="N42" s="21"/>
      <c r="O42" s="21"/>
    </row>
    <row r="43" spans="3:15" x14ac:dyDescent="0.25">
      <c r="C43" s="33" t="str">
        <f t="shared" si="2"/>
        <v/>
      </c>
      <c r="D43" s="11"/>
      <c r="E43" s="33" t="str">
        <f t="shared" si="3"/>
        <v/>
      </c>
      <c r="K43" s="7"/>
      <c r="M43" s="21"/>
      <c r="N43" s="21"/>
      <c r="O43" s="21"/>
    </row>
    <row r="44" spans="3:15" ht="6" customHeight="1" x14ac:dyDescent="0.25">
      <c r="C44" s="9"/>
      <c r="D44" s="9"/>
      <c r="E44" s="9"/>
      <c r="F44" s="9"/>
      <c r="G44" s="9"/>
      <c r="H44" s="9"/>
      <c r="I44" s="9"/>
      <c r="J44" s="9"/>
      <c r="K44" s="9"/>
      <c r="L44" s="9"/>
      <c r="M44" s="21"/>
      <c r="N44" s="21"/>
      <c r="O44" s="21"/>
    </row>
    <row r="45" spans="3:15" ht="6" customHeight="1" x14ac:dyDescent="0.25">
      <c r="M45" s="21"/>
      <c r="N45" s="21"/>
      <c r="O45" s="21"/>
    </row>
    <row r="46" spans="3:15" x14ac:dyDescent="0.25">
      <c r="C46" s="15" t="s">
        <v>79</v>
      </c>
      <c r="M46" s="21"/>
      <c r="N46" s="21"/>
      <c r="O46" s="21"/>
    </row>
    <row r="47" spans="3:15" x14ac:dyDescent="0.25">
      <c r="C47" s="15" t="s">
        <v>78</v>
      </c>
      <c r="M47" s="21"/>
      <c r="N47" s="21"/>
      <c r="O47" s="21"/>
    </row>
  </sheetData>
  <mergeCells count="1">
    <mergeCell ref="G13:H13"/>
  </mergeCells>
  <conditionalFormatting sqref="I9 F11">
    <cfRule type="containsText" dxfId="1005" priority="8" operator="containsText" text="FAIL">
      <formula>NOT(ISERROR(SEARCH("FAIL",F9)))</formula>
    </cfRule>
  </conditionalFormatting>
  <conditionalFormatting sqref="I9 F11">
    <cfRule type="containsText" dxfId="1004" priority="7" operator="containsText" text="GOOD">
      <formula>NOT(ISERROR(SEARCH("GOOD",F9)))</formula>
    </cfRule>
  </conditionalFormatting>
  <conditionalFormatting sqref="I9">
    <cfRule type="containsText" dxfId="1003" priority="6" operator="containsText" text="FAIL">
      <formula>NOT(ISERROR(SEARCH("FAIL",I9)))</formula>
    </cfRule>
  </conditionalFormatting>
  <conditionalFormatting sqref="I9">
    <cfRule type="containsText" dxfId="1002" priority="5" operator="containsText" text="GOOD">
      <formula>NOT(ISERROR(SEARCH("GOOD",I9)))</formula>
    </cfRule>
  </conditionalFormatting>
  <conditionalFormatting sqref="D25">
    <cfRule type="expression" dxfId="1001" priority="4" stopIfTrue="1">
      <formula>IF($H$25=1,0)</formula>
    </cfRule>
  </conditionalFormatting>
  <conditionalFormatting sqref="D23:D43">
    <cfRule type="expression" dxfId="1000" priority="3">
      <formula>H23=1</formula>
    </cfRule>
  </conditionalFormatting>
  <conditionalFormatting sqref="C23:C43">
    <cfRule type="expression" dxfId="999" priority="2">
      <formula>H23=1</formula>
    </cfRule>
  </conditionalFormatting>
  <conditionalFormatting sqref="E23:E43">
    <cfRule type="expression" dxfId="998" priority="1">
      <formula>H23=1</formula>
    </cfRule>
  </conditionalFormatting>
  <pageMargins left="0.7" right="0.7" top="0.75" bottom="0.75" header="0.3" footer="0.3"/>
  <pageSetup scale="73"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A00-000000000000}">
  <sheetPr codeName="Sheet108"/>
  <dimension ref="A2:O47"/>
  <sheetViews>
    <sheetView topLeftCell="C1" zoomScaleNormal="100" workbookViewId="0">
      <selection activeCell="L9" sqref="L9"/>
    </sheetView>
  </sheetViews>
  <sheetFormatPr defaultRowHeight="15" x14ac:dyDescent="0.25"/>
  <cols>
    <col min="1" max="2" width="4.42578125" customWidth="1"/>
    <col min="3" max="3" width="3" customWidth="1"/>
    <col min="4" max="4" width="24.7109375" customWidth="1"/>
    <col min="5" max="5" width="3" customWidth="1"/>
    <col min="6" max="6" width="15.7109375" customWidth="1"/>
    <col min="7" max="7" width="8.5703125" customWidth="1"/>
    <col min="8" max="8" width="5.85546875" customWidth="1"/>
    <col min="9" max="15" width="15.7109375" customWidth="1"/>
  </cols>
  <sheetData>
    <row r="2" spans="1:11" x14ac:dyDescent="0.25">
      <c r="C2" s="15" t="s">
        <v>32</v>
      </c>
      <c r="E2" s="15"/>
      <c r="F2" s="15"/>
      <c r="G2" s="15" t="s">
        <v>33</v>
      </c>
      <c r="H2" s="15"/>
      <c r="I2" s="15"/>
      <c r="J2" s="15"/>
      <c r="K2" s="15"/>
    </row>
    <row r="3" spans="1:11" ht="18.75" x14ac:dyDescent="0.3">
      <c r="C3" s="3" t="s">
        <v>26</v>
      </c>
      <c r="J3" s="8" t="s">
        <v>47</v>
      </c>
    </row>
    <row r="4" spans="1:11" x14ac:dyDescent="0.25">
      <c r="D4" s="2" t="s">
        <v>0</v>
      </c>
      <c r="E4" s="1"/>
      <c r="F4" t="s">
        <v>668</v>
      </c>
      <c r="I4" s="2" t="s">
        <v>4</v>
      </c>
      <c r="J4" t="s">
        <v>630</v>
      </c>
    </row>
    <row r="5" spans="1:11" x14ac:dyDescent="0.25">
      <c r="D5" s="2" t="s">
        <v>1</v>
      </c>
      <c r="F5" t="s">
        <v>669</v>
      </c>
    </row>
    <row r="6" spans="1:11" x14ac:dyDescent="0.25">
      <c r="D6" s="2" t="s">
        <v>2</v>
      </c>
      <c r="F6" s="6">
        <v>42517</v>
      </c>
      <c r="H6" s="11"/>
    </row>
    <row r="7" spans="1:11" x14ac:dyDescent="0.25">
      <c r="D7" s="2" t="s">
        <v>3</v>
      </c>
      <c r="F7" s="5">
        <f>+I7+J7</f>
        <v>2800000</v>
      </c>
      <c r="G7" s="2" t="s">
        <v>34</v>
      </c>
      <c r="H7" s="11"/>
      <c r="I7" s="19">
        <v>1890000</v>
      </c>
      <c r="J7" s="19">
        <v>910000</v>
      </c>
    </row>
    <row r="8" spans="1:11" x14ac:dyDescent="0.25">
      <c r="D8" s="2" t="s">
        <v>18</v>
      </c>
      <c r="F8" s="5">
        <f>MIN(K23:K43)</f>
        <v>3295274</v>
      </c>
      <c r="H8" s="11"/>
      <c r="I8" s="18" t="s">
        <v>43</v>
      </c>
      <c r="J8" s="18" t="s">
        <v>44</v>
      </c>
    </row>
    <row r="9" spans="1:11" x14ac:dyDescent="0.25">
      <c r="D9" s="2" t="s">
        <v>19</v>
      </c>
      <c r="F9" s="4">
        <f>+F8-F7</f>
        <v>495274</v>
      </c>
      <c r="G9" s="16">
        <f>+F9/F7</f>
        <v>0.17688357142857142</v>
      </c>
      <c r="H9" s="12" t="s">
        <v>20</v>
      </c>
      <c r="I9" s="11" t="str">
        <f>(IF(G9&lt;-0.1,"FAIL",IF(G9&gt;0.05,"FAIL","GOOD")))</f>
        <v>FAIL</v>
      </c>
      <c r="J9" s="14" t="s">
        <v>72</v>
      </c>
    </row>
    <row r="10" spans="1:11" x14ac:dyDescent="0.25">
      <c r="D10" s="2" t="s">
        <v>68</v>
      </c>
      <c r="F10" s="4">
        <f>+F7-F12</f>
        <v>-1825451.5</v>
      </c>
      <c r="H10" s="11"/>
    </row>
    <row r="11" spans="1:11" x14ac:dyDescent="0.25">
      <c r="A11" s="30"/>
      <c r="D11" s="2" t="s">
        <v>71</v>
      </c>
      <c r="F11" s="11" t="str">
        <f>(IF(F7&lt;J12,"FAIL",IF(F7&gt;J13,"FAIL","GOOD")))</f>
        <v>FAIL</v>
      </c>
      <c r="H11" s="11"/>
    </row>
    <row r="12" spans="1:11" x14ac:dyDescent="0.25">
      <c r="D12" s="2" t="s">
        <v>28</v>
      </c>
      <c r="F12" s="4">
        <f>SUM(K23:K43)/H12</f>
        <v>4625451.5</v>
      </c>
      <c r="G12" s="14"/>
      <c r="H12" s="11">
        <f>COUNT(K23:K43)</f>
        <v>6</v>
      </c>
      <c r="I12" s="1" t="s">
        <v>31</v>
      </c>
      <c r="J12" s="4">
        <f>+F8*0.9</f>
        <v>2965746.6</v>
      </c>
      <c r="K12" s="1" t="s">
        <v>69</v>
      </c>
    </row>
    <row r="13" spans="1:11" x14ac:dyDescent="0.25">
      <c r="D13" s="2" t="s">
        <v>29</v>
      </c>
      <c r="F13" s="4">
        <f>MAX(K23:K43)-MIN(K23:K43)</f>
        <v>3025926</v>
      </c>
      <c r="G13" s="399">
        <f>MEDIAN(K23:K43)</f>
        <v>4315862.5</v>
      </c>
      <c r="H13" s="400"/>
      <c r="I13" s="1" t="s">
        <v>30</v>
      </c>
      <c r="J13" s="4">
        <f>+F12*1.1</f>
        <v>5087996.6500000004</v>
      </c>
      <c r="K13" s="1" t="s">
        <v>70</v>
      </c>
    </row>
    <row r="14" spans="1:11" x14ac:dyDescent="0.25">
      <c r="H14" s="11"/>
    </row>
    <row r="15" spans="1:11" x14ac:dyDescent="0.25">
      <c r="D15" s="2" t="s">
        <v>8</v>
      </c>
      <c r="F15" s="4"/>
      <c r="G15" s="1" t="s">
        <v>9</v>
      </c>
      <c r="H15" s="11"/>
      <c r="I15" t="s">
        <v>15</v>
      </c>
      <c r="J15" s="7" t="e">
        <f>+F16/F15</f>
        <v>#DIV/0!</v>
      </c>
    </row>
    <row r="16" spans="1:11" x14ac:dyDescent="0.25">
      <c r="F16" s="4"/>
      <c r="G16" s="1" t="s">
        <v>10</v>
      </c>
      <c r="H16" s="11"/>
      <c r="I16" t="s">
        <v>14</v>
      </c>
      <c r="J16" s="7" t="e">
        <f>+F17/F16</f>
        <v>#DIV/0!</v>
      </c>
    </row>
    <row r="17" spans="3:15" x14ac:dyDescent="0.25">
      <c r="F17" s="4"/>
      <c r="G17" s="1" t="s">
        <v>11</v>
      </c>
      <c r="H17" s="11"/>
      <c r="I17" t="s">
        <v>13</v>
      </c>
      <c r="J17" s="7" t="e">
        <f>+F18/F17</f>
        <v>#DIV/0!</v>
      </c>
    </row>
    <row r="18" spans="3:15" x14ac:dyDescent="0.25">
      <c r="F18" s="4"/>
      <c r="G18" s="1" t="s">
        <v>12</v>
      </c>
      <c r="H18" s="11"/>
      <c r="I18" t="s">
        <v>16</v>
      </c>
      <c r="J18" s="7" t="e">
        <f>+F8/F18</f>
        <v>#DIV/0!</v>
      </c>
    </row>
    <row r="19" spans="3:15" x14ac:dyDescent="0.25">
      <c r="F19" s="2" t="s">
        <v>51</v>
      </c>
      <c r="G19">
        <v>0</v>
      </c>
      <c r="H19" s="11" t="s">
        <v>52</v>
      </c>
      <c r="I19" t="s">
        <v>41</v>
      </c>
      <c r="J19" s="7" t="e">
        <f>+F8/F15</f>
        <v>#DIV/0!</v>
      </c>
    </row>
    <row r="20" spans="3:15" x14ac:dyDescent="0.25">
      <c r="H20" s="11"/>
      <c r="M20" s="21"/>
      <c r="N20" s="21"/>
      <c r="O20" s="21"/>
    </row>
    <row r="21" spans="3:15" x14ac:dyDescent="0.25">
      <c r="C21" s="9"/>
      <c r="D21" s="13" t="s">
        <v>21</v>
      </c>
      <c r="E21" s="9"/>
      <c r="F21" s="9" t="s">
        <v>22</v>
      </c>
      <c r="G21" s="9" t="s">
        <v>23</v>
      </c>
      <c r="H21" s="13" t="s">
        <v>27</v>
      </c>
      <c r="I21" s="10" t="s">
        <v>38</v>
      </c>
      <c r="J21" s="10" t="s">
        <v>37</v>
      </c>
      <c r="K21" s="10" t="s">
        <v>39</v>
      </c>
      <c r="L21" s="9"/>
      <c r="M21" s="21"/>
      <c r="N21" s="21"/>
      <c r="O21" s="21"/>
    </row>
    <row r="22" spans="3:15" ht="6" customHeight="1" x14ac:dyDescent="0.25">
      <c r="M22" s="21"/>
      <c r="N22" s="21"/>
      <c r="O22" s="21"/>
    </row>
    <row r="23" spans="3:15" x14ac:dyDescent="0.25">
      <c r="C23" s="33" t="str">
        <f>IF(H23=1,"u","")</f>
        <v/>
      </c>
      <c r="D23" s="11" t="s">
        <v>502</v>
      </c>
      <c r="E23" s="33"/>
      <c r="F23" t="s">
        <v>95</v>
      </c>
      <c r="G23" t="s">
        <v>93</v>
      </c>
      <c r="H23">
        <f t="shared" ref="H23:H28" si="0">RANK(K23,K$23:K$43,1)</f>
        <v>6</v>
      </c>
      <c r="I23" s="4">
        <v>1145670</v>
      </c>
      <c r="J23" s="4">
        <v>5175530</v>
      </c>
      <c r="K23" s="4">
        <f t="shared" ref="K23:K28" si="1">+J23+I23</f>
        <v>6321200</v>
      </c>
      <c r="L23" s="4"/>
      <c r="M23" s="22"/>
      <c r="N23" s="22"/>
      <c r="O23" s="22"/>
    </row>
    <row r="24" spans="3:15" x14ac:dyDescent="0.25">
      <c r="C24" s="33" t="str">
        <f>IF(H24=1,"u","")</f>
        <v/>
      </c>
      <c r="D24" s="11" t="s">
        <v>533</v>
      </c>
      <c r="E24" s="33"/>
      <c r="F24" t="s">
        <v>92</v>
      </c>
      <c r="G24" t="s">
        <v>93</v>
      </c>
      <c r="H24">
        <f t="shared" si="0"/>
        <v>4</v>
      </c>
      <c r="I24" s="4">
        <v>3009085</v>
      </c>
      <c r="J24" s="4">
        <v>1345000</v>
      </c>
      <c r="K24" s="4">
        <f t="shared" si="1"/>
        <v>4354085</v>
      </c>
      <c r="L24" s="4"/>
      <c r="M24" s="22"/>
      <c r="N24" s="22"/>
      <c r="O24" s="22"/>
    </row>
    <row r="25" spans="3:15" x14ac:dyDescent="0.25">
      <c r="C25" s="33" t="str">
        <f>IF(H25=1,"u","")</f>
        <v/>
      </c>
      <c r="D25" s="11" t="s">
        <v>491</v>
      </c>
      <c r="E25" s="33"/>
      <c r="F25" t="s">
        <v>203</v>
      </c>
      <c r="G25" t="s">
        <v>204</v>
      </c>
      <c r="H25">
        <f t="shared" si="0"/>
        <v>2</v>
      </c>
      <c r="I25" s="4">
        <v>2785650</v>
      </c>
      <c r="J25" s="4">
        <v>1414000</v>
      </c>
      <c r="K25" s="4">
        <f t="shared" si="1"/>
        <v>4199650</v>
      </c>
      <c r="L25" s="4"/>
      <c r="M25" s="22"/>
      <c r="N25" s="22"/>
      <c r="O25" s="22"/>
    </row>
    <row r="26" spans="3:15" x14ac:dyDescent="0.25">
      <c r="C26" s="33" t="str">
        <f t="shared" ref="C26:C43" si="2">IF(H26=1,"u","")</f>
        <v/>
      </c>
      <c r="D26" s="11" t="s">
        <v>528</v>
      </c>
      <c r="E26" s="33"/>
      <c r="F26" t="s">
        <v>159</v>
      </c>
      <c r="G26" t="s">
        <v>93</v>
      </c>
      <c r="H26">
        <f t="shared" si="0"/>
        <v>5</v>
      </c>
      <c r="I26" s="4">
        <v>2404860</v>
      </c>
      <c r="J26" s="4">
        <v>2900000</v>
      </c>
      <c r="K26" s="4">
        <f t="shared" si="1"/>
        <v>5304860</v>
      </c>
      <c r="L26" s="4"/>
      <c r="M26" s="22"/>
      <c r="N26" s="22"/>
      <c r="O26" s="22"/>
    </row>
    <row r="27" spans="3:15" x14ac:dyDescent="0.25">
      <c r="C27" s="33" t="str">
        <f t="shared" si="2"/>
        <v>u</v>
      </c>
      <c r="D27" s="11" t="s">
        <v>556</v>
      </c>
      <c r="E27" s="33"/>
      <c r="F27" t="s">
        <v>201</v>
      </c>
      <c r="G27" t="s">
        <v>25</v>
      </c>
      <c r="H27">
        <f t="shared" si="0"/>
        <v>1</v>
      </c>
      <c r="I27" s="4">
        <v>2169774</v>
      </c>
      <c r="J27" s="4">
        <v>1125500</v>
      </c>
      <c r="K27" s="4">
        <f t="shared" si="1"/>
        <v>3295274</v>
      </c>
      <c r="L27" s="4"/>
      <c r="M27" s="22"/>
      <c r="N27" s="22"/>
      <c r="O27" s="22"/>
    </row>
    <row r="28" spans="3:15" x14ac:dyDescent="0.25">
      <c r="C28" s="33" t="str">
        <f t="shared" si="2"/>
        <v/>
      </c>
      <c r="D28" s="11" t="s">
        <v>522</v>
      </c>
      <c r="E28" s="33"/>
      <c r="F28" t="s">
        <v>100</v>
      </c>
      <c r="G28" t="s">
        <v>93</v>
      </c>
      <c r="H28">
        <f t="shared" si="0"/>
        <v>3</v>
      </c>
      <c r="I28" s="4">
        <v>3255140</v>
      </c>
      <c r="J28" s="4">
        <v>1022500</v>
      </c>
      <c r="K28" s="4">
        <f t="shared" si="1"/>
        <v>4277640</v>
      </c>
      <c r="L28" s="4"/>
      <c r="M28" s="22"/>
      <c r="N28" s="22"/>
      <c r="O28" s="22"/>
    </row>
    <row r="29" spans="3:15" x14ac:dyDescent="0.25">
      <c r="C29" s="33" t="str">
        <f t="shared" si="2"/>
        <v/>
      </c>
      <c r="D29" s="11"/>
      <c r="E29" s="33"/>
      <c r="I29" s="4"/>
      <c r="J29" s="4"/>
      <c r="K29" s="4"/>
      <c r="L29" s="4"/>
      <c r="M29" s="22"/>
      <c r="N29" s="22"/>
      <c r="O29" s="22"/>
    </row>
    <row r="30" spans="3:15" x14ac:dyDescent="0.25">
      <c r="C30" s="33" t="str">
        <f t="shared" si="2"/>
        <v/>
      </c>
      <c r="D30" s="11"/>
      <c r="E30" s="33"/>
      <c r="I30" s="4"/>
      <c r="J30" s="4"/>
      <c r="K30" s="4"/>
      <c r="L30" s="4"/>
      <c r="M30" s="22"/>
      <c r="N30" s="22"/>
      <c r="O30" s="22"/>
    </row>
    <row r="31" spans="3:15" x14ac:dyDescent="0.25">
      <c r="C31" s="33" t="str">
        <f t="shared" si="2"/>
        <v/>
      </c>
      <c r="D31" s="11"/>
      <c r="E31" s="33"/>
      <c r="I31" s="4"/>
      <c r="J31" s="4"/>
      <c r="K31" s="4"/>
      <c r="L31" s="4"/>
      <c r="M31" s="22"/>
      <c r="N31" s="22"/>
      <c r="O31" s="22"/>
    </row>
    <row r="32" spans="3:15" x14ac:dyDescent="0.25">
      <c r="C32" s="33" t="str">
        <f t="shared" si="2"/>
        <v/>
      </c>
      <c r="D32" s="11"/>
      <c r="E32" s="33"/>
      <c r="I32" s="4"/>
      <c r="J32" s="4"/>
      <c r="K32" s="4"/>
      <c r="L32" s="4"/>
      <c r="M32" s="22"/>
      <c r="N32" s="22"/>
      <c r="O32" s="22"/>
    </row>
    <row r="33" spans="3:15" x14ac:dyDescent="0.25">
      <c r="C33" s="33" t="str">
        <f t="shared" si="2"/>
        <v/>
      </c>
      <c r="D33" s="11"/>
      <c r="E33" s="33"/>
      <c r="I33" s="4"/>
      <c r="J33" s="4"/>
      <c r="K33" s="4"/>
      <c r="M33" s="21"/>
      <c r="N33" s="21"/>
      <c r="O33" s="21"/>
    </row>
    <row r="34" spans="3:15" x14ac:dyDescent="0.25">
      <c r="C34" s="33" t="str">
        <f t="shared" si="2"/>
        <v/>
      </c>
      <c r="D34" s="11"/>
      <c r="E34" s="33" t="str">
        <f t="shared" ref="E34:E43" si="3">IF(H34=1,"t","")</f>
        <v/>
      </c>
      <c r="K34" s="4"/>
      <c r="M34" s="21"/>
      <c r="N34" s="21"/>
      <c r="O34" s="21"/>
    </row>
    <row r="35" spans="3:15" x14ac:dyDescent="0.25">
      <c r="C35" s="33" t="str">
        <f t="shared" si="2"/>
        <v/>
      </c>
      <c r="D35" s="11"/>
      <c r="E35" s="33" t="str">
        <f t="shared" si="3"/>
        <v/>
      </c>
      <c r="K35" s="4"/>
      <c r="M35" s="21"/>
      <c r="N35" s="21"/>
      <c r="O35" s="21"/>
    </row>
    <row r="36" spans="3:15" x14ac:dyDescent="0.25">
      <c r="C36" s="33" t="str">
        <f t="shared" si="2"/>
        <v/>
      </c>
      <c r="D36" s="11"/>
      <c r="E36" s="33" t="str">
        <f t="shared" si="3"/>
        <v/>
      </c>
      <c r="K36" s="4"/>
      <c r="M36" s="21"/>
      <c r="N36" s="21"/>
      <c r="O36" s="21"/>
    </row>
    <row r="37" spans="3:15" x14ac:dyDescent="0.25">
      <c r="C37" s="33" t="str">
        <f t="shared" si="2"/>
        <v/>
      </c>
      <c r="D37" s="11"/>
      <c r="E37" s="33" t="str">
        <f t="shared" si="3"/>
        <v/>
      </c>
      <c r="K37" s="4"/>
      <c r="M37" s="21"/>
      <c r="N37" s="21"/>
      <c r="O37" s="21"/>
    </row>
    <row r="38" spans="3:15" x14ac:dyDescent="0.25">
      <c r="C38" s="33" t="str">
        <f t="shared" si="2"/>
        <v/>
      </c>
      <c r="D38" s="11"/>
      <c r="E38" s="33" t="str">
        <f t="shared" si="3"/>
        <v/>
      </c>
      <c r="K38" s="4"/>
      <c r="M38" s="21"/>
      <c r="N38" s="21"/>
      <c r="O38" s="21"/>
    </row>
    <row r="39" spans="3:15" x14ac:dyDescent="0.25">
      <c r="C39" s="33" t="str">
        <f t="shared" si="2"/>
        <v/>
      </c>
      <c r="D39" s="11"/>
      <c r="E39" s="33" t="str">
        <f t="shared" si="3"/>
        <v/>
      </c>
      <c r="K39" s="4"/>
      <c r="M39" s="21"/>
      <c r="N39" s="21"/>
      <c r="O39" s="21"/>
    </row>
    <row r="40" spans="3:15" x14ac:dyDescent="0.25">
      <c r="C40" s="33" t="str">
        <f t="shared" si="2"/>
        <v/>
      </c>
      <c r="D40" s="11"/>
      <c r="E40" s="33" t="str">
        <f t="shared" si="3"/>
        <v/>
      </c>
      <c r="K40" s="4"/>
      <c r="M40" s="21"/>
      <c r="N40" s="21"/>
      <c r="O40" s="21"/>
    </row>
    <row r="41" spans="3:15" x14ac:dyDescent="0.25">
      <c r="C41" s="33" t="str">
        <f t="shared" si="2"/>
        <v/>
      </c>
      <c r="D41" s="11"/>
      <c r="E41" s="33" t="str">
        <f t="shared" si="3"/>
        <v/>
      </c>
      <c r="K41" s="4"/>
      <c r="M41" s="21"/>
      <c r="N41" s="21"/>
      <c r="O41" s="21"/>
    </row>
    <row r="42" spans="3:15" x14ac:dyDescent="0.25">
      <c r="C42" s="33" t="str">
        <f t="shared" si="2"/>
        <v/>
      </c>
      <c r="D42" s="11"/>
      <c r="E42" s="33" t="str">
        <f t="shared" si="3"/>
        <v/>
      </c>
      <c r="K42" s="4"/>
      <c r="M42" s="21"/>
      <c r="N42" s="21"/>
      <c r="O42" s="21"/>
    </row>
    <row r="43" spans="3:15" x14ac:dyDescent="0.25">
      <c r="C43" s="33" t="str">
        <f t="shared" si="2"/>
        <v/>
      </c>
      <c r="D43" s="11"/>
      <c r="E43" s="33" t="str">
        <f t="shared" si="3"/>
        <v/>
      </c>
      <c r="K43" s="4"/>
      <c r="M43" s="21"/>
      <c r="N43" s="21"/>
      <c r="O43" s="21"/>
    </row>
    <row r="44" spans="3:15" ht="6" customHeight="1" x14ac:dyDescent="0.25">
      <c r="C44" s="9"/>
      <c r="D44" s="9"/>
      <c r="E44" s="9"/>
      <c r="F44" s="9"/>
      <c r="G44" s="9"/>
      <c r="H44" s="9"/>
      <c r="I44" s="9"/>
      <c r="J44" s="9"/>
      <c r="K44" s="9"/>
      <c r="L44" s="9"/>
      <c r="M44" s="21"/>
      <c r="N44" s="21"/>
      <c r="O44" s="21"/>
    </row>
    <row r="45" spans="3:15" ht="6" customHeight="1" x14ac:dyDescent="0.25">
      <c r="M45" s="21"/>
      <c r="N45" s="21"/>
      <c r="O45" s="21"/>
    </row>
    <row r="46" spans="3:15" x14ac:dyDescent="0.25">
      <c r="C46" s="15" t="s">
        <v>79</v>
      </c>
      <c r="M46" s="21"/>
      <c r="N46" s="21"/>
      <c r="O46" s="21"/>
    </row>
    <row r="47" spans="3:15" x14ac:dyDescent="0.25">
      <c r="C47" s="15" t="s">
        <v>78</v>
      </c>
    </row>
  </sheetData>
  <mergeCells count="1">
    <mergeCell ref="G13:H13"/>
  </mergeCells>
  <conditionalFormatting sqref="I9">
    <cfRule type="containsText" dxfId="817" priority="19" operator="containsText" text="FAIL">
      <formula>NOT(ISERROR(SEARCH("FAIL",I9)))</formula>
    </cfRule>
  </conditionalFormatting>
  <conditionalFormatting sqref="I9">
    <cfRule type="containsText" dxfId="816" priority="18" operator="containsText" text="GOOD">
      <formula>NOT(ISERROR(SEARCH("GOOD",I9)))</formula>
    </cfRule>
  </conditionalFormatting>
  <conditionalFormatting sqref="I9">
    <cfRule type="containsText" dxfId="815" priority="17" operator="containsText" text="FAIL">
      <formula>NOT(ISERROR(SEARCH("FAIL",I9)))</formula>
    </cfRule>
  </conditionalFormatting>
  <conditionalFormatting sqref="I9">
    <cfRule type="containsText" dxfId="814" priority="16" operator="containsText" text="GOOD">
      <formula>NOT(ISERROR(SEARCH("GOOD",I9)))</formula>
    </cfRule>
  </conditionalFormatting>
  <conditionalFormatting sqref="I9">
    <cfRule type="containsText" dxfId="813" priority="15" operator="containsText" text="FAIL">
      <formula>NOT(ISERROR(SEARCH("FAIL",I9)))</formula>
    </cfRule>
  </conditionalFormatting>
  <conditionalFormatting sqref="I9">
    <cfRule type="containsText" dxfId="812" priority="14" operator="containsText" text="GOOD">
      <formula>NOT(ISERROR(SEARCH("GOOD",I9)))</formula>
    </cfRule>
  </conditionalFormatting>
  <conditionalFormatting sqref="F11">
    <cfRule type="containsText" dxfId="811" priority="13" operator="containsText" text="FAIL">
      <formula>NOT(ISERROR(SEARCH("FAIL",F11)))</formula>
    </cfRule>
  </conditionalFormatting>
  <conditionalFormatting sqref="F11">
    <cfRule type="containsText" dxfId="810" priority="12" operator="containsText" text="GOOD">
      <formula>NOT(ISERROR(SEARCH("GOOD",F11)))</formula>
    </cfRule>
  </conditionalFormatting>
  <conditionalFormatting sqref="I9">
    <cfRule type="containsText" dxfId="809" priority="11" operator="containsText" text="FAIL">
      <formula>NOT(ISERROR(SEARCH("FAIL",I9)))</formula>
    </cfRule>
  </conditionalFormatting>
  <conditionalFormatting sqref="I9">
    <cfRule type="containsText" dxfId="808" priority="10" operator="containsText" text="GOOD">
      <formula>NOT(ISERROR(SEARCH("GOOD",I9)))</formula>
    </cfRule>
  </conditionalFormatting>
  <conditionalFormatting sqref="F11">
    <cfRule type="containsText" dxfId="807" priority="9" operator="containsText" text="FAIL">
      <formula>NOT(ISERROR(SEARCH("FAIL",F11)))</formula>
    </cfRule>
  </conditionalFormatting>
  <conditionalFormatting sqref="F11">
    <cfRule type="containsText" dxfId="806" priority="8" operator="containsText" text="GOOD">
      <formula>NOT(ISERROR(SEARCH("GOOD",F11)))</formula>
    </cfRule>
  </conditionalFormatting>
  <conditionalFormatting sqref="D25">
    <cfRule type="expression" dxfId="805" priority="7" stopIfTrue="1">
      <formula>IF($H$25=1,0)</formula>
    </cfRule>
  </conditionalFormatting>
  <conditionalFormatting sqref="D23:D43">
    <cfRule type="expression" dxfId="804" priority="6">
      <formula>H23=1</formula>
    </cfRule>
  </conditionalFormatting>
  <conditionalFormatting sqref="C23:C43">
    <cfRule type="expression" dxfId="803" priority="5">
      <formula>H23=1</formula>
    </cfRule>
  </conditionalFormatting>
  <conditionalFormatting sqref="E23:E43">
    <cfRule type="expression" dxfId="802" priority="4">
      <formula>H23=1</formula>
    </cfRule>
  </conditionalFormatting>
  <conditionalFormatting sqref="E23:E43">
    <cfRule type="expression" dxfId="801" priority="3">
      <formula>H23=1</formula>
    </cfRule>
  </conditionalFormatting>
  <conditionalFormatting sqref="F11">
    <cfRule type="containsText" dxfId="800" priority="2" operator="containsText" text="FAIL">
      <formula>NOT(ISERROR(SEARCH("FAIL",F11)))</formula>
    </cfRule>
  </conditionalFormatting>
  <conditionalFormatting sqref="F11">
    <cfRule type="containsText" dxfId="799" priority="1" operator="containsText" text="GOOD">
      <formula>NOT(ISERROR(SEARCH("GOOD",F11)))</formula>
    </cfRule>
  </conditionalFormatting>
  <pageMargins left="0.7" right="0.7" top="0.75" bottom="0.75" header="0.3" footer="0.3"/>
  <pageSetup scale="68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>
    <tabColor theme="9" tint="-0.249977111117893"/>
  </sheetPr>
  <dimension ref="B2:AQ768"/>
  <sheetViews>
    <sheetView zoomScaleNormal="100" workbookViewId="0">
      <pane ySplit="5" topLeftCell="A447" activePane="bottomLeft" state="frozen"/>
      <selection pane="bottomLeft" activeCell="D462" sqref="D462"/>
    </sheetView>
  </sheetViews>
  <sheetFormatPr defaultRowHeight="15" x14ac:dyDescent="0.25"/>
  <cols>
    <col min="1" max="1" width="3.140625" customWidth="1"/>
    <col min="2" max="2" width="7.5703125" customWidth="1"/>
    <col min="3" max="3" width="5.28515625" customWidth="1"/>
    <col min="4" max="4" width="13.42578125" customWidth="1"/>
    <col min="5" max="5" width="51.5703125" customWidth="1"/>
    <col min="6" max="6" width="9.5703125" customWidth="1"/>
    <col min="7" max="7" width="9.42578125" customWidth="1"/>
    <col min="8" max="8" width="15.85546875" customWidth="1"/>
    <col min="9" max="9" width="16.140625" customWidth="1"/>
    <col min="10" max="10" width="13.7109375" customWidth="1"/>
    <col min="11" max="11" width="10.28515625" customWidth="1"/>
    <col min="12" max="12" width="7" customWidth="1"/>
    <col min="13" max="13" width="6.42578125" customWidth="1"/>
    <col min="14" max="14" width="5.7109375" style="11" customWidth="1"/>
    <col min="15" max="15" width="3.42578125" customWidth="1"/>
    <col min="16" max="16" width="6.140625" customWidth="1"/>
    <col min="17" max="17" width="3.42578125" customWidth="1"/>
    <col min="18" max="18" width="2" customWidth="1"/>
    <col min="19" max="19" width="10.140625" customWidth="1"/>
    <col min="22" max="22" width="11.140625" bestFit="1" customWidth="1"/>
    <col min="23" max="23" width="12.42578125" bestFit="1" customWidth="1"/>
    <col min="24" max="24" width="12" bestFit="1" customWidth="1"/>
    <col min="26" max="27" width="12.140625" bestFit="1" customWidth="1"/>
    <col min="29" max="30" width="13" customWidth="1"/>
    <col min="31" max="31" width="11.28515625" customWidth="1"/>
    <col min="32" max="32" width="4.28515625" customWidth="1"/>
    <col min="33" max="34" width="15.140625" customWidth="1"/>
    <col min="36" max="36" width="6.5703125" customWidth="1"/>
    <col min="37" max="38" width="15" customWidth="1"/>
    <col min="42" max="42" width="3.140625" customWidth="1"/>
  </cols>
  <sheetData>
    <row r="2" spans="2:41" ht="31.5" customHeight="1" x14ac:dyDescent="0.25">
      <c r="D2" s="21"/>
      <c r="E2" s="15"/>
      <c r="F2" s="15" t="s">
        <v>32</v>
      </c>
      <c r="I2" s="392" t="s">
        <v>1389</v>
      </c>
      <c r="J2" s="392"/>
      <c r="L2" s="15" t="s">
        <v>33</v>
      </c>
    </row>
    <row r="3" spans="2:41" ht="18.75" x14ac:dyDescent="0.3">
      <c r="D3" s="3"/>
      <c r="F3" s="3" t="s">
        <v>53</v>
      </c>
      <c r="K3" s="36" t="s">
        <v>54</v>
      </c>
      <c r="L3" s="37">
        <v>2018</v>
      </c>
    </row>
    <row r="5" spans="2:41" x14ac:dyDescent="0.25">
      <c r="C5" s="40" t="s">
        <v>423</v>
      </c>
      <c r="D5" s="49" t="s">
        <v>55</v>
      </c>
      <c r="E5" s="49" t="s">
        <v>56</v>
      </c>
      <c r="F5" s="49" t="s">
        <v>57</v>
      </c>
      <c r="G5" s="50" t="s">
        <v>424</v>
      </c>
      <c r="H5" s="47" t="s">
        <v>58</v>
      </c>
      <c r="I5" s="47" t="s">
        <v>59</v>
      </c>
      <c r="J5" s="42" t="s">
        <v>456</v>
      </c>
      <c r="K5" s="47" t="s">
        <v>60</v>
      </c>
      <c r="L5" s="48" t="s">
        <v>61</v>
      </c>
      <c r="M5" s="47" t="s">
        <v>62</v>
      </c>
      <c r="N5" s="43" t="s">
        <v>225</v>
      </c>
      <c r="O5" s="43" t="s">
        <v>422</v>
      </c>
      <c r="P5" s="43" t="s">
        <v>454</v>
      </c>
      <c r="Q5" s="43"/>
      <c r="R5" s="41" t="s">
        <v>63</v>
      </c>
      <c r="S5" s="9"/>
      <c r="T5" s="9" t="s">
        <v>551</v>
      </c>
      <c r="U5" s="9"/>
      <c r="V5" s="9"/>
    </row>
    <row r="6" spans="2:41" ht="7.5" customHeight="1" x14ac:dyDescent="0.25">
      <c r="C6" s="39"/>
      <c r="G6" s="45"/>
    </row>
    <row r="7" spans="2:41" x14ac:dyDescent="0.25">
      <c r="B7" s="224"/>
      <c r="C7" s="39">
        <v>2018</v>
      </c>
      <c r="D7" s="62" t="str">
        <f>+'[1]TEB-144.055'!$F$4</f>
        <v>TEB-144.055</v>
      </c>
      <c r="E7" s="63" t="str">
        <f>+'[1]TEB-144.055'!$F$5</f>
        <v>Rehab of Taxiways G, L and P</v>
      </c>
      <c r="F7" s="64">
        <f>+'[1]TEB-144.055'!$F$6</f>
        <v>43452</v>
      </c>
      <c r="G7" s="65" t="str">
        <f>+'[1]TEB-144.055'!$G$7</f>
        <v>Public</v>
      </c>
      <c r="H7" s="94">
        <f>+'[1]TEB-144.055'!$F$7</f>
        <v>10250000</v>
      </c>
      <c r="I7" s="94">
        <f>+'[1]TEB-144.055'!$F$8</f>
        <v>8275000</v>
      </c>
      <c r="J7" s="94"/>
      <c r="K7" s="153">
        <f>+'[1]TEB-144.055'!$G$9</f>
        <v>-0.1926829268292683</v>
      </c>
      <c r="L7" s="11" t="str">
        <f>+'[1]TEB-144.055'!$F$11</f>
        <v>FAIL</v>
      </c>
      <c r="M7" s="15">
        <f>+'[1]TEB-144.055'!$H$12</f>
        <v>3</v>
      </c>
      <c r="N7" s="35" t="s">
        <v>25</v>
      </c>
      <c r="O7" s="15">
        <v>4</v>
      </c>
      <c r="P7" s="35" t="s">
        <v>458</v>
      </c>
      <c r="Q7" s="35"/>
      <c r="R7" s="15"/>
      <c r="S7" s="24"/>
      <c r="T7" s="62" t="str">
        <f>+'[1]TEB-144.055'!$J$4</f>
        <v>Joe Lucin</v>
      </c>
      <c r="U7" s="62"/>
      <c r="V7" s="94">
        <f>+'[1]TEB-144.055'!$F$12</f>
        <v>9049324.666666666</v>
      </c>
      <c r="W7" s="199">
        <f t="shared" ref="W7:W16" si="0">+I7/V7</f>
        <v>0.91443287812195495</v>
      </c>
      <c r="X7" s="15"/>
      <c r="Y7" s="200">
        <f t="shared" ref="Y7:Y16" si="1">+I7/H7</f>
        <v>0.80731707317073176</v>
      </c>
      <c r="Z7" s="11" t="str">
        <f t="shared" ref="Z7:Z16" si="2">(IF(Y7&lt;$Y$3,"FAIL",IF(Y7&gt;$Y$4,"FAIL","GOOD")))</f>
        <v>FAIL</v>
      </c>
      <c r="AA7" s="11"/>
      <c r="AB7" s="15"/>
      <c r="AC7" s="54">
        <f t="shared" ref="AC7:AD16" si="3">+H7</f>
        <v>10250000</v>
      </c>
      <c r="AD7" s="54">
        <f t="shared" si="3"/>
        <v>8275000</v>
      </c>
      <c r="AE7" s="54">
        <f t="shared" ref="AE7:AE16" si="4">+AC7-AD7</f>
        <v>1975000</v>
      </c>
      <c r="AG7" s="4"/>
      <c r="AH7" s="4"/>
      <c r="AI7" s="225"/>
      <c r="AJ7" s="226"/>
      <c r="AK7" s="227"/>
      <c r="AL7" s="227"/>
      <c r="AM7" s="225"/>
      <c r="AN7" s="226"/>
      <c r="AO7" s="228"/>
    </row>
    <row r="8" spans="2:41" x14ac:dyDescent="0.25">
      <c r="B8" s="224"/>
      <c r="C8" s="39">
        <v>2018</v>
      </c>
      <c r="D8" s="62" t="str">
        <f>+'[1]PAT-774.176'!$F$4</f>
        <v>PAT-774.176</v>
      </c>
      <c r="E8" s="63" t="str">
        <f>+'[1]PAT-774.176'!$F$5</f>
        <v>HCMF-Replace Track Slab and Rehab of Parking Lots &amp; Roads</v>
      </c>
      <c r="F8" s="64">
        <f>+'[1]PAT-774.176'!$F$6</f>
        <v>43441</v>
      </c>
      <c r="G8" s="65" t="str">
        <f>+'[1]PAT-774.176'!$G$7</f>
        <v>Public</v>
      </c>
      <c r="H8" s="94">
        <f>+'[1]PAT-774.176'!$F$7</f>
        <v>5000000</v>
      </c>
      <c r="I8" s="94">
        <f>+'[1]PAT-774.176'!$F$8</f>
        <v>4380000</v>
      </c>
      <c r="J8" s="105" t="s">
        <v>519</v>
      </c>
      <c r="K8" s="153">
        <f>+'[1]PAT-774.176'!$G$9</f>
        <v>-0.124</v>
      </c>
      <c r="L8" s="11" t="str">
        <f>+'[1]PAT-774.176'!$F$11</f>
        <v>GOOD</v>
      </c>
      <c r="M8" s="15">
        <f>+'[1]PAT-774.176'!$H$12</f>
        <v>4</v>
      </c>
      <c r="N8" s="35" t="s">
        <v>25</v>
      </c>
      <c r="O8" s="15">
        <v>4</v>
      </c>
      <c r="P8" s="35" t="s">
        <v>459</v>
      </c>
      <c r="Q8" s="35"/>
      <c r="R8" s="15"/>
      <c r="S8" s="24"/>
      <c r="T8" s="62" t="str">
        <f>+'[1]PAT-774.176'!$J$4</f>
        <v>Nathan Demaisip</v>
      </c>
      <c r="U8" s="62"/>
      <c r="V8" s="94">
        <f>+'[1]PAT-774.176'!$F$12</f>
        <v>5853509.5</v>
      </c>
      <c r="W8" s="199">
        <f t="shared" si="0"/>
        <v>0.74826905124182341</v>
      </c>
      <c r="X8" s="15"/>
      <c r="Y8" s="200">
        <f t="shared" si="1"/>
        <v>0.876</v>
      </c>
      <c r="Z8" s="11" t="str">
        <f t="shared" si="2"/>
        <v>FAIL</v>
      </c>
      <c r="AA8" s="11"/>
      <c r="AB8" s="15"/>
      <c r="AC8" s="54">
        <f t="shared" si="3"/>
        <v>5000000</v>
      </c>
      <c r="AD8" s="54">
        <f t="shared" si="3"/>
        <v>4380000</v>
      </c>
      <c r="AE8" s="54">
        <f t="shared" si="4"/>
        <v>620000</v>
      </c>
      <c r="AG8" s="4"/>
      <c r="AH8" s="4"/>
      <c r="AI8" s="225"/>
      <c r="AJ8" s="226"/>
      <c r="AK8" s="227"/>
      <c r="AL8" s="227"/>
      <c r="AM8" s="225"/>
      <c r="AN8" s="226"/>
      <c r="AO8" s="228"/>
    </row>
    <row r="9" spans="2:41" x14ac:dyDescent="0.25">
      <c r="B9" s="232"/>
      <c r="C9" s="39">
        <v>2018</v>
      </c>
      <c r="D9" s="62" t="str">
        <f>+'[1]PAT-214.013'!$F$4</f>
        <v>PAT-214.013</v>
      </c>
      <c r="E9" s="63" t="str">
        <f>+'[1]PAT-214.013'!$F$5</f>
        <v>JSQ - Public Restroom Rehabilitation</v>
      </c>
      <c r="F9" s="64">
        <f>+'[1]PAT-214.013'!$F$6</f>
        <v>43440</v>
      </c>
      <c r="G9" s="65" t="str">
        <f>+'[1]PAT-214.013'!$G$7</f>
        <v>SBE</v>
      </c>
      <c r="H9" s="94">
        <f>+'[1]PAT-214.013'!$F$7</f>
        <v>1500000</v>
      </c>
      <c r="I9" s="94">
        <f>+'[1]PAT-214.013'!$F$8</f>
        <v>2546000</v>
      </c>
      <c r="J9" s="105"/>
      <c r="K9" s="153">
        <f>+'[1]PAT-214.013'!$G$9</f>
        <v>0.69733333333333336</v>
      </c>
      <c r="L9" s="11" t="str">
        <f>+'[1]PAT-214.013'!$F$11</f>
        <v>FAIL</v>
      </c>
      <c r="M9" s="15">
        <f>+'[1]PAT-214.013'!$H$12</f>
        <v>3</v>
      </c>
      <c r="N9" s="35" t="s">
        <v>25</v>
      </c>
      <c r="O9" s="15">
        <v>4</v>
      </c>
      <c r="P9" s="35" t="s">
        <v>459</v>
      </c>
      <c r="Q9" s="35"/>
      <c r="R9" s="15"/>
      <c r="S9" s="24"/>
      <c r="T9" s="62" t="str">
        <f>+'[1]PAT-214.013'!$J$4</f>
        <v>Nathan Demaisip</v>
      </c>
      <c r="U9" s="62"/>
      <c r="V9" s="94">
        <f>+'[1]PAT-214.013'!$F$12</f>
        <v>4262816.666666667</v>
      </c>
      <c r="W9" s="199">
        <f t="shared" si="0"/>
        <v>0.59725768173625415</v>
      </c>
      <c r="X9" s="15"/>
      <c r="Y9" s="200">
        <f t="shared" si="1"/>
        <v>1.6973333333333334</v>
      </c>
      <c r="Z9" s="11" t="str">
        <f t="shared" si="2"/>
        <v>FAIL</v>
      </c>
      <c r="AA9" s="11"/>
      <c r="AB9" s="15"/>
      <c r="AC9" s="54">
        <f t="shared" si="3"/>
        <v>1500000</v>
      </c>
      <c r="AD9" s="54">
        <f t="shared" si="3"/>
        <v>2546000</v>
      </c>
      <c r="AE9" s="54">
        <f t="shared" si="4"/>
        <v>-1046000</v>
      </c>
      <c r="AG9" s="4"/>
      <c r="AH9" s="4"/>
      <c r="AI9" s="225"/>
      <c r="AJ9" s="226"/>
      <c r="AK9" s="227"/>
      <c r="AL9" s="227"/>
      <c r="AM9" s="225"/>
      <c r="AN9" s="226"/>
      <c r="AO9" s="228"/>
    </row>
    <row r="10" spans="2:41" x14ac:dyDescent="0.25">
      <c r="B10" s="224"/>
      <c r="C10" s="39">
        <v>2018</v>
      </c>
      <c r="D10" s="62" t="str">
        <f>+'[1]EWR-154.386'!$F$4</f>
        <v>EWR-154.386</v>
      </c>
      <c r="E10" s="63" t="str">
        <f>+'[1]EWR-154.386'!$F$5</f>
        <v>Term A Redev - Airside Utilities and Paving South phase 2</v>
      </c>
      <c r="F10" s="64">
        <f>+'[1]EWR-154.386'!$F$6</f>
        <v>43438</v>
      </c>
      <c r="G10" s="65" t="str">
        <f>+'[1]EWR-154.386'!$G$7</f>
        <v>Public</v>
      </c>
      <c r="H10" s="94">
        <f>+'[1]EWR-154.386'!$F$7</f>
        <v>122920000</v>
      </c>
      <c r="I10" s="94">
        <f>+'[1]EWR-154.386'!$F$8</f>
        <v>119769038</v>
      </c>
      <c r="J10" s="94" t="s">
        <v>519</v>
      </c>
      <c r="K10" s="153">
        <f>+'[1]EWR-154.386'!$G$9</f>
        <v>-2.5634249918646275E-2</v>
      </c>
      <c r="L10" s="11" t="str">
        <f>+'[1]EWR-154.386'!$F$11</f>
        <v>GOOD</v>
      </c>
      <c r="M10" s="15">
        <f>+'[1]EWR-154.386'!$H$12</f>
        <v>2</v>
      </c>
      <c r="N10" s="35" t="s">
        <v>25</v>
      </c>
      <c r="O10" s="15">
        <v>4</v>
      </c>
      <c r="P10" s="35" t="s">
        <v>458</v>
      </c>
      <c r="Q10" s="35"/>
      <c r="R10" s="15"/>
      <c r="S10" s="24"/>
      <c r="T10" s="62" t="str">
        <f>+'[1]EWR-154.386'!$J$4</f>
        <v>Joe Lucin</v>
      </c>
      <c r="U10" s="62"/>
      <c r="V10" s="94">
        <f>+'[1]EWR-154.386'!$F$12</f>
        <v>122138179</v>
      </c>
      <c r="W10" s="199">
        <f t="shared" si="0"/>
        <v>0.98060278105177912</v>
      </c>
      <c r="X10" s="15"/>
      <c r="Y10" s="200">
        <f t="shared" si="1"/>
        <v>0.97436575008135373</v>
      </c>
      <c r="Z10" s="11" t="str">
        <f t="shared" si="2"/>
        <v>FAIL</v>
      </c>
      <c r="AA10" s="11"/>
      <c r="AB10" s="15"/>
      <c r="AC10" s="54">
        <f t="shared" si="3"/>
        <v>122920000</v>
      </c>
      <c r="AD10" s="54">
        <f t="shared" si="3"/>
        <v>119769038</v>
      </c>
      <c r="AE10" s="54">
        <f t="shared" si="4"/>
        <v>3150962</v>
      </c>
      <c r="AG10" s="4"/>
      <c r="AH10" s="4"/>
      <c r="AI10" s="225"/>
      <c r="AJ10" s="226"/>
      <c r="AK10" s="227"/>
      <c r="AL10" s="227"/>
      <c r="AM10" s="225"/>
      <c r="AN10" s="226"/>
      <c r="AO10" s="228"/>
    </row>
    <row r="11" spans="2:41" x14ac:dyDescent="0.25">
      <c r="B11" s="224"/>
      <c r="C11" s="39">
        <v>2018</v>
      </c>
      <c r="D11" s="62" t="str">
        <f>+'[1]LGA-124.269'!$F$4</f>
        <v>LGA-124.269</v>
      </c>
      <c r="E11" s="63" t="str">
        <f>+'[1]LGA-124.269'!$F$5</f>
        <v>Hangar 7S Drainage Rehabilitation</v>
      </c>
      <c r="F11" s="64">
        <f>+'[1]LGA-124.269'!$F$6</f>
        <v>43438</v>
      </c>
      <c r="G11" s="65" t="str">
        <f>+'[1]LGA-124.269'!$G$7</f>
        <v>SBE</v>
      </c>
      <c r="H11" s="94">
        <f>+'[1]LGA-124.269'!$F$7</f>
        <v>448000</v>
      </c>
      <c r="I11" s="94">
        <f>+'[1]LGA-124.269'!$F$8</f>
        <v>432222</v>
      </c>
      <c r="J11" s="105" t="s">
        <v>519</v>
      </c>
      <c r="K11" s="153">
        <f>+'[1]LGA-124.269'!$G$9</f>
        <v>-3.521875E-2</v>
      </c>
      <c r="L11" s="11" t="str">
        <f>+'[1]LGA-124.269'!$F$11</f>
        <v>GOOD</v>
      </c>
      <c r="M11" s="15">
        <f>+'[1]LGA-124.269'!$H$12</f>
        <v>6</v>
      </c>
      <c r="N11" s="35" t="s">
        <v>93</v>
      </c>
      <c r="O11" s="15">
        <v>4</v>
      </c>
      <c r="P11" s="35" t="s">
        <v>458</v>
      </c>
      <c r="Q11" s="35"/>
      <c r="R11" s="15"/>
      <c r="S11" s="24"/>
      <c r="T11" s="62" t="str">
        <f>+'[1]LGA-124.269'!$J$4</f>
        <v>Joe Lucin</v>
      </c>
      <c r="U11" s="62"/>
      <c r="V11" s="94">
        <f>+'[1]LGA-124.269'!$F$12</f>
        <v>792267</v>
      </c>
      <c r="W11" s="199">
        <f t="shared" si="0"/>
        <v>0.54555093169348212</v>
      </c>
      <c r="X11" s="15"/>
      <c r="Y11" s="200">
        <f t="shared" si="1"/>
        <v>0.96478125000000003</v>
      </c>
      <c r="Z11" s="11" t="str">
        <f t="shared" si="2"/>
        <v>FAIL</v>
      </c>
      <c r="AA11" s="11"/>
      <c r="AB11" s="15"/>
      <c r="AC11" s="54">
        <f t="shared" si="3"/>
        <v>448000</v>
      </c>
      <c r="AD11" s="54">
        <f t="shared" si="3"/>
        <v>432222</v>
      </c>
      <c r="AE11" s="54">
        <f t="shared" si="4"/>
        <v>15778</v>
      </c>
      <c r="AG11" s="4"/>
      <c r="AH11" s="4"/>
      <c r="AI11" s="225"/>
      <c r="AJ11" s="226"/>
      <c r="AK11" s="227"/>
      <c r="AL11" s="227"/>
      <c r="AM11" s="225"/>
      <c r="AN11" s="226"/>
      <c r="AO11" s="228"/>
    </row>
    <row r="12" spans="2:41" x14ac:dyDescent="0.25">
      <c r="B12" s="224"/>
      <c r="C12" s="39">
        <v>2018</v>
      </c>
      <c r="D12" s="62" t="str">
        <f>+'[1]LGA-124.268'!$F$4</f>
        <v>LGA-124.268</v>
      </c>
      <c r="E12" s="63" t="str">
        <f>+'[1]LGA-124.268'!$F$5</f>
        <v>Patrol Road Drainage Rehabilitation</v>
      </c>
      <c r="F12" s="64">
        <f>+'[1]LGA-124.268'!$F$6</f>
        <v>43433</v>
      </c>
      <c r="G12" s="65" t="str">
        <f>+'[1]LGA-124.268'!$G$7</f>
        <v>SBE</v>
      </c>
      <c r="H12" s="94">
        <f>+'[1]LGA-124.268'!$F$7</f>
        <v>287000</v>
      </c>
      <c r="I12" s="94">
        <f>+'[1]LGA-124.268'!$F$8</f>
        <v>369034</v>
      </c>
      <c r="J12" s="105"/>
      <c r="K12" s="153">
        <f>+'[1]LGA-124.268'!$G$9</f>
        <v>0.28583275261324043</v>
      </c>
      <c r="L12" s="11" t="str">
        <f>+'[1]LGA-124.268'!$F$11</f>
        <v>FAIL</v>
      </c>
      <c r="M12" s="15">
        <f>+'[1]LGA-124.268'!$H$12</f>
        <v>5</v>
      </c>
      <c r="N12" s="35" t="s">
        <v>93</v>
      </c>
      <c r="O12" s="15">
        <v>4</v>
      </c>
      <c r="P12" s="35" t="s">
        <v>458</v>
      </c>
      <c r="Q12" s="35"/>
      <c r="R12" s="15"/>
      <c r="S12" s="24"/>
      <c r="T12" s="62" t="str">
        <f>+'[1]LGA-124.268'!$J$4</f>
        <v>Joe Lucin</v>
      </c>
      <c r="U12" s="62"/>
      <c r="V12" s="94">
        <f>+'[1]LGA-124.268'!$F$12</f>
        <v>503308</v>
      </c>
      <c r="W12" s="199">
        <f t="shared" si="0"/>
        <v>0.73321703608923361</v>
      </c>
      <c r="X12" s="15"/>
      <c r="Y12" s="200">
        <f t="shared" si="1"/>
        <v>1.2858327526132405</v>
      </c>
      <c r="Z12" s="11" t="str">
        <f t="shared" si="2"/>
        <v>FAIL</v>
      </c>
      <c r="AA12" s="11"/>
      <c r="AB12" s="15"/>
      <c r="AC12" s="54">
        <f t="shared" si="3"/>
        <v>287000</v>
      </c>
      <c r="AD12" s="54">
        <f t="shared" si="3"/>
        <v>369034</v>
      </c>
      <c r="AE12" s="54">
        <f t="shared" si="4"/>
        <v>-82034</v>
      </c>
      <c r="AG12" s="4"/>
      <c r="AH12" s="4"/>
      <c r="AI12" s="225"/>
      <c r="AJ12" s="226"/>
      <c r="AK12" s="227"/>
      <c r="AL12" s="227"/>
      <c r="AM12" s="225"/>
      <c r="AN12" s="226"/>
      <c r="AO12" s="228"/>
    </row>
    <row r="13" spans="2:41" x14ac:dyDescent="0.25">
      <c r="B13" s="224"/>
      <c r="C13" s="39">
        <v>2018</v>
      </c>
      <c r="D13" s="62" t="str">
        <f>+'[1]EWR-154.299'!$F$4</f>
        <v>EWR-154.299</v>
      </c>
      <c r="E13" s="63" t="str">
        <f>+'[1]EWR-154.299'!$F$5</f>
        <v>Repl CHIRP North Electric Substation and Chiller Upgrades</v>
      </c>
      <c r="F13" s="64">
        <f>+'[1]EWR-154.299'!$F$6</f>
        <v>43419</v>
      </c>
      <c r="G13" s="65" t="str">
        <f>+'[1]EWR-154.299'!$G$7</f>
        <v>Public</v>
      </c>
      <c r="H13" s="94">
        <f>+'[1]EWR-154.299'!$F$7</f>
        <v>12570000</v>
      </c>
      <c r="I13" s="94">
        <f>+'[1]EWR-154.299'!$F$8</f>
        <v>9714000</v>
      </c>
      <c r="J13" s="94"/>
      <c r="K13" s="153">
        <f>+'[1]EWR-154.299'!$G$9</f>
        <v>-0.22720763723150358</v>
      </c>
      <c r="L13" s="11" t="str">
        <f>+'[1]EWR-154.299'!$F$11</f>
        <v>FAIL</v>
      </c>
      <c r="M13" s="15">
        <f>+'[1]EWR-154.299'!$H$12</f>
        <v>4</v>
      </c>
      <c r="N13" s="35" t="s">
        <v>25</v>
      </c>
      <c r="O13" s="15">
        <v>4</v>
      </c>
      <c r="P13" s="35" t="s">
        <v>458</v>
      </c>
      <c r="Q13" s="35"/>
      <c r="R13" s="15"/>
      <c r="S13" s="24"/>
      <c r="T13" s="62" t="str">
        <f>+'[1]EWR-154.299'!$J$4</f>
        <v>Joe Lucin</v>
      </c>
      <c r="U13" s="62"/>
      <c r="V13" s="94">
        <f>+'[1]EWR-154.299'!$F$12</f>
        <v>10579250</v>
      </c>
      <c r="W13" s="199">
        <f t="shared" si="0"/>
        <v>0.91821253869603237</v>
      </c>
      <c r="X13" s="15"/>
      <c r="Y13" s="200">
        <f t="shared" si="1"/>
        <v>0.77279236276849639</v>
      </c>
      <c r="Z13" s="11" t="str">
        <f t="shared" si="2"/>
        <v>FAIL</v>
      </c>
      <c r="AA13" s="11"/>
      <c r="AB13" s="15"/>
      <c r="AC13" s="54">
        <f t="shared" si="3"/>
        <v>12570000</v>
      </c>
      <c r="AD13" s="54">
        <f t="shared" si="3"/>
        <v>9714000</v>
      </c>
      <c r="AE13" s="54">
        <f t="shared" si="4"/>
        <v>2856000</v>
      </c>
      <c r="AG13" s="4"/>
      <c r="AH13" s="4"/>
      <c r="AI13" s="225"/>
      <c r="AJ13" s="226"/>
      <c r="AK13" s="227"/>
      <c r="AL13" s="227"/>
      <c r="AM13" s="225"/>
      <c r="AN13" s="226"/>
      <c r="AO13" s="228"/>
    </row>
    <row r="14" spans="2:41" x14ac:dyDescent="0.25">
      <c r="B14" s="224"/>
      <c r="C14" s="39">
        <v>2018</v>
      </c>
      <c r="D14" s="62" t="str">
        <f>+'[1]JFK-164.020'!$F$4</f>
        <v>JFK-164.020</v>
      </c>
      <c r="E14" s="63" t="str">
        <f>+'[1]JFK-164.020'!$F$5</f>
        <v>Reconstruct Runway 13L-31R and Associated Taxiways</v>
      </c>
      <c r="F14" s="64">
        <f>+'[1]JFK-164.020'!$F$6</f>
        <v>43413</v>
      </c>
      <c r="G14" s="65" t="str">
        <f>+'[1]JFK-164.020'!$G$7</f>
        <v>Public</v>
      </c>
      <c r="H14" s="94">
        <f>+'[1]JFK-164.020'!$F$7</f>
        <v>186355200</v>
      </c>
      <c r="I14" s="94">
        <f>+'[1]JFK-164.020'!$F$8</f>
        <v>152100000</v>
      </c>
      <c r="J14" s="94"/>
      <c r="K14" s="153">
        <f>+'[1]JFK-164.020'!$G$9</f>
        <v>-0.18381671131259014</v>
      </c>
      <c r="L14" s="11" t="str">
        <f>+'[1]JFK-164.020'!$F$11</f>
        <v>FAIL</v>
      </c>
      <c r="M14" s="15">
        <f>+'[1]JFK-164.020'!$H$12</f>
        <v>3</v>
      </c>
      <c r="N14" s="35" t="s">
        <v>93</v>
      </c>
      <c r="O14" s="15">
        <v>4</v>
      </c>
      <c r="P14" s="35" t="s">
        <v>458</v>
      </c>
      <c r="Q14" s="35"/>
      <c r="R14" s="15"/>
      <c r="S14" s="24"/>
      <c r="T14" s="62" t="str">
        <f>+'[1]JFK-164.020'!$J$4</f>
        <v>Wen Chang</v>
      </c>
      <c r="U14" s="62"/>
      <c r="V14" s="94">
        <f>+'[1]JFK-164.020'!$F$12</f>
        <v>157872084</v>
      </c>
      <c r="W14" s="199">
        <f t="shared" si="0"/>
        <v>0.96343822255491351</v>
      </c>
      <c r="X14" s="15"/>
      <c r="Y14" s="200">
        <f t="shared" si="1"/>
        <v>0.81618328868740986</v>
      </c>
      <c r="Z14" s="11" t="str">
        <f t="shared" si="2"/>
        <v>FAIL</v>
      </c>
      <c r="AA14" s="11"/>
      <c r="AB14" s="15"/>
      <c r="AC14" s="54">
        <f t="shared" si="3"/>
        <v>186355200</v>
      </c>
      <c r="AD14" s="54">
        <f t="shared" si="3"/>
        <v>152100000</v>
      </c>
      <c r="AE14" s="54">
        <f t="shared" si="4"/>
        <v>34255200</v>
      </c>
      <c r="AG14" s="4"/>
      <c r="AH14" s="4"/>
      <c r="AI14" s="225"/>
      <c r="AJ14" s="226"/>
      <c r="AK14" s="227"/>
      <c r="AL14" s="227"/>
      <c r="AM14" s="225"/>
      <c r="AN14" s="226"/>
      <c r="AO14" s="228"/>
    </row>
    <row r="15" spans="2:41" x14ac:dyDescent="0.25">
      <c r="B15" s="224"/>
      <c r="C15" s="39">
        <v>2018</v>
      </c>
      <c r="D15" s="62" t="str">
        <f>+'[1]LGA-924.120'!$F$4</f>
        <v>LGA-924.120</v>
      </c>
      <c r="E15" s="63" t="str">
        <f>+'[1]LGA-924.120'!$F$5</f>
        <v>Runway Instrument Landing &amp; Approach Lighting Pier Repairs</v>
      </c>
      <c r="F15" s="64">
        <f>+'[1]LGA-924.120'!$F$6</f>
        <v>43412</v>
      </c>
      <c r="G15" s="65" t="str">
        <f>+'[1]LGA-924.120'!$G$7</f>
        <v>Public</v>
      </c>
      <c r="H15" s="94">
        <f>+'[1]LGA-924.120'!$F$7</f>
        <v>784000</v>
      </c>
      <c r="I15" s="94">
        <f>+'[1]LGA-924.120'!$F$8</f>
        <v>968530</v>
      </c>
      <c r="J15" s="105"/>
      <c r="K15" s="153">
        <f>+'[1]LGA-924.120'!$G$9</f>
        <v>0.23536989795918367</v>
      </c>
      <c r="L15" s="11" t="str">
        <f>+'[1]LGA-924.120'!$F$11</f>
        <v>FAIL</v>
      </c>
      <c r="M15" s="15">
        <f>+'[1]LGA-924.120'!$H$12</f>
        <v>3</v>
      </c>
      <c r="N15" s="35" t="s">
        <v>93</v>
      </c>
      <c r="O15" s="15">
        <v>4</v>
      </c>
      <c r="P15" s="35" t="s">
        <v>458</v>
      </c>
      <c r="Q15" s="35"/>
      <c r="R15" s="15"/>
      <c r="S15" s="24"/>
      <c r="T15" s="62" t="str">
        <f>+'[1]LGA-924.120'!$J$4</f>
        <v>Joe Lucin</v>
      </c>
      <c r="U15" s="62"/>
      <c r="V15" s="94">
        <f>+'[1]LGA-924.120'!$F$12</f>
        <v>1009710</v>
      </c>
      <c r="W15" s="199">
        <f t="shared" si="0"/>
        <v>0.9592160125184459</v>
      </c>
      <c r="X15" s="15"/>
      <c r="Y15" s="200">
        <f t="shared" si="1"/>
        <v>1.2353698979591836</v>
      </c>
      <c r="Z15" s="11" t="str">
        <f t="shared" si="2"/>
        <v>FAIL</v>
      </c>
      <c r="AA15" s="11"/>
      <c r="AB15" s="15"/>
      <c r="AC15" s="54">
        <f t="shared" si="3"/>
        <v>784000</v>
      </c>
      <c r="AD15" s="54">
        <f t="shared" si="3"/>
        <v>968530</v>
      </c>
      <c r="AE15" s="54">
        <f t="shared" si="4"/>
        <v>-184530</v>
      </c>
      <c r="AG15" s="4"/>
      <c r="AH15" s="4"/>
      <c r="AI15" s="225"/>
      <c r="AJ15" s="226"/>
      <c r="AK15" s="227"/>
      <c r="AL15" s="227"/>
      <c r="AM15" s="225"/>
      <c r="AN15" s="226"/>
      <c r="AO15" s="228"/>
    </row>
    <row r="16" spans="2:41" x14ac:dyDescent="0.25">
      <c r="B16" s="224"/>
      <c r="C16" s="39">
        <v>2018</v>
      </c>
      <c r="D16" s="62" t="str">
        <f>+'[1]PAT-024.200'!$F$4</f>
        <v>PAT-024.200</v>
      </c>
      <c r="E16" s="63" t="str">
        <f>+'[1]PAT-024.200'!$F$5</f>
        <v>Upgrade of Fire Supression System</v>
      </c>
      <c r="F16" s="64">
        <f>+'[1]PAT-024.200'!$F$6</f>
        <v>43412</v>
      </c>
      <c r="G16" s="65" t="str">
        <f>+'[1]PAT-024.200'!$G$7</f>
        <v>Public</v>
      </c>
      <c r="H16" s="94">
        <f>+'[1]PAT-024.200'!$F$7</f>
        <v>9720000</v>
      </c>
      <c r="I16" s="94">
        <f>+'[1]PAT-024.200'!$F$8</f>
        <v>7666000</v>
      </c>
      <c r="J16" s="94"/>
      <c r="K16" s="153">
        <f>+'[1]PAT-024.200'!$G$9</f>
        <v>-0.21131687242798353</v>
      </c>
      <c r="L16" s="11" t="str">
        <f>+'[1]PAT-024.200'!$F$11</f>
        <v>FAIL</v>
      </c>
      <c r="M16" s="15">
        <f>+'[1]PAT-024.200'!$H$12</f>
        <v>4</v>
      </c>
      <c r="N16" s="35" t="s">
        <v>226</v>
      </c>
      <c r="O16" s="15">
        <v>4</v>
      </c>
      <c r="P16" s="35" t="s">
        <v>459</v>
      </c>
      <c r="Q16" s="35"/>
      <c r="R16" s="15"/>
      <c r="S16" s="24"/>
      <c r="T16" s="62" t="str">
        <f>+'[1]PAT-024.200'!$J$4</f>
        <v>Nathan Demaisip</v>
      </c>
      <c r="U16" s="62"/>
      <c r="V16" s="94">
        <f>+'[1]PAT-024.200'!$F$12</f>
        <v>8557038.75</v>
      </c>
      <c r="W16" s="199">
        <f t="shared" si="0"/>
        <v>0.89587066553835581</v>
      </c>
      <c r="X16" s="15"/>
      <c r="Y16" s="200">
        <f t="shared" si="1"/>
        <v>0.78868312757201642</v>
      </c>
      <c r="Z16" s="11" t="str">
        <f t="shared" si="2"/>
        <v>FAIL</v>
      </c>
      <c r="AA16" s="11"/>
      <c r="AB16" s="15"/>
      <c r="AC16" s="54">
        <f t="shared" si="3"/>
        <v>9720000</v>
      </c>
      <c r="AD16" s="54">
        <f t="shared" si="3"/>
        <v>7666000</v>
      </c>
      <c r="AE16" s="54">
        <f t="shared" si="4"/>
        <v>2054000</v>
      </c>
      <c r="AG16" s="4"/>
      <c r="AH16" s="4"/>
      <c r="AI16" s="225"/>
      <c r="AJ16" s="226"/>
      <c r="AK16" s="227"/>
      <c r="AL16" s="227"/>
      <c r="AM16" s="225"/>
      <c r="AN16" s="226"/>
      <c r="AO16" s="228"/>
    </row>
    <row r="17" spans="2:43" x14ac:dyDescent="0.25">
      <c r="B17" s="224"/>
      <c r="C17" s="39">
        <v>2018</v>
      </c>
      <c r="D17" s="62" t="str">
        <f>+'[1]AK-196 Void'!$F$4</f>
        <v>AK-196</v>
      </c>
      <c r="E17" s="63" t="str">
        <f>+'[1]AK-196 Void'!$F$5</f>
        <v>SI Bridges - Maintenance Pavement Repairs via Work Order</v>
      </c>
      <c r="F17" s="64">
        <f>+'[1]AK-196 Void'!$F$6</f>
        <v>43411</v>
      </c>
      <c r="G17" s="65"/>
      <c r="H17" s="94"/>
      <c r="I17" s="94"/>
      <c r="J17" s="27"/>
      <c r="K17" s="26"/>
      <c r="L17" s="11"/>
      <c r="M17" s="257"/>
      <c r="N17" s="35"/>
      <c r="O17" s="15"/>
      <c r="P17" s="35"/>
      <c r="Q17" s="35"/>
      <c r="R17" s="15"/>
      <c r="S17" s="24" t="s">
        <v>227</v>
      </c>
      <c r="T17" s="62"/>
      <c r="U17" s="62"/>
      <c r="V17" s="94"/>
      <c r="W17" s="199"/>
      <c r="X17" s="15"/>
      <c r="Y17" s="200"/>
      <c r="Z17" s="11"/>
      <c r="AA17" s="11"/>
      <c r="AB17" s="15"/>
      <c r="AC17" s="54"/>
      <c r="AD17" s="54"/>
      <c r="AE17" s="54"/>
      <c r="AH17" s="4"/>
      <c r="AI17" s="225"/>
      <c r="AJ17" s="226"/>
      <c r="AK17" s="227"/>
      <c r="AL17" s="227"/>
      <c r="AM17" s="225"/>
      <c r="AN17" s="226"/>
      <c r="AO17" s="228"/>
    </row>
    <row r="18" spans="2:43" x14ac:dyDescent="0.25">
      <c r="B18" s="224"/>
      <c r="C18" s="39">
        <v>2018</v>
      </c>
      <c r="D18" s="62" t="str">
        <f>+'[1]HT-224.125'!$F$4</f>
        <v>HT-224.125</v>
      </c>
      <c r="E18" s="63" t="str">
        <f>+'[1]HT-224.125'!$F$5</f>
        <v>NY Emergency Garage Bldg - Parapet Repairs and Roof Replacement</v>
      </c>
      <c r="F18" s="64">
        <f>+'[1]HT-224.125'!$F$6</f>
        <v>43410</v>
      </c>
      <c r="G18" s="65" t="str">
        <f>+'[1]HT-224.125'!$G$7</f>
        <v>SBE</v>
      </c>
      <c r="H18" s="94">
        <f>+'[1]HT-224.125'!$F$7</f>
        <v>2215000</v>
      </c>
      <c r="I18" s="94">
        <f>+'[1]HT-224.125'!$F$8</f>
        <v>1984098</v>
      </c>
      <c r="J18" s="105" t="s">
        <v>519</v>
      </c>
      <c r="K18" s="153">
        <f>+'[1]HT-224.125'!$G$9</f>
        <v>-0.10424469525959368</v>
      </c>
      <c r="L18" s="11" t="str">
        <f>+'[1]HT-224.125'!$F$11</f>
        <v>GOOD</v>
      </c>
      <c r="M18" s="15">
        <f>+'[1]HT-224.125'!$H$12</f>
        <v>4</v>
      </c>
      <c r="N18" s="35" t="s">
        <v>93</v>
      </c>
      <c r="O18" s="15">
        <v>4</v>
      </c>
      <c r="P18" s="35" t="s">
        <v>457</v>
      </c>
      <c r="Q18" s="35"/>
      <c r="R18" s="15"/>
      <c r="S18" s="24"/>
      <c r="T18" s="62" t="str">
        <f>+'[1]HT-224.125'!$J$4</f>
        <v>Aye Thann</v>
      </c>
      <c r="U18" s="62"/>
      <c r="V18" s="94">
        <f>+'[1]HT-224.125'!$F$12</f>
        <v>2858292.5</v>
      </c>
      <c r="W18" s="199">
        <f t="shared" ref="W18:W20" si="5">+I18/V18</f>
        <v>0.69415498938614573</v>
      </c>
      <c r="X18" s="15"/>
      <c r="Y18" s="200">
        <f t="shared" ref="Y18:Y20" si="6">+I18/H18</f>
        <v>0.89575530474040632</v>
      </c>
      <c r="Z18" s="11" t="str">
        <f t="shared" ref="Z18:Z20" si="7">(IF(Y18&lt;$Y$3,"FAIL",IF(Y18&gt;$Y$4,"FAIL","GOOD")))</f>
        <v>FAIL</v>
      </c>
      <c r="AA18" s="11"/>
      <c r="AB18" s="15"/>
      <c r="AC18" s="54">
        <f t="shared" ref="AC18:AD20" si="8">+H18</f>
        <v>2215000</v>
      </c>
      <c r="AD18" s="54">
        <f t="shared" si="8"/>
        <v>1984098</v>
      </c>
      <c r="AE18" s="54">
        <f t="shared" ref="AE18:AE20" si="9">+AC18-AD18</f>
        <v>230902</v>
      </c>
      <c r="AG18" s="4"/>
      <c r="AH18" s="4"/>
      <c r="AI18" s="225"/>
      <c r="AJ18" s="226"/>
      <c r="AK18" s="227"/>
      <c r="AL18" s="227"/>
      <c r="AM18" s="225"/>
      <c r="AN18" s="226"/>
      <c r="AO18" s="228"/>
    </row>
    <row r="19" spans="2:43" x14ac:dyDescent="0.25">
      <c r="B19" s="224"/>
      <c r="C19" s="39">
        <v>2018</v>
      </c>
      <c r="D19" s="62" t="str">
        <f>+'[1]PAT-774.174'!$F$4</f>
        <v>PAT-774.174</v>
      </c>
      <c r="E19" s="63" t="str">
        <f>+'[1]PAT-774.174'!$F$5</f>
        <v>Grove Street Headhouse Permanent Flood Protection</v>
      </c>
      <c r="F19" s="64">
        <f>+'[1]PAT-774.174'!$F$6</f>
        <v>43405</v>
      </c>
      <c r="G19" s="65" t="str">
        <f>+'[1]PAT-774.174'!$G$7</f>
        <v>Public</v>
      </c>
      <c r="H19" s="94">
        <f>+'[1]PAT-774.174'!$F$7</f>
        <v>9650000</v>
      </c>
      <c r="I19" s="94">
        <f>+'[1]PAT-774.174'!$F$8</f>
        <v>9200000</v>
      </c>
      <c r="J19" s="94" t="s">
        <v>519</v>
      </c>
      <c r="K19" s="153">
        <f>+'[1]PAT-774.174'!$G$9</f>
        <v>-4.6632124352331605E-2</v>
      </c>
      <c r="L19" s="11" t="str">
        <f>+'[1]PAT-774.174'!$F$11</f>
        <v>GOOD</v>
      </c>
      <c r="M19" s="15">
        <f>+'[1]PAT-774.174'!$H$12</f>
        <v>1</v>
      </c>
      <c r="N19" s="35" t="s">
        <v>25</v>
      </c>
      <c r="O19" s="15">
        <v>4</v>
      </c>
      <c r="P19" s="35" t="s">
        <v>459</v>
      </c>
      <c r="Q19" s="35"/>
      <c r="R19" s="15"/>
      <c r="S19" s="24" t="s">
        <v>1323</v>
      </c>
      <c r="T19" s="62" t="str">
        <f>+'[1]PAT-774.174'!$J$4</f>
        <v>Nathan Demaisip</v>
      </c>
      <c r="U19" s="62"/>
      <c r="V19" s="94">
        <f>+'[1]PAT-774.174'!$F$12</f>
        <v>9200000</v>
      </c>
      <c r="W19" s="199">
        <f t="shared" si="5"/>
        <v>1</v>
      </c>
      <c r="X19" s="15"/>
      <c r="Y19" s="200">
        <f t="shared" si="6"/>
        <v>0.95336787564766834</v>
      </c>
      <c r="Z19" s="11" t="str">
        <f t="shared" si="7"/>
        <v>FAIL</v>
      </c>
      <c r="AA19" s="11"/>
      <c r="AB19" s="15"/>
      <c r="AC19" s="54">
        <f t="shared" si="8"/>
        <v>9650000</v>
      </c>
      <c r="AD19" s="54">
        <f t="shared" si="8"/>
        <v>9200000</v>
      </c>
      <c r="AE19" s="54">
        <f t="shared" si="9"/>
        <v>450000</v>
      </c>
      <c r="AG19" s="4"/>
      <c r="AH19" s="4"/>
      <c r="AI19" s="225"/>
      <c r="AJ19" s="226"/>
      <c r="AK19" s="227"/>
      <c r="AL19" s="227"/>
      <c r="AM19" s="225"/>
      <c r="AN19" s="226"/>
      <c r="AO19" s="228"/>
    </row>
    <row r="20" spans="2:43" x14ac:dyDescent="0.25">
      <c r="B20" s="224"/>
      <c r="C20" s="39">
        <v>2018</v>
      </c>
      <c r="D20" s="62" t="str">
        <f>+'[1]PAT-784.175'!$F$4</f>
        <v>PAT-784.175</v>
      </c>
      <c r="E20" s="63" t="str">
        <f>+'[1]PAT-784.175'!$F$5</f>
        <v>Extend C-Yard Rail Bridge over Waldo Tunnel Portal</v>
      </c>
      <c r="F20" s="64">
        <f>+'[1]PAT-784.175'!$F$6</f>
        <v>43404</v>
      </c>
      <c r="G20" s="65" t="str">
        <f>+'[1]PAT-784.175'!$G$7</f>
        <v>Public</v>
      </c>
      <c r="H20" s="94">
        <f>+'[1]PAT-784.175'!$F$7</f>
        <v>6500000</v>
      </c>
      <c r="I20" s="94">
        <f>+'[1]PAT-784.175'!$F$8</f>
        <v>4149491</v>
      </c>
      <c r="J20" s="105"/>
      <c r="K20" s="153">
        <f>+'[1]PAT-784.175'!$G$9</f>
        <v>-0.36161676923076924</v>
      </c>
      <c r="L20" s="11" t="str">
        <f>+'[1]PAT-784.175'!$F$11</f>
        <v>FAIL</v>
      </c>
      <c r="M20" s="15">
        <f>+'[1]PAT-784.175'!$H$12</f>
        <v>8</v>
      </c>
      <c r="N20" s="35" t="s">
        <v>25</v>
      </c>
      <c r="O20" s="15">
        <v>4</v>
      </c>
      <c r="P20" s="35" t="s">
        <v>459</v>
      </c>
      <c r="Q20" s="35"/>
      <c r="R20" s="15"/>
      <c r="S20" s="24" t="s">
        <v>932</v>
      </c>
      <c r="T20" s="62" t="str">
        <f>+'[1]PAT-784.175'!$J$4</f>
        <v>Nathan Demaisip</v>
      </c>
      <c r="U20" s="62"/>
      <c r="V20" s="94">
        <f>+'[1]PAT-784.175'!$F$12</f>
        <v>5708325.25</v>
      </c>
      <c r="W20" s="199">
        <f t="shared" si="5"/>
        <v>0.72691916074684082</v>
      </c>
      <c r="X20" s="15"/>
      <c r="Y20" s="200">
        <f t="shared" si="6"/>
        <v>0.63838323076923076</v>
      </c>
      <c r="Z20" s="11" t="str">
        <f t="shared" si="7"/>
        <v>FAIL</v>
      </c>
      <c r="AA20" s="11"/>
      <c r="AB20" s="15"/>
      <c r="AC20" s="54">
        <f t="shared" si="8"/>
        <v>6500000</v>
      </c>
      <c r="AD20" s="54">
        <f t="shared" si="8"/>
        <v>4149491</v>
      </c>
      <c r="AE20" s="54">
        <f t="shared" si="9"/>
        <v>2350509</v>
      </c>
      <c r="AG20" s="4"/>
      <c r="AH20" s="4"/>
      <c r="AI20" s="225"/>
      <c r="AJ20" s="226"/>
      <c r="AK20" s="227"/>
      <c r="AL20" s="227"/>
      <c r="AM20" s="225"/>
      <c r="AN20" s="226"/>
      <c r="AO20" s="228"/>
    </row>
    <row r="21" spans="2:43" x14ac:dyDescent="0.25">
      <c r="B21" s="224"/>
      <c r="C21" s="39">
        <v>2018</v>
      </c>
      <c r="D21" s="62" t="str">
        <f>+'[1]EWR-154.306 Void'!$F$4</f>
        <v>EWR-154.306</v>
      </c>
      <c r="E21" s="63" t="str">
        <f>+'[1]EWR-154.306 Void'!$F$5</f>
        <v>Rehabilitation of Runway 11-29</v>
      </c>
      <c r="F21" s="64">
        <f>+'[1]EWR-154.306 Void'!$F$6</f>
        <v>43398</v>
      </c>
      <c r="G21" s="65"/>
      <c r="H21" s="94"/>
      <c r="I21" s="94"/>
      <c r="J21" s="27"/>
      <c r="K21" s="26"/>
      <c r="L21" s="11"/>
      <c r="M21" s="257"/>
      <c r="N21" s="35"/>
      <c r="O21" s="15"/>
      <c r="P21" s="35"/>
      <c r="Q21" s="35"/>
      <c r="R21" s="15"/>
      <c r="S21" s="24" t="s">
        <v>227</v>
      </c>
      <c r="T21" s="62"/>
      <c r="U21" s="62"/>
      <c r="V21" s="94"/>
      <c r="W21" s="199"/>
      <c r="X21" s="15"/>
      <c r="Y21" s="200"/>
      <c r="Z21" s="11"/>
      <c r="AA21" s="11"/>
      <c r="AB21" s="15"/>
      <c r="AC21" s="54"/>
      <c r="AD21" s="54"/>
      <c r="AE21" s="54"/>
      <c r="AM21" s="225"/>
      <c r="AN21" s="226"/>
      <c r="AO21" s="228"/>
    </row>
    <row r="22" spans="2:43" x14ac:dyDescent="0.25">
      <c r="B22" s="224"/>
      <c r="C22" s="39">
        <v>2018</v>
      </c>
      <c r="D22" s="62" t="str">
        <f>+'[1]PAT-630'!$F$4</f>
        <v>PAT-630</v>
      </c>
      <c r="E22" s="63" t="str">
        <f>+'[1]PAT-630'!$F$5</f>
        <v>South Street Compressor Upgrade</v>
      </c>
      <c r="F22" s="64">
        <f>+'[1]PAT-630'!$F$6</f>
        <v>43397</v>
      </c>
      <c r="G22" s="65" t="str">
        <f>+'[1]PAT-630'!$G$7</f>
        <v>Public</v>
      </c>
      <c r="H22" s="94">
        <f>+'[1]PAT-630'!$F$7</f>
        <v>2971000</v>
      </c>
      <c r="I22" s="94">
        <f>+'[1]PAT-630'!$F$8</f>
        <v>2384000</v>
      </c>
      <c r="J22" s="105" t="s">
        <v>519</v>
      </c>
      <c r="K22" s="153">
        <f>+'[1]PAT-630'!$G$9</f>
        <v>-0.1975765735442612</v>
      </c>
      <c r="L22" s="11" t="str">
        <f>+'[1]PAT-630'!$F$11</f>
        <v>GOOD</v>
      </c>
      <c r="M22" s="15">
        <f>+'[1]PAT-630'!$H$12</f>
        <v>2</v>
      </c>
      <c r="N22" s="35" t="s">
        <v>25</v>
      </c>
      <c r="O22" s="15">
        <v>4</v>
      </c>
      <c r="P22" s="35" t="s">
        <v>459</v>
      </c>
      <c r="Q22" s="35"/>
      <c r="R22" s="15"/>
      <c r="S22" s="24"/>
      <c r="T22" s="62" t="str">
        <f>+'[1]PAT-630'!$J$4</f>
        <v>Nathan Demaisip</v>
      </c>
      <c r="U22" s="62"/>
      <c r="V22" s="94">
        <f>+'[1]PAT-630'!$F$12</f>
        <v>3291500</v>
      </c>
      <c r="W22" s="199">
        <f t="shared" ref="W22:W26" si="10">+I22/V22</f>
        <v>0.72428983746012454</v>
      </c>
      <c r="X22" s="15"/>
      <c r="Y22" s="200">
        <f t="shared" ref="Y22:Y26" si="11">+I22/H22</f>
        <v>0.80242342645573883</v>
      </c>
      <c r="Z22" s="11" t="str">
        <f t="shared" ref="Z22:Z26" si="12">(IF(Y22&lt;$Y$3,"FAIL",IF(Y22&gt;$Y$4,"FAIL","GOOD")))</f>
        <v>FAIL</v>
      </c>
      <c r="AA22" s="11"/>
      <c r="AB22" s="15"/>
      <c r="AC22" s="54">
        <f t="shared" ref="AC22:AD26" si="13">+H22</f>
        <v>2971000</v>
      </c>
      <c r="AD22" s="54">
        <f t="shared" si="13"/>
        <v>2384000</v>
      </c>
      <c r="AE22" s="54">
        <f t="shared" ref="AE22:AE26" si="14">+AC22-AD22</f>
        <v>587000</v>
      </c>
      <c r="AG22" s="4"/>
      <c r="AH22" s="4"/>
      <c r="AI22" s="225"/>
      <c r="AJ22" s="226"/>
      <c r="AK22" s="227"/>
      <c r="AL22" s="227"/>
      <c r="AM22" s="225"/>
      <c r="AN22" s="226"/>
      <c r="AO22" s="228"/>
    </row>
    <row r="23" spans="2:43" x14ac:dyDescent="0.25">
      <c r="B23" s="224"/>
      <c r="C23" s="39">
        <v>2018</v>
      </c>
      <c r="D23" s="62" t="str">
        <f>+'[1]BT-254.153'!$F$4</f>
        <v>BT-254.153</v>
      </c>
      <c r="E23" s="63" t="str">
        <f>+'[1]BT-254.153'!$F$5</f>
        <v>Partial South Wing 3rd Flr Wearing Course and Waterproof Membrane</v>
      </c>
      <c r="F23" s="64">
        <f>+'[1]BT-254.153'!$F$6</f>
        <v>43391</v>
      </c>
      <c r="G23" s="65" t="str">
        <f>+'[1]BT-254.153'!$G$7</f>
        <v>Public</v>
      </c>
      <c r="H23" s="94">
        <f>+'[1]BT-254.153'!$F$7</f>
        <v>7950000</v>
      </c>
      <c r="I23" s="94">
        <f>+'[1]BT-254.153'!$F$8</f>
        <v>6875775</v>
      </c>
      <c r="J23" s="94" t="s">
        <v>519</v>
      </c>
      <c r="K23" s="153">
        <f>+'[1]BT-254.153'!$G$9</f>
        <v>-0.13512264150943396</v>
      </c>
      <c r="L23" s="11" t="str">
        <f>+'[1]BT-254.153'!$F$11</f>
        <v>GOOD</v>
      </c>
      <c r="M23" s="15">
        <f>+'[1]BT-254.153'!$H$12</f>
        <v>2</v>
      </c>
      <c r="N23" s="35" t="s">
        <v>93</v>
      </c>
      <c r="O23" s="15">
        <v>4</v>
      </c>
      <c r="P23" s="35" t="s">
        <v>457</v>
      </c>
      <c r="Q23" s="35"/>
      <c r="R23" s="15"/>
      <c r="S23" s="24"/>
      <c r="T23" s="62" t="str">
        <f>+'[1]BT-254.153'!$J$4</f>
        <v>Boris Lenderman</v>
      </c>
      <c r="U23" s="62"/>
      <c r="V23" s="94">
        <f>+'[1]BT-254.153'!$F$12</f>
        <v>7451400</v>
      </c>
      <c r="W23" s="199">
        <f t="shared" si="10"/>
        <v>0.92274941621708673</v>
      </c>
      <c r="X23" s="15"/>
      <c r="Y23" s="200">
        <f t="shared" si="11"/>
        <v>0.86487735849056602</v>
      </c>
      <c r="Z23" s="11" t="str">
        <f t="shared" si="12"/>
        <v>FAIL</v>
      </c>
      <c r="AA23" s="11"/>
      <c r="AB23" s="15"/>
      <c r="AC23" s="54">
        <f t="shared" si="13"/>
        <v>7950000</v>
      </c>
      <c r="AD23" s="54">
        <f t="shared" si="13"/>
        <v>6875775</v>
      </c>
      <c r="AE23" s="54">
        <f t="shared" si="14"/>
        <v>1074225</v>
      </c>
      <c r="AG23" s="4"/>
      <c r="AH23" s="4"/>
      <c r="AI23" s="225"/>
      <c r="AJ23" s="226"/>
      <c r="AK23" s="227"/>
      <c r="AL23" s="227"/>
      <c r="AM23" s="225"/>
      <c r="AN23" s="226"/>
      <c r="AO23" s="228"/>
    </row>
    <row r="24" spans="2:43" x14ac:dyDescent="0.25">
      <c r="B24" s="224"/>
      <c r="C24" s="39">
        <v>2018</v>
      </c>
      <c r="D24" s="62" t="str">
        <f>+'[1]JFK-174.017'!$F$4</f>
        <v>JFK-174.017</v>
      </c>
      <c r="E24" s="63" t="str">
        <f>+'[1]JFK-174.017'!$F$5</f>
        <v>Replacement of 86 Pad Substation</v>
      </c>
      <c r="F24" s="64">
        <f>+'[1]JFK-174.017'!$F$6</f>
        <v>43389</v>
      </c>
      <c r="G24" s="65" t="str">
        <f>+'[1]JFK-174.017'!$G$7</f>
        <v>Public</v>
      </c>
      <c r="H24" s="94">
        <f>+'[1]JFK-174.017'!$F$7</f>
        <v>3800000</v>
      </c>
      <c r="I24" s="94">
        <f>+'[1]JFK-174.017'!$F$8</f>
        <v>3781700</v>
      </c>
      <c r="J24" s="105" t="s">
        <v>519</v>
      </c>
      <c r="K24" s="153">
        <f>+'[1]JFK-174.017'!$G$9</f>
        <v>-4.8157894736842108E-3</v>
      </c>
      <c r="L24" s="11" t="str">
        <f>+'[1]JFK-174.017'!$F$11</f>
        <v>GOOD</v>
      </c>
      <c r="M24" s="15">
        <f>+'[1]JFK-174.017'!$H$12</f>
        <v>8</v>
      </c>
      <c r="N24" s="35" t="s">
        <v>93</v>
      </c>
      <c r="O24" s="15">
        <v>4</v>
      </c>
      <c r="P24" s="35" t="s">
        <v>458</v>
      </c>
      <c r="Q24" s="35"/>
      <c r="R24" s="15"/>
      <c r="S24" s="24"/>
      <c r="T24" s="62" t="str">
        <f>+'[1]JFK-174.017'!$J$4</f>
        <v>Dean Stracuzza</v>
      </c>
      <c r="U24" s="62"/>
      <c r="V24" s="94">
        <f>+'[1]JFK-174.017'!$F$12</f>
        <v>4748686.375</v>
      </c>
      <c r="W24" s="199">
        <f t="shared" si="10"/>
        <v>0.79636760597819012</v>
      </c>
      <c r="X24" s="15"/>
      <c r="Y24" s="200">
        <f t="shared" si="11"/>
        <v>0.99518421052631578</v>
      </c>
      <c r="Z24" s="11" t="str">
        <f t="shared" si="12"/>
        <v>FAIL</v>
      </c>
      <c r="AA24" s="11"/>
      <c r="AB24" s="15"/>
      <c r="AC24" s="54">
        <f t="shared" si="13"/>
        <v>3800000</v>
      </c>
      <c r="AD24" s="54">
        <f t="shared" si="13"/>
        <v>3781700</v>
      </c>
      <c r="AE24" s="54">
        <f t="shared" si="14"/>
        <v>18300</v>
      </c>
      <c r="AG24" s="4"/>
      <c r="AH24" s="4"/>
      <c r="AI24" s="225"/>
      <c r="AJ24" s="226"/>
      <c r="AK24" s="227"/>
      <c r="AL24" s="227"/>
      <c r="AM24" s="225"/>
      <c r="AN24" s="226"/>
      <c r="AO24" s="228"/>
    </row>
    <row r="25" spans="2:43" x14ac:dyDescent="0.25">
      <c r="B25" s="224"/>
      <c r="C25" s="39">
        <v>2018</v>
      </c>
      <c r="D25" s="62" t="str">
        <f>+'[1]HT-924.152 Void'!$F$4</f>
        <v>HT-924.152</v>
      </c>
      <c r="E25" s="63" t="str">
        <f>+'[1]HT-924.152 Void'!$F$5</f>
        <v>Maintenance Pavement Repairs via Work Order</v>
      </c>
      <c r="F25" s="64">
        <f>+'[1]HT-924.152 Void'!$F$6</f>
        <v>43383</v>
      </c>
      <c r="G25" s="65"/>
      <c r="H25" s="94"/>
      <c r="I25" s="94"/>
      <c r="J25" s="27"/>
      <c r="K25" s="26"/>
      <c r="L25" s="11"/>
      <c r="M25" s="257"/>
      <c r="N25" s="35"/>
      <c r="O25" s="15"/>
      <c r="P25" s="35"/>
      <c r="Q25" s="35"/>
      <c r="R25" s="15"/>
      <c r="S25" s="24" t="s">
        <v>227</v>
      </c>
      <c r="T25" s="62"/>
      <c r="U25" s="62"/>
      <c r="V25" s="94"/>
      <c r="W25" s="199"/>
      <c r="X25" s="15"/>
      <c r="Y25" s="200"/>
      <c r="Z25" s="11"/>
      <c r="AA25" s="11"/>
      <c r="AB25" s="15"/>
      <c r="AC25" s="54"/>
      <c r="AD25" s="54"/>
      <c r="AE25" s="54"/>
      <c r="AH25" s="4"/>
      <c r="AI25" s="225"/>
      <c r="AJ25" s="226"/>
      <c r="AK25" s="227"/>
      <c r="AL25" s="227"/>
      <c r="AM25" s="225"/>
      <c r="AN25" s="226"/>
      <c r="AO25" s="228"/>
    </row>
    <row r="26" spans="2:43" x14ac:dyDescent="0.25">
      <c r="B26" s="224"/>
      <c r="C26" s="39">
        <v>2018</v>
      </c>
      <c r="D26" s="62" t="str">
        <f>+'[1]GWB-924.168'!$F$4</f>
        <v>GWB-924.168</v>
      </c>
      <c r="E26" s="63" t="str">
        <f>+'[1]GWB-924.168'!$F$5</f>
        <v>Rock Slope Priority Repairs</v>
      </c>
      <c r="F26" s="64">
        <f>+'[1]GWB-924.168'!$F$6</f>
        <v>43382</v>
      </c>
      <c r="G26" s="65" t="str">
        <f>+'[1]GWB-924.168'!$G$7</f>
        <v>Public</v>
      </c>
      <c r="H26" s="94">
        <f>+'[1]GWB-924.168'!$F$7</f>
        <v>1130000</v>
      </c>
      <c r="I26" s="94">
        <f>+'[1]GWB-924.168'!$F$8</f>
        <v>1383700</v>
      </c>
      <c r="J26" s="105"/>
      <c r="K26" s="153">
        <f>+'[1]GWB-924.168'!$G$9</f>
        <v>0.22451327433628318</v>
      </c>
      <c r="L26" s="11" t="str">
        <f>+'[1]GWB-924.168'!$F$11</f>
        <v>FAIL</v>
      </c>
      <c r="M26" s="15">
        <f>+'[1]GWB-924.168'!$H$12</f>
        <v>4</v>
      </c>
      <c r="N26" s="35" t="s">
        <v>25</v>
      </c>
      <c r="O26" s="15">
        <v>4</v>
      </c>
      <c r="P26" s="35" t="s">
        <v>457</v>
      </c>
      <c r="Q26" s="35"/>
      <c r="R26" s="15"/>
      <c r="S26" s="24"/>
      <c r="T26" s="62" t="str">
        <f>+'[1]GWB-924.168'!$J$4</f>
        <v>Joe Lucin</v>
      </c>
      <c r="U26" s="62"/>
      <c r="V26" s="94">
        <f>+'[1]GWB-924.168'!$F$12</f>
        <v>1772637.5</v>
      </c>
      <c r="W26" s="199">
        <f t="shared" si="10"/>
        <v>0.78058824773818669</v>
      </c>
      <c r="X26" s="15"/>
      <c r="Y26" s="200">
        <f t="shared" si="11"/>
        <v>1.2245132743362832</v>
      </c>
      <c r="Z26" s="11" t="str">
        <f t="shared" si="12"/>
        <v>FAIL</v>
      </c>
      <c r="AA26" s="11"/>
      <c r="AB26" s="15"/>
      <c r="AC26" s="54">
        <f t="shared" si="13"/>
        <v>1130000</v>
      </c>
      <c r="AD26" s="54">
        <f t="shared" si="13"/>
        <v>1383700</v>
      </c>
      <c r="AE26" s="54">
        <f t="shared" si="14"/>
        <v>-253700</v>
      </c>
      <c r="AG26" s="4"/>
      <c r="AH26" s="4"/>
      <c r="AI26" s="225"/>
      <c r="AJ26" s="226"/>
      <c r="AK26" s="227"/>
      <c r="AL26" s="227"/>
      <c r="AM26" s="225"/>
      <c r="AN26" s="226"/>
      <c r="AO26" s="228"/>
    </row>
    <row r="27" spans="2:43" x14ac:dyDescent="0.25">
      <c r="B27" s="224"/>
      <c r="C27" s="39">
        <v>2018</v>
      </c>
      <c r="D27" s="62" t="str">
        <f>+'[1]HT-924.110'!$F$4</f>
        <v>HT-924.110</v>
      </c>
      <c r="E27" s="63" t="str">
        <f>+'[1]HT-924.110'!$F$5</f>
        <v>NJ Admin Bldg Second Means of Egress</v>
      </c>
      <c r="F27" s="64">
        <f>+'[1]HT-924.110'!$F$6</f>
        <v>43382</v>
      </c>
      <c r="G27" s="65"/>
      <c r="H27" s="94"/>
      <c r="I27" s="94"/>
      <c r="J27" s="94"/>
      <c r="K27" s="153"/>
      <c r="L27" s="11"/>
      <c r="M27" s="257"/>
      <c r="N27" s="35"/>
      <c r="O27" s="15"/>
      <c r="P27" s="35"/>
      <c r="Q27" s="35"/>
      <c r="R27" s="15"/>
      <c r="S27" s="24" t="s">
        <v>227</v>
      </c>
      <c r="T27" s="62"/>
      <c r="U27" s="62"/>
      <c r="V27" s="94"/>
      <c r="W27" s="199"/>
      <c r="X27" s="15"/>
      <c r="Y27" s="200"/>
      <c r="Z27" s="11"/>
      <c r="AA27" s="11"/>
      <c r="AB27" s="15"/>
      <c r="AC27" s="54"/>
      <c r="AD27" s="54"/>
      <c r="AE27" s="54"/>
      <c r="AG27" s="4"/>
      <c r="AH27" s="4"/>
      <c r="AI27" s="225"/>
      <c r="AJ27" s="226"/>
      <c r="AK27" s="227"/>
      <c r="AL27" s="227"/>
      <c r="AM27" s="225"/>
      <c r="AN27" s="226"/>
      <c r="AO27" s="228"/>
    </row>
    <row r="28" spans="2:43" x14ac:dyDescent="0.25">
      <c r="B28" s="203">
        <f>(COUNTIF(L7:L28,"G*")/COUNTA(L7:L28))</f>
        <v>0.5</v>
      </c>
      <c r="C28" s="39">
        <v>2018</v>
      </c>
      <c r="D28" s="62" t="str">
        <f>+'[1]PAT-784.169'!$F$4</f>
        <v>PAT-784.169</v>
      </c>
      <c r="E28" s="63" t="str">
        <f>+'[1]PAT-784.169'!$F$5</f>
        <v>Exchange Place and Newport Head House Flood Protection</v>
      </c>
      <c r="F28" s="64">
        <f>+'[1]PAT-784.169'!$F$6</f>
        <v>43376</v>
      </c>
      <c r="G28" s="65" t="str">
        <f>+'[1]PAT-784.169'!$G$7</f>
        <v>Public</v>
      </c>
      <c r="H28" s="94">
        <f>+'[1]PAT-784.169'!$F$7</f>
        <v>21700000</v>
      </c>
      <c r="I28" s="94">
        <f>+'[1]PAT-784.169'!$F$8</f>
        <v>15765000</v>
      </c>
      <c r="J28" s="94" t="s">
        <v>519</v>
      </c>
      <c r="K28" s="153">
        <f>+'[1]PAT-784.169'!$G$9</f>
        <v>-0.27350230414746546</v>
      </c>
      <c r="L28" s="11" t="str">
        <f>+'[1]PAT-784.169'!$F$11</f>
        <v>GOOD</v>
      </c>
      <c r="M28" s="15">
        <f>+'[1]PAT-784.169'!$H$12</f>
        <v>5</v>
      </c>
      <c r="N28" s="35" t="s">
        <v>25</v>
      </c>
      <c r="O28" s="15">
        <v>4</v>
      </c>
      <c r="P28" s="35" t="s">
        <v>459</v>
      </c>
      <c r="Q28" s="35"/>
      <c r="R28" s="15"/>
      <c r="S28" s="24"/>
      <c r="T28" s="62" t="str">
        <f>+'[1]PAT-784.169'!$J$4</f>
        <v>Nathan Demaisip</v>
      </c>
      <c r="U28" s="62"/>
      <c r="V28" s="94">
        <f>+'[1]PAT-784.169'!$F$12</f>
        <v>26085716</v>
      </c>
      <c r="W28" s="199">
        <f t="shared" ref="W28" si="15">+I28/V28</f>
        <v>0.60435373903480361</v>
      </c>
      <c r="X28" s="15"/>
      <c r="Y28" s="200">
        <f t="shared" ref="Y28" si="16">+I28/H28</f>
        <v>0.72649769585253454</v>
      </c>
      <c r="Z28" s="11" t="str">
        <f t="shared" ref="Z28" si="17">(IF(Y28&lt;$Y$3,"FAIL",IF(Y28&gt;$Y$4,"FAIL","GOOD")))</f>
        <v>FAIL</v>
      </c>
      <c r="AA28" s="11"/>
      <c r="AB28" s="15"/>
      <c r="AC28" s="54">
        <f t="shared" ref="AC28:AD28" si="18">+H28</f>
        <v>21700000</v>
      </c>
      <c r="AD28" s="54">
        <f t="shared" si="18"/>
        <v>15765000</v>
      </c>
      <c r="AE28" s="54">
        <f t="shared" ref="AE28" si="19">+AC28-AD28</f>
        <v>5935000</v>
      </c>
      <c r="AG28" s="4">
        <f>SUM(H7:H28)</f>
        <v>405750200</v>
      </c>
      <c r="AH28" s="4">
        <f>SUM(I7:I28)</f>
        <v>351743588</v>
      </c>
      <c r="AI28" s="204">
        <f>+AH28/AG28</f>
        <v>0.86689689370455025</v>
      </c>
      <c r="AJ28" s="1" t="s">
        <v>1240</v>
      </c>
      <c r="AK28" s="205">
        <f>+AG28+AG43+AG55+AG72</f>
        <v>1162894350</v>
      </c>
      <c r="AL28" s="205">
        <f>+AH28+AH43+AH55+AH72</f>
        <v>925393062</v>
      </c>
      <c r="AM28" s="206">
        <f>+AL28/AK28</f>
        <v>0.795767097845131</v>
      </c>
      <c r="AN28" s="207" t="s">
        <v>1241</v>
      </c>
      <c r="AO28" s="208"/>
      <c r="AQ28" s="203">
        <f>(COUNTIF(L7:L72,"G*")/COUNTA(L7:L72))</f>
        <v>0.5892857142857143</v>
      </c>
    </row>
    <row r="29" spans="2:43" ht="7.5" customHeight="1" x14ac:dyDescent="0.25">
      <c r="C29" s="39"/>
      <c r="G29" s="45"/>
      <c r="M29" s="52"/>
      <c r="P29" s="11"/>
      <c r="S29" s="15"/>
      <c r="V29" s="54"/>
      <c r="W29" s="54"/>
      <c r="X29" s="54"/>
    </row>
    <row r="30" spans="2:43" x14ac:dyDescent="0.25">
      <c r="C30" s="39">
        <v>2018</v>
      </c>
      <c r="D30" s="62" t="str">
        <f>+'[1]GWB-244.204A'!$F$4</f>
        <v>GWB-244.204A</v>
      </c>
      <c r="E30" s="63" t="str">
        <f>+'[1]GWB-244.204A'!$F$5</f>
        <v>Rehab Center and Lemoine Avenue Bridges</v>
      </c>
      <c r="F30" s="64">
        <f>+'[1]GWB-244.204A'!$F$6</f>
        <v>43368</v>
      </c>
      <c r="G30" s="65" t="str">
        <f>+'[1]GWB-244.204A'!$G$7</f>
        <v>Public</v>
      </c>
      <c r="H30" s="94">
        <f>+'[1]GWB-244.204A'!$F$7</f>
        <v>64356250</v>
      </c>
      <c r="I30" s="94">
        <f>+'[1]GWB-244.204A'!$F$8</f>
        <v>51485000</v>
      </c>
      <c r="J30" s="27" t="s">
        <v>519</v>
      </c>
      <c r="K30" s="26">
        <f>+'[1]GWB-244.204A'!$G$9</f>
        <v>-0.2</v>
      </c>
      <c r="L30" s="11" t="str">
        <f>+'[1]GWB-244.204A'!$F$11</f>
        <v>GOOD</v>
      </c>
      <c r="M30" s="15">
        <f>+'[1]GWB-244.204A'!$H$12</f>
        <v>8</v>
      </c>
      <c r="N30" s="35" t="s">
        <v>25</v>
      </c>
      <c r="O30" s="15">
        <v>3</v>
      </c>
      <c r="P30" s="35" t="s">
        <v>457</v>
      </c>
      <c r="Q30" s="35"/>
      <c r="R30" s="15"/>
      <c r="S30" s="24"/>
      <c r="T30" s="62" t="str">
        <f>+'[1]GWB-244.204A'!$J$4</f>
        <v>Boris Lenderman</v>
      </c>
      <c r="U30" s="62"/>
      <c r="V30" s="94">
        <f>+'[1]GWB-244.204A'!$F$12</f>
        <v>75310398.875</v>
      </c>
      <c r="W30" s="199">
        <f t="shared" ref="W30:W43" si="20">+I30/V30</f>
        <v>0.68363732989191395</v>
      </c>
      <c r="X30" s="15"/>
      <c r="Y30" s="200">
        <f t="shared" ref="Y30:Y43" si="21">+I30/H30</f>
        <v>0.8</v>
      </c>
      <c r="Z30" s="11" t="str">
        <f t="shared" ref="Z30:Z43" si="22">(IF(Y30&lt;$Y$3,"FAIL",IF(Y30&gt;$Y$4,"FAIL","GOOD")))</f>
        <v>FAIL</v>
      </c>
      <c r="AA30" s="11"/>
      <c r="AB30" s="15"/>
      <c r="AC30" s="54">
        <f t="shared" ref="AC30:AD43" si="23">+H30</f>
        <v>64356250</v>
      </c>
      <c r="AD30" s="54">
        <f t="shared" si="23"/>
        <v>51485000</v>
      </c>
      <c r="AE30" s="54">
        <f t="shared" ref="AE30:AE43" si="24">+AC30-AD30</f>
        <v>12871250</v>
      </c>
    </row>
    <row r="31" spans="2:43" x14ac:dyDescent="0.25">
      <c r="C31" s="39">
        <v>2018</v>
      </c>
      <c r="D31" s="62" t="str">
        <f>+'[1]EWR-154.348'!$F$4</f>
        <v>EWR-154.348</v>
      </c>
      <c r="E31" s="63" t="str">
        <f>+'[1]EWR-154.348'!$F$5</f>
        <v>Airtrain Station P4 Elev Shaft Glass Replacement</v>
      </c>
      <c r="F31" s="64">
        <f>+'[1]EWR-154.348'!$F$6</f>
        <v>43368</v>
      </c>
      <c r="G31" s="65" t="str">
        <f>+'[1]EWR-154.348'!$G$7</f>
        <v>SBE</v>
      </c>
      <c r="H31" s="94">
        <f>+'[1]EWR-154.348'!$F$7</f>
        <v>760000</v>
      </c>
      <c r="I31" s="94">
        <f>+'[1]EWR-154.348'!$F$8</f>
        <v>994150</v>
      </c>
      <c r="J31" s="105"/>
      <c r="K31" s="26">
        <f>+'[1]EWR-154.348'!$G$9</f>
        <v>0.30809210526315789</v>
      </c>
      <c r="L31" s="11" t="str">
        <f>+'[1]EWR-154.348'!$F$11</f>
        <v>FAIL</v>
      </c>
      <c r="M31" s="15">
        <f>+'[1]EWR-154.348'!$H$12</f>
        <v>3</v>
      </c>
      <c r="N31" s="35" t="s">
        <v>25</v>
      </c>
      <c r="O31" s="15">
        <v>3</v>
      </c>
      <c r="P31" s="35" t="s">
        <v>458</v>
      </c>
      <c r="Q31" s="35"/>
      <c r="R31" s="15"/>
      <c r="S31" s="24"/>
      <c r="T31" s="62" t="str">
        <f>+'[1]EWR-154.348'!$J$4</f>
        <v>Joe Lucin</v>
      </c>
      <c r="U31" s="62"/>
      <c r="V31" s="94">
        <f>+'[1]PAT-024.203'!$F$12</f>
        <v>2705657.5</v>
      </c>
      <c r="W31" s="199">
        <f t="shared" si="20"/>
        <v>0.36743379381906244</v>
      </c>
      <c r="X31" s="15"/>
      <c r="Y31" s="200">
        <f t="shared" si="21"/>
        <v>1.308092105263158</v>
      </c>
      <c r="Z31" s="11" t="str">
        <f t="shared" si="22"/>
        <v>FAIL</v>
      </c>
      <c r="AA31" s="11"/>
      <c r="AB31" s="15"/>
      <c r="AC31" s="54">
        <f t="shared" si="23"/>
        <v>760000</v>
      </c>
      <c r="AD31" s="54">
        <f t="shared" si="23"/>
        <v>994150</v>
      </c>
      <c r="AE31" s="54">
        <f t="shared" si="24"/>
        <v>-234150</v>
      </c>
    </row>
    <row r="32" spans="2:43" x14ac:dyDescent="0.25">
      <c r="C32" s="39">
        <v>2018</v>
      </c>
      <c r="D32" s="62" t="str">
        <f>+'[1]PAT-024.203'!$F$4</f>
        <v>PAT-024.203</v>
      </c>
      <c r="E32" s="63" t="str">
        <f>+'[1]PAT-024.203'!$F$5</f>
        <v>Redundant Fluid Cooler at PATH Train Control Center</v>
      </c>
      <c r="F32" s="64">
        <f>+'[1]PAT-024.203'!$F$6</f>
        <v>43363</v>
      </c>
      <c r="G32" s="65" t="str">
        <f>+'[1]PAT-024.203'!$G$7</f>
        <v>SBE</v>
      </c>
      <c r="H32" s="94">
        <f>+'[1]PAT-024.203'!$F$7</f>
        <v>1700000</v>
      </c>
      <c r="I32" s="94">
        <f>+'[1]PAT-024.203'!$F$8</f>
        <v>1560315</v>
      </c>
      <c r="J32" s="105" t="s">
        <v>519</v>
      </c>
      <c r="K32" s="26">
        <f>+'[1]PAT-024.203'!$G$9</f>
        <v>-8.2167647058823526E-2</v>
      </c>
      <c r="L32" s="11" t="str">
        <f>+'[1]PAT-024.203'!$F$11</f>
        <v>GOOD</v>
      </c>
      <c r="M32" s="15">
        <f>+'[1]PAT-024.203'!$H$12</f>
        <v>2</v>
      </c>
      <c r="N32" s="35" t="s">
        <v>25</v>
      </c>
      <c r="O32" s="15">
        <v>3</v>
      </c>
      <c r="P32" s="35" t="s">
        <v>459</v>
      </c>
      <c r="Q32" s="35"/>
      <c r="R32" s="15"/>
      <c r="S32" s="24"/>
      <c r="T32" s="62" t="str">
        <f>+'[1]PAT-024.203'!$J$4</f>
        <v>Nathan Demaisip</v>
      </c>
      <c r="U32" s="62"/>
      <c r="V32" s="94">
        <f>+'[1]PAT-024.203'!$F$12</f>
        <v>2705657.5</v>
      </c>
      <c r="W32" s="199">
        <f t="shared" si="20"/>
        <v>0.57668607353295831</v>
      </c>
      <c r="X32" s="15"/>
      <c r="Y32" s="200">
        <f t="shared" si="21"/>
        <v>0.91783235294117649</v>
      </c>
      <c r="Z32" s="11" t="str">
        <f t="shared" si="22"/>
        <v>FAIL</v>
      </c>
      <c r="AA32" s="11"/>
      <c r="AB32" s="15"/>
      <c r="AC32" s="54">
        <f t="shared" si="23"/>
        <v>1700000</v>
      </c>
      <c r="AD32" s="54">
        <f t="shared" si="23"/>
        <v>1560315</v>
      </c>
      <c r="AE32" s="54">
        <f t="shared" si="24"/>
        <v>139685</v>
      </c>
    </row>
    <row r="33" spans="2:41" x14ac:dyDescent="0.25">
      <c r="C33" s="39">
        <v>2018</v>
      </c>
      <c r="D33" s="62" t="str">
        <f>+'[1]PAT-784.162'!$F$4</f>
        <v>PAT-784.162</v>
      </c>
      <c r="E33" s="63" t="str">
        <f>+'[1]PAT-784.162'!$F$5</f>
        <v>Hoboken Flood Resiliency</v>
      </c>
      <c r="F33" s="64">
        <f>+'[1]PAT-784.162'!$F$6</f>
        <v>43356</v>
      </c>
      <c r="G33" s="65" t="str">
        <f>+'[1]PAT-784.162'!$G$7</f>
        <v>Public</v>
      </c>
      <c r="H33" s="94">
        <f>+'[1]PAT-784.162'!$F$7</f>
        <v>5960000</v>
      </c>
      <c r="I33" s="94">
        <f>+'[1]PAT-784.162'!$F$8</f>
        <v>6956000</v>
      </c>
      <c r="J33" s="27"/>
      <c r="K33" s="26">
        <f>+'[1]PAT-784.162'!$G$9</f>
        <v>0.16711409395973154</v>
      </c>
      <c r="L33" s="11" t="str">
        <f>+'[1]PAT-784.162'!$F$11</f>
        <v>FAIL</v>
      </c>
      <c r="M33" s="15">
        <f>+'[1]PAT-784.162'!$H$12</f>
        <v>4</v>
      </c>
      <c r="N33" s="35" t="s">
        <v>25</v>
      </c>
      <c r="O33" s="15">
        <v>3</v>
      </c>
      <c r="P33" s="35" t="s">
        <v>459</v>
      </c>
      <c r="Q33" s="35"/>
      <c r="R33" s="15"/>
      <c r="S33" s="24"/>
      <c r="T33" s="62" t="str">
        <f>+'[1]PAT-784.162'!$J$4</f>
        <v>Nathan Demaisip</v>
      </c>
      <c r="U33" s="62"/>
      <c r="V33" s="94">
        <f>+'[1]PAT-784.162'!$F$12</f>
        <v>8933697.75</v>
      </c>
      <c r="W33" s="199">
        <f t="shared" si="20"/>
        <v>0.77862495403988785</v>
      </c>
      <c r="X33" s="15"/>
      <c r="Y33" s="200">
        <f t="shared" si="21"/>
        <v>1.1671140939597315</v>
      </c>
      <c r="Z33" s="11" t="str">
        <f t="shared" si="22"/>
        <v>FAIL</v>
      </c>
      <c r="AA33" s="11"/>
      <c r="AB33" s="15"/>
      <c r="AC33" s="54">
        <f t="shared" si="23"/>
        <v>5960000</v>
      </c>
      <c r="AD33" s="54">
        <f t="shared" si="23"/>
        <v>6956000</v>
      </c>
      <c r="AE33" s="54">
        <f t="shared" si="24"/>
        <v>-996000</v>
      </c>
    </row>
    <row r="34" spans="2:41" x14ac:dyDescent="0.25">
      <c r="C34" s="39">
        <v>2018</v>
      </c>
      <c r="D34" s="62" t="str">
        <f>+'[1]SWF-164.032'!$F$4</f>
        <v>SWF-164.032</v>
      </c>
      <c r="E34" s="63" t="str">
        <f>+'[1]SWF-164.032'!$F$5</f>
        <v>Terminal Expansion - Federal Inspection Services Facility</v>
      </c>
      <c r="F34" s="64">
        <f>+'[1]SWF-164.032'!$F$6</f>
        <v>43350</v>
      </c>
      <c r="G34" s="65" t="str">
        <f>+'[1]SWF-164.032'!$G$7</f>
        <v>Public</v>
      </c>
      <c r="H34" s="94">
        <f>+'[1]SWF-164.032'!$F$7</f>
        <v>17920000</v>
      </c>
      <c r="I34" s="94">
        <f>+'[1]SWF-164.032'!$F$8</f>
        <v>21068000</v>
      </c>
      <c r="J34" s="27"/>
      <c r="K34" s="26">
        <f>+'[1]SWF-164.032'!$G$9</f>
        <v>0.17566964285714284</v>
      </c>
      <c r="L34" s="11" t="str">
        <f>+'[1]SWF-164.032'!$F$11</f>
        <v>FAIL</v>
      </c>
      <c r="M34" s="15">
        <f>+'[1]SWF-164.032'!$H$12</f>
        <v>2</v>
      </c>
      <c r="N34" s="35" t="s">
        <v>93</v>
      </c>
      <c r="O34" s="15">
        <v>3</v>
      </c>
      <c r="P34" s="35" t="s">
        <v>458</v>
      </c>
      <c r="Q34" s="35"/>
      <c r="R34" s="15"/>
      <c r="S34" s="24"/>
      <c r="T34" s="62" t="str">
        <f>+'[1]SWF-164.032'!$J$4</f>
        <v>Andy Victors</v>
      </c>
      <c r="U34" s="62"/>
      <c r="V34" s="94">
        <f>+'[1]SWF-164.032'!$F$12</f>
        <v>22772500</v>
      </c>
      <c r="W34" s="199">
        <f t="shared" si="20"/>
        <v>0.92515094961027555</v>
      </c>
      <c r="X34" s="15"/>
      <c r="Y34" s="200">
        <f t="shared" si="21"/>
        <v>1.1756696428571429</v>
      </c>
      <c r="Z34" s="11" t="str">
        <f t="shared" si="22"/>
        <v>FAIL</v>
      </c>
      <c r="AA34" s="11"/>
      <c r="AB34" s="15"/>
      <c r="AC34" s="54">
        <f t="shared" si="23"/>
        <v>17920000</v>
      </c>
      <c r="AD34" s="54">
        <f t="shared" si="23"/>
        <v>21068000</v>
      </c>
      <c r="AE34" s="54">
        <f t="shared" si="24"/>
        <v>-3148000</v>
      </c>
    </row>
    <row r="35" spans="2:41" x14ac:dyDescent="0.25">
      <c r="C35" s="39">
        <v>2018</v>
      </c>
      <c r="D35" s="62" t="str">
        <f>+'[1]LT-944.096B'!$F$4</f>
        <v>LT-944.096B</v>
      </c>
      <c r="E35" s="63" t="str">
        <f>+'[1]LT-944.096B'!$F$5</f>
        <v>Replacement of Aboveground Storage Tanks</v>
      </c>
      <c r="F35" s="64">
        <f>+'[1]LT-944.096B'!$F$6</f>
        <v>43340</v>
      </c>
      <c r="G35" s="65" t="str">
        <f>+'[1]LT-944.096B'!$G$7</f>
        <v>Public</v>
      </c>
      <c r="H35" s="94">
        <f>+'[1]LT-944.096B'!$F$7</f>
        <v>2500000</v>
      </c>
      <c r="I35" s="94">
        <f>+'[1]LT-944.096B'!$F$8</f>
        <v>2952000</v>
      </c>
      <c r="J35" s="105"/>
      <c r="K35" s="26">
        <f>+'[1]LT-944.096B'!$G$9</f>
        <v>0.18079999999999999</v>
      </c>
      <c r="L35" s="11" t="str">
        <f>+'[1]LT-944.096B'!$F$11</f>
        <v>FAIL</v>
      </c>
      <c r="M35" s="15">
        <f>+'[1]LT-944.096B'!$H$12</f>
        <v>3</v>
      </c>
      <c r="N35" s="35" t="s">
        <v>93</v>
      </c>
      <c r="O35" s="15">
        <v>3</v>
      </c>
      <c r="P35" s="35" t="s">
        <v>457</v>
      </c>
      <c r="Q35" s="35"/>
      <c r="R35" s="15"/>
      <c r="S35" s="24"/>
      <c r="T35" s="62" t="str">
        <f>+'[1]GWB-924.137'!$J$4</f>
        <v>Boris Lenderman</v>
      </c>
      <c r="U35" s="62"/>
      <c r="V35" s="94">
        <f>+'[1]GWB-924.137'!$F$12</f>
        <v>2139150</v>
      </c>
      <c r="W35" s="199">
        <f t="shared" si="20"/>
        <v>1.379987378164224</v>
      </c>
      <c r="X35" s="15"/>
      <c r="Y35" s="200">
        <f t="shared" si="21"/>
        <v>1.1808000000000001</v>
      </c>
      <c r="Z35" s="11" t="str">
        <f t="shared" si="22"/>
        <v>FAIL</v>
      </c>
      <c r="AA35" s="11"/>
      <c r="AB35" s="15"/>
      <c r="AC35" s="54">
        <f t="shared" si="23"/>
        <v>2500000</v>
      </c>
      <c r="AD35" s="54">
        <f t="shared" si="23"/>
        <v>2952000</v>
      </c>
      <c r="AE35" s="54">
        <f t="shared" si="24"/>
        <v>-452000</v>
      </c>
    </row>
    <row r="36" spans="2:41" x14ac:dyDescent="0.25">
      <c r="C36" s="39">
        <v>2018</v>
      </c>
      <c r="D36" s="62" t="str">
        <f>+'[1]GWB-924.137'!$F$4</f>
        <v>GWB-924.137</v>
      </c>
      <c r="E36" s="63" t="str">
        <f>+'[1]GWB-924.137'!$F$5</f>
        <v>NJ Administration Building - Sprinkler System Rehabiliation</v>
      </c>
      <c r="F36" s="64">
        <f>+'[1]GWB-924.137'!$F$6</f>
        <v>43326</v>
      </c>
      <c r="G36" s="65" t="str">
        <f>+'[1]GWB-924.137'!$G$7</f>
        <v>SBE</v>
      </c>
      <c r="H36" s="94">
        <f>+'[1]GWB-924.137'!$F$7</f>
        <v>858000</v>
      </c>
      <c r="I36" s="94">
        <f>+'[1]GWB-924.137'!$F$8</f>
        <v>743300</v>
      </c>
      <c r="J36" s="105" t="s">
        <v>519</v>
      </c>
      <c r="K36" s="26">
        <f>+'[1]GWB-924.137'!$G$9</f>
        <v>-0.13368298368298367</v>
      </c>
      <c r="L36" s="11" t="str">
        <f>+'[1]GWB-924.137'!$F$11</f>
        <v>GOOD</v>
      </c>
      <c r="M36" s="15">
        <f>+'[1]GWB-924.137'!$H$12</f>
        <v>2</v>
      </c>
      <c r="N36" s="35" t="s">
        <v>25</v>
      </c>
      <c r="O36" s="15">
        <v>3</v>
      </c>
      <c r="P36" s="35" t="s">
        <v>457</v>
      </c>
      <c r="Q36" s="35"/>
      <c r="R36" s="15"/>
      <c r="S36" s="24"/>
      <c r="T36" s="62" t="str">
        <f>+'[1]GWB-924.137'!$J$4</f>
        <v>Boris Lenderman</v>
      </c>
      <c r="U36" s="62"/>
      <c r="V36" s="94">
        <f>+'[1]GWB-924.137'!$F$12</f>
        <v>2139150</v>
      </c>
      <c r="W36" s="199">
        <f t="shared" si="20"/>
        <v>0.34747446415632377</v>
      </c>
      <c r="X36" s="15"/>
      <c r="Y36" s="200">
        <f t="shared" si="21"/>
        <v>0.8663170163170163</v>
      </c>
      <c r="Z36" s="11" t="str">
        <f t="shared" si="22"/>
        <v>FAIL</v>
      </c>
      <c r="AA36" s="11"/>
      <c r="AB36" s="15"/>
      <c r="AC36" s="54">
        <f t="shared" si="23"/>
        <v>858000</v>
      </c>
      <c r="AD36" s="54">
        <f t="shared" si="23"/>
        <v>743300</v>
      </c>
      <c r="AE36" s="54">
        <f t="shared" si="24"/>
        <v>114700</v>
      </c>
    </row>
    <row r="37" spans="2:41" x14ac:dyDescent="0.25">
      <c r="C37" s="39">
        <v>2018</v>
      </c>
      <c r="D37" s="62" t="str">
        <f>+'[1]LT-924.183'!$F$4</f>
        <v>LT-924.183</v>
      </c>
      <c r="E37" s="63" t="str">
        <f>+'[1]LT-924.183'!$F$5</f>
        <v>South Tube Pavement Fine Milling</v>
      </c>
      <c r="F37" s="64">
        <f>+'[1]LT-924.183'!$F$6</f>
        <v>43326</v>
      </c>
      <c r="G37" s="65" t="str">
        <f>+'[1]LT-924.183'!$G$7</f>
        <v>SBE</v>
      </c>
      <c r="H37" s="94">
        <f>+'[1]LT-924.183'!$F$7</f>
        <v>1300000</v>
      </c>
      <c r="I37" s="94">
        <f>+'[1]LT-924.183'!$F$8</f>
        <v>695800</v>
      </c>
      <c r="J37" s="105"/>
      <c r="K37" s="26">
        <f>+'[1]LT-924.183'!$G$9</f>
        <v>-0.46476923076923077</v>
      </c>
      <c r="L37" s="11" t="str">
        <f>+'[1]LT-924.183'!$F$11</f>
        <v>FAIL</v>
      </c>
      <c r="M37" s="15">
        <f>+'[1]LT-924.183'!$H$12</f>
        <v>2</v>
      </c>
      <c r="N37" s="35" t="s">
        <v>226</v>
      </c>
      <c r="O37" s="15">
        <v>3</v>
      </c>
      <c r="P37" s="35" t="s">
        <v>457</v>
      </c>
      <c r="Q37" s="35"/>
      <c r="R37" s="15"/>
      <c r="S37" s="24" t="s">
        <v>932</v>
      </c>
      <c r="T37" s="62" t="str">
        <f>+'[1]LT-924.183'!$J$4</f>
        <v>Boris Lenderman</v>
      </c>
      <c r="U37" s="62"/>
      <c r="V37" s="94">
        <f>+'[1]LT-924.183'!$F$12</f>
        <v>1057500</v>
      </c>
      <c r="W37" s="199">
        <f t="shared" si="20"/>
        <v>0.65796690307328609</v>
      </c>
      <c r="X37" s="15"/>
      <c r="Y37" s="200">
        <f t="shared" si="21"/>
        <v>0.53523076923076918</v>
      </c>
      <c r="Z37" s="11" t="str">
        <f t="shared" si="22"/>
        <v>FAIL</v>
      </c>
      <c r="AA37" s="11"/>
      <c r="AB37" s="15"/>
      <c r="AC37" s="54">
        <f t="shared" si="23"/>
        <v>1300000</v>
      </c>
      <c r="AD37" s="54">
        <f t="shared" si="23"/>
        <v>695800</v>
      </c>
      <c r="AE37" s="54">
        <f t="shared" si="24"/>
        <v>604200</v>
      </c>
    </row>
    <row r="38" spans="2:41" x14ac:dyDescent="0.25">
      <c r="C38" s="39">
        <v>2018</v>
      </c>
      <c r="D38" s="62" t="str">
        <f>+'[1]GWB-244.049'!$F$4</f>
        <v>GWB-244.049</v>
      </c>
      <c r="E38" s="63" t="str">
        <f>+'[1]GWB-244.049'!$F$5</f>
        <v>Trans-Manhattan Expressway Median Barriers and Water Mains</v>
      </c>
      <c r="F38" s="64">
        <f>+'[1]GWB-244.049'!$F$6</f>
        <v>43319</v>
      </c>
      <c r="G38" s="65" t="str">
        <f>+'[1]GWB-244.049'!$G$7</f>
        <v>Public</v>
      </c>
      <c r="H38" s="94">
        <f>+'[1]GWB-244.049'!$F$7</f>
        <v>54744000</v>
      </c>
      <c r="I38" s="94">
        <f>+'[1]GWB-244.049'!$F$8</f>
        <v>34776250</v>
      </c>
      <c r="J38" s="27" t="s">
        <v>519</v>
      </c>
      <c r="K38" s="26">
        <f>+'[1]GWB-244.049'!$G$9</f>
        <v>-0.36474773491158846</v>
      </c>
      <c r="L38" s="11" t="str">
        <f>+'[1]GWB-244.049'!$F$11</f>
        <v>GOOD</v>
      </c>
      <c r="M38" s="15">
        <f>+'[1]GWB-244.049'!$H$12</f>
        <v>4</v>
      </c>
      <c r="N38" s="35" t="s">
        <v>93</v>
      </c>
      <c r="O38" s="15">
        <v>3</v>
      </c>
      <c r="P38" s="35" t="s">
        <v>457</v>
      </c>
      <c r="Q38" s="35"/>
      <c r="R38" s="15"/>
      <c r="S38" s="24" t="s">
        <v>932</v>
      </c>
      <c r="T38" s="62" t="str">
        <f>+'[1]GWB-244.049'!$J$4</f>
        <v>Boris Lenderman</v>
      </c>
      <c r="U38" s="62"/>
      <c r="V38" s="94">
        <f>+'[1]GWB-244.049'!$F$12</f>
        <v>49859526.25</v>
      </c>
      <c r="W38" s="199">
        <f t="shared" si="20"/>
        <v>0.69748456544951631</v>
      </c>
      <c r="X38" s="15"/>
      <c r="Y38" s="200">
        <f t="shared" si="21"/>
        <v>0.63525226508841148</v>
      </c>
      <c r="Z38" s="11" t="str">
        <f t="shared" si="22"/>
        <v>FAIL</v>
      </c>
      <c r="AA38" s="11"/>
      <c r="AB38" s="15"/>
      <c r="AC38" s="54">
        <f t="shared" si="23"/>
        <v>54744000</v>
      </c>
      <c r="AD38" s="54">
        <f t="shared" si="23"/>
        <v>34776250</v>
      </c>
      <c r="AE38" s="54">
        <f t="shared" si="24"/>
        <v>19967750</v>
      </c>
    </row>
    <row r="39" spans="2:41" x14ac:dyDescent="0.25">
      <c r="C39" s="39">
        <v>2018</v>
      </c>
      <c r="D39" s="62" t="str">
        <f>+'[1]PN-654.562A'!$F$4</f>
        <v>PN-654.562A</v>
      </c>
      <c r="E39" s="63" t="str">
        <f>+'[1]PN-654.562A'!$F$5</f>
        <v>Bldg 267 Roof Collapse Repair</v>
      </c>
      <c r="F39" s="64">
        <f>+'[1]PN-654.562A'!$F$6</f>
        <v>43314</v>
      </c>
      <c r="G39" s="65" t="str">
        <f>+'[1]PN-654.562A'!$G$7</f>
        <v>SBE</v>
      </c>
      <c r="H39" s="94">
        <f>+'[1]PN-654.562A'!$F$7</f>
        <v>1980000</v>
      </c>
      <c r="I39" s="94">
        <f>+'[1]PN-654.562A'!$F$8</f>
        <v>2882170</v>
      </c>
      <c r="J39" s="105"/>
      <c r="K39" s="26">
        <f>+'[1]PN-654.562A'!$G$9</f>
        <v>0.45564141414141413</v>
      </c>
      <c r="L39" s="11" t="str">
        <f>+'[1]PN-654.562A'!$F$11</f>
        <v>FAIL</v>
      </c>
      <c r="M39" s="15">
        <f>+'[1]PN-654.562A'!$H$12</f>
        <v>6</v>
      </c>
      <c r="N39" s="35" t="s">
        <v>25</v>
      </c>
      <c r="O39" s="15">
        <v>3</v>
      </c>
      <c r="P39" s="35" t="s">
        <v>492</v>
      </c>
      <c r="Q39" s="35"/>
      <c r="R39" s="15"/>
      <c r="S39" s="24"/>
      <c r="T39" s="62" t="str">
        <f>+'[1]PN-654.562A'!$J$4</f>
        <v>Ed Minall</v>
      </c>
      <c r="U39" s="62"/>
      <c r="V39" s="94">
        <f>+'[1]PN-654.562A'!$F$12</f>
        <v>4467184.666666667</v>
      </c>
      <c r="W39" s="199">
        <f t="shared" si="20"/>
        <v>0.64518711785215355</v>
      </c>
      <c r="X39" s="15"/>
      <c r="Y39" s="200">
        <f t="shared" si="21"/>
        <v>1.4556414141414142</v>
      </c>
      <c r="Z39" s="11" t="str">
        <f t="shared" si="22"/>
        <v>FAIL</v>
      </c>
      <c r="AA39" s="11"/>
      <c r="AB39" s="15"/>
      <c r="AC39" s="54">
        <f t="shared" si="23"/>
        <v>1980000</v>
      </c>
      <c r="AD39" s="54">
        <f t="shared" si="23"/>
        <v>2882170</v>
      </c>
      <c r="AE39" s="54">
        <f t="shared" si="24"/>
        <v>-902170</v>
      </c>
    </row>
    <row r="40" spans="2:41" x14ac:dyDescent="0.25">
      <c r="C40" s="39">
        <v>2018</v>
      </c>
      <c r="D40" s="62" t="str">
        <f>+'[1]MFA-924.454'!$F$4</f>
        <v>MFA-924.454</v>
      </c>
      <c r="E40" s="63" t="str">
        <f>+'[1]MFA-924.454'!$F$5</f>
        <v>EWR and TEB - Asphalt Repairs via Work Order</v>
      </c>
      <c r="F40" s="64">
        <f>+'[1]MFA-924.454'!$F$6</f>
        <v>43311</v>
      </c>
      <c r="G40" s="65" t="str">
        <f>+'[1]MFA-924.454'!$G$7</f>
        <v>PQL</v>
      </c>
      <c r="H40" s="94">
        <f>+'[1]MFA-924.454'!$F$7</f>
        <v>9350000</v>
      </c>
      <c r="I40" s="94">
        <f>+'[1]MFA-924.454'!$F$8</f>
        <v>6855365</v>
      </c>
      <c r="J40" s="27" t="s">
        <v>519</v>
      </c>
      <c r="K40" s="26">
        <f>+'[1]MFA-924.454'!$G$9</f>
        <v>-0.26680588235294117</v>
      </c>
      <c r="L40" s="11" t="str">
        <f>+'[1]MFA-924.454'!$F$11</f>
        <v>GOOD</v>
      </c>
      <c r="M40" s="15">
        <f>+'[1]MFA-924.454'!$H$12</f>
        <v>3</v>
      </c>
      <c r="N40" s="35" t="s">
        <v>25</v>
      </c>
      <c r="O40" s="15">
        <v>3</v>
      </c>
      <c r="P40" s="35" t="s">
        <v>458</v>
      </c>
      <c r="Q40" s="35"/>
      <c r="R40" s="15"/>
      <c r="S40" s="24" t="s">
        <v>932</v>
      </c>
      <c r="T40" s="62" t="str">
        <f>+'[1]MFA-924.454'!$J$4</f>
        <v>Joe Lucin</v>
      </c>
      <c r="U40" s="62"/>
      <c r="V40" s="94">
        <f>+'[1]MFA-924.454'!$F$12</f>
        <v>10087545</v>
      </c>
      <c r="W40" s="199">
        <f t="shared" si="20"/>
        <v>0.67958705512590034</v>
      </c>
      <c r="X40" s="15"/>
      <c r="Y40" s="200">
        <f t="shared" si="21"/>
        <v>0.73319411764705877</v>
      </c>
      <c r="Z40" s="11" t="str">
        <f t="shared" si="22"/>
        <v>FAIL</v>
      </c>
      <c r="AA40" s="11"/>
      <c r="AB40" s="15"/>
      <c r="AC40" s="54">
        <f t="shared" si="23"/>
        <v>9350000</v>
      </c>
      <c r="AD40" s="54">
        <f t="shared" si="23"/>
        <v>6855365</v>
      </c>
      <c r="AE40" s="54">
        <f t="shared" si="24"/>
        <v>2494635</v>
      </c>
    </row>
    <row r="41" spans="2:41" x14ac:dyDescent="0.25">
      <c r="C41" s="39">
        <v>2018</v>
      </c>
      <c r="D41" s="62" t="str">
        <f>+'[1]LGA-124.260'!$F$4</f>
        <v>LGA-124.260</v>
      </c>
      <c r="E41" s="63" t="str">
        <f>+'[1]LGA-124.260'!$F$5</f>
        <v>Rehab of Runway 4-22 and Associated Taxiways</v>
      </c>
      <c r="F41" s="64">
        <f>+'[1]LGA-124.260'!$F$6</f>
        <v>43299</v>
      </c>
      <c r="G41" s="65" t="str">
        <f>+'[1]LGA-124.260'!$G$7</f>
        <v>PQL</v>
      </c>
      <c r="H41" s="94">
        <f>+'[1]LGA-124.260'!$F$7</f>
        <v>34796400</v>
      </c>
      <c r="I41" s="94">
        <f>+'[1]LGA-124.260'!$F$8</f>
        <v>34483510</v>
      </c>
      <c r="J41" s="27" t="s">
        <v>519</v>
      </c>
      <c r="K41" s="26">
        <f>+'[1]LGA-124.260'!$G$9</f>
        <v>-8.9920221632122863E-3</v>
      </c>
      <c r="L41" s="11" t="str">
        <f>+'[1]LGA-124.260'!$F$11</f>
        <v>GOOD</v>
      </c>
      <c r="M41" s="15">
        <f>+'[1]LGA-124.260'!$H$12</f>
        <v>2</v>
      </c>
      <c r="N41" s="35" t="s">
        <v>93</v>
      </c>
      <c r="O41" s="15">
        <v>3</v>
      </c>
      <c r="P41" s="35" t="s">
        <v>458</v>
      </c>
      <c r="Q41" s="35"/>
      <c r="R41" s="15"/>
      <c r="S41" s="24"/>
      <c r="T41" s="62" t="str">
        <f>+'[1]LGA-124.260'!$J$4</f>
        <v>Joe Lucin</v>
      </c>
      <c r="U41" s="62"/>
      <c r="V41" s="94">
        <f>+'[1]LGA-124.260'!$F$12</f>
        <v>35471255</v>
      </c>
      <c r="W41" s="199">
        <f t="shared" si="20"/>
        <v>0.97215364948322236</v>
      </c>
      <c r="X41" s="15"/>
      <c r="Y41" s="200">
        <f t="shared" si="21"/>
        <v>0.99100797783678773</v>
      </c>
      <c r="Z41" s="11" t="str">
        <f t="shared" si="22"/>
        <v>FAIL</v>
      </c>
      <c r="AA41" s="11"/>
      <c r="AB41" s="15"/>
      <c r="AC41" s="54">
        <f t="shared" si="23"/>
        <v>34796400</v>
      </c>
      <c r="AD41" s="54">
        <f t="shared" si="23"/>
        <v>34483510</v>
      </c>
      <c r="AE41" s="54">
        <f t="shared" si="24"/>
        <v>312890</v>
      </c>
    </row>
    <row r="42" spans="2:41" x14ac:dyDescent="0.25">
      <c r="C42" s="39">
        <v>2018</v>
      </c>
      <c r="D42" s="62" t="str">
        <f>+'[1]HT-224.082'!$F$4</f>
        <v>HT-224.082</v>
      </c>
      <c r="E42" s="63" t="str">
        <f>+'[1]HT-224.082'!$F$5</f>
        <v>Repl Bulkhead Doors in Ventilation Buildings</v>
      </c>
      <c r="F42" s="64">
        <f>+'[1]HT-224.082'!$F$6</f>
        <v>43299</v>
      </c>
      <c r="G42" s="65" t="str">
        <f>+'[1]HT-224.082'!$G$7</f>
        <v>Public</v>
      </c>
      <c r="H42" s="94">
        <f>+'[1]HT-224.082'!$F$7</f>
        <v>3570000</v>
      </c>
      <c r="I42" s="94">
        <f>+'[1]HT-224.082'!$F$8</f>
        <v>3861000</v>
      </c>
      <c r="J42" s="105" t="s">
        <v>519</v>
      </c>
      <c r="K42" s="26">
        <f>+'[1]HT-224.082'!$G$9</f>
        <v>8.1512605042016809E-2</v>
      </c>
      <c r="L42" s="11" t="str">
        <f>+'[1]HT-224.082'!$F$11</f>
        <v>GOOD</v>
      </c>
      <c r="M42" s="15">
        <f>+'[1]HT-224.082'!$H$12</f>
        <v>6</v>
      </c>
      <c r="N42" s="35" t="s">
        <v>226</v>
      </c>
      <c r="O42" s="15">
        <v>3</v>
      </c>
      <c r="P42" s="35" t="s">
        <v>457</v>
      </c>
      <c r="Q42" s="35"/>
      <c r="R42" s="15"/>
      <c r="S42" s="24"/>
      <c r="T42" s="62" t="str">
        <f>+'[1]HT-224.082'!$J$4</f>
        <v>Boris Lenderman</v>
      </c>
      <c r="U42" s="62"/>
      <c r="V42" s="94">
        <f>+'[1]HT-224.082'!$F$12</f>
        <v>5535683.333333333</v>
      </c>
      <c r="W42" s="199">
        <f t="shared" si="20"/>
        <v>0.69747486760141031</v>
      </c>
      <c r="X42" s="15"/>
      <c r="Y42" s="200">
        <f t="shared" si="21"/>
        <v>1.0815126050420167</v>
      </c>
      <c r="Z42" s="11" t="str">
        <f t="shared" si="22"/>
        <v>FAIL</v>
      </c>
      <c r="AA42" s="11"/>
      <c r="AB42" s="15"/>
      <c r="AC42" s="54">
        <f t="shared" si="23"/>
        <v>3570000</v>
      </c>
      <c r="AD42" s="54">
        <f t="shared" si="23"/>
        <v>3861000</v>
      </c>
      <c r="AE42" s="54">
        <f t="shared" si="24"/>
        <v>-291000</v>
      </c>
    </row>
    <row r="43" spans="2:41" x14ac:dyDescent="0.25">
      <c r="B43" s="203">
        <f>(COUNTIF(L30:L43,"G*")/COUNTA(L30:L43))</f>
        <v>0.5</v>
      </c>
      <c r="C43" s="39">
        <v>2018</v>
      </c>
      <c r="D43" s="62" t="str">
        <f>+'[1]EWR-154.308 bafo'!$F$4</f>
        <v>EWR-154.308 bafo</v>
      </c>
      <c r="E43" s="63" t="str">
        <f>+'[1]EWR-154.308 bafo'!$F$5</f>
        <v>Rehabilitation of Taxiway S</v>
      </c>
      <c r="F43" s="64">
        <f>+'[1]EWR-154.308 bafo'!$F$6</f>
        <v>43287</v>
      </c>
      <c r="G43" s="65" t="str">
        <f>+'[1]EWR-154.308 bafo'!$G$7</f>
        <v>PQL</v>
      </c>
      <c r="H43" s="94">
        <f>+'[1]EWR-154.308 bafo'!$F$7</f>
        <v>3730000</v>
      </c>
      <c r="I43" s="94">
        <f>+'[1]EWR-154.308 bafo'!$F$8</f>
        <v>4547000</v>
      </c>
      <c r="J43" s="105"/>
      <c r="K43" s="26">
        <f>+'[1]EWR-154.308 bafo'!$G$9</f>
        <v>0.2190348525469169</v>
      </c>
      <c r="L43" s="11" t="str">
        <f>+'[1]EWR-154.308 bafo'!$F$11</f>
        <v>FAIL</v>
      </c>
      <c r="M43" s="15">
        <f>+'[1]EWR-154.308 bafo'!$H$12</f>
        <v>3</v>
      </c>
      <c r="N43" s="35" t="s">
        <v>25</v>
      </c>
      <c r="O43" s="15">
        <v>3</v>
      </c>
      <c r="P43" s="35" t="s">
        <v>458</v>
      </c>
      <c r="Q43" s="35"/>
      <c r="R43" s="15"/>
      <c r="S43" s="24"/>
      <c r="T43" s="62" t="str">
        <f>+'[1]EWR-154.308 bafo'!$J$4</f>
        <v>Joe Lucin</v>
      </c>
      <c r="U43" s="62"/>
      <c r="V43" s="94">
        <f>+'[1]EWR-154.308 bafo'!$F$12</f>
        <v>4717276.666666667</v>
      </c>
      <c r="W43" s="199">
        <f t="shared" si="20"/>
        <v>0.96390360822593257</v>
      </c>
      <c r="X43" s="15"/>
      <c r="Y43" s="200">
        <f t="shared" si="21"/>
        <v>1.2190348525469168</v>
      </c>
      <c r="Z43" s="11" t="str">
        <f t="shared" si="22"/>
        <v>FAIL</v>
      </c>
      <c r="AA43" s="11"/>
      <c r="AB43" s="15"/>
      <c r="AC43" s="54">
        <f t="shared" si="23"/>
        <v>3730000</v>
      </c>
      <c r="AD43" s="54">
        <f t="shared" si="23"/>
        <v>4547000</v>
      </c>
      <c r="AE43" s="54">
        <f t="shared" si="24"/>
        <v>-817000</v>
      </c>
      <c r="AG43" s="4">
        <f>SUM(H30:H43)</f>
        <v>203524650</v>
      </c>
      <c r="AH43" s="4">
        <f>SUM(I30:I43)</f>
        <v>173859860</v>
      </c>
      <c r="AI43" s="209">
        <f>+AH43/AG43</f>
        <v>0.85424473153497626</v>
      </c>
      <c r="AJ43" s="1" t="s">
        <v>1240</v>
      </c>
      <c r="AK43" s="210">
        <f>+AG43+AG55+AG72</f>
        <v>757144150</v>
      </c>
      <c r="AL43" s="210">
        <f>+AH43+AH55+AH72</f>
        <v>573649474</v>
      </c>
      <c r="AM43" s="211">
        <f>+AL43/AK43</f>
        <v>0.75764895495791651</v>
      </c>
      <c r="AN43" s="212"/>
      <c r="AO43" s="213"/>
    </row>
    <row r="44" spans="2:41" ht="7.5" customHeight="1" x14ac:dyDescent="0.25">
      <c r="C44" s="39"/>
      <c r="G44" s="45"/>
      <c r="M44" s="52"/>
      <c r="P44" s="11"/>
      <c r="S44" s="15"/>
      <c r="V44" s="54"/>
      <c r="W44" s="54"/>
      <c r="X44" s="54"/>
    </row>
    <row r="45" spans="2:41" x14ac:dyDescent="0.25">
      <c r="C45" s="39">
        <v>2018</v>
      </c>
      <c r="D45" s="62" t="str">
        <f>+'[1]PAT-774.170'!$F$4</f>
        <v>PAT-774.170</v>
      </c>
      <c r="E45" s="63" t="str">
        <f>+'[1]PAT-774.170'!$F$5</f>
        <v>Repl Exchange Place and Newport Escalators and Elevators</v>
      </c>
      <c r="F45" s="64">
        <f>+'[1]PAT-774.170'!$F$6</f>
        <v>43264</v>
      </c>
      <c r="G45" s="65" t="str">
        <f>+'[1]PAT-774.170'!$G$7</f>
        <v>Public</v>
      </c>
      <c r="H45" s="94">
        <f>+'[1]PAT-774.170'!$F$7</f>
        <v>38600000</v>
      </c>
      <c r="I45" s="94">
        <f>+'[1]PAT-774.170'!$F$8</f>
        <v>35950000</v>
      </c>
      <c r="J45" s="27" t="s">
        <v>519</v>
      </c>
      <c r="K45" s="26">
        <f>+'[1]PAT-774.170'!$G$9</f>
        <v>-6.8652849740932637E-2</v>
      </c>
      <c r="L45" s="11" t="str">
        <f>+'[1]PAT-774.170'!$F$11</f>
        <v>GOOD</v>
      </c>
      <c r="M45" s="15">
        <f>+'[1]PAT-774.170'!$H$12</f>
        <v>2</v>
      </c>
      <c r="N45" s="35" t="s">
        <v>25</v>
      </c>
      <c r="O45" s="15">
        <v>2</v>
      </c>
      <c r="P45" s="35" t="s">
        <v>459</v>
      </c>
      <c r="Q45" s="35"/>
      <c r="R45" s="15"/>
      <c r="S45" s="24"/>
      <c r="T45" s="62" t="str">
        <f>+'[1]PAT-774.170'!$J$4</f>
        <v>Nathan Demaisip</v>
      </c>
      <c r="U45" s="62"/>
      <c r="V45" s="94">
        <f>+'[1]PAT-774.170'!$F$12</f>
        <v>39922000</v>
      </c>
      <c r="W45" s="199">
        <f t="shared" ref="W45:W55" si="25">+I45/V45</f>
        <v>0.90050598667401438</v>
      </c>
      <c r="X45" s="15"/>
      <c r="Y45" s="200">
        <f t="shared" ref="Y45:Y48" si="26">+I45/H45</f>
        <v>0.93134715025906734</v>
      </c>
      <c r="Z45" s="11" t="str">
        <f t="shared" ref="Z45:Z48" si="27">(IF(Y45&lt;$Y$3,"FAIL",IF(Y45&gt;$Y$4,"FAIL","GOOD")))</f>
        <v>FAIL</v>
      </c>
      <c r="AA45" s="11"/>
      <c r="AB45" s="15"/>
      <c r="AC45" s="54">
        <f t="shared" ref="AC45:AD48" si="28">+H45</f>
        <v>38600000</v>
      </c>
      <c r="AD45" s="54">
        <f t="shared" si="28"/>
        <v>35950000</v>
      </c>
      <c r="AE45" s="54">
        <f t="shared" ref="AE45:AE48" si="29">+AC45-AD45</f>
        <v>2650000</v>
      </c>
    </row>
    <row r="46" spans="2:41" x14ac:dyDescent="0.25">
      <c r="C46" s="39">
        <v>2018</v>
      </c>
      <c r="D46" s="62" t="str">
        <f>+'[1]MFP-694.514'!$F$4</f>
        <v>MFP-694.514</v>
      </c>
      <c r="E46" s="63" t="str">
        <f>+'[1]MFP-694.514'!$F$5</f>
        <v>NY and NJ Marine Terminals - CCTV Upgrade and Expansion (Port Newark and Brooklyn)</v>
      </c>
      <c r="F46" s="64">
        <f>+'[1]MFP-694.514'!$F$6</f>
        <v>43259</v>
      </c>
      <c r="G46" s="65" t="str">
        <f>+'[1]MFP-694.514'!$G$7</f>
        <v>VVP</v>
      </c>
      <c r="H46" s="94">
        <f>+'[1]MFP-694.514'!$F$7</f>
        <v>2770000</v>
      </c>
      <c r="I46" s="94">
        <f>+'[1]MFP-694.514'!$F$8</f>
        <v>2542996</v>
      </c>
      <c r="J46" s="105" t="s">
        <v>519</v>
      </c>
      <c r="K46" s="26">
        <f>+'[1]MFP-694.514'!$G$9</f>
        <v>-8.1950902527075806E-2</v>
      </c>
      <c r="L46" s="11" t="str">
        <f>+'[1]MFP-694.514'!$F$11</f>
        <v>GOOD</v>
      </c>
      <c r="M46" s="15">
        <f>+'[1]MFP-694.514'!$H$12</f>
        <v>6</v>
      </c>
      <c r="N46" s="35" t="s">
        <v>226</v>
      </c>
      <c r="O46" s="15">
        <v>2</v>
      </c>
      <c r="P46" s="35" t="s">
        <v>492</v>
      </c>
      <c r="Q46" s="35"/>
      <c r="R46" s="15"/>
      <c r="S46" s="24"/>
      <c r="T46" s="62" t="str">
        <f>+'[1]MFP-694.514'!$J$4</f>
        <v>Nathan Demaisip</v>
      </c>
      <c r="U46" s="62"/>
      <c r="V46" s="94">
        <f>+'[1]MFP-694.514'!$F$12</f>
        <v>4162248.5</v>
      </c>
      <c r="W46" s="199">
        <f t="shared" si="25"/>
        <v>0.61096688484601536</v>
      </c>
      <c r="X46" s="15"/>
      <c r="Y46" s="200">
        <f t="shared" si="26"/>
        <v>0.91804909747292418</v>
      </c>
      <c r="Z46" s="11" t="str">
        <f t="shared" si="27"/>
        <v>FAIL</v>
      </c>
      <c r="AA46" s="11"/>
      <c r="AB46" s="15"/>
      <c r="AC46" s="54">
        <f t="shared" si="28"/>
        <v>2770000</v>
      </c>
      <c r="AD46" s="54">
        <f t="shared" si="28"/>
        <v>2542996</v>
      </c>
      <c r="AE46" s="54">
        <f t="shared" si="29"/>
        <v>227004</v>
      </c>
    </row>
    <row r="47" spans="2:41" x14ac:dyDescent="0.25">
      <c r="C47" s="39">
        <v>2018</v>
      </c>
      <c r="D47" s="62" t="str">
        <f>+'[1]PAT-024.099'!$F$4</f>
        <v>PAT-024.099</v>
      </c>
      <c r="E47" s="63" t="str">
        <f>+'[1]PAT-024.099'!$F$5</f>
        <v>Exchange Place Substation #4 Roof Replacement</v>
      </c>
      <c r="F47" s="64">
        <f>+'[1]PAT-024.099'!$F$6</f>
        <v>43251</v>
      </c>
      <c r="G47" s="65" t="str">
        <f>+'[1]PAT-024.099'!$G$7</f>
        <v>Public</v>
      </c>
      <c r="H47" s="94">
        <f>+'[1]PAT-024.099'!$F$7</f>
        <v>1567000</v>
      </c>
      <c r="I47" s="94">
        <f>+'[1]PAT-024.099'!$F$8</f>
        <v>918315</v>
      </c>
      <c r="J47" s="105" t="s">
        <v>519</v>
      </c>
      <c r="K47" s="26">
        <f>+'[1]PAT-024.099'!$G$9</f>
        <v>-0.41396617740906189</v>
      </c>
      <c r="L47" s="11" t="str">
        <f>+'[1]PAT-024.099'!$F$11</f>
        <v>GOOD</v>
      </c>
      <c r="M47" s="15">
        <f>+'[1]PAT-024.099'!$H$12</f>
        <v>5</v>
      </c>
      <c r="N47" s="35" t="s">
        <v>25</v>
      </c>
      <c r="O47" s="15">
        <v>2</v>
      </c>
      <c r="P47" s="35" t="s">
        <v>459</v>
      </c>
      <c r="Q47" s="35"/>
      <c r="R47" s="15"/>
      <c r="S47" s="24" t="s">
        <v>932</v>
      </c>
      <c r="T47" s="62" t="str">
        <f>+'[1]PAT-024.099'!$J$4</f>
        <v>Nathan Demaisip</v>
      </c>
      <c r="U47" s="62"/>
      <c r="V47" s="94">
        <f>+'[1]PAT-024.099'!$F$12</f>
        <v>2609788.4</v>
      </c>
      <c r="W47" s="199">
        <f t="shared" si="25"/>
        <v>0.351873354943259</v>
      </c>
      <c r="X47" s="15"/>
      <c r="Y47" s="200">
        <f t="shared" si="26"/>
        <v>0.58603382259093806</v>
      </c>
      <c r="Z47" s="11" t="str">
        <f t="shared" si="27"/>
        <v>FAIL</v>
      </c>
      <c r="AA47" s="11"/>
      <c r="AB47" s="15"/>
      <c r="AC47" s="54">
        <f t="shared" si="28"/>
        <v>1567000</v>
      </c>
      <c r="AD47" s="54">
        <f t="shared" si="28"/>
        <v>918315</v>
      </c>
      <c r="AE47" s="54">
        <f t="shared" si="29"/>
        <v>648685</v>
      </c>
    </row>
    <row r="48" spans="2:41" x14ac:dyDescent="0.25">
      <c r="C48" s="39">
        <v>2018</v>
      </c>
      <c r="D48" s="62" t="str">
        <f>+'[1]EWR-154.395'!$F$4</f>
        <v>EWR-154.395</v>
      </c>
      <c r="E48" s="63" t="str">
        <f>+'[1]EWR-154.395'!$F$5</f>
        <v>Bridges N61, 62, 63, At-Grade Roadways and Appurtenances</v>
      </c>
      <c r="F48" s="64">
        <f>+'[1]EWR-154.395'!$F$6</f>
        <v>43250</v>
      </c>
      <c r="G48" s="65" t="str">
        <f>+'[1]EWR-154.395'!$G$7</f>
        <v>Public</v>
      </c>
      <c r="H48" s="94">
        <f>+'[1]EWR-154.395'!$F$7</f>
        <v>153277500</v>
      </c>
      <c r="I48" s="94">
        <f>+'[1]EWR-154.395'!$F$8</f>
        <v>118434757</v>
      </c>
      <c r="J48" s="27"/>
      <c r="K48" s="26">
        <f>+'[1]EWR-154.395'!$G$9</f>
        <v>-0.22731805385656734</v>
      </c>
      <c r="L48" s="11" t="str">
        <f>+'[1]EWR-154.395'!$F$11</f>
        <v>FAIL</v>
      </c>
      <c r="M48" s="15">
        <f>+'[1]EWR-154.395'!$H$12</f>
        <v>13</v>
      </c>
      <c r="N48" s="35" t="s">
        <v>25</v>
      </c>
      <c r="O48" s="15">
        <v>2</v>
      </c>
      <c r="P48" s="35" t="s">
        <v>458</v>
      </c>
      <c r="Q48" s="35"/>
      <c r="R48" s="15"/>
      <c r="S48" s="24"/>
      <c r="T48" s="62" t="str">
        <f>+'[1]EWR-154.395'!$J$4</f>
        <v>Joe Lucin</v>
      </c>
      <c r="U48" s="62"/>
      <c r="V48" s="94">
        <f>+'[1]EWR-154.395'!$F$12</f>
        <v>138481360</v>
      </c>
      <c r="W48" s="199">
        <f t="shared" si="25"/>
        <v>0.85523970157427687</v>
      </c>
      <c r="X48" s="15"/>
      <c r="Y48" s="200">
        <f t="shared" si="26"/>
        <v>0.77268194614343266</v>
      </c>
      <c r="Z48" s="11" t="str">
        <f t="shared" si="27"/>
        <v>FAIL</v>
      </c>
      <c r="AA48" s="11"/>
      <c r="AB48" s="15"/>
      <c r="AC48" s="54">
        <f t="shared" si="28"/>
        <v>153277500</v>
      </c>
      <c r="AD48" s="54">
        <f t="shared" si="28"/>
        <v>118434757</v>
      </c>
      <c r="AE48" s="54">
        <f t="shared" si="29"/>
        <v>34842743</v>
      </c>
    </row>
    <row r="49" spans="2:41" x14ac:dyDescent="0.25">
      <c r="C49" s="39">
        <v>2018</v>
      </c>
      <c r="D49" s="62" t="str">
        <f>+'[1]GWB-244.204 Void'!$F$4</f>
        <v>GWB-244.204</v>
      </c>
      <c r="E49" s="63" t="str">
        <f>+'[1]GWB-244.204 Void'!$F$5</f>
        <v>Rehab Center and Lemoine Avenue Bridges</v>
      </c>
      <c r="F49" s="64">
        <f>+'[1]GWB-244.204 Void'!$F$6</f>
        <v>43242</v>
      </c>
      <c r="G49" s="65"/>
      <c r="H49" s="94"/>
      <c r="I49" s="94"/>
      <c r="J49" s="27"/>
      <c r="K49" s="26"/>
      <c r="L49" s="11"/>
      <c r="M49" s="257"/>
      <c r="N49" s="35"/>
      <c r="O49" s="15"/>
      <c r="P49" s="35"/>
      <c r="Q49" s="35"/>
      <c r="R49" s="15"/>
      <c r="S49" s="24" t="s">
        <v>227</v>
      </c>
      <c r="T49" s="62"/>
      <c r="U49" s="62"/>
      <c r="V49" s="94"/>
      <c r="W49" s="199"/>
      <c r="X49" s="15"/>
      <c r="Y49" s="200"/>
      <c r="Z49" s="11"/>
      <c r="AA49" s="11"/>
      <c r="AB49" s="15"/>
      <c r="AC49" s="54"/>
      <c r="AD49" s="54"/>
      <c r="AE49" s="54"/>
    </row>
    <row r="50" spans="2:41" x14ac:dyDescent="0.25">
      <c r="C50" s="39">
        <v>2018</v>
      </c>
      <c r="D50" s="62" t="str">
        <f>+'[1]MFP-924.650'!$F$4</f>
        <v>MFP-924.650</v>
      </c>
      <c r="E50" s="63" t="str">
        <f>+'[1]MFP-924.650'!$F$5</f>
        <v>NY Marine Terminals - Maintenance Dredging via Work Order</v>
      </c>
      <c r="F50" s="64">
        <f>+'[1]MFP-924.650'!$F$6</f>
        <v>43230</v>
      </c>
      <c r="G50" s="65" t="str">
        <f>+'[1]MFP-924.650'!$G$7</f>
        <v>Public</v>
      </c>
      <c r="H50" s="94">
        <f>+'[1]MFP-924.650'!$F$7</f>
        <v>4390000</v>
      </c>
      <c r="I50" s="94">
        <f>+'[1]MFP-924.650'!$F$8</f>
        <v>4220000</v>
      </c>
      <c r="J50" s="105" t="s">
        <v>519</v>
      </c>
      <c r="K50" s="26">
        <f>+'[1]MFP-924.650'!$G$9</f>
        <v>-3.8724373576309798E-2</v>
      </c>
      <c r="L50" s="11" t="str">
        <f>+'[1]MFP-924.650'!$F$11</f>
        <v>GOOD</v>
      </c>
      <c r="M50" s="15">
        <f>+'[1]MFP-924.650'!$H$12</f>
        <v>4</v>
      </c>
      <c r="N50" s="35" t="s">
        <v>93</v>
      </c>
      <c r="O50" s="15">
        <v>2</v>
      </c>
      <c r="P50" s="35" t="s">
        <v>492</v>
      </c>
      <c r="Q50" s="35"/>
      <c r="R50" s="15"/>
      <c r="S50" s="24"/>
      <c r="T50" s="62" t="str">
        <f>+'[1]MFP-924.650'!$J$4</f>
        <v>Ed Minall</v>
      </c>
      <c r="U50" s="62"/>
      <c r="V50" s="94">
        <f>+'[1]MFP-924.650'!$F$12</f>
        <v>6081225</v>
      </c>
      <c r="W50" s="199">
        <f t="shared" si="25"/>
        <v>0.69393913232942372</v>
      </c>
      <c r="X50" s="15"/>
      <c r="Y50" s="200">
        <f t="shared" ref="Y50:Y51" si="30">+I50/H50</f>
        <v>0.96127562642369024</v>
      </c>
      <c r="Z50" s="11" t="str">
        <f t="shared" ref="Z50:Z51" si="31">(IF(Y50&lt;$Y$3,"FAIL",IF(Y50&gt;$Y$4,"FAIL","GOOD")))</f>
        <v>FAIL</v>
      </c>
      <c r="AA50" s="11"/>
      <c r="AB50" s="15"/>
      <c r="AC50" s="54">
        <f t="shared" ref="AC50:AD51" si="32">+H50</f>
        <v>4390000</v>
      </c>
      <c r="AD50" s="54">
        <f t="shared" si="32"/>
        <v>4220000</v>
      </c>
      <c r="AE50" s="54">
        <f t="shared" ref="AE50:AE51" si="33">+AC50-AD50</f>
        <v>170000</v>
      </c>
    </row>
    <row r="51" spans="2:41" x14ac:dyDescent="0.25">
      <c r="C51" s="39">
        <v>2018</v>
      </c>
      <c r="D51" s="62" t="str">
        <f>+'[1]LT-924.121'!$F$4</f>
        <v>LT-924.121</v>
      </c>
      <c r="E51" s="63" t="str">
        <f>+'[1]LT-924.121'!$F$5</f>
        <v>Steel Repairs at 38th St Bridge and Concrete Repairs at NY Vent Bldg South</v>
      </c>
      <c r="F51" s="64">
        <f>+'[1]LT-924.121'!$F$6</f>
        <v>43221</v>
      </c>
      <c r="G51" s="65" t="str">
        <f>+'[1]LT-924.121'!$G$7</f>
        <v>SBE</v>
      </c>
      <c r="H51" s="94">
        <f>+'[1]LT-924.121'!$F$7</f>
        <v>960000</v>
      </c>
      <c r="I51" s="94">
        <f>+'[1]LT-924.121'!$F$8</f>
        <v>413834</v>
      </c>
      <c r="J51" s="105"/>
      <c r="K51" s="26">
        <f>+'[1]LT-924.121'!$G$9</f>
        <v>-0.56892291666666661</v>
      </c>
      <c r="L51" s="11" t="str">
        <f>+'[1]LT-924.121'!$F$11</f>
        <v>FAIL</v>
      </c>
      <c r="M51" s="15">
        <f>+'[1]LT-924.121'!$H$12</f>
        <v>5</v>
      </c>
      <c r="N51" s="35" t="s">
        <v>93</v>
      </c>
      <c r="O51" s="15">
        <v>2</v>
      </c>
      <c r="P51" s="35" t="s">
        <v>457</v>
      </c>
      <c r="Q51" s="35"/>
      <c r="R51" s="15"/>
      <c r="S51" s="24"/>
      <c r="T51" s="62" t="str">
        <f>+'[1]LT-924.121'!$J$4</f>
        <v>Ed Minall</v>
      </c>
      <c r="U51" s="62"/>
      <c r="V51" s="94">
        <f>+'[1]LT-924.121'!$F$12</f>
        <v>710613.8</v>
      </c>
      <c r="W51" s="199">
        <f t="shared" si="25"/>
        <v>0.58236133325865602</v>
      </c>
      <c r="X51" s="15"/>
      <c r="Y51" s="200">
        <f t="shared" si="30"/>
        <v>0.43107708333333333</v>
      </c>
      <c r="Z51" s="11" t="str">
        <f t="shared" si="31"/>
        <v>FAIL</v>
      </c>
      <c r="AA51" s="11"/>
      <c r="AB51" s="15"/>
      <c r="AC51" s="54">
        <f t="shared" si="32"/>
        <v>960000</v>
      </c>
      <c r="AD51" s="54">
        <f t="shared" si="32"/>
        <v>413834</v>
      </c>
      <c r="AE51" s="54">
        <f t="shared" si="33"/>
        <v>546166</v>
      </c>
    </row>
    <row r="52" spans="2:41" x14ac:dyDescent="0.25">
      <c r="C52" s="39">
        <v>2018</v>
      </c>
      <c r="D52" s="62" t="str">
        <f>+'[1]EWR-154.308 Void'!$F$4</f>
        <v>EWR-154.308</v>
      </c>
      <c r="E52" s="63" t="str">
        <f>+'[1]EWR-154.308 Void'!$F$5</f>
        <v>Rehabilitation of Taxiway S</v>
      </c>
      <c r="F52" s="64">
        <f>+'[1]EWR-154.308 Void'!$F$6</f>
        <v>43207</v>
      </c>
      <c r="G52" s="65"/>
      <c r="H52" s="94"/>
      <c r="I52" s="94"/>
      <c r="J52" s="27"/>
      <c r="K52" s="26"/>
      <c r="L52" s="11"/>
      <c r="M52" s="257"/>
      <c r="N52" s="35"/>
      <c r="O52" s="15"/>
      <c r="P52" s="35"/>
      <c r="Q52" s="35"/>
      <c r="R52" s="15"/>
      <c r="S52" s="24" t="s">
        <v>227</v>
      </c>
      <c r="T52" s="62"/>
      <c r="U52" s="62"/>
      <c r="V52" s="94"/>
      <c r="W52" s="199"/>
      <c r="X52" s="15"/>
      <c r="Y52" s="200"/>
      <c r="Z52" s="11"/>
      <c r="AA52" s="11"/>
      <c r="AB52" s="15"/>
      <c r="AC52" s="54"/>
      <c r="AD52" s="54"/>
      <c r="AE52" s="54"/>
    </row>
    <row r="53" spans="2:41" x14ac:dyDescent="0.25">
      <c r="C53" s="39">
        <v>2018</v>
      </c>
      <c r="D53" s="62" t="str">
        <f>+'[1]PAT-774.169'!$F$4</f>
        <v>PAT-774.169</v>
      </c>
      <c r="E53" s="63" t="str">
        <f>+'[1]PAT-774.169'!$F$5</f>
        <v>Replace Elevators at Harrison Car Maintenance Facility</v>
      </c>
      <c r="F53" s="64">
        <f>+'[1]PAT-774.169'!$F$6</f>
        <v>43195</v>
      </c>
      <c r="G53" s="65" t="str">
        <f>+'[1]PAT-774.169'!$G$7</f>
        <v>Public</v>
      </c>
      <c r="H53" s="94">
        <f>+'[1]PAT-774.169'!$F$7</f>
        <v>1520000</v>
      </c>
      <c r="I53" s="94">
        <f>+'[1]PAT-774.169'!$F$8</f>
        <v>856934</v>
      </c>
      <c r="J53" s="105" t="s">
        <v>519</v>
      </c>
      <c r="K53" s="26">
        <f>+'[1]PAT-774.169'!$G$9</f>
        <v>-0.43622763157894739</v>
      </c>
      <c r="L53" s="11" t="str">
        <f>+'[1]PAT-774.169'!$F$11</f>
        <v>GOOD</v>
      </c>
      <c r="M53" s="15">
        <f>+'[1]PAT-774.169'!$H$12</f>
        <v>4</v>
      </c>
      <c r="N53" s="35" t="s">
        <v>25</v>
      </c>
      <c r="O53" s="15">
        <v>2</v>
      </c>
      <c r="P53" s="35" t="s">
        <v>459</v>
      </c>
      <c r="Q53" s="35" t="s">
        <v>1242</v>
      </c>
      <c r="R53" s="15"/>
      <c r="S53" s="24" t="s">
        <v>932</v>
      </c>
      <c r="T53" s="62" t="str">
        <f>+'[1]PAT-774.169'!$J$4</f>
        <v>Nathan Demaisip</v>
      </c>
      <c r="U53" s="62"/>
      <c r="V53" s="94">
        <f>+'[1]PAT-774.169'!$F$12</f>
        <v>1906983.5</v>
      </c>
      <c r="W53" s="199">
        <f t="shared" si="25"/>
        <v>0.4493662373061959</v>
      </c>
      <c r="X53" s="15"/>
      <c r="Y53" s="200">
        <f t="shared" ref="Y53:Y55" si="34">+I53/H53</f>
        <v>0.56377236842105261</v>
      </c>
      <c r="Z53" s="11" t="str">
        <f t="shared" ref="Z53:Z55" si="35">(IF(Y53&lt;$Y$3,"FAIL",IF(Y53&gt;$Y$4,"FAIL","GOOD")))</f>
        <v>FAIL</v>
      </c>
      <c r="AA53" s="11"/>
      <c r="AB53" s="15"/>
      <c r="AC53" s="54">
        <f t="shared" ref="AC53:AD55" si="36">+H53</f>
        <v>1520000</v>
      </c>
      <c r="AD53" s="54">
        <f t="shared" si="36"/>
        <v>856934</v>
      </c>
      <c r="AE53" s="54">
        <f t="shared" ref="AE53:AE55" si="37">+AC53-AD53</f>
        <v>663066</v>
      </c>
    </row>
    <row r="54" spans="2:41" x14ac:dyDescent="0.25">
      <c r="C54" s="39">
        <v>2018</v>
      </c>
      <c r="D54" s="62" t="str">
        <f>+'[1]MFP-824.016'!$F$4</f>
        <v>MFP-824.016</v>
      </c>
      <c r="E54" s="63" t="str">
        <f>+'[1]MFP-824.016'!$F$5</f>
        <v>NY Marine Terminals Priority Repairs by Work Order</v>
      </c>
      <c r="F54" s="64">
        <f>+'[1]MFP-824.016'!$F$6</f>
        <v>43193</v>
      </c>
      <c r="G54" s="65" t="str">
        <f>+'[1]MFP-824.016'!$G$7</f>
        <v>Public</v>
      </c>
      <c r="H54" s="94">
        <f>+'[1]MFP-824.016'!$F$7</f>
        <v>9140000</v>
      </c>
      <c r="I54" s="94">
        <f>+'[1]MFP-824.016'!$F$8</f>
        <v>4659626</v>
      </c>
      <c r="J54" s="27" t="s">
        <v>519</v>
      </c>
      <c r="K54" s="26">
        <f>+'[1]MFP-824.016'!$G$9</f>
        <v>-0.49019409190371993</v>
      </c>
      <c r="L54" s="11" t="str">
        <f>+'[1]MFP-824.016'!$F$11</f>
        <v>GOOD</v>
      </c>
      <c r="M54" s="15">
        <f>+'[1]MFP-824.016'!$H$12</f>
        <v>5</v>
      </c>
      <c r="N54" s="35" t="s">
        <v>93</v>
      </c>
      <c r="O54" s="15">
        <v>2</v>
      </c>
      <c r="P54" s="35" t="s">
        <v>492</v>
      </c>
      <c r="Q54" s="35" t="s">
        <v>1238</v>
      </c>
      <c r="R54" s="15"/>
      <c r="S54" s="24" t="s">
        <v>932</v>
      </c>
      <c r="T54" s="62" t="str">
        <f>+'[1]MFP-824.016'!$J$4</f>
        <v>Ed Minall</v>
      </c>
      <c r="U54" s="62"/>
      <c r="V54" s="94">
        <f>+'[1]MFP-824.016'!$F$12</f>
        <v>10095414</v>
      </c>
      <c r="W54" s="199">
        <f t="shared" si="25"/>
        <v>0.46155868397274247</v>
      </c>
      <c r="X54" s="15"/>
      <c r="Y54" s="200">
        <f t="shared" si="34"/>
        <v>0.50980590809628012</v>
      </c>
      <c r="Z54" s="11" t="str">
        <f t="shared" si="35"/>
        <v>FAIL</v>
      </c>
      <c r="AA54" s="11"/>
      <c r="AB54" s="15"/>
      <c r="AC54" s="54">
        <f t="shared" si="36"/>
        <v>9140000</v>
      </c>
      <c r="AD54" s="54">
        <f t="shared" si="36"/>
        <v>4659626</v>
      </c>
      <c r="AE54" s="54">
        <f t="shared" si="37"/>
        <v>4480374</v>
      </c>
    </row>
    <row r="55" spans="2:41" x14ac:dyDescent="0.25">
      <c r="B55" s="203">
        <f>(COUNTIF(L45:L55,"G*")/COUNTA(L45:L55))</f>
        <v>0.77777777777777779</v>
      </c>
      <c r="C55" s="39">
        <v>2018</v>
      </c>
      <c r="D55" s="62" t="str">
        <f>+'[1]TEB-144.046'!$F$4</f>
        <v>TEB-144.046</v>
      </c>
      <c r="E55" s="63" t="str">
        <f>+'[1]TEB-144.046'!$F$5</f>
        <v>Removal of Taxiway B and Construction of Taxiway V</v>
      </c>
      <c r="F55" s="64">
        <f>+'[1]TEB-144.046'!$F$6</f>
        <v>43193</v>
      </c>
      <c r="G55" s="65" t="str">
        <f>+'[1]TEB-144.046'!$G$7</f>
        <v>Public</v>
      </c>
      <c r="H55" s="94">
        <f>+'[1]TEB-144.046'!$F$7</f>
        <v>3441000</v>
      </c>
      <c r="I55" s="94">
        <f>+'[1]TEB-144.046'!$F$8</f>
        <v>2993080</v>
      </c>
      <c r="J55" s="105" t="s">
        <v>519</v>
      </c>
      <c r="K55" s="26">
        <f>+'[1]TEB-144.046'!$G$9</f>
        <v>-0.13017146178436501</v>
      </c>
      <c r="L55" s="11" t="str">
        <f>+'[1]TEB-144.046'!$F$11</f>
        <v>GOOD</v>
      </c>
      <c r="M55" s="15">
        <f>+'[1]TEB-144.046'!$H$12</f>
        <v>3</v>
      </c>
      <c r="N55" s="35" t="s">
        <v>25</v>
      </c>
      <c r="O55" s="15">
        <v>2</v>
      </c>
      <c r="P55" s="35" t="s">
        <v>458</v>
      </c>
      <c r="Q55" s="35" t="s">
        <v>1235</v>
      </c>
      <c r="R55" s="15"/>
      <c r="S55" s="24"/>
      <c r="T55" s="62" t="str">
        <f>+'[1]TEB-144.046'!$J$4</f>
        <v>Joe Lucin</v>
      </c>
      <c r="U55" s="62"/>
      <c r="V55" s="94">
        <f>+'[1]TEB-144.046'!$F$12</f>
        <v>3534026.6666666665</v>
      </c>
      <c r="W55" s="199">
        <f t="shared" si="25"/>
        <v>0.84693192279250873</v>
      </c>
      <c r="X55" s="15"/>
      <c r="Y55" s="200">
        <f t="shared" si="34"/>
        <v>0.86982853821563499</v>
      </c>
      <c r="Z55" s="11" t="str">
        <f t="shared" si="35"/>
        <v>FAIL</v>
      </c>
      <c r="AA55" s="74">
        <f>(COUNTIF(Z46:Z55,"G*")/COUNTA(Z46:Z55))</f>
        <v>0</v>
      </c>
      <c r="AB55" s="15"/>
      <c r="AC55" s="54">
        <f t="shared" si="36"/>
        <v>3441000</v>
      </c>
      <c r="AD55" s="54">
        <f t="shared" si="36"/>
        <v>2993080</v>
      </c>
      <c r="AE55" s="54">
        <f t="shared" si="37"/>
        <v>447920</v>
      </c>
      <c r="AG55" s="4">
        <f>SUM(H45:H55)</f>
        <v>215665500</v>
      </c>
      <c r="AH55" s="4">
        <f>SUM(I45:I55)</f>
        <v>170989542</v>
      </c>
      <c r="AI55" s="209">
        <f>+AH55/AG55</f>
        <v>0.79284606021825466</v>
      </c>
      <c r="AJ55" s="1" t="s">
        <v>1240</v>
      </c>
      <c r="AK55" s="210">
        <f>+AG55+AG72</f>
        <v>553619500</v>
      </c>
      <c r="AL55" s="210">
        <f>+AH55+AH72</f>
        <v>399789614</v>
      </c>
      <c r="AM55" s="211">
        <f>+AL55/AK55</f>
        <v>0.72213788351024488</v>
      </c>
      <c r="AN55" s="212"/>
      <c r="AO55" s="213"/>
    </row>
    <row r="56" spans="2:41" ht="7.5" customHeight="1" x14ac:dyDescent="0.25">
      <c r="C56" s="39"/>
      <c r="G56" s="45"/>
      <c r="M56" s="52"/>
      <c r="P56" s="11"/>
      <c r="S56" s="15"/>
      <c r="V56" s="54"/>
      <c r="W56" s="54"/>
      <c r="X56" s="54"/>
    </row>
    <row r="57" spans="2:41" x14ac:dyDescent="0.25">
      <c r="C57" s="39">
        <v>2018</v>
      </c>
      <c r="D57" s="62" t="str">
        <f>+'[1]LGA-124.261'!$F$4</f>
        <v>LGA-124.261</v>
      </c>
      <c r="E57" s="63" t="str">
        <f>+'[1]LGA-124.261'!$F$5</f>
        <v>Rehab of Pump House 1 Retaining Wall</v>
      </c>
      <c r="F57" s="64">
        <f>+'[1]LGA-124.261'!$F$6</f>
        <v>43179</v>
      </c>
      <c r="G57" s="65" t="str">
        <f>+'[1]LGA-124.261'!$G$7</f>
        <v>Public</v>
      </c>
      <c r="H57" s="94">
        <f>+'[1]LGA-124.261'!$F$7</f>
        <v>1440000</v>
      </c>
      <c r="I57" s="94">
        <f>+'[1]LGA-124.261'!$F$8</f>
        <v>1928000</v>
      </c>
      <c r="J57" s="105"/>
      <c r="K57" s="26">
        <f>+'[1]LGA-124.261'!$G$9</f>
        <v>0.33888888888888891</v>
      </c>
      <c r="L57" s="11" t="str">
        <f>+'[1]LGA-124.261'!$F$11</f>
        <v>FAIL</v>
      </c>
      <c r="M57" s="15">
        <f>+'[1]LGA-124.261'!$H$12</f>
        <v>7</v>
      </c>
      <c r="N57" s="35" t="s">
        <v>93</v>
      </c>
      <c r="O57" s="15">
        <v>1</v>
      </c>
      <c r="P57" s="35" t="s">
        <v>458</v>
      </c>
      <c r="Q57" s="35" t="s">
        <v>1238</v>
      </c>
      <c r="R57" s="15"/>
      <c r="S57" s="24"/>
      <c r="T57" s="62" t="str">
        <f>+'[1]LGA-124.261'!$J$4</f>
        <v>Joe Lucin</v>
      </c>
      <c r="U57" s="62"/>
      <c r="V57" s="94">
        <f>+'[1]LGA-124.261'!$F$12</f>
        <v>2393861.8571428573</v>
      </c>
      <c r="W57" s="199">
        <f t="shared" ref="W57:W72" si="38">+I57/V57</f>
        <v>0.8053931743167182</v>
      </c>
      <c r="X57" s="15"/>
      <c r="Y57" s="200">
        <f t="shared" ref="Y57:Y72" si="39">+I57/H57</f>
        <v>1.3388888888888888</v>
      </c>
      <c r="Z57" s="11" t="str">
        <f t="shared" ref="Z57:Z72" si="40">(IF(Y57&lt;$Y$3,"FAIL",IF(Y57&gt;$Y$4,"FAIL","GOOD")))</f>
        <v>FAIL</v>
      </c>
      <c r="AA57" s="11"/>
      <c r="AB57" s="15"/>
      <c r="AC57" s="54">
        <f t="shared" ref="AC57:AD69" si="41">+H57</f>
        <v>1440000</v>
      </c>
      <c r="AD57" s="54">
        <f t="shared" si="41"/>
        <v>1928000</v>
      </c>
      <c r="AE57" s="54">
        <f t="shared" ref="AE57:AE69" si="42">+AC57-AD57</f>
        <v>-488000</v>
      </c>
    </row>
    <row r="58" spans="2:41" x14ac:dyDescent="0.25">
      <c r="C58" s="39">
        <v>2018</v>
      </c>
      <c r="D58" s="62" t="str">
        <f>+'[1]AKO-284.051'!$F$4</f>
        <v>AKO-284.051</v>
      </c>
      <c r="E58" s="63" t="str">
        <f>+'[1]AKO-284.051'!$F$5</f>
        <v>Main Spain Pier and Fender Upgrades</v>
      </c>
      <c r="F58" s="64">
        <f>+'[1]AKO-284.051'!$F$6</f>
        <v>43179</v>
      </c>
      <c r="G58" s="65" t="str">
        <f>+'[1]AKO-284.051'!$G$7</f>
        <v>Public</v>
      </c>
      <c r="H58" s="94">
        <f>+'[1]AKO-284.051'!$F$7</f>
        <v>27125000</v>
      </c>
      <c r="I58" s="94">
        <f>+'[1]AKO-284.051'!$F$8</f>
        <v>22964560</v>
      </c>
      <c r="J58" s="27" t="s">
        <v>519</v>
      </c>
      <c r="K58" s="26">
        <f>+'[1]AKO-284.051'!$G$9</f>
        <v>-0.15338027649769584</v>
      </c>
      <c r="L58" s="11" t="str">
        <f>+'[1]AKO-284.051'!$F$11</f>
        <v>GOOD</v>
      </c>
      <c r="M58" s="15">
        <f>+'[1]AKO-284.051'!$H$12</f>
        <v>10</v>
      </c>
      <c r="N58" s="35" t="s">
        <v>226</v>
      </c>
      <c r="O58" s="15">
        <v>1</v>
      </c>
      <c r="P58" s="35" t="s">
        <v>457</v>
      </c>
      <c r="Q58" s="35" t="s">
        <v>1238</v>
      </c>
      <c r="R58" s="15"/>
      <c r="S58" s="24"/>
      <c r="T58" s="62" t="str">
        <f>+'[1]AKO-284.051'!$J$4</f>
        <v>Ed Minall</v>
      </c>
      <c r="U58" s="62"/>
      <c r="V58" s="94">
        <f>+'[1]AKO-284.051'!$F$12</f>
        <v>31632465.399999999</v>
      </c>
      <c r="W58" s="199">
        <f t="shared" si="38"/>
        <v>0.72598071979555534</v>
      </c>
      <c r="X58" s="15"/>
      <c r="Y58" s="200">
        <f t="shared" si="39"/>
        <v>0.84661972350230419</v>
      </c>
      <c r="Z58" s="11" t="str">
        <f t="shared" si="40"/>
        <v>FAIL</v>
      </c>
      <c r="AA58" s="11"/>
      <c r="AB58" s="15"/>
      <c r="AC58" s="54">
        <f t="shared" si="41"/>
        <v>27125000</v>
      </c>
      <c r="AD58" s="54">
        <f t="shared" si="41"/>
        <v>22964560</v>
      </c>
      <c r="AE58" s="54">
        <f t="shared" si="42"/>
        <v>4160440</v>
      </c>
    </row>
    <row r="59" spans="2:41" x14ac:dyDescent="0.25">
      <c r="C59" s="39">
        <v>2018</v>
      </c>
      <c r="D59" s="62" t="str">
        <f>+'[1]AKO-284.049'!$F$4</f>
        <v>AKO-284.049</v>
      </c>
      <c r="E59" s="63" t="str">
        <f>+'[1]AKO-284.049'!$F$5</f>
        <v>Tollhouse Building Roof</v>
      </c>
      <c r="F59" s="64">
        <f>+'[1]AKO-284.049'!$F$6</f>
        <v>43174</v>
      </c>
      <c r="G59" s="65" t="str">
        <f>+'[1]AKO-284.049'!$G$7</f>
        <v>Public</v>
      </c>
      <c r="H59" s="94">
        <f>+'[1]AKO-284.049'!$F$7</f>
        <v>1150000</v>
      </c>
      <c r="I59" s="94">
        <f>+'[1]AKO-284.049'!$F$8</f>
        <v>1253317</v>
      </c>
      <c r="J59" s="105" t="s">
        <v>519</v>
      </c>
      <c r="K59" s="26">
        <f>+'[1]AKO-284.049'!$G$9</f>
        <v>8.9840869565217391E-2</v>
      </c>
      <c r="L59" s="11" t="str">
        <f>+'[1]AKO-284.049'!$F$11</f>
        <v>GOOD</v>
      </c>
      <c r="M59" s="15">
        <f>+'[1]AKO-284.049'!$H$12</f>
        <v>6</v>
      </c>
      <c r="N59" s="35" t="s">
        <v>93</v>
      </c>
      <c r="O59" s="15">
        <v>1</v>
      </c>
      <c r="P59" s="35" t="s">
        <v>457</v>
      </c>
      <c r="Q59" s="35" t="s">
        <v>1243</v>
      </c>
      <c r="R59" s="15"/>
      <c r="S59" s="24"/>
      <c r="T59" s="62" t="str">
        <f>+'[1]AKO-284.049'!$J$4</f>
        <v>Joe Lucin</v>
      </c>
      <c r="U59" s="62"/>
      <c r="V59" s="94">
        <f>+'[1]AKO-284.049'!$F$12</f>
        <v>1900429</v>
      </c>
      <c r="W59" s="199">
        <f t="shared" si="38"/>
        <v>0.65949162004999928</v>
      </c>
      <c r="X59" s="15"/>
      <c r="Y59" s="200">
        <f t="shared" si="39"/>
        <v>1.0898408695652173</v>
      </c>
      <c r="Z59" s="11" t="str">
        <f t="shared" si="40"/>
        <v>FAIL</v>
      </c>
      <c r="AA59" s="11"/>
      <c r="AB59" s="15"/>
      <c r="AC59" s="54">
        <f t="shared" si="41"/>
        <v>1150000</v>
      </c>
      <c r="AD59" s="54">
        <f t="shared" si="41"/>
        <v>1253317</v>
      </c>
      <c r="AE59" s="54">
        <f t="shared" si="42"/>
        <v>-103317</v>
      </c>
    </row>
    <row r="60" spans="2:41" x14ac:dyDescent="0.25">
      <c r="C60" s="39">
        <v>2018</v>
      </c>
      <c r="D60" s="62" t="str">
        <f>+'[1]LT-924.175'!$F$4</f>
        <v>LT-924.175</v>
      </c>
      <c r="E60" s="63" t="str">
        <f>+'[1]LT-924.175'!$F$5</f>
        <v>Helix Guiderail Repair and Manhole Cover Relocation</v>
      </c>
      <c r="F60" s="64">
        <f>+'[1]LT-924.175'!$F$6</f>
        <v>43173</v>
      </c>
      <c r="G60" s="65" t="str">
        <f>+'[1]LT-924.175'!$G$7</f>
        <v>MWBE</v>
      </c>
      <c r="H60" s="94">
        <f>+'[1]LT-924.175'!$F$7</f>
        <v>600000</v>
      </c>
      <c r="I60" s="94">
        <f>+'[1]LT-924.175'!$F$8</f>
        <v>749000</v>
      </c>
      <c r="J60" s="105"/>
      <c r="K60" s="26">
        <f>+'[1]LT-924.175'!$G$9</f>
        <v>0.24833333333333332</v>
      </c>
      <c r="L60" s="11" t="str">
        <f>+'[1]LT-924.175'!$F$11</f>
        <v>FAIL</v>
      </c>
      <c r="M60" s="15">
        <f>+'[1]LT-924.175'!$H$12</f>
        <v>3</v>
      </c>
      <c r="N60" s="35" t="s">
        <v>25</v>
      </c>
      <c r="O60" s="15">
        <v>1</v>
      </c>
      <c r="P60" s="35" t="s">
        <v>457</v>
      </c>
      <c r="Q60" s="35" t="s">
        <v>1235</v>
      </c>
      <c r="R60" s="15"/>
      <c r="S60" s="24"/>
      <c r="T60" s="62" t="str">
        <f>+'[1]LT-924.175'!$J$4</f>
        <v>Boris Lenderman</v>
      </c>
      <c r="U60" s="62"/>
      <c r="V60" s="94">
        <f>+'[1]LT-924.175'!$F$12</f>
        <v>994735</v>
      </c>
      <c r="W60" s="199">
        <f t="shared" si="38"/>
        <v>0.75296435734140243</v>
      </c>
      <c r="X60" s="15"/>
      <c r="Y60" s="200">
        <f t="shared" si="39"/>
        <v>1.2483333333333333</v>
      </c>
      <c r="Z60" s="11" t="str">
        <f t="shared" si="40"/>
        <v>FAIL</v>
      </c>
      <c r="AA60" s="11"/>
      <c r="AB60" s="15"/>
      <c r="AC60" s="54">
        <f t="shared" si="41"/>
        <v>600000</v>
      </c>
      <c r="AD60" s="54">
        <f t="shared" si="41"/>
        <v>749000</v>
      </c>
      <c r="AE60" s="54">
        <f t="shared" si="42"/>
        <v>-149000</v>
      </c>
    </row>
    <row r="61" spans="2:41" x14ac:dyDescent="0.25">
      <c r="C61" s="39">
        <v>2018</v>
      </c>
      <c r="D61" s="62" t="str">
        <f>+'[1]EWR-154.396'!$F$4</f>
        <v>EWR-154.396</v>
      </c>
      <c r="E61" s="63" t="str">
        <f>+'[1]EWR-154.396'!$F$5</f>
        <v>Bridge N64 and Hotel Road Widening</v>
      </c>
      <c r="F61" s="64">
        <f>+'[1]EWR-154.396'!$F$6</f>
        <v>43168</v>
      </c>
      <c r="G61" s="65" t="str">
        <f>+'[1]EWR-154.396'!$G$7</f>
        <v>Public</v>
      </c>
      <c r="H61" s="94">
        <f>+'[1]EWR-154.396'!$F$7</f>
        <v>10900000</v>
      </c>
      <c r="I61" s="94">
        <f>+'[1]EWR-154.396'!$F$8</f>
        <v>10417536</v>
      </c>
      <c r="J61" s="27" t="s">
        <v>519</v>
      </c>
      <c r="K61" s="26">
        <f>+'[1]EWR-154.396'!$G$9</f>
        <v>-4.4262752293577984E-2</v>
      </c>
      <c r="L61" s="11" t="str">
        <f>+'[1]EWR-154.396'!$F$11</f>
        <v>GOOD</v>
      </c>
      <c r="M61" s="15">
        <f>+'[1]EWR-154.396'!$H$12</f>
        <v>11</v>
      </c>
      <c r="N61" s="35" t="s">
        <v>25</v>
      </c>
      <c r="O61" s="15">
        <v>1</v>
      </c>
      <c r="P61" s="35" t="s">
        <v>458</v>
      </c>
      <c r="Q61" s="35" t="s">
        <v>1235</v>
      </c>
      <c r="R61" s="15"/>
      <c r="S61" s="24"/>
      <c r="T61" s="62" t="str">
        <f>+'[1]EWR-154.396'!$J$4</f>
        <v>Joe Lucin</v>
      </c>
      <c r="U61" s="62"/>
      <c r="V61" s="94">
        <f>+'[1]EWR-154.396'!$F$12</f>
        <v>12059792.454545455</v>
      </c>
      <c r="W61" s="199">
        <f t="shared" si="38"/>
        <v>0.86382382112003331</v>
      </c>
      <c r="X61" s="15"/>
      <c r="Y61" s="200">
        <f t="shared" si="39"/>
        <v>0.95573724770642199</v>
      </c>
      <c r="Z61" s="11" t="str">
        <f t="shared" si="40"/>
        <v>FAIL</v>
      </c>
      <c r="AA61" s="11"/>
      <c r="AB61" s="15"/>
      <c r="AC61" s="54">
        <f t="shared" si="41"/>
        <v>10900000</v>
      </c>
      <c r="AD61" s="54">
        <f t="shared" si="41"/>
        <v>10417536</v>
      </c>
      <c r="AE61" s="54">
        <f t="shared" si="42"/>
        <v>482464</v>
      </c>
    </row>
    <row r="62" spans="2:41" x14ac:dyDescent="0.25">
      <c r="C62" s="39">
        <v>2018</v>
      </c>
      <c r="D62" s="62" t="str">
        <f>+'[1]PAT-784.172'!$F$4</f>
        <v>PAT-784.172</v>
      </c>
      <c r="E62" s="63" t="str">
        <f>+'[1]PAT-784.172'!$F$5</f>
        <v>Hoboken Station Elevator Flood Resiliency</v>
      </c>
      <c r="F62" s="64">
        <f>+'[1]PAT-784.172'!$F$6</f>
        <v>43167</v>
      </c>
      <c r="G62" s="65" t="str">
        <f>+'[1]PAT-784.172'!$G$7</f>
        <v>Public</v>
      </c>
      <c r="H62" s="94">
        <f>+'[1]PAT-784.172'!$F$7</f>
        <v>1600000</v>
      </c>
      <c r="I62" s="94">
        <f>+'[1]PAT-784.172'!$F$8</f>
        <v>1948000</v>
      </c>
      <c r="J62" s="105"/>
      <c r="K62" s="26">
        <f>+'[1]PAT-784.172'!$G$9</f>
        <v>0.2175</v>
      </c>
      <c r="L62" s="11" t="str">
        <f>+'[1]PAT-784.172'!$F$11</f>
        <v>FAIL</v>
      </c>
      <c r="M62" s="15">
        <f>+'[1]PAT-784.172'!$H$12</f>
        <v>2</v>
      </c>
      <c r="N62" s="35" t="s">
        <v>25</v>
      </c>
      <c r="O62" s="15">
        <v>1</v>
      </c>
      <c r="P62" s="35" t="s">
        <v>459</v>
      </c>
      <c r="Q62" s="35" t="s">
        <v>1243</v>
      </c>
      <c r="R62" s="15"/>
      <c r="S62" s="24"/>
      <c r="T62" s="62" t="str">
        <f>+'[1]PAT-784.172'!$J$4</f>
        <v>Nathan Demaisip</v>
      </c>
      <c r="U62" s="62"/>
      <c r="V62" s="94">
        <f>+'[1]PAT-784.172'!$F$12</f>
        <v>2353500</v>
      </c>
      <c r="W62" s="199">
        <f t="shared" si="38"/>
        <v>0.82770342043764611</v>
      </c>
      <c r="X62" s="15"/>
      <c r="Y62" s="200">
        <f t="shared" si="39"/>
        <v>1.2175</v>
      </c>
      <c r="Z62" s="11" t="str">
        <f t="shared" si="40"/>
        <v>FAIL</v>
      </c>
      <c r="AA62" s="11"/>
      <c r="AB62" s="15"/>
      <c r="AC62" s="54">
        <f t="shared" si="41"/>
        <v>1600000</v>
      </c>
      <c r="AD62" s="54">
        <f t="shared" si="41"/>
        <v>1948000</v>
      </c>
      <c r="AE62" s="54">
        <f t="shared" si="42"/>
        <v>-348000</v>
      </c>
    </row>
    <row r="63" spans="2:41" x14ac:dyDescent="0.25">
      <c r="C63" s="39">
        <v>2018</v>
      </c>
      <c r="D63" s="62" t="str">
        <f>+'[1]EWR-924.231'!$F$4</f>
        <v>EWR-924.231</v>
      </c>
      <c r="E63" s="63" t="str">
        <f>+'[1]EWR-924.231'!$F$5</f>
        <v>Priority and Safety Repairs</v>
      </c>
      <c r="F63" s="64">
        <f>+'[1]EWR-924.231'!$F$6</f>
        <v>43160</v>
      </c>
      <c r="G63" s="65" t="str">
        <f>+'[1]EWR-924.231'!$G$7</f>
        <v>Public</v>
      </c>
      <c r="H63" s="94">
        <f>+'[1]EWR-924.231'!$F$7</f>
        <v>1273000</v>
      </c>
      <c r="I63" s="94">
        <f>+'[1]EWR-924.231'!$F$8</f>
        <v>1050950</v>
      </c>
      <c r="J63" s="105" t="s">
        <v>519</v>
      </c>
      <c r="K63" s="26">
        <f>+'[1]EWR-924.231'!$G$9</f>
        <v>-0.1744304791830322</v>
      </c>
      <c r="L63" s="11" t="str">
        <f>+'[1]EWR-924.231'!$F$11</f>
        <v>GOOD</v>
      </c>
      <c r="M63" s="15">
        <f>+'[1]EWR-924.231'!$H$12</f>
        <v>6</v>
      </c>
      <c r="N63" s="35" t="s">
        <v>25</v>
      </c>
      <c r="O63" s="15">
        <v>1</v>
      </c>
      <c r="P63" s="35" t="s">
        <v>458</v>
      </c>
      <c r="Q63" s="35" t="s">
        <v>1238</v>
      </c>
      <c r="R63" s="15"/>
      <c r="S63" s="24" t="s">
        <v>1244</v>
      </c>
      <c r="T63" s="62" t="str">
        <f>+'[1]EWR-924.231'!$J$4</f>
        <v>Joe Lucin</v>
      </c>
      <c r="U63" s="62"/>
      <c r="V63" s="94">
        <f>+'[1]EWR-924.231'!$F$12</f>
        <v>2050444.6666666667</v>
      </c>
      <c r="W63" s="199">
        <f t="shared" si="38"/>
        <v>0.51254735964589138</v>
      </c>
      <c r="X63" s="15"/>
      <c r="Y63" s="200">
        <f t="shared" si="39"/>
        <v>0.82556952081696777</v>
      </c>
      <c r="Z63" s="11" t="str">
        <f t="shared" si="40"/>
        <v>FAIL</v>
      </c>
      <c r="AA63" s="11"/>
      <c r="AB63" s="15"/>
      <c r="AC63" s="54">
        <f t="shared" si="41"/>
        <v>1273000</v>
      </c>
      <c r="AD63" s="54">
        <f t="shared" si="41"/>
        <v>1050950</v>
      </c>
      <c r="AE63" s="54">
        <f t="shared" si="42"/>
        <v>222050</v>
      </c>
    </row>
    <row r="64" spans="2:41" x14ac:dyDescent="0.25">
      <c r="C64" s="39">
        <v>2018</v>
      </c>
      <c r="D64" s="62" t="str">
        <f>+'[1]JFK-184.010'!$F$4</f>
        <v>JFK-184.010</v>
      </c>
      <c r="E64" s="63" t="str">
        <f>+'[1]JFK-184.010'!$F$5</f>
        <v>Replace Control Tower Roofs, HVAC Equipment and Curtain Wall Repairs</v>
      </c>
      <c r="F64" s="64">
        <f>+'[1]JFK-184.010'!$F$6</f>
        <v>43147</v>
      </c>
      <c r="G64" s="65" t="str">
        <f>+'[1]JFK-184.010'!$G$7</f>
        <v>Public</v>
      </c>
      <c r="H64" s="94">
        <f>+'[1]JFK-184.010'!$F$7</f>
        <v>23100000</v>
      </c>
      <c r="I64" s="94">
        <f>+'[1]JFK-184.010'!$F$8</f>
        <v>16848000</v>
      </c>
      <c r="J64" s="27" t="s">
        <v>519</v>
      </c>
      <c r="K64" s="26">
        <f>+'[1]JFK-184.010'!$G$9</f>
        <v>-0.27064935064935064</v>
      </c>
      <c r="L64" s="11" t="str">
        <f>+'[1]JFK-184.010'!$F$11</f>
        <v>GOOD</v>
      </c>
      <c r="M64" s="15">
        <f>+'[1]JFK-184.010'!$H$12</f>
        <v>6</v>
      </c>
      <c r="N64" s="35" t="s">
        <v>93</v>
      </c>
      <c r="O64" s="15">
        <v>1</v>
      </c>
      <c r="P64" s="35" t="s">
        <v>458</v>
      </c>
      <c r="Q64" s="35" t="s">
        <v>1243</v>
      </c>
      <c r="R64" s="15"/>
      <c r="S64" s="24"/>
      <c r="T64" s="62" t="str">
        <f>+'[1]JFK-184.010'!$J$4</f>
        <v>Wen Chang</v>
      </c>
      <c r="U64" s="62"/>
      <c r="V64" s="94">
        <f>+'[1]JFK-184.010'!$F$12</f>
        <v>24152208.666666668</v>
      </c>
      <c r="W64" s="199">
        <f t="shared" si="38"/>
        <v>0.69757595392310978</v>
      </c>
      <c r="X64" s="15"/>
      <c r="Y64" s="200">
        <f t="shared" si="39"/>
        <v>0.7293506493506493</v>
      </c>
      <c r="Z64" s="11" t="str">
        <f t="shared" si="40"/>
        <v>FAIL</v>
      </c>
      <c r="AA64" s="11"/>
      <c r="AB64" s="15"/>
      <c r="AC64" s="54">
        <f t="shared" si="41"/>
        <v>23100000</v>
      </c>
      <c r="AD64" s="54">
        <f t="shared" si="41"/>
        <v>16848000</v>
      </c>
      <c r="AE64" s="54">
        <f t="shared" si="42"/>
        <v>6252000</v>
      </c>
    </row>
    <row r="65" spans="2:35" x14ac:dyDescent="0.25">
      <c r="C65" s="39">
        <v>2018</v>
      </c>
      <c r="D65" s="62" t="str">
        <f>+'[1]LGA-124.264'!$F$4</f>
        <v>LGA-124.264</v>
      </c>
      <c r="E65" s="63" t="str">
        <f>+'[1]LGA-124.264'!$F$5</f>
        <v>Rehab of Runway Decks Wearing Course (Epoxy Stage 3)</v>
      </c>
      <c r="F65" s="64">
        <f>+'[1]LGA-124.264'!$F$6</f>
        <v>43139</v>
      </c>
      <c r="G65" s="65" t="str">
        <f>+'[1]LGA-124.264'!$G$7</f>
        <v>PQL</v>
      </c>
      <c r="H65" s="94">
        <f>+'[1]LGA-124.264'!$F$7</f>
        <v>10590000</v>
      </c>
      <c r="I65" s="94">
        <f>+'[1]LGA-124.264'!$F$8</f>
        <v>9125000</v>
      </c>
      <c r="J65" s="27"/>
      <c r="K65" s="26">
        <f>+'[1]LGA-124.264'!$G$9</f>
        <v>-0.13833805476864966</v>
      </c>
      <c r="L65" s="11" t="str">
        <f>+'[1]LGA-124.264'!$F$11</f>
        <v>FAIL</v>
      </c>
      <c r="M65" s="15">
        <f>+'[1]LGA-124.264'!$H$12</f>
        <v>2</v>
      </c>
      <c r="N65" s="35" t="s">
        <v>93</v>
      </c>
      <c r="O65" s="15">
        <v>1</v>
      </c>
      <c r="P65" s="35" t="s">
        <v>458</v>
      </c>
      <c r="Q65" s="35" t="s">
        <v>1235</v>
      </c>
      <c r="R65" s="15"/>
      <c r="S65" s="24"/>
      <c r="T65" s="62" t="str">
        <f>+'[1]LGA-124.264'!$J$4</f>
        <v>Joe Lucin</v>
      </c>
      <c r="U65" s="62"/>
      <c r="V65" s="94">
        <f>+'[1]LGA-124.264'!$F$12</f>
        <v>9478917</v>
      </c>
      <c r="W65" s="199">
        <f t="shared" si="38"/>
        <v>0.96266271769232714</v>
      </c>
      <c r="X65" s="15"/>
      <c r="Y65" s="200">
        <f t="shared" si="39"/>
        <v>0.86166194523135031</v>
      </c>
      <c r="Z65" s="11" t="str">
        <f t="shared" si="40"/>
        <v>FAIL</v>
      </c>
      <c r="AA65" s="11"/>
      <c r="AB65" s="15"/>
      <c r="AC65" s="54">
        <f t="shared" si="41"/>
        <v>10590000</v>
      </c>
      <c r="AD65" s="54">
        <f t="shared" si="41"/>
        <v>9125000</v>
      </c>
      <c r="AE65" s="54">
        <f t="shared" si="42"/>
        <v>1465000</v>
      </c>
    </row>
    <row r="66" spans="2:35" x14ac:dyDescent="0.25">
      <c r="C66" s="39">
        <v>2018</v>
      </c>
      <c r="D66" s="62" t="str">
        <f>+'[1]GWB-244.265'!$F$4</f>
        <v>GWB-244.265</v>
      </c>
      <c r="E66" s="63" t="str">
        <f>+'[1]GWB-244.265'!$F$5</f>
        <v>Pedestrian Safety Fencing on NJ Approach Parapets</v>
      </c>
      <c r="F66" s="64">
        <f>+'[1]GWB-244.265'!$F$6</f>
        <v>43138</v>
      </c>
      <c r="G66" s="65" t="str">
        <f>+'[1]GWB-244.265'!$G$7</f>
        <v>MWBE</v>
      </c>
      <c r="H66" s="94">
        <f>+'[1]GWB-244.265'!$F$7</f>
        <v>1056000</v>
      </c>
      <c r="I66" s="94">
        <f>+'[1]GWB-244.265'!$F$8</f>
        <v>619790</v>
      </c>
      <c r="J66" s="105" t="s">
        <v>519</v>
      </c>
      <c r="K66" s="26">
        <f>+'[1]GWB-244.265'!$G$9</f>
        <v>-0.41307765151515152</v>
      </c>
      <c r="L66" s="11" t="str">
        <f>+'[1]GWB-244.265'!$F$11</f>
        <v>GOOD</v>
      </c>
      <c r="M66" s="15">
        <f>+'[1]GWB-244.265'!$H$12</f>
        <v>6</v>
      </c>
      <c r="N66" s="35" t="s">
        <v>25</v>
      </c>
      <c r="O66" s="15">
        <v>1</v>
      </c>
      <c r="P66" s="35" t="s">
        <v>457</v>
      </c>
      <c r="Q66" s="35" t="s">
        <v>1238</v>
      </c>
      <c r="R66" s="15"/>
      <c r="S66" s="24"/>
      <c r="T66" s="62" t="str">
        <f>+'[1]GWB-244.265'!$J$4</f>
        <v>Joe Lucin</v>
      </c>
      <c r="U66" s="62"/>
      <c r="V66" s="94">
        <f>+'[1]GWB-244.265'!$F$12</f>
        <v>2319072.3333333335</v>
      </c>
      <c r="W66" s="199">
        <f t="shared" si="38"/>
        <v>0.26725772676057108</v>
      </c>
      <c r="X66" s="15"/>
      <c r="Y66" s="200">
        <f t="shared" si="39"/>
        <v>0.58692234848484848</v>
      </c>
      <c r="Z66" s="11" t="str">
        <f t="shared" si="40"/>
        <v>FAIL</v>
      </c>
      <c r="AA66" s="11"/>
      <c r="AB66" s="15"/>
      <c r="AC66" s="54">
        <f t="shared" si="41"/>
        <v>1056000</v>
      </c>
      <c r="AD66" s="54">
        <f t="shared" si="41"/>
        <v>619790</v>
      </c>
      <c r="AE66" s="54">
        <f t="shared" si="42"/>
        <v>436210</v>
      </c>
    </row>
    <row r="67" spans="2:35" x14ac:dyDescent="0.25">
      <c r="C67" s="39">
        <v>2018</v>
      </c>
      <c r="D67" s="62" t="str">
        <f>+'[1]LGA-774.264'!$F$4</f>
        <v>LGA-774.264</v>
      </c>
      <c r="E67" s="63" t="str">
        <f>+'[1]LGA-774.264'!$F$5</f>
        <v>Flood Protection at the West End Substation</v>
      </c>
      <c r="F67" s="64">
        <f>+'[1]LGA-774.264'!$F$6</f>
        <v>43125</v>
      </c>
      <c r="G67" s="65" t="str">
        <f>+'[1]LGA-774.264'!$G$7</f>
        <v>Public</v>
      </c>
      <c r="H67" s="94">
        <f>+'[1]LGA-774.264'!$F$7</f>
        <v>1700000</v>
      </c>
      <c r="I67" s="94">
        <f>+'[1]LGA-774.264'!$F$8</f>
        <v>1555555</v>
      </c>
      <c r="J67" s="105" t="s">
        <v>519</v>
      </c>
      <c r="K67" s="26">
        <f>+'[1]LGA-774.264'!$G$9</f>
        <v>-8.4967647058823523E-2</v>
      </c>
      <c r="L67" s="11" t="str">
        <f>+'[1]LGA-774.264'!$F$11</f>
        <v>GOOD</v>
      </c>
      <c r="M67" s="15">
        <f>+'[1]LGA-774.264'!$H$12</f>
        <v>9</v>
      </c>
      <c r="N67" s="35" t="s">
        <v>93</v>
      </c>
      <c r="O67" s="15">
        <v>1</v>
      </c>
      <c r="P67" s="35" t="s">
        <v>458</v>
      </c>
      <c r="Q67" s="35" t="s">
        <v>1245</v>
      </c>
      <c r="R67" s="15"/>
      <c r="S67" s="24"/>
      <c r="T67" s="62" t="str">
        <f>+'[1]LGA-774.264'!$J$4</f>
        <v>Joe Lucin</v>
      </c>
      <c r="U67" s="62"/>
      <c r="V67" s="94">
        <f>+'[1]LGA-774.264'!$F$12</f>
        <v>2601779.6666666665</v>
      </c>
      <c r="W67" s="199">
        <f t="shared" si="38"/>
        <v>0.59788114263839154</v>
      </c>
      <c r="X67" s="15"/>
      <c r="Y67" s="200">
        <f t="shared" si="39"/>
        <v>0.91503235294117646</v>
      </c>
      <c r="Z67" s="11" t="str">
        <f t="shared" si="40"/>
        <v>FAIL</v>
      </c>
      <c r="AA67" s="11"/>
      <c r="AB67" s="15"/>
      <c r="AC67" s="54">
        <f t="shared" si="41"/>
        <v>1700000</v>
      </c>
      <c r="AD67" s="54">
        <f t="shared" si="41"/>
        <v>1555555</v>
      </c>
      <c r="AE67" s="54">
        <f t="shared" si="42"/>
        <v>144445</v>
      </c>
    </row>
    <row r="68" spans="2:35" x14ac:dyDescent="0.25">
      <c r="C68" s="39">
        <v>2018</v>
      </c>
      <c r="D68" s="62" t="str">
        <f>+'[1]HH-634.514'!$F$4</f>
        <v>HH-634.514</v>
      </c>
      <c r="E68" s="63" t="str">
        <f>+'[1]HH-634.514'!$F$5</f>
        <v>Howland Hook Upgrade of Pavement Subgrade</v>
      </c>
      <c r="F68" s="64">
        <f>+'[1]HH-634.514'!$F$6</f>
        <v>43124</v>
      </c>
      <c r="G68" s="65" t="str">
        <f>+'[1]HH-634.514'!$G$7</f>
        <v>Public</v>
      </c>
      <c r="H68" s="94">
        <f>+'[1]HH-634.514'!$F$7</f>
        <v>22000000</v>
      </c>
      <c r="I68" s="94">
        <f>+'[1]HH-634.514'!$F$8</f>
        <v>19988889</v>
      </c>
      <c r="J68" s="27" t="s">
        <v>519</v>
      </c>
      <c r="K68" s="26">
        <f>+'[1]HH-634.514'!$G$9</f>
        <v>-9.1414136363636364E-2</v>
      </c>
      <c r="L68" s="11" t="str">
        <f>+'[1]HH-634.514'!$F$11</f>
        <v>GOOD</v>
      </c>
      <c r="M68" s="15">
        <f>+'[1]HH-634.514'!$H$12</f>
        <v>13</v>
      </c>
      <c r="N68" s="35" t="s">
        <v>93</v>
      </c>
      <c r="O68" s="15">
        <v>1</v>
      </c>
      <c r="P68" s="35" t="s">
        <v>492</v>
      </c>
      <c r="Q68" s="35" t="s">
        <v>1245</v>
      </c>
      <c r="R68" s="15"/>
      <c r="S68" s="24"/>
      <c r="T68" s="62" t="str">
        <f>+'[1]HH-634.514'!$J$4</f>
        <v>Ed Minall</v>
      </c>
      <c r="U68" s="62"/>
      <c r="V68" s="94">
        <f>+'[1]HH-634.514'!$F$12</f>
        <v>27586889.692307692</v>
      </c>
      <c r="W68" s="199">
        <f t="shared" si="38"/>
        <v>0.72457929193712933</v>
      </c>
      <c r="X68" s="15"/>
      <c r="Y68" s="200">
        <f t="shared" si="39"/>
        <v>0.90858586363636362</v>
      </c>
      <c r="Z68" s="11" t="str">
        <f t="shared" si="40"/>
        <v>FAIL</v>
      </c>
      <c r="AA68" s="11"/>
      <c r="AB68" s="15"/>
      <c r="AC68" s="54">
        <f t="shared" si="41"/>
        <v>22000000</v>
      </c>
      <c r="AD68" s="54">
        <f t="shared" si="41"/>
        <v>19988889</v>
      </c>
      <c r="AE68" s="54">
        <f t="shared" si="42"/>
        <v>2011111</v>
      </c>
    </row>
    <row r="69" spans="2:35" x14ac:dyDescent="0.25">
      <c r="C69" s="39">
        <v>2018</v>
      </c>
      <c r="D69" s="62" t="str">
        <f>+'[1]PAT-924.802'!$F$4</f>
        <v>PAT-924.802</v>
      </c>
      <c r="E69" s="63" t="str">
        <f>+'[1]PAT-924.802'!$F$5</f>
        <v>Fire Alarm System Upgrade</v>
      </c>
      <c r="F69" s="64">
        <f>+'[1]PAT-924.802'!$F$6</f>
        <v>43118</v>
      </c>
      <c r="G69" s="65" t="str">
        <f>+'[1]PAT-924.802'!$G$7</f>
        <v>VVP</v>
      </c>
      <c r="H69" s="94">
        <f>+'[1]PAT-924.802'!$F$7</f>
        <v>26900000</v>
      </c>
      <c r="I69" s="94">
        <f>+'[1]PAT-924.802'!$F$8</f>
        <v>24990000</v>
      </c>
      <c r="J69" s="27" t="s">
        <v>519</v>
      </c>
      <c r="K69" s="26">
        <f>+'[1]PAT-924.802'!$G$9</f>
        <v>-7.1003717472118963E-2</v>
      </c>
      <c r="L69" s="11" t="str">
        <f>+'[1]PAT-924.802'!$F$11</f>
        <v>GOOD</v>
      </c>
      <c r="M69" s="15">
        <f>+'[1]PAT-924.802'!$H$12</f>
        <v>2</v>
      </c>
      <c r="N69" s="35" t="s">
        <v>226</v>
      </c>
      <c r="O69" s="15">
        <v>1</v>
      </c>
      <c r="P69" s="35" t="s">
        <v>459</v>
      </c>
      <c r="Q69" s="35" t="s">
        <v>1246</v>
      </c>
      <c r="R69" s="15"/>
      <c r="S69" s="24"/>
      <c r="T69" s="62" t="str">
        <f>+'[1]PAT-924.802'!$J$4</f>
        <v>Nathan Demaisip</v>
      </c>
      <c r="U69" s="62"/>
      <c r="V69" s="94">
        <f>+'[1]PAT-924.802'!$F$12</f>
        <v>35017000</v>
      </c>
      <c r="W69" s="199">
        <f t="shared" si="38"/>
        <v>0.71365336836393756</v>
      </c>
      <c r="X69" s="15"/>
      <c r="Y69" s="200">
        <f t="shared" si="39"/>
        <v>0.92899628252788102</v>
      </c>
      <c r="Z69" s="11" t="str">
        <f t="shared" si="40"/>
        <v>FAIL</v>
      </c>
      <c r="AA69" s="11"/>
      <c r="AB69" s="15"/>
      <c r="AC69" s="54">
        <f t="shared" si="41"/>
        <v>26900000</v>
      </c>
      <c r="AD69" s="54">
        <f t="shared" si="41"/>
        <v>24990000</v>
      </c>
      <c r="AE69" s="54">
        <f t="shared" si="42"/>
        <v>1910000</v>
      </c>
    </row>
    <row r="70" spans="2:35" x14ac:dyDescent="0.25">
      <c r="C70" s="39">
        <v>2018</v>
      </c>
      <c r="D70" s="62" t="str">
        <f>+'[1]EWR-154.224 Void'!$F$4</f>
        <v>EWR-154.224</v>
      </c>
      <c r="E70" s="63" t="str">
        <f>+'[1]EWR-154.224 Void'!$F$5</f>
        <v>Terminal B Exterior Curtain Wall Upgrade</v>
      </c>
      <c r="F70" s="64">
        <f>+'[1]EWR-154.224 Void'!$F$6</f>
        <v>43117</v>
      </c>
      <c r="G70" s="65"/>
      <c r="H70" s="94"/>
      <c r="I70" s="94"/>
      <c r="J70" s="27"/>
      <c r="K70" s="26"/>
      <c r="L70" s="11"/>
      <c r="M70" s="257"/>
      <c r="N70" s="35"/>
      <c r="O70" s="15"/>
      <c r="P70" s="35"/>
      <c r="Q70" s="35"/>
      <c r="R70" s="15"/>
      <c r="S70" s="24" t="s">
        <v>227</v>
      </c>
      <c r="T70" s="62"/>
      <c r="U70" s="62"/>
      <c r="V70" s="94"/>
      <c r="W70" s="199"/>
      <c r="X70" s="15"/>
      <c r="Y70" s="200"/>
      <c r="Z70" s="11"/>
      <c r="AA70" s="11"/>
      <c r="AB70" s="15"/>
      <c r="AC70" s="54"/>
      <c r="AD70" s="54"/>
      <c r="AE70" s="54"/>
    </row>
    <row r="71" spans="2:35" x14ac:dyDescent="0.25">
      <c r="C71" s="39">
        <v>2018</v>
      </c>
      <c r="D71" s="62" t="str">
        <f>+'[1]PAT-650'!$F$4</f>
        <v>PAT-650</v>
      </c>
      <c r="E71" s="63" t="str">
        <f>+'[1]PAT-650'!$F$5</f>
        <v>Tunnels E and F Infrastructure Repairs</v>
      </c>
      <c r="F71" s="64">
        <f>+'[1]PAT-650'!$F$6</f>
        <v>43110</v>
      </c>
      <c r="G71" s="65" t="str">
        <f>+'[1]PAT-650'!$G$7</f>
        <v>PQL</v>
      </c>
      <c r="H71" s="94">
        <f>+'[1]PAT-650'!$F$7</f>
        <v>200000000</v>
      </c>
      <c r="I71" s="94">
        <f>+'[1]PAT-650'!$F$8</f>
        <v>108511400</v>
      </c>
      <c r="J71" s="27"/>
      <c r="K71" s="26">
        <f>+'[1]PAT-650'!$G$9</f>
        <v>-0.45744299999999999</v>
      </c>
      <c r="L71" s="11" t="str">
        <f>+'[1]PAT-650'!$F$11</f>
        <v>FAIL</v>
      </c>
      <c r="M71" s="15">
        <f>+'[1]PAT-650'!$H$12</f>
        <v>5</v>
      </c>
      <c r="N71" s="35" t="s">
        <v>226</v>
      </c>
      <c r="O71" s="15">
        <v>1</v>
      </c>
      <c r="P71" s="35" t="s">
        <v>459</v>
      </c>
      <c r="Q71" s="35" t="s">
        <v>1246</v>
      </c>
      <c r="R71" s="15"/>
      <c r="S71" s="24" t="s">
        <v>932</v>
      </c>
      <c r="T71" s="62" t="str">
        <f>+'[1]PAT-650'!$J$4</f>
        <v>Nathan Demaisip</v>
      </c>
      <c r="U71" s="62"/>
      <c r="V71" s="94">
        <f>+'[1]PAT-650'!$F$12</f>
        <v>136419680</v>
      </c>
      <c r="W71" s="199">
        <f t="shared" si="38"/>
        <v>0.79542335827206168</v>
      </c>
      <c r="X71" s="15"/>
      <c r="Y71" s="200">
        <f t="shared" si="39"/>
        <v>0.54255699999999996</v>
      </c>
      <c r="Z71" s="11" t="str">
        <f t="shared" si="40"/>
        <v>FAIL</v>
      </c>
      <c r="AA71" s="11"/>
      <c r="AB71" s="15"/>
      <c r="AC71" s="54">
        <f t="shared" ref="AC71:AD72" si="43">+H71</f>
        <v>200000000</v>
      </c>
      <c r="AD71" s="54">
        <f t="shared" si="43"/>
        <v>108511400</v>
      </c>
      <c r="AE71" s="54">
        <f t="shared" ref="AE71:AE72" si="44">+AC71-AD71</f>
        <v>91488600</v>
      </c>
    </row>
    <row r="72" spans="2:35" x14ac:dyDescent="0.25">
      <c r="B72" s="203">
        <f>(COUNTIF(L57:L72,"G*")/COUNTA(L57:L72))</f>
        <v>0.66666666666666663</v>
      </c>
      <c r="C72" s="39">
        <v>2018</v>
      </c>
      <c r="D72" s="62" t="str">
        <f>+'[1]GWB-244.267'!$F$4</f>
        <v>GWB-244.267</v>
      </c>
      <c r="E72" s="63" t="str">
        <f>+'[1]GWB-244.267'!$F$5</f>
        <v>TME Hydrant and Water Main Rehabilitation</v>
      </c>
      <c r="F72" s="64">
        <f>+'[1]GWB-244.267'!$F$6</f>
        <v>43108</v>
      </c>
      <c r="G72" s="65" t="str">
        <f>+'[1]GWB-244.267'!$G$7</f>
        <v>PQL</v>
      </c>
      <c r="H72" s="94">
        <f>+'[1]GWB-244.267'!$F$7</f>
        <v>8520000</v>
      </c>
      <c r="I72" s="94">
        <f>+'[1]GWB-244.267'!$F$8</f>
        <v>6850075</v>
      </c>
      <c r="J72" s="27" t="s">
        <v>519</v>
      </c>
      <c r="K72" s="26">
        <f>+'[1]GWB-244.267'!$G$9</f>
        <v>-0.19600058685446009</v>
      </c>
      <c r="L72" s="11" t="str">
        <f>+'[1]GWB-244.267'!$F$11</f>
        <v>GOOD</v>
      </c>
      <c r="M72" s="15">
        <f>+'[1]GWB-244.267'!$H$12</f>
        <v>5</v>
      </c>
      <c r="N72" s="35" t="s">
        <v>93</v>
      </c>
      <c r="O72" s="15">
        <v>1</v>
      </c>
      <c r="P72" s="35" t="s">
        <v>457</v>
      </c>
      <c r="Q72" s="35" t="s">
        <v>1235</v>
      </c>
      <c r="R72" s="15"/>
      <c r="S72" s="24"/>
      <c r="T72" s="62" t="str">
        <f>+'[1]GWB-244.267'!$J$4</f>
        <v>Joe Lucin</v>
      </c>
      <c r="U72" s="62"/>
      <c r="V72" s="94">
        <f>+'[1]GWB-244.267'!$F$12</f>
        <v>10472836.199999999</v>
      </c>
      <c r="W72" s="199">
        <f t="shared" si="38"/>
        <v>0.65408021945382866</v>
      </c>
      <c r="X72" s="15"/>
      <c r="Y72" s="200">
        <f t="shared" si="39"/>
        <v>0.80399941314553991</v>
      </c>
      <c r="Z72" s="11" t="str">
        <f t="shared" si="40"/>
        <v>FAIL</v>
      </c>
      <c r="AA72" s="74">
        <f>(COUNTIF(Z57:Z72,"G*")/COUNTA(Z57:Z72))</f>
        <v>0</v>
      </c>
      <c r="AB72" s="15"/>
      <c r="AC72" s="54">
        <f t="shared" si="43"/>
        <v>8520000</v>
      </c>
      <c r="AD72" s="54">
        <f t="shared" si="43"/>
        <v>6850075</v>
      </c>
      <c r="AE72" s="54">
        <f t="shared" si="44"/>
        <v>1669925</v>
      </c>
      <c r="AG72" s="4">
        <f>SUM(H57:H72)</f>
        <v>337954000</v>
      </c>
      <c r="AH72" s="4">
        <f>SUM(I57:I72)</f>
        <v>228800072</v>
      </c>
      <c r="AI72" s="7">
        <f>+AH72/AG72</f>
        <v>0.67701542813519</v>
      </c>
    </row>
    <row r="73" spans="2:35" x14ac:dyDescent="0.25">
      <c r="C73" s="39"/>
      <c r="D73" s="15"/>
      <c r="E73" s="24"/>
      <c r="F73" s="25"/>
      <c r="G73" s="46"/>
      <c r="H73" s="27"/>
      <c r="I73" s="27"/>
      <c r="J73" s="27"/>
      <c r="K73" s="26"/>
      <c r="L73" s="11"/>
      <c r="M73" s="62"/>
      <c r="P73" s="11"/>
      <c r="V73" s="54"/>
      <c r="W73" s="54"/>
      <c r="X73" s="54"/>
    </row>
    <row r="74" spans="2:35" x14ac:dyDescent="0.25">
      <c r="C74" s="39"/>
      <c r="D74" s="15"/>
      <c r="E74" s="24"/>
      <c r="F74" s="25"/>
      <c r="G74" s="46"/>
      <c r="H74" s="27"/>
      <c r="I74" s="27"/>
      <c r="J74" s="27"/>
      <c r="K74" s="26"/>
      <c r="L74" s="11"/>
      <c r="M74" s="15"/>
      <c r="P74" s="11"/>
      <c r="V74" s="54"/>
      <c r="W74" s="54"/>
      <c r="X74" s="54"/>
    </row>
    <row r="75" spans="2:35" x14ac:dyDescent="0.25">
      <c r="C75" s="39"/>
      <c r="D75" s="15"/>
      <c r="E75" s="24"/>
      <c r="F75" s="25"/>
      <c r="G75" s="46"/>
      <c r="H75" s="27"/>
      <c r="I75" s="27"/>
      <c r="J75" s="27"/>
      <c r="K75" s="26"/>
      <c r="L75" s="11"/>
      <c r="M75" s="15"/>
      <c r="P75" s="11"/>
      <c r="V75" s="54"/>
      <c r="W75" s="54"/>
      <c r="X75" s="54"/>
    </row>
    <row r="76" spans="2:35" x14ac:dyDescent="0.25">
      <c r="C76" s="39"/>
      <c r="G76" s="46"/>
      <c r="H76" s="68"/>
      <c r="L76">
        <f>COUNTA(L6:L72)</f>
        <v>56</v>
      </c>
      <c r="P76" s="11"/>
      <c r="V76" s="54"/>
      <c r="W76" s="54"/>
      <c r="X76" s="54"/>
    </row>
    <row r="77" spans="2:35" x14ac:dyDescent="0.25">
      <c r="C77" s="39"/>
      <c r="G77" s="45"/>
      <c r="H77" s="69"/>
      <c r="L77">
        <v>23</v>
      </c>
      <c r="M77" t="s">
        <v>789</v>
      </c>
      <c r="N77" s="76" t="s">
        <v>819</v>
      </c>
      <c r="P77" s="11"/>
      <c r="V77" s="54"/>
      <c r="W77" s="54"/>
      <c r="X77" s="54"/>
    </row>
    <row r="78" spans="2:35" x14ac:dyDescent="0.25">
      <c r="C78" s="39"/>
      <c r="G78" s="45"/>
      <c r="H78" s="69"/>
      <c r="L78">
        <f>+L76-L77</f>
        <v>33</v>
      </c>
      <c r="M78" t="s">
        <v>790</v>
      </c>
      <c r="P78" s="11"/>
      <c r="V78" s="54"/>
      <c r="W78" s="54"/>
      <c r="X78" s="54"/>
    </row>
    <row r="79" spans="2:35" x14ac:dyDescent="0.25">
      <c r="C79" s="39"/>
      <c r="G79" s="45"/>
      <c r="H79" s="67"/>
      <c r="L79">
        <f>+L78/L76</f>
        <v>0.5892857142857143</v>
      </c>
      <c r="P79" s="11"/>
    </row>
    <row r="80" spans="2:35" x14ac:dyDescent="0.25">
      <c r="C80" s="39"/>
      <c r="G80" s="45"/>
      <c r="P80" s="11"/>
    </row>
    <row r="81" spans="3:16" x14ac:dyDescent="0.25">
      <c r="C81" s="39"/>
      <c r="G81" s="45"/>
      <c r="H81" s="55">
        <f>SUM(H6:H72)</f>
        <v>1162894350</v>
      </c>
      <c r="I81" s="55">
        <f>SUM(I6:I72)</f>
        <v>925393062</v>
      </c>
      <c r="J81" s="7">
        <f>+I81/H81</f>
        <v>0.795767097845131</v>
      </c>
      <c r="L81" s="4">
        <f>COUNTA(L6:L72)-H76</f>
        <v>56</v>
      </c>
      <c r="P81" s="11"/>
    </row>
    <row r="82" spans="3:16" x14ac:dyDescent="0.25">
      <c r="C82" s="39"/>
      <c r="G82" s="45"/>
      <c r="L82">
        <f>+L77-H77</f>
        <v>23</v>
      </c>
      <c r="M82" t="s">
        <v>789</v>
      </c>
      <c r="P82" s="11"/>
    </row>
    <row r="83" spans="3:16" x14ac:dyDescent="0.25">
      <c r="C83" s="39"/>
      <c r="G83" s="45"/>
      <c r="L83">
        <f>+L78-H78</f>
        <v>33</v>
      </c>
      <c r="M83" t="s">
        <v>790</v>
      </c>
      <c r="P83" s="11"/>
    </row>
    <row r="84" spans="3:16" x14ac:dyDescent="0.25">
      <c r="C84" s="39"/>
      <c r="G84" s="45"/>
      <c r="L84">
        <f>+L83/L81</f>
        <v>0.5892857142857143</v>
      </c>
      <c r="P84" s="11"/>
    </row>
    <row r="85" spans="3:16" x14ac:dyDescent="0.25">
      <c r="C85" s="39"/>
      <c r="G85" s="45"/>
      <c r="P85" s="11"/>
    </row>
    <row r="86" spans="3:16" x14ac:dyDescent="0.25">
      <c r="C86" s="39"/>
      <c r="G86" s="45"/>
      <c r="P86" s="11"/>
    </row>
    <row r="87" spans="3:16" x14ac:dyDescent="0.25">
      <c r="C87" s="39"/>
      <c r="E87" s="125" t="s">
        <v>1168</v>
      </c>
      <c r="F87" s="70" t="str">
        <f>"'15 final"</f>
        <v>'15 final</v>
      </c>
      <c r="G87" s="70" t="str">
        <f>"'16 final"</f>
        <v>'16 final</v>
      </c>
      <c r="H87" s="121" t="str">
        <f>"'17 final"</f>
        <v>'17 final</v>
      </c>
      <c r="I87" s="121" t="str">
        <f>"'18 final"</f>
        <v>'18 final</v>
      </c>
      <c r="P87" s="11"/>
    </row>
    <row r="88" spans="3:16" x14ac:dyDescent="0.25">
      <c r="C88" s="39"/>
      <c r="E88" s="71" t="s">
        <v>800</v>
      </c>
      <c r="F88" s="11">
        <v>36</v>
      </c>
      <c r="G88" s="11">
        <v>43</v>
      </c>
      <c r="H88" s="104">
        <v>65</v>
      </c>
      <c r="I88" s="104">
        <f>+L76</f>
        <v>56</v>
      </c>
      <c r="P88" s="11"/>
    </row>
    <row r="89" spans="3:16" x14ac:dyDescent="0.25">
      <c r="C89" s="39"/>
      <c r="E89" s="72" t="s">
        <v>801</v>
      </c>
      <c r="F89" s="11">
        <v>24</v>
      </c>
      <c r="G89" s="11">
        <v>36</v>
      </c>
      <c r="H89" s="104">
        <v>41</v>
      </c>
      <c r="I89" s="104">
        <f>17+14</f>
        <v>31</v>
      </c>
      <c r="P89" s="11"/>
    </row>
    <row r="90" spans="3:16" x14ac:dyDescent="0.25">
      <c r="C90" s="39"/>
      <c r="E90" s="72" t="s">
        <v>802</v>
      </c>
      <c r="F90" s="11">
        <v>12</v>
      </c>
      <c r="G90" s="11">
        <v>7</v>
      </c>
      <c r="H90" s="104">
        <v>24</v>
      </c>
      <c r="I90" s="104">
        <f>+I88-I89</f>
        <v>25</v>
      </c>
      <c r="P90" s="11"/>
    </row>
    <row r="91" spans="3:16" x14ac:dyDescent="0.25">
      <c r="C91" s="39"/>
      <c r="E91" s="72"/>
      <c r="F91" s="11"/>
      <c r="G91" s="11"/>
      <c r="H91" s="104"/>
      <c r="I91" s="104"/>
      <c r="P91" s="11"/>
    </row>
    <row r="92" spans="3:16" x14ac:dyDescent="0.25">
      <c r="C92" s="39"/>
      <c r="E92" s="72" t="s">
        <v>1144</v>
      </c>
      <c r="F92" s="78">
        <v>170</v>
      </c>
      <c r="G92" s="78">
        <v>348.82968799999998</v>
      </c>
      <c r="H92" s="122">
        <v>1039.196416</v>
      </c>
      <c r="I92" s="122">
        <f>I81/1000000</f>
        <v>925.39306199999999</v>
      </c>
      <c r="P92" s="11"/>
    </row>
    <row r="93" spans="3:16" x14ac:dyDescent="0.25">
      <c r="C93" s="39"/>
      <c r="E93" s="72" t="s">
        <v>806</v>
      </c>
      <c r="F93" s="75">
        <v>6.416666666666667</v>
      </c>
      <c r="G93" s="75">
        <v>5.8837209302325579</v>
      </c>
      <c r="H93" s="123">
        <v>5.3076923076923075</v>
      </c>
      <c r="I93" s="123">
        <f>AVERAGE(M6:M72)</f>
        <v>4.6607142857142856</v>
      </c>
      <c r="P93" s="11"/>
    </row>
    <row r="94" spans="3:16" x14ac:dyDescent="0.25">
      <c r="C94" s="39"/>
      <c r="E94" s="72" t="s">
        <v>807</v>
      </c>
      <c r="F94" s="74">
        <v>1.024</v>
      </c>
      <c r="G94" s="74">
        <v>0.83587858746624299</v>
      </c>
      <c r="H94" s="124">
        <v>0.92751521347304389</v>
      </c>
      <c r="I94" s="124">
        <f>+J81</f>
        <v>0.795767097845131</v>
      </c>
      <c r="P94" s="11"/>
    </row>
    <row r="95" spans="3:16" x14ac:dyDescent="0.25">
      <c r="C95" s="39"/>
      <c r="E95" s="72"/>
      <c r="F95" s="11"/>
      <c r="G95" s="11"/>
      <c r="H95" s="104"/>
      <c r="I95" s="104"/>
      <c r="P95" s="11"/>
    </row>
    <row r="96" spans="3:16" x14ac:dyDescent="0.25">
      <c r="C96" s="39"/>
      <c r="E96" s="72" t="s">
        <v>803</v>
      </c>
      <c r="F96" s="74">
        <v>0.55500000000000005</v>
      </c>
      <c r="G96" s="74">
        <v>0.62790697674418605</v>
      </c>
      <c r="H96" s="124">
        <v>0.66153846153846152</v>
      </c>
      <c r="I96" s="151">
        <f>+AQ28</f>
        <v>0.5892857142857143</v>
      </c>
      <c r="P96" s="11"/>
    </row>
    <row r="97" spans="2:41" x14ac:dyDescent="0.25">
      <c r="C97" s="107">
        <v>14</v>
      </c>
      <c r="D97" s="52" t="s">
        <v>789</v>
      </c>
      <c r="E97" s="72" t="s">
        <v>804</v>
      </c>
      <c r="F97" s="74">
        <v>0.5</v>
      </c>
      <c r="G97" s="74">
        <v>0.63888888888888884</v>
      </c>
      <c r="H97" s="108">
        <v>0.68292682926829273</v>
      </c>
      <c r="I97" s="152">
        <f>(I89-C97)/I89</f>
        <v>0.54838709677419351</v>
      </c>
      <c r="P97" s="11"/>
    </row>
    <row r="98" spans="2:41" x14ac:dyDescent="0.25">
      <c r="C98" s="107">
        <v>9</v>
      </c>
      <c r="D98" s="52" t="s">
        <v>789</v>
      </c>
      <c r="E98" s="72" t="s">
        <v>805</v>
      </c>
      <c r="F98" s="74">
        <v>0.66700000000000004</v>
      </c>
      <c r="G98" s="74">
        <v>0.5714285714285714</v>
      </c>
      <c r="H98" s="108">
        <v>0.625</v>
      </c>
      <c r="I98" s="152">
        <f>(I90-C98)/I90</f>
        <v>0.64</v>
      </c>
      <c r="P98" s="11"/>
    </row>
    <row r="99" spans="2:41" x14ac:dyDescent="0.25">
      <c r="C99" s="39"/>
      <c r="E99" s="72"/>
      <c r="F99" s="11"/>
      <c r="G99" s="11"/>
      <c r="H99" s="104"/>
      <c r="I99" s="104"/>
      <c r="P99" s="11"/>
    </row>
    <row r="100" spans="2:41" x14ac:dyDescent="0.25">
      <c r="C100" s="39"/>
      <c r="E100" s="72" t="s">
        <v>1141</v>
      </c>
      <c r="F100" s="11">
        <v>15</v>
      </c>
      <c r="G100" s="11">
        <v>13</v>
      </c>
      <c r="H100" s="104">
        <v>25</v>
      </c>
      <c r="I100" s="104">
        <v>23</v>
      </c>
    </row>
    <row r="101" spans="2:41" x14ac:dyDescent="0.25">
      <c r="E101" s="106" t="s">
        <v>1143</v>
      </c>
      <c r="F101" s="74">
        <f>+F100/F88</f>
        <v>0.41666666666666669</v>
      </c>
      <c r="G101" s="74">
        <f>+G100/G88</f>
        <v>0.30232558139534882</v>
      </c>
      <c r="H101" s="108">
        <v>0.38461538461538464</v>
      </c>
      <c r="I101" s="108">
        <f>+I100/I88</f>
        <v>0.4107142857142857</v>
      </c>
    </row>
    <row r="102" spans="2:41" x14ac:dyDescent="0.25">
      <c r="C102" s="39"/>
      <c r="E102" s="72" t="s">
        <v>1142</v>
      </c>
      <c r="F102" s="11">
        <v>5</v>
      </c>
      <c r="G102" s="11">
        <v>3</v>
      </c>
      <c r="H102" s="104">
        <v>2</v>
      </c>
      <c r="I102" s="104">
        <v>7</v>
      </c>
    </row>
    <row r="103" spans="2:41" x14ac:dyDescent="0.25">
      <c r="C103" s="39"/>
      <c r="E103" s="106" t="s">
        <v>1169</v>
      </c>
      <c r="F103" s="74">
        <f>+F102/F88</f>
        <v>0.1388888888888889</v>
      </c>
      <c r="G103" s="74">
        <f>+G102/G88</f>
        <v>6.9767441860465115E-2</v>
      </c>
      <c r="H103" s="108">
        <v>3.0769230769230771E-2</v>
      </c>
      <c r="I103" s="108">
        <f>+I102/I88</f>
        <v>0.125</v>
      </c>
    </row>
    <row r="104" spans="2:41" x14ac:dyDescent="0.25">
      <c r="C104" s="39"/>
      <c r="E104" s="72"/>
      <c r="F104" s="11"/>
      <c r="G104" s="11"/>
    </row>
    <row r="105" spans="2:41" x14ac:dyDescent="0.25">
      <c r="C105" s="39"/>
      <c r="E105" s="72"/>
      <c r="F105" s="11"/>
      <c r="G105" s="11"/>
    </row>
    <row r="106" spans="2:41" x14ac:dyDescent="0.25">
      <c r="C106" s="79"/>
      <c r="D106" s="80"/>
      <c r="E106" s="81"/>
      <c r="F106" s="82"/>
      <c r="G106" s="82"/>
      <c r="H106" s="80"/>
      <c r="I106" s="80"/>
      <c r="J106" s="80"/>
      <c r="K106" s="80"/>
      <c r="L106" s="80"/>
      <c r="M106" s="80"/>
      <c r="N106" s="82"/>
      <c r="O106" s="80"/>
      <c r="P106" s="80"/>
      <c r="Q106" s="80"/>
      <c r="R106" s="80"/>
      <c r="S106" s="80"/>
    </row>
    <row r="107" spans="2:41" x14ac:dyDescent="0.25">
      <c r="C107" s="39"/>
      <c r="E107" s="36"/>
      <c r="G107" s="45"/>
    </row>
    <row r="108" spans="2:41" x14ac:dyDescent="0.25">
      <c r="C108" s="39"/>
      <c r="G108" s="45"/>
    </row>
    <row r="109" spans="2:41" x14ac:dyDescent="0.25">
      <c r="C109" s="39"/>
      <c r="D109" s="31" t="s">
        <v>837</v>
      </c>
      <c r="G109" s="45"/>
    </row>
    <row r="110" spans="2:41" x14ac:dyDescent="0.25">
      <c r="B110" s="224"/>
      <c r="C110" s="39">
        <v>2018</v>
      </c>
      <c r="D110" s="62" t="s">
        <v>1324</v>
      </c>
      <c r="E110" s="63" t="s">
        <v>1325</v>
      </c>
      <c r="F110" s="64">
        <v>43452</v>
      </c>
      <c r="G110" s="65" t="s">
        <v>34</v>
      </c>
      <c r="H110" s="94">
        <v>10250000</v>
      </c>
      <c r="I110" s="94">
        <v>8275000</v>
      </c>
      <c r="J110" s="94"/>
      <c r="K110" s="153">
        <v>-0.1926829268292683</v>
      </c>
      <c r="L110" s="11" t="s">
        <v>465</v>
      </c>
      <c r="M110" s="15">
        <v>3</v>
      </c>
      <c r="N110" s="35" t="s">
        <v>25</v>
      </c>
      <c r="O110" s="15">
        <v>4</v>
      </c>
      <c r="P110" s="35" t="s">
        <v>458</v>
      </c>
      <c r="Q110" s="35"/>
      <c r="R110" s="15"/>
      <c r="S110" s="24"/>
      <c r="T110" s="62" t="s">
        <v>784</v>
      </c>
      <c r="U110" s="62"/>
      <c r="V110" s="94">
        <v>9049324.666666666</v>
      </c>
      <c r="W110" s="199">
        <v>0.91443287812195495</v>
      </c>
      <c r="X110" s="15"/>
      <c r="Y110" s="200">
        <v>0.80731707317073176</v>
      </c>
      <c r="Z110" s="11" t="s">
        <v>465</v>
      </c>
      <c r="AA110" s="11"/>
      <c r="AB110" s="15"/>
      <c r="AC110" s="54">
        <v>10250000</v>
      </c>
      <c r="AD110" s="54">
        <v>8275000</v>
      </c>
      <c r="AE110" s="54">
        <v>1975000</v>
      </c>
      <c r="AG110" s="4"/>
      <c r="AH110" s="4"/>
      <c r="AI110" s="225"/>
      <c r="AJ110" s="226"/>
      <c r="AK110" s="227"/>
      <c r="AL110" s="227"/>
      <c r="AM110" s="225"/>
      <c r="AN110" s="226"/>
      <c r="AO110" s="228"/>
    </row>
    <row r="111" spans="2:41" x14ac:dyDescent="0.25">
      <c r="B111" s="224"/>
      <c r="C111" s="39">
        <v>2018</v>
      </c>
      <c r="D111" s="62" t="s">
        <v>1326</v>
      </c>
      <c r="E111" s="63" t="s">
        <v>1327</v>
      </c>
      <c r="F111" s="64">
        <v>43441</v>
      </c>
      <c r="G111" s="65" t="s">
        <v>34</v>
      </c>
      <c r="H111" s="94">
        <v>5000000</v>
      </c>
      <c r="I111" s="94">
        <v>4380000</v>
      </c>
      <c r="J111" s="105" t="s">
        <v>519</v>
      </c>
      <c r="K111" s="153">
        <v>-0.124</v>
      </c>
      <c r="L111" s="11" t="s">
        <v>464</v>
      </c>
      <c r="M111" s="15">
        <v>4</v>
      </c>
      <c r="N111" s="35" t="s">
        <v>25</v>
      </c>
      <c r="O111" s="15">
        <v>4</v>
      </c>
      <c r="P111" s="35" t="s">
        <v>459</v>
      </c>
      <c r="Q111" s="35"/>
      <c r="R111" s="15"/>
      <c r="S111" s="24"/>
      <c r="T111" s="62" t="s">
        <v>447</v>
      </c>
      <c r="U111" s="62"/>
      <c r="V111" s="94">
        <v>5853509.5</v>
      </c>
      <c r="W111" s="199">
        <v>0.74826905124182341</v>
      </c>
      <c r="X111" s="15"/>
      <c r="Y111" s="200">
        <v>0.876</v>
      </c>
      <c r="Z111" s="11" t="s">
        <v>465</v>
      </c>
      <c r="AA111" s="11"/>
      <c r="AB111" s="15"/>
      <c r="AC111" s="54">
        <v>5000000</v>
      </c>
      <c r="AD111" s="54">
        <v>4380000</v>
      </c>
      <c r="AE111" s="54">
        <v>620000</v>
      </c>
      <c r="AG111" s="4"/>
      <c r="AH111" s="4"/>
      <c r="AI111" s="225"/>
      <c r="AJ111" s="226"/>
      <c r="AK111" s="227"/>
      <c r="AL111" s="227"/>
      <c r="AM111" s="225"/>
      <c r="AN111" s="226"/>
      <c r="AO111" s="228"/>
    </row>
    <row r="112" spans="2:41" x14ac:dyDescent="0.25">
      <c r="B112" s="224"/>
      <c r="C112" s="39">
        <v>2018</v>
      </c>
      <c r="D112" s="62" t="s">
        <v>1328</v>
      </c>
      <c r="E112" s="63" t="s">
        <v>1329</v>
      </c>
      <c r="F112" s="64">
        <v>43440</v>
      </c>
      <c r="G112" s="65" t="s">
        <v>1225</v>
      </c>
      <c r="H112" s="94">
        <v>1500000</v>
      </c>
      <c r="I112" s="94">
        <v>2546000</v>
      </c>
      <c r="J112" s="105"/>
      <c r="K112" s="153">
        <v>0.69733333333333336</v>
      </c>
      <c r="L112" s="11" t="s">
        <v>465</v>
      </c>
      <c r="M112" s="15">
        <v>3</v>
      </c>
      <c r="N112" s="35" t="s">
        <v>25</v>
      </c>
      <c r="O112" s="15">
        <v>4</v>
      </c>
      <c r="P112" s="35" t="s">
        <v>459</v>
      </c>
      <c r="Q112" s="35"/>
      <c r="R112" s="15"/>
      <c r="S112" s="24"/>
      <c r="T112" s="62" t="s">
        <v>447</v>
      </c>
      <c r="U112" s="62"/>
      <c r="V112" s="94">
        <v>4262816.666666667</v>
      </c>
      <c r="W112" s="199">
        <v>0.59725768173625415</v>
      </c>
      <c r="X112" s="15"/>
      <c r="Y112" s="200">
        <v>1.6973333333333334</v>
      </c>
      <c r="Z112" s="11" t="s">
        <v>465</v>
      </c>
      <c r="AA112" s="11"/>
      <c r="AB112" s="15"/>
      <c r="AC112" s="54">
        <v>1500000</v>
      </c>
      <c r="AD112" s="54">
        <v>2546000</v>
      </c>
      <c r="AE112" s="54">
        <v>-1046000</v>
      </c>
      <c r="AG112" s="4"/>
      <c r="AH112" s="4"/>
      <c r="AI112" s="225"/>
      <c r="AJ112" s="226"/>
      <c r="AK112" s="227"/>
      <c r="AL112" s="227"/>
      <c r="AM112" s="225"/>
      <c r="AN112" s="226"/>
      <c r="AO112" s="228"/>
    </row>
    <row r="113" spans="2:43" x14ac:dyDescent="0.25">
      <c r="B113" s="224"/>
      <c r="C113" s="39">
        <v>2018</v>
      </c>
      <c r="D113" s="62" t="s">
        <v>1330</v>
      </c>
      <c r="E113" s="63" t="s">
        <v>1331</v>
      </c>
      <c r="F113" s="64">
        <v>43438</v>
      </c>
      <c r="G113" s="65" t="s">
        <v>34</v>
      </c>
      <c r="H113" s="94">
        <v>122920000</v>
      </c>
      <c r="I113" s="94">
        <v>119769038</v>
      </c>
      <c r="J113" s="94" t="s">
        <v>519</v>
      </c>
      <c r="K113" s="153">
        <v>-2.5634249918646275E-2</v>
      </c>
      <c r="L113" s="11" t="s">
        <v>464</v>
      </c>
      <c r="M113" s="15">
        <v>2</v>
      </c>
      <c r="N113" s="35" t="s">
        <v>25</v>
      </c>
      <c r="O113" s="15">
        <v>4</v>
      </c>
      <c r="P113" s="35" t="s">
        <v>458</v>
      </c>
      <c r="Q113" s="35"/>
      <c r="R113" s="15"/>
      <c r="S113" s="24"/>
      <c r="T113" s="62" t="s">
        <v>784</v>
      </c>
      <c r="U113" s="62"/>
      <c r="V113" s="94">
        <v>122138179</v>
      </c>
      <c r="W113" s="199">
        <v>0.98060278105177912</v>
      </c>
      <c r="X113" s="15"/>
      <c r="Y113" s="200">
        <v>0.97436575008135373</v>
      </c>
      <c r="Z113" s="11" t="s">
        <v>465</v>
      </c>
      <c r="AA113" s="11"/>
      <c r="AB113" s="15"/>
      <c r="AC113" s="54">
        <v>122920000</v>
      </c>
      <c r="AD113" s="54">
        <v>119769038</v>
      </c>
      <c r="AE113" s="54">
        <v>3150962</v>
      </c>
      <c r="AG113" s="4"/>
      <c r="AH113" s="4"/>
      <c r="AI113" s="225"/>
      <c r="AJ113" s="226"/>
      <c r="AK113" s="227"/>
      <c r="AL113" s="227"/>
      <c r="AM113" s="225"/>
      <c r="AN113" s="226"/>
      <c r="AO113" s="228"/>
    </row>
    <row r="114" spans="2:43" x14ac:dyDescent="0.25">
      <c r="B114" s="224"/>
      <c r="C114" s="39">
        <v>2018</v>
      </c>
      <c r="D114" s="62" t="s">
        <v>1332</v>
      </c>
      <c r="E114" s="63" t="s">
        <v>1333</v>
      </c>
      <c r="F114" s="64">
        <v>43419</v>
      </c>
      <c r="G114" s="65" t="s">
        <v>34</v>
      </c>
      <c r="H114" s="94">
        <v>12570000</v>
      </c>
      <c r="I114" s="94">
        <v>9714000</v>
      </c>
      <c r="J114" s="94"/>
      <c r="K114" s="153">
        <v>-0.22720763723150358</v>
      </c>
      <c r="L114" s="11" t="s">
        <v>465</v>
      </c>
      <c r="M114" s="15">
        <v>4</v>
      </c>
      <c r="N114" s="35" t="s">
        <v>25</v>
      </c>
      <c r="O114" s="15">
        <v>4</v>
      </c>
      <c r="P114" s="35" t="s">
        <v>458</v>
      </c>
      <c r="Q114" s="35"/>
      <c r="R114" s="15"/>
      <c r="S114" s="24"/>
      <c r="T114" s="62" t="s">
        <v>784</v>
      </c>
      <c r="U114" s="62"/>
      <c r="V114" s="94">
        <v>10579250</v>
      </c>
      <c r="W114" s="199">
        <v>0.91821253869603237</v>
      </c>
      <c r="X114" s="15"/>
      <c r="Y114" s="200">
        <v>0.77279236276849639</v>
      </c>
      <c r="Z114" s="11" t="s">
        <v>465</v>
      </c>
      <c r="AA114" s="11"/>
      <c r="AB114" s="15"/>
      <c r="AC114" s="54">
        <v>12570000</v>
      </c>
      <c r="AD114" s="54">
        <v>9714000</v>
      </c>
      <c r="AE114" s="54">
        <v>2856000</v>
      </c>
      <c r="AG114" s="4"/>
      <c r="AH114" s="4"/>
      <c r="AI114" s="225"/>
      <c r="AJ114" s="226"/>
      <c r="AK114" s="227"/>
      <c r="AL114" s="227"/>
      <c r="AM114" s="225"/>
      <c r="AN114" s="226"/>
      <c r="AO114" s="228"/>
    </row>
    <row r="115" spans="2:43" x14ac:dyDescent="0.25">
      <c r="B115" s="224"/>
      <c r="C115" s="39">
        <v>2018</v>
      </c>
      <c r="D115" s="62" t="s">
        <v>1334</v>
      </c>
      <c r="E115" s="63" t="s">
        <v>1335</v>
      </c>
      <c r="F115" s="64">
        <v>43405</v>
      </c>
      <c r="G115" s="65" t="s">
        <v>34</v>
      </c>
      <c r="H115" s="94">
        <v>9650000</v>
      </c>
      <c r="I115" s="94">
        <v>9200000</v>
      </c>
      <c r="J115" s="94" t="s">
        <v>519</v>
      </c>
      <c r="K115" s="153">
        <v>-4.6632124352331605E-2</v>
      </c>
      <c r="L115" s="11" t="s">
        <v>464</v>
      </c>
      <c r="M115" s="15">
        <v>1</v>
      </c>
      <c r="N115" s="35" t="s">
        <v>25</v>
      </c>
      <c r="O115" s="15">
        <v>4</v>
      </c>
      <c r="P115" s="35" t="s">
        <v>459</v>
      </c>
      <c r="Q115" s="35"/>
      <c r="R115" s="15"/>
      <c r="S115" s="24" t="s">
        <v>1323</v>
      </c>
      <c r="T115" s="62" t="s">
        <v>447</v>
      </c>
      <c r="U115" s="62"/>
      <c r="V115" s="94">
        <v>9200000</v>
      </c>
      <c r="W115" s="199">
        <v>1</v>
      </c>
      <c r="X115" s="15"/>
      <c r="Y115" s="200">
        <v>0.95336787564766834</v>
      </c>
      <c r="Z115" s="11" t="s">
        <v>465</v>
      </c>
      <c r="AA115" s="11"/>
      <c r="AB115" s="15"/>
      <c r="AC115" s="54">
        <v>9650000</v>
      </c>
      <c r="AD115" s="54">
        <v>9200000</v>
      </c>
      <c r="AE115" s="54">
        <v>450000</v>
      </c>
      <c r="AG115" s="4"/>
      <c r="AH115" s="4"/>
      <c r="AI115" s="225"/>
      <c r="AJ115" s="226"/>
      <c r="AK115" s="227"/>
      <c r="AL115" s="227"/>
      <c r="AM115" s="225"/>
      <c r="AN115" s="226"/>
      <c r="AO115" s="228"/>
    </row>
    <row r="116" spans="2:43" x14ac:dyDescent="0.25">
      <c r="B116" s="224"/>
      <c r="C116" s="39">
        <v>2018</v>
      </c>
      <c r="D116" s="62" t="s">
        <v>1336</v>
      </c>
      <c r="E116" s="63" t="s">
        <v>1337</v>
      </c>
      <c r="F116" s="64">
        <v>43404</v>
      </c>
      <c r="G116" s="65" t="s">
        <v>34</v>
      </c>
      <c r="H116" s="94">
        <v>6500000</v>
      </c>
      <c r="I116" s="94">
        <v>4149491</v>
      </c>
      <c r="J116" s="105"/>
      <c r="K116" s="153">
        <v>-0.36161676923076924</v>
      </c>
      <c r="L116" s="11" t="s">
        <v>465</v>
      </c>
      <c r="M116" s="15">
        <v>8</v>
      </c>
      <c r="N116" s="35" t="s">
        <v>25</v>
      </c>
      <c r="O116" s="15">
        <v>4</v>
      </c>
      <c r="P116" s="35" t="s">
        <v>459</v>
      </c>
      <c r="Q116" s="35"/>
      <c r="R116" s="15"/>
      <c r="S116" s="24" t="s">
        <v>932</v>
      </c>
      <c r="T116" s="62" t="s">
        <v>447</v>
      </c>
      <c r="U116" s="62"/>
      <c r="V116" s="94">
        <v>5708325.25</v>
      </c>
      <c r="W116" s="199">
        <v>0.72691916074684082</v>
      </c>
      <c r="X116" s="15"/>
      <c r="Y116" s="200">
        <v>0.63838323076923076</v>
      </c>
      <c r="Z116" s="11" t="s">
        <v>465</v>
      </c>
      <c r="AA116" s="11"/>
      <c r="AB116" s="15"/>
      <c r="AC116" s="54">
        <v>6500000</v>
      </c>
      <c r="AD116" s="54">
        <v>4149491</v>
      </c>
      <c r="AE116" s="54">
        <v>2350509</v>
      </c>
      <c r="AG116" s="4"/>
      <c r="AH116" s="4"/>
      <c r="AI116" s="225"/>
      <c r="AJ116" s="226"/>
      <c r="AK116" s="227"/>
      <c r="AL116" s="227"/>
      <c r="AM116" s="225"/>
      <c r="AN116" s="226"/>
      <c r="AO116" s="228"/>
    </row>
    <row r="117" spans="2:43" x14ac:dyDescent="0.25">
      <c r="B117" s="224"/>
      <c r="C117" s="39">
        <v>2018</v>
      </c>
      <c r="D117" s="62" t="s">
        <v>1338</v>
      </c>
      <c r="E117" s="63" t="s">
        <v>1339</v>
      </c>
      <c r="F117" s="64">
        <v>43397</v>
      </c>
      <c r="G117" s="65" t="s">
        <v>34</v>
      </c>
      <c r="H117" s="94">
        <v>2971000</v>
      </c>
      <c r="I117" s="94">
        <v>2384000</v>
      </c>
      <c r="J117" s="105" t="s">
        <v>519</v>
      </c>
      <c r="K117" s="153">
        <v>-0.1975765735442612</v>
      </c>
      <c r="L117" s="11" t="s">
        <v>464</v>
      </c>
      <c r="M117" s="15">
        <v>2</v>
      </c>
      <c r="N117" s="35" t="s">
        <v>25</v>
      </c>
      <c r="O117" s="15">
        <v>4</v>
      </c>
      <c r="P117" s="35" t="s">
        <v>459</v>
      </c>
      <c r="Q117" s="35"/>
      <c r="R117" s="15"/>
      <c r="S117" s="24"/>
      <c r="T117" s="62" t="s">
        <v>447</v>
      </c>
      <c r="U117" s="62"/>
      <c r="V117" s="94">
        <v>3291500</v>
      </c>
      <c r="W117" s="199">
        <v>0.72428983746012454</v>
      </c>
      <c r="X117" s="15"/>
      <c r="Y117" s="200">
        <v>0.80242342645573883</v>
      </c>
      <c r="Z117" s="11" t="s">
        <v>465</v>
      </c>
      <c r="AA117" s="11"/>
      <c r="AB117" s="15"/>
      <c r="AC117" s="54">
        <v>2971000</v>
      </c>
      <c r="AD117" s="54">
        <v>2384000</v>
      </c>
      <c r="AE117" s="54">
        <v>587000</v>
      </c>
      <c r="AG117" s="4"/>
      <c r="AH117" s="4"/>
      <c r="AI117" s="225"/>
      <c r="AJ117" s="226"/>
      <c r="AK117" s="227"/>
      <c r="AL117" s="227"/>
      <c r="AM117" s="225"/>
      <c r="AN117" s="226"/>
      <c r="AO117" s="228"/>
    </row>
    <row r="118" spans="2:43" x14ac:dyDescent="0.25">
      <c r="B118" s="224"/>
      <c r="C118" s="39">
        <v>2018</v>
      </c>
      <c r="D118" s="62" t="s">
        <v>1340</v>
      </c>
      <c r="E118" s="63" t="s">
        <v>1341</v>
      </c>
      <c r="F118" s="64">
        <v>43382</v>
      </c>
      <c r="G118" s="65" t="s">
        <v>34</v>
      </c>
      <c r="H118" s="94">
        <v>1130000</v>
      </c>
      <c r="I118" s="94">
        <v>1383700</v>
      </c>
      <c r="J118" s="105"/>
      <c r="K118" s="153">
        <v>0.22451327433628318</v>
      </c>
      <c r="L118" s="11" t="s">
        <v>465</v>
      </c>
      <c r="M118" s="15">
        <v>4</v>
      </c>
      <c r="N118" s="35" t="s">
        <v>25</v>
      </c>
      <c r="O118" s="15">
        <v>4</v>
      </c>
      <c r="P118" s="35" t="s">
        <v>457</v>
      </c>
      <c r="Q118" s="35"/>
      <c r="R118" s="15"/>
      <c r="S118" s="24"/>
      <c r="T118" s="62" t="s">
        <v>784</v>
      </c>
      <c r="U118" s="62"/>
      <c r="V118" s="94">
        <v>1772637.5</v>
      </c>
      <c r="W118" s="199">
        <v>0.78058824773818669</v>
      </c>
      <c r="X118" s="15"/>
      <c r="Y118" s="200">
        <v>1.2245132743362832</v>
      </c>
      <c r="Z118" s="11" t="s">
        <v>465</v>
      </c>
      <c r="AA118" s="11"/>
      <c r="AB118" s="15"/>
      <c r="AC118" s="54">
        <v>1130000</v>
      </c>
      <c r="AD118" s="54">
        <v>1383700</v>
      </c>
      <c r="AE118" s="54">
        <v>-253700</v>
      </c>
      <c r="AG118" s="4"/>
      <c r="AH118" s="4"/>
      <c r="AI118" s="225"/>
      <c r="AJ118" s="226"/>
      <c r="AK118" s="227"/>
      <c r="AL118" s="227"/>
      <c r="AM118" s="225"/>
      <c r="AN118" s="226"/>
      <c r="AO118" s="228"/>
    </row>
    <row r="119" spans="2:43" x14ac:dyDescent="0.25">
      <c r="B119" s="224"/>
      <c r="C119" s="39">
        <v>2018</v>
      </c>
      <c r="D119" s="62" t="s">
        <v>1342</v>
      </c>
      <c r="E119" s="63" t="s">
        <v>1343</v>
      </c>
      <c r="F119" s="64">
        <v>43376</v>
      </c>
      <c r="G119" s="65" t="s">
        <v>34</v>
      </c>
      <c r="H119" s="94">
        <v>21700000</v>
      </c>
      <c r="I119" s="94">
        <v>15765000</v>
      </c>
      <c r="J119" s="94" t="s">
        <v>519</v>
      </c>
      <c r="K119" s="153">
        <v>-0.27350230414746546</v>
      </c>
      <c r="L119" s="11" t="s">
        <v>464</v>
      </c>
      <c r="M119" s="15">
        <v>5</v>
      </c>
      <c r="N119" s="35" t="s">
        <v>25</v>
      </c>
      <c r="O119" s="15">
        <v>4</v>
      </c>
      <c r="P119" s="35" t="s">
        <v>459</v>
      </c>
      <c r="Q119" s="35"/>
      <c r="R119" s="15"/>
      <c r="S119" s="24"/>
      <c r="T119" s="62" t="s">
        <v>447</v>
      </c>
      <c r="U119" s="62"/>
      <c r="V119" s="94">
        <v>26085716</v>
      </c>
      <c r="W119" s="199">
        <v>0.60435373903480361</v>
      </c>
      <c r="X119" s="15"/>
      <c r="Y119" s="200">
        <v>0.72649769585253454</v>
      </c>
      <c r="Z119" s="11" t="s">
        <v>465</v>
      </c>
      <c r="AA119" s="11"/>
      <c r="AB119" s="15"/>
      <c r="AC119" s="54">
        <v>21700000</v>
      </c>
      <c r="AD119" s="54">
        <v>15765000</v>
      </c>
      <c r="AE119" s="54">
        <v>5935000</v>
      </c>
      <c r="AG119" s="4">
        <v>405750200</v>
      </c>
      <c r="AH119" s="4">
        <v>351743588</v>
      </c>
      <c r="AI119" s="204">
        <v>0.86689689370455025</v>
      </c>
      <c r="AJ119" s="1" t="s">
        <v>1240</v>
      </c>
      <c r="AK119" s="205">
        <v>1162894350</v>
      </c>
      <c r="AL119" s="205">
        <v>925393062</v>
      </c>
      <c r="AM119" s="206">
        <v>0.795767097845131</v>
      </c>
      <c r="AN119" s="207" t="s">
        <v>1241</v>
      </c>
      <c r="AO119" s="208"/>
      <c r="AQ119" s="203">
        <v>0.5892857142857143</v>
      </c>
    </row>
    <row r="120" spans="2:43" x14ac:dyDescent="0.25">
      <c r="B120" s="52"/>
      <c r="C120" s="39">
        <v>2018</v>
      </c>
      <c r="D120" s="62" t="s">
        <v>1256</v>
      </c>
      <c r="E120" s="63" t="s">
        <v>1257</v>
      </c>
      <c r="F120" s="64">
        <v>43368</v>
      </c>
      <c r="G120" s="65" t="s">
        <v>34</v>
      </c>
      <c r="H120" s="94">
        <v>64356250</v>
      </c>
      <c r="I120" s="94">
        <v>51485000</v>
      </c>
      <c r="J120" s="27" t="s">
        <v>519</v>
      </c>
      <c r="K120" s="26">
        <v>-0.2</v>
      </c>
      <c r="L120" s="11" t="s">
        <v>464</v>
      </c>
      <c r="M120" s="15">
        <v>8</v>
      </c>
      <c r="N120" s="35" t="s">
        <v>25</v>
      </c>
      <c r="O120" s="15">
        <v>3</v>
      </c>
      <c r="P120" s="35" t="s">
        <v>457</v>
      </c>
      <c r="Q120" s="35"/>
      <c r="R120" s="15"/>
      <c r="S120" s="24"/>
      <c r="T120" s="62" t="s">
        <v>1226</v>
      </c>
      <c r="U120" s="62"/>
      <c r="V120" s="94">
        <v>75310398.875</v>
      </c>
      <c r="W120" s="199">
        <v>0.68363732989191395</v>
      </c>
      <c r="X120" s="15"/>
      <c r="Y120" s="200">
        <v>0.8</v>
      </c>
      <c r="Z120" s="11" t="s">
        <v>465</v>
      </c>
      <c r="AA120" s="11"/>
      <c r="AB120" s="15"/>
      <c r="AC120" s="54">
        <v>64356250</v>
      </c>
      <c r="AD120" s="54">
        <v>51485000</v>
      </c>
      <c r="AE120" s="54">
        <v>12871250</v>
      </c>
    </row>
    <row r="121" spans="2:43" x14ac:dyDescent="0.25">
      <c r="B121" s="52"/>
      <c r="C121" s="39">
        <v>2018</v>
      </c>
      <c r="D121" s="62" t="s">
        <v>1269</v>
      </c>
      <c r="E121" s="63" t="s">
        <v>1270</v>
      </c>
      <c r="F121" s="64">
        <v>43368</v>
      </c>
      <c r="G121" s="65" t="s">
        <v>1225</v>
      </c>
      <c r="H121" s="94">
        <v>760000</v>
      </c>
      <c r="I121" s="94">
        <v>994150</v>
      </c>
      <c r="J121" s="105"/>
      <c r="K121" s="26">
        <v>0.30809210526315789</v>
      </c>
      <c r="L121" s="11" t="s">
        <v>465</v>
      </c>
      <c r="M121" s="15">
        <v>3</v>
      </c>
      <c r="N121" s="35" t="s">
        <v>25</v>
      </c>
      <c r="O121" s="15">
        <v>3</v>
      </c>
      <c r="P121" s="35" t="s">
        <v>458</v>
      </c>
      <c r="Q121" s="35"/>
      <c r="R121" s="15"/>
      <c r="S121" s="24"/>
      <c r="T121" s="62" t="s">
        <v>784</v>
      </c>
      <c r="U121" s="62"/>
      <c r="V121" s="94">
        <v>2705657.5</v>
      </c>
      <c r="W121" s="199">
        <v>0.36743379381906244</v>
      </c>
      <c r="X121" s="15"/>
      <c r="Y121" s="200">
        <v>1.308092105263158</v>
      </c>
      <c r="Z121" s="11" t="s">
        <v>465</v>
      </c>
      <c r="AA121" s="11"/>
      <c r="AB121" s="15"/>
      <c r="AC121" s="54">
        <v>760000</v>
      </c>
      <c r="AD121" s="54">
        <v>994150</v>
      </c>
      <c r="AE121" s="54">
        <v>-234150</v>
      </c>
    </row>
    <row r="122" spans="2:43" x14ac:dyDescent="0.25">
      <c r="B122" s="52"/>
      <c r="C122" s="39">
        <v>2018</v>
      </c>
      <c r="D122" s="62" t="s">
        <v>1295</v>
      </c>
      <c r="E122" s="63" t="s">
        <v>1296</v>
      </c>
      <c r="F122" s="64">
        <v>43363</v>
      </c>
      <c r="G122" s="65" t="s">
        <v>1225</v>
      </c>
      <c r="H122" s="94">
        <v>1700000</v>
      </c>
      <c r="I122" s="94">
        <v>1560315</v>
      </c>
      <c r="J122" s="105" t="s">
        <v>519</v>
      </c>
      <c r="K122" s="26">
        <v>-8.2167647058823526E-2</v>
      </c>
      <c r="L122" s="11" t="s">
        <v>464</v>
      </c>
      <c r="M122" s="15">
        <v>2</v>
      </c>
      <c r="N122" s="35" t="s">
        <v>25</v>
      </c>
      <c r="O122" s="15">
        <v>3</v>
      </c>
      <c r="P122" s="35" t="s">
        <v>459</v>
      </c>
      <c r="Q122" s="35"/>
      <c r="R122" s="15"/>
      <c r="S122" s="24"/>
      <c r="T122" s="62" t="s">
        <v>447</v>
      </c>
      <c r="U122" s="62"/>
      <c r="V122" s="94">
        <v>2705657.5</v>
      </c>
      <c r="W122" s="199">
        <v>0.57668607353295831</v>
      </c>
      <c r="X122" s="15"/>
      <c r="Y122" s="200">
        <v>0.91783235294117649</v>
      </c>
      <c r="Z122" s="11" t="s">
        <v>465</v>
      </c>
      <c r="AA122" s="11"/>
      <c r="AB122" s="15"/>
      <c r="AC122" s="54">
        <v>1700000</v>
      </c>
      <c r="AD122" s="54">
        <v>1560315</v>
      </c>
      <c r="AE122" s="54">
        <v>139685</v>
      </c>
    </row>
    <row r="123" spans="2:43" x14ac:dyDescent="0.25">
      <c r="B123" s="52"/>
      <c r="C123" s="39">
        <v>2018</v>
      </c>
      <c r="D123" s="62" t="s">
        <v>1297</v>
      </c>
      <c r="E123" s="63" t="s">
        <v>1298</v>
      </c>
      <c r="F123" s="64">
        <v>43356</v>
      </c>
      <c r="G123" s="65" t="s">
        <v>34</v>
      </c>
      <c r="H123" s="94">
        <v>5960000</v>
      </c>
      <c r="I123" s="94">
        <v>6956000</v>
      </c>
      <c r="J123" s="27"/>
      <c r="K123" s="26">
        <v>0.16711409395973154</v>
      </c>
      <c r="L123" s="11" t="s">
        <v>465</v>
      </c>
      <c r="M123" s="15">
        <v>4</v>
      </c>
      <c r="N123" s="35" t="s">
        <v>25</v>
      </c>
      <c r="O123" s="15">
        <v>3</v>
      </c>
      <c r="P123" s="35" t="s">
        <v>459</v>
      </c>
      <c r="Q123" s="35"/>
      <c r="R123" s="15"/>
      <c r="S123" s="24"/>
      <c r="T123" s="62" t="s">
        <v>447</v>
      </c>
      <c r="U123" s="62"/>
      <c r="V123" s="94">
        <v>8933697.75</v>
      </c>
      <c r="W123" s="199">
        <v>0.77862495403988785</v>
      </c>
      <c r="X123" s="15"/>
      <c r="Y123" s="200">
        <v>1.1671140939597315</v>
      </c>
      <c r="Z123" s="11" t="s">
        <v>465</v>
      </c>
      <c r="AA123" s="11"/>
      <c r="AB123" s="15"/>
      <c r="AC123" s="54">
        <v>5960000</v>
      </c>
      <c r="AD123" s="54">
        <v>6956000</v>
      </c>
      <c r="AE123" s="54">
        <v>-996000</v>
      </c>
    </row>
    <row r="124" spans="2:43" x14ac:dyDescent="0.25">
      <c r="B124" s="52"/>
      <c r="C124" s="39">
        <v>2018</v>
      </c>
      <c r="D124" s="62" t="s">
        <v>1223</v>
      </c>
      <c r="E124" s="63" t="s">
        <v>1224</v>
      </c>
      <c r="F124" s="64">
        <v>43326</v>
      </c>
      <c r="G124" s="65" t="s">
        <v>1225</v>
      </c>
      <c r="H124" s="94">
        <v>858000</v>
      </c>
      <c r="I124" s="94">
        <v>743300</v>
      </c>
      <c r="J124" s="105" t="s">
        <v>519</v>
      </c>
      <c r="K124" s="26">
        <v>-0.13368298368298367</v>
      </c>
      <c r="L124" s="11" t="s">
        <v>464</v>
      </c>
      <c r="M124" s="15">
        <v>2</v>
      </c>
      <c r="N124" s="35" t="s">
        <v>25</v>
      </c>
      <c r="O124" s="15">
        <v>3</v>
      </c>
      <c r="P124" s="35" t="s">
        <v>457</v>
      </c>
      <c r="Q124" s="35"/>
      <c r="R124" s="15"/>
      <c r="S124" s="24"/>
      <c r="T124" s="62" t="s">
        <v>1226</v>
      </c>
      <c r="U124" s="62"/>
      <c r="V124" s="94">
        <v>2139150</v>
      </c>
      <c r="W124" s="199">
        <v>0.34747446415632377</v>
      </c>
      <c r="X124" s="15"/>
      <c r="Y124" s="200">
        <v>0.8663170163170163</v>
      </c>
      <c r="Z124" s="11" t="s">
        <v>465</v>
      </c>
      <c r="AA124" s="11"/>
      <c r="AB124" s="15"/>
      <c r="AC124" s="54">
        <v>858000</v>
      </c>
      <c r="AD124" s="54">
        <v>743300</v>
      </c>
      <c r="AE124" s="54">
        <v>114700</v>
      </c>
    </row>
    <row r="125" spans="2:43" x14ac:dyDescent="0.25">
      <c r="B125" s="52"/>
      <c r="C125" s="39">
        <v>2018</v>
      </c>
      <c r="D125" s="62" t="s">
        <v>1229</v>
      </c>
      <c r="E125" s="63" t="s">
        <v>1230</v>
      </c>
      <c r="F125" s="64">
        <v>43314</v>
      </c>
      <c r="G125" s="65" t="s">
        <v>1225</v>
      </c>
      <c r="H125" s="94">
        <v>1980000</v>
      </c>
      <c r="I125" s="94">
        <v>2882170</v>
      </c>
      <c r="J125" s="105"/>
      <c r="K125" s="26">
        <v>0.45564141414141413</v>
      </c>
      <c r="L125" s="11" t="s">
        <v>465</v>
      </c>
      <c r="M125" s="15">
        <v>6</v>
      </c>
      <c r="N125" s="35" t="s">
        <v>25</v>
      </c>
      <c r="O125" s="15">
        <v>3</v>
      </c>
      <c r="P125" s="35" t="s">
        <v>492</v>
      </c>
      <c r="Q125" s="35"/>
      <c r="R125" s="15"/>
      <c r="S125" s="24"/>
      <c r="T125" s="62" t="s">
        <v>816</v>
      </c>
      <c r="U125" s="62"/>
      <c r="V125" s="94">
        <v>4467184.666666667</v>
      </c>
      <c r="W125" s="199">
        <v>0.64518711785215355</v>
      </c>
      <c r="X125" s="15"/>
      <c r="Y125" s="200">
        <v>1.4556414141414142</v>
      </c>
      <c r="Z125" s="11" t="s">
        <v>465</v>
      </c>
      <c r="AA125" s="11"/>
      <c r="AB125" s="15"/>
      <c r="AC125" s="54">
        <v>1980000</v>
      </c>
      <c r="AD125" s="54">
        <v>2882170</v>
      </c>
      <c r="AE125" s="54">
        <v>-902170</v>
      </c>
    </row>
    <row r="126" spans="2:43" x14ac:dyDescent="0.25">
      <c r="B126" s="52"/>
      <c r="C126" s="39">
        <v>2018</v>
      </c>
      <c r="D126" s="62" t="s">
        <v>1273</v>
      </c>
      <c r="E126" s="63" t="s">
        <v>1274</v>
      </c>
      <c r="F126" s="64">
        <v>43311</v>
      </c>
      <c r="G126" s="65" t="s">
        <v>190</v>
      </c>
      <c r="H126" s="94">
        <v>9350000</v>
      </c>
      <c r="I126" s="94">
        <v>6855365</v>
      </c>
      <c r="J126" s="27" t="s">
        <v>519</v>
      </c>
      <c r="K126" s="26">
        <v>-0.26680588235294117</v>
      </c>
      <c r="L126" s="11" t="s">
        <v>464</v>
      </c>
      <c r="M126" s="15">
        <v>3</v>
      </c>
      <c r="N126" s="35" t="s">
        <v>25</v>
      </c>
      <c r="O126" s="15">
        <v>3</v>
      </c>
      <c r="P126" s="35" t="s">
        <v>458</v>
      </c>
      <c r="Q126" s="35"/>
      <c r="R126" s="15"/>
      <c r="S126" s="24" t="s">
        <v>932</v>
      </c>
      <c r="T126" s="62" t="s">
        <v>784</v>
      </c>
      <c r="U126" s="62"/>
      <c r="V126" s="94">
        <v>10087545</v>
      </c>
      <c r="W126" s="199">
        <v>0.67958705512590034</v>
      </c>
      <c r="X126" s="15"/>
      <c r="Y126" s="200">
        <v>0.73319411764705877</v>
      </c>
      <c r="Z126" s="11" t="s">
        <v>465</v>
      </c>
      <c r="AA126" s="11"/>
      <c r="AB126" s="15"/>
      <c r="AC126" s="54">
        <v>9350000</v>
      </c>
      <c r="AD126" s="54">
        <v>6855365</v>
      </c>
      <c r="AE126" s="54">
        <v>2494635</v>
      </c>
    </row>
    <row r="127" spans="2:43" x14ac:dyDescent="0.25">
      <c r="B127" s="224"/>
      <c r="C127" s="39">
        <v>2018</v>
      </c>
      <c r="D127" s="62" t="s">
        <v>1277</v>
      </c>
      <c r="E127" s="63" t="s">
        <v>1278</v>
      </c>
      <c r="F127" s="64">
        <v>43287</v>
      </c>
      <c r="G127" s="65" t="s">
        <v>190</v>
      </c>
      <c r="H127" s="94">
        <v>3730000</v>
      </c>
      <c r="I127" s="94">
        <v>4547000</v>
      </c>
      <c r="J127" s="105"/>
      <c r="K127" s="26">
        <v>0.2190348525469169</v>
      </c>
      <c r="L127" s="11" t="s">
        <v>465</v>
      </c>
      <c r="M127" s="15">
        <v>3</v>
      </c>
      <c r="N127" s="35" t="s">
        <v>25</v>
      </c>
      <c r="O127" s="15">
        <v>3</v>
      </c>
      <c r="P127" s="35" t="s">
        <v>458</v>
      </c>
      <c r="Q127" s="35"/>
      <c r="R127" s="15"/>
      <c r="S127" s="24"/>
      <c r="T127" s="62" t="s">
        <v>784</v>
      </c>
      <c r="U127" s="62"/>
      <c r="V127" s="94">
        <v>4717276.666666667</v>
      </c>
      <c r="W127" s="199">
        <v>0.96390360822593257</v>
      </c>
      <c r="X127" s="15"/>
      <c r="Y127" s="200">
        <v>1.2190348525469168</v>
      </c>
      <c r="Z127" s="11" t="s">
        <v>465</v>
      </c>
      <c r="AA127" s="11"/>
      <c r="AB127" s="15"/>
      <c r="AC127" s="54">
        <v>3730000</v>
      </c>
      <c r="AD127" s="54">
        <v>4547000</v>
      </c>
      <c r="AE127" s="54">
        <v>-817000</v>
      </c>
      <c r="AG127" s="4">
        <v>203524650</v>
      </c>
      <c r="AH127" s="4">
        <v>173859860</v>
      </c>
      <c r="AI127" s="209">
        <v>0.85424473153497626</v>
      </c>
      <c r="AJ127" s="1" t="s">
        <v>1240</v>
      </c>
      <c r="AK127" s="210">
        <v>757144150</v>
      </c>
      <c r="AL127" s="210">
        <v>573649474</v>
      </c>
      <c r="AM127" s="211">
        <v>0.75764895495791651</v>
      </c>
      <c r="AN127" s="212"/>
      <c r="AO127" s="213"/>
    </row>
    <row r="128" spans="2:43" x14ac:dyDescent="0.25">
      <c r="B128" s="52"/>
      <c r="C128" s="39">
        <v>2018</v>
      </c>
      <c r="D128" s="62" t="s">
        <v>1299</v>
      </c>
      <c r="E128" s="63" t="s">
        <v>1300</v>
      </c>
      <c r="F128" s="64">
        <v>43264</v>
      </c>
      <c r="G128" s="65" t="s">
        <v>34</v>
      </c>
      <c r="H128" s="94">
        <v>38600000</v>
      </c>
      <c r="I128" s="94">
        <v>35950000</v>
      </c>
      <c r="J128" s="27" t="s">
        <v>519</v>
      </c>
      <c r="K128" s="26">
        <v>-6.8652849740932637E-2</v>
      </c>
      <c r="L128" s="11" t="s">
        <v>464</v>
      </c>
      <c r="M128" s="15">
        <v>2</v>
      </c>
      <c r="N128" s="35" t="s">
        <v>25</v>
      </c>
      <c r="O128" s="15">
        <v>2</v>
      </c>
      <c r="P128" s="35" t="s">
        <v>459</v>
      </c>
      <c r="Q128" s="35"/>
      <c r="R128" s="15"/>
      <c r="S128" s="24"/>
      <c r="T128" s="62" t="s">
        <v>447</v>
      </c>
      <c r="U128" s="62"/>
      <c r="V128" s="94">
        <v>39922000</v>
      </c>
      <c r="W128" s="199">
        <v>0.90050598667401438</v>
      </c>
      <c r="X128" s="15"/>
      <c r="Y128" s="200">
        <v>0.93134715025906734</v>
      </c>
      <c r="Z128" s="11" t="s">
        <v>465</v>
      </c>
      <c r="AA128" s="11"/>
      <c r="AB128" s="15"/>
      <c r="AC128" s="54">
        <v>38600000</v>
      </c>
      <c r="AD128" s="54">
        <v>35950000</v>
      </c>
      <c r="AE128" s="54">
        <v>2650000</v>
      </c>
    </row>
    <row r="129" spans="2:41" x14ac:dyDescent="0.25">
      <c r="B129" s="52"/>
      <c r="C129" s="39">
        <v>2018</v>
      </c>
      <c r="D129" s="62" t="s">
        <v>1301</v>
      </c>
      <c r="E129" s="63" t="s">
        <v>1302</v>
      </c>
      <c r="F129" s="64">
        <v>43251</v>
      </c>
      <c r="G129" s="65" t="s">
        <v>34</v>
      </c>
      <c r="H129" s="94">
        <v>1567000</v>
      </c>
      <c r="I129" s="94">
        <v>918315</v>
      </c>
      <c r="J129" s="105" t="s">
        <v>519</v>
      </c>
      <c r="K129" s="26">
        <v>-0.41396617740906189</v>
      </c>
      <c r="L129" s="11" t="s">
        <v>464</v>
      </c>
      <c r="M129" s="15">
        <v>5</v>
      </c>
      <c r="N129" s="35" t="s">
        <v>25</v>
      </c>
      <c r="O129" s="15">
        <v>2</v>
      </c>
      <c r="P129" s="35" t="s">
        <v>459</v>
      </c>
      <c r="Q129" s="35"/>
      <c r="R129" s="15"/>
      <c r="S129" s="24" t="s">
        <v>932</v>
      </c>
      <c r="T129" s="62" t="s">
        <v>816</v>
      </c>
      <c r="U129" s="62"/>
      <c r="V129" s="94">
        <v>2609788.4</v>
      </c>
      <c r="W129" s="199">
        <v>0.351873354943259</v>
      </c>
      <c r="X129" s="15"/>
      <c r="Y129" s="200">
        <v>0.58603382259093806</v>
      </c>
      <c r="Z129" s="11" t="s">
        <v>465</v>
      </c>
      <c r="AA129" s="11"/>
      <c r="AB129" s="15"/>
      <c r="AC129" s="54">
        <v>1567000</v>
      </c>
      <c r="AD129" s="54">
        <v>918315</v>
      </c>
      <c r="AE129" s="54">
        <v>648685</v>
      </c>
    </row>
    <row r="130" spans="2:41" x14ac:dyDescent="0.25">
      <c r="B130" s="52"/>
      <c r="C130" s="39">
        <v>2018</v>
      </c>
      <c r="D130" s="62" t="s">
        <v>1279</v>
      </c>
      <c r="E130" s="63" t="s">
        <v>1280</v>
      </c>
      <c r="F130" s="64">
        <v>43250</v>
      </c>
      <c r="G130" s="65" t="s">
        <v>34</v>
      </c>
      <c r="H130" s="94">
        <v>153277500</v>
      </c>
      <c r="I130" s="94">
        <v>118434757</v>
      </c>
      <c r="J130" s="27"/>
      <c r="K130" s="26">
        <v>-0.22731805385656734</v>
      </c>
      <c r="L130" s="11" t="s">
        <v>465</v>
      </c>
      <c r="M130" s="15">
        <v>13</v>
      </c>
      <c r="N130" s="35" t="s">
        <v>25</v>
      </c>
      <c r="O130" s="15">
        <v>2</v>
      </c>
      <c r="P130" s="35" t="s">
        <v>458</v>
      </c>
      <c r="Q130" s="35"/>
      <c r="R130" s="15"/>
      <c r="S130" s="24"/>
      <c r="T130" s="62" t="s">
        <v>784</v>
      </c>
      <c r="U130" s="62"/>
      <c r="V130" s="94">
        <v>138481360</v>
      </c>
      <c r="W130" s="199">
        <v>0.85523970157427687</v>
      </c>
      <c r="X130" s="15"/>
      <c r="Y130" s="200">
        <v>0.77268194614343266</v>
      </c>
      <c r="Z130" s="11" t="s">
        <v>465</v>
      </c>
      <c r="AA130" s="11"/>
      <c r="AB130" s="15"/>
      <c r="AC130" s="54">
        <v>153277500</v>
      </c>
      <c r="AD130" s="54">
        <v>118434757</v>
      </c>
      <c r="AE130" s="54">
        <v>34842743</v>
      </c>
    </row>
    <row r="131" spans="2:41" x14ac:dyDescent="0.25">
      <c r="B131" s="52"/>
      <c r="C131" s="39">
        <v>2018</v>
      </c>
      <c r="D131" s="62" t="s">
        <v>1303</v>
      </c>
      <c r="E131" s="63" t="s">
        <v>1304</v>
      </c>
      <c r="F131" s="64">
        <v>43195</v>
      </c>
      <c r="G131" s="65" t="s">
        <v>34</v>
      </c>
      <c r="H131" s="94">
        <v>1520000</v>
      </c>
      <c r="I131" s="94">
        <v>856934</v>
      </c>
      <c r="J131" s="105" t="s">
        <v>519</v>
      </c>
      <c r="K131" s="26">
        <v>-0.43622763157894739</v>
      </c>
      <c r="L131" s="11" t="s">
        <v>464</v>
      </c>
      <c r="M131" s="15">
        <v>4</v>
      </c>
      <c r="N131" s="35" t="s">
        <v>25</v>
      </c>
      <c r="O131" s="15">
        <v>2</v>
      </c>
      <c r="P131" s="35" t="s">
        <v>459</v>
      </c>
      <c r="Q131" s="35" t="s">
        <v>1242</v>
      </c>
      <c r="R131" s="15"/>
      <c r="S131" s="24" t="s">
        <v>932</v>
      </c>
      <c r="T131" s="62" t="s">
        <v>447</v>
      </c>
      <c r="U131" s="62"/>
      <c r="V131" s="94">
        <v>1906983.5</v>
      </c>
      <c r="W131" s="199">
        <v>0.4493662373061959</v>
      </c>
      <c r="X131" s="15"/>
      <c r="Y131" s="200">
        <v>0.56377236842105261</v>
      </c>
      <c r="Z131" s="11" t="s">
        <v>465</v>
      </c>
      <c r="AA131" s="11"/>
      <c r="AB131" s="15"/>
      <c r="AC131" s="54">
        <v>1520000</v>
      </c>
      <c r="AD131" s="54">
        <v>856934</v>
      </c>
      <c r="AE131" s="54">
        <v>663066</v>
      </c>
    </row>
    <row r="132" spans="2:41" x14ac:dyDescent="0.25">
      <c r="B132" s="224"/>
      <c r="C132" s="39">
        <v>2018</v>
      </c>
      <c r="D132" s="62" t="s">
        <v>1281</v>
      </c>
      <c r="E132" s="63" t="s">
        <v>1282</v>
      </c>
      <c r="F132" s="64">
        <v>43193</v>
      </c>
      <c r="G132" s="65" t="s">
        <v>34</v>
      </c>
      <c r="H132" s="94">
        <v>3441000</v>
      </c>
      <c r="I132" s="94">
        <v>2993080</v>
      </c>
      <c r="J132" s="105" t="s">
        <v>519</v>
      </c>
      <c r="K132" s="26">
        <v>-0.13017146178436501</v>
      </c>
      <c r="L132" s="11" t="s">
        <v>464</v>
      </c>
      <c r="M132" s="15">
        <v>3</v>
      </c>
      <c r="N132" s="35" t="s">
        <v>25</v>
      </c>
      <c r="O132" s="15">
        <v>2</v>
      </c>
      <c r="P132" s="35" t="s">
        <v>458</v>
      </c>
      <c r="Q132" s="35" t="s">
        <v>1235</v>
      </c>
      <c r="R132" s="15"/>
      <c r="S132" s="24"/>
      <c r="T132" s="62" t="s">
        <v>784</v>
      </c>
      <c r="U132" s="62"/>
      <c r="V132" s="94">
        <v>3534026.6666666665</v>
      </c>
      <c r="W132" s="199">
        <v>0.84693192279250873</v>
      </c>
      <c r="X132" s="15"/>
      <c r="Y132" s="200">
        <v>0.86982853821563499</v>
      </c>
      <c r="Z132" s="11" t="s">
        <v>465</v>
      </c>
      <c r="AA132" s="74">
        <v>0</v>
      </c>
      <c r="AB132" s="15"/>
      <c r="AC132" s="54">
        <v>3441000</v>
      </c>
      <c r="AD132" s="54">
        <v>2993080</v>
      </c>
      <c r="AE132" s="54">
        <v>447920</v>
      </c>
      <c r="AG132" s="4">
        <v>215665500</v>
      </c>
      <c r="AH132" s="4">
        <v>170989542</v>
      </c>
      <c r="AI132" s="209">
        <v>0.79284606021825466</v>
      </c>
      <c r="AJ132" s="1" t="s">
        <v>1240</v>
      </c>
      <c r="AK132" s="210">
        <v>553619500</v>
      </c>
      <c r="AL132" s="210">
        <v>399789614</v>
      </c>
      <c r="AM132" s="211">
        <v>0.72213788351024488</v>
      </c>
      <c r="AN132" s="212"/>
      <c r="AO132" s="213"/>
    </row>
    <row r="133" spans="2:41" x14ac:dyDescent="0.25">
      <c r="B133" s="52"/>
      <c r="C133" s="39">
        <v>2018</v>
      </c>
      <c r="D133" s="62" t="s">
        <v>1233</v>
      </c>
      <c r="E133" s="63" t="s">
        <v>1234</v>
      </c>
      <c r="F133" s="64">
        <v>43173</v>
      </c>
      <c r="G133" s="65" t="s">
        <v>693</v>
      </c>
      <c r="H133" s="94">
        <v>600000</v>
      </c>
      <c r="I133" s="94">
        <v>749000</v>
      </c>
      <c r="J133" s="105"/>
      <c r="K133" s="26">
        <v>0.24833333333333332</v>
      </c>
      <c r="L133" s="11" t="s">
        <v>465</v>
      </c>
      <c r="M133" s="15">
        <v>3</v>
      </c>
      <c r="N133" s="35" t="s">
        <v>25</v>
      </c>
      <c r="O133" s="15">
        <v>1</v>
      </c>
      <c r="P133" s="35" t="s">
        <v>457</v>
      </c>
      <c r="Q133" s="35" t="s">
        <v>1235</v>
      </c>
      <c r="R133" s="15"/>
      <c r="S133" s="24"/>
      <c r="T133" s="62" t="s">
        <v>1226</v>
      </c>
      <c r="U133" s="62"/>
      <c r="V133" s="94">
        <v>994735</v>
      </c>
      <c r="W133" s="199">
        <v>0.75296435734140243</v>
      </c>
      <c r="X133" s="15"/>
      <c r="Y133" s="200">
        <v>1.2483333333333333</v>
      </c>
      <c r="Z133" s="11" t="s">
        <v>465</v>
      </c>
      <c r="AA133" s="11"/>
      <c r="AB133" s="15"/>
      <c r="AC133" s="54">
        <v>600000</v>
      </c>
      <c r="AD133" s="54">
        <v>749000</v>
      </c>
      <c r="AE133" s="54">
        <v>-149000</v>
      </c>
    </row>
    <row r="134" spans="2:41" x14ac:dyDescent="0.25">
      <c r="B134" s="52"/>
      <c r="C134" s="39">
        <v>2018</v>
      </c>
      <c r="D134" s="62" t="s">
        <v>1285</v>
      </c>
      <c r="E134" s="63" t="s">
        <v>1286</v>
      </c>
      <c r="F134" s="64">
        <v>43168</v>
      </c>
      <c r="G134" s="65" t="s">
        <v>34</v>
      </c>
      <c r="H134" s="94">
        <v>10900000</v>
      </c>
      <c r="I134" s="94">
        <v>10417536</v>
      </c>
      <c r="J134" s="27" t="s">
        <v>519</v>
      </c>
      <c r="K134" s="26">
        <v>-4.4262752293577984E-2</v>
      </c>
      <c r="L134" s="11" t="s">
        <v>464</v>
      </c>
      <c r="M134" s="15">
        <v>11</v>
      </c>
      <c r="N134" s="35" t="s">
        <v>25</v>
      </c>
      <c r="O134" s="15">
        <v>1</v>
      </c>
      <c r="P134" s="35" t="s">
        <v>458</v>
      </c>
      <c r="Q134" s="35" t="s">
        <v>1235</v>
      </c>
      <c r="R134" s="15"/>
      <c r="S134" s="24"/>
      <c r="T134" s="62" t="s">
        <v>784</v>
      </c>
      <c r="U134" s="62"/>
      <c r="V134" s="94">
        <v>12059792.454545455</v>
      </c>
      <c r="W134" s="199">
        <v>0.86382382112003331</v>
      </c>
      <c r="X134" s="15"/>
      <c r="Y134" s="200">
        <v>0.95573724770642199</v>
      </c>
      <c r="Z134" s="11" t="s">
        <v>465</v>
      </c>
      <c r="AA134" s="11"/>
      <c r="AB134" s="15"/>
      <c r="AC134" s="54">
        <v>10900000</v>
      </c>
      <c r="AD134" s="54">
        <v>10417536</v>
      </c>
      <c r="AE134" s="54">
        <v>482464</v>
      </c>
    </row>
    <row r="135" spans="2:41" x14ac:dyDescent="0.25">
      <c r="B135" s="52"/>
      <c r="C135" s="39">
        <v>2018</v>
      </c>
      <c r="D135" s="62" t="s">
        <v>1305</v>
      </c>
      <c r="E135" s="63" t="s">
        <v>1306</v>
      </c>
      <c r="F135" s="64">
        <v>43167</v>
      </c>
      <c r="G135" s="65" t="s">
        <v>34</v>
      </c>
      <c r="H135" s="94">
        <v>1600000</v>
      </c>
      <c r="I135" s="94">
        <v>1948000</v>
      </c>
      <c r="J135" s="105"/>
      <c r="K135" s="26">
        <v>0.2175</v>
      </c>
      <c r="L135" s="11" t="s">
        <v>465</v>
      </c>
      <c r="M135" s="15">
        <v>2</v>
      </c>
      <c r="N135" s="35" t="s">
        <v>25</v>
      </c>
      <c r="O135" s="15">
        <v>1</v>
      </c>
      <c r="P135" s="35" t="s">
        <v>459</v>
      </c>
      <c r="Q135" s="35" t="s">
        <v>1243</v>
      </c>
      <c r="R135" s="15"/>
      <c r="S135" s="24"/>
      <c r="T135" s="62" t="s">
        <v>447</v>
      </c>
      <c r="U135" s="62"/>
      <c r="V135" s="94">
        <v>2353500</v>
      </c>
      <c r="W135" s="199">
        <v>0.82770342043764611</v>
      </c>
      <c r="X135" s="15"/>
      <c r="Y135" s="200">
        <v>1.2175</v>
      </c>
      <c r="Z135" s="11" t="s">
        <v>465</v>
      </c>
      <c r="AA135" s="11"/>
      <c r="AB135" s="15"/>
      <c r="AC135" s="54">
        <v>1600000</v>
      </c>
      <c r="AD135" s="54">
        <v>1948000</v>
      </c>
      <c r="AE135" s="54">
        <v>-348000</v>
      </c>
    </row>
    <row r="136" spans="2:41" x14ac:dyDescent="0.25">
      <c r="B136" s="52"/>
      <c r="C136" s="39">
        <v>2018</v>
      </c>
      <c r="D136" s="62" t="s">
        <v>1287</v>
      </c>
      <c r="E136" s="63" t="s">
        <v>1288</v>
      </c>
      <c r="F136" s="64">
        <v>43160</v>
      </c>
      <c r="G136" s="65" t="s">
        <v>34</v>
      </c>
      <c r="H136" s="94">
        <v>1273000</v>
      </c>
      <c r="I136" s="94">
        <v>1050950</v>
      </c>
      <c r="J136" s="105" t="s">
        <v>519</v>
      </c>
      <c r="K136" s="26">
        <v>-0.1744304791830322</v>
      </c>
      <c r="L136" s="11" t="s">
        <v>464</v>
      </c>
      <c r="M136" s="15">
        <v>6</v>
      </c>
      <c r="N136" s="35" t="s">
        <v>25</v>
      </c>
      <c r="O136" s="15">
        <v>1</v>
      </c>
      <c r="P136" s="35" t="s">
        <v>458</v>
      </c>
      <c r="Q136" s="35" t="s">
        <v>1238</v>
      </c>
      <c r="R136" s="15"/>
      <c r="S136" s="24" t="s">
        <v>1244</v>
      </c>
      <c r="T136" s="62" t="s">
        <v>784</v>
      </c>
      <c r="U136" s="62"/>
      <c r="V136" s="94">
        <v>2050444.6666666667</v>
      </c>
      <c r="W136" s="199">
        <v>0.51254735964589138</v>
      </c>
      <c r="X136" s="15"/>
      <c r="Y136" s="200">
        <v>0.82556952081696777</v>
      </c>
      <c r="Z136" s="11" t="s">
        <v>465</v>
      </c>
      <c r="AA136" s="11"/>
      <c r="AB136" s="15"/>
      <c r="AC136" s="54">
        <v>1273000</v>
      </c>
      <c r="AD136" s="54">
        <v>1050950</v>
      </c>
      <c r="AE136" s="54">
        <v>222050</v>
      </c>
    </row>
    <row r="137" spans="2:41" x14ac:dyDescent="0.25">
      <c r="B137" s="52"/>
      <c r="C137" s="39">
        <v>2018</v>
      </c>
      <c r="D137" s="62" t="s">
        <v>1236</v>
      </c>
      <c r="E137" s="63" t="s">
        <v>1237</v>
      </c>
      <c r="F137" s="64">
        <v>43138</v>
      </c>
      <c r="G137" s="65" t="s">
        <v>693</v>
      </c>
      <c r="H137" s="94">
        <v>1056000</v>
      </c>
      <c r="I137" s="94">
        <v>619790</v>
      </c>
      <c r="J137" s="105" t="s">
        <v>519</v>
      </c>
      <c r="K137" s="26">
        <v>-0.41307765151515152</v>
      </c>
      <c r="L137" s="11" t="s">
        <v>464</v>
      </c>
      <c r="M137" s="15">
        <v>6</v>
      </c>
      <c r="N137" s="35" t="s">
        <v>25</v>
      </c>
      <c r="O137" s="15">
        <v>1</v>
      </c>
      <c r="P137" s="35" t="s">
        <v>457</v>
      </c>
      <c r="Q137" s="35" t="s">
        <v>1238</v>
      </c>
      <c r="R137" s="15"/>
      <c r="S137" s="24"/>
      <c r="T137" s="62" t="s">
        <v>784</v>
      </c>
      <c r="U137" s="62"/>
      <c r="V137" s="94">
        <v>2319072.3333333335</v>
      </c>
      <c r="W137" s="199">
        <v>0.26725772676057108</v>
      </c>
      <c r="X137" s="15"/>
      <c r="Y137" s="200">
        <v>0.58692234848484848</v>
      </c>
      <c r="Z137" s="11" t="s">
        <v>465</v>
      </c>
      <c r="AA137" s="11"/>
      <c r="AB137" s="15"/>
      <c r="AC137" s="54">
        <v>1056000</v>
      </c>
      <c r="AD137" s="54">
        <v>619790</v>
      </c>
      <c r="AE137" s="54">
        <v>436210</v>
      </c>
    </row>
    <row r="138" spans="2:41" x14ac:dyDescent="0.25">
      <c r="B138" s="52"/>
      <c r="C138" s="39"/>
      <c r="E138" s="85"/>
      <c r="F138" s="85"/>
      <c r="G138" s="85"/>
      <c r="H138" s="86">
        <f>SUM(H110:H137)</f>
        <v>496719750</v>
      </c>
      <c r="I138" s="86">
        <f>SUM(I110:I137)</f>
        <v>427527891</v>
      </c>
      <c r="J138" s="85"/>
      <c r="K138" s="87">
        <f>+I138/H138</f>
        <v>0.86070242022790522</v>
      </c>
      <c r="L138" s="85">
        <f>COUNTA(L109:L137)</f>
        <v>28</v>
      </c>
      <c r="M138" s="88">
        <f>SUM(M110:M137)/L138</f>
        <v>4.3571428571428568</v>
      </c>
      <c r="N138" s="89"/>
      <c r="O138" s="85"/>
      <c r="P138" s="233">
        <f>16/L138</f>
        <v>0.5714285714285714</v>
      </c>
      <c r="Q138" s="85"/>
    </row>
    <row r="139" spans="2:41" x14ac:dyDescent="0.25">
      <c r="B139" s="52"/>
      <c r="C139" s="39"/>
      <c r="G139" s="45"/>
    </row>
    <row r="140" spans="2:41" x14ac:dyDescent="0.25">
      <c r="B140" s="52"/>
      <c r="C140" s="39"/>
      <c r="D140" s="83" t="s">
        <v>838</v>
      </c>
      <c r="G140" s="45"/>
    </row>
    <row r="141" spans="2:41" x14ac:dyDescent="0.25">
      <c r="B141" s="224"/>
      <c r="C141" s="39">
        <v>2018</v>
      </c>
      <c r="D141" s="62" t="s">
        <v>1312</v>
      </c>
      <c r="E141" s="63" t="s">
        <v>1313</v>
      </c>
      <c r="F141" s="64">
        <v>43438</v>
      </c>
      <c r="G141" s="65" t="s">
        <v>1225</v>
      </c>
      <c r="H141" s="94">
        <v>448000</v>
      </c>
      <c r="I141" s="94">
        <v>432222</v>
      </c>
      <c r="J141" s="105" t="s">
        <v>519</v>
      </c>
      <c r="K141" s="153">
        <v>-3.521875E-2</v>
      </c>
      <c r="L141" s="11" t="s">
        <v>464</v>
      </c>
      <c r="M141" s="15">
        <v>6</v>
      </c>
      <c r="N141" s="35" t="s">
        <v>93</v>
      </c>
      <c r="O141" s="15">
        <v>4</v>
      </c>
      <c r="P141" s="35" t="s">
        <v>458</v>
      </c>
      <c r="Q141" s="35"/>
      <c r="R141" s="15"/>
      <c r="S141" s="24"/>
      <c r="T141" s="62" t="s">
        <v>784</v>
      </c>
      <c r="U141" s="62"/>
      <c r="V141" s="94">
        <v>792267</v>
      </c>
      <c r="W141" s="199">
        <v>0.54555093169348212</v>
      </c>
      <c r="X141" s="15"/>
      <c r="Y141" s="200">
        <v>0.96478125000000003</v>
      </c>
      <c r="Z141" s="11" t="s">
        <v>465</v>
      </c>
      <c r="AA141" s="11"/>
      <c r="AB141" s="15"/>
      <c r="AC141" s="54">
        <v>448000</v>
      </c>
      <c r="AD141" s="54">
        <v>432222</v>
      </c>
      <c r="AE141" s="54">
        <v>15778</v>
      </c>
      <c r="AG141" s="4"/>
      <c r="AH141" s="4"/>
      <c r="AI141" s="225"/>
      <c r="AJ141" s="226"/>
      <c r="AK141" s="227"/>
      <c r="AL141" s="227"/>
      <c r="AM141" s="225"/>
      <c r="AN141" s="226"/>
      <c r="AO141" s="228"/>
    </row>
    <row r="142" spans="2:41" x14ac:dyDescent="0.25">
      <c r="B142" s="224"/>
      <c r="C142" s="39">
        <v>2018</v>
      </c>
      <c r="D142" s="62" t="s">
        <v>1314</v>
      </c>
      <c r="E142" s="63" t="s">
        <v>1315</v>
      </c>
      <c r="F142" s="64">
        <v>43433</v>
      </c>
      <c r="G142" s="65" t="s">
        <v>1225</v>
      </c>
      <c r="H142" s="94">
        <v>287000</v>
      </c>
      <c r="I142" s="94">
        <v>369034</v>
      </c>
      <c r="J142" s="105"/>
      <c r="K142" s="153">
        <v>0.28583275261324043</v>
      </c>
      <c r="L142" s="11" t="s">
        <v>465</v>
      </c>
      <c r="M142" s="15">
        <v>5</v>
      </c>
      <c r="N142" s="35" t="s">
        <v>93</v>
      </c>
      <c r="O142" s="15">
        <v>4</v>
      </c>
      <c r="P142" s="35" t="s">
        <v>458</v>
      </c>
      <c r="Q142" s="35"/>
      <c r="R142" s="15"/>
      <c r="S142" s="24"/>
      <c r="T142" s="62" t="s">
        <v>784</v>
      </c>
      <c r="U142" s="62"/>
      <c r="V142" s="94">
        <v>503308</v>
      </c>
      <c r="W142" s="199">
        <v>0.73321703608923361</v>
      </c>
      <c r="X142" s="15"/>
      <c r="Y142" s="200">
        <v>1.2858327526132405</v>
      </c>
      <c r="Z142" s="11" t="s">
        <v>465</v>
      </c>
      <c r="AA142" s="11"/>
      <c r="AB142" s="15"/>
      <c r="AC142" s="54">
        <v>287000</v>
      </c>
      <c r="AD142" s="54">
        <v>369034</v>
      </c>
      <c r="AE142" s="54">
        <v>-82034</v>
      </c>
      <c r="AG142" s="4"/>
      <c r="AH142" s="4"/>
      <c r="AI142" s="225"/>
      <c r="AJ142" s="226"/>
      <c r="AK142" s="227"/>
      <c r="AL142" s="227"/>
      <c r="AM142" s="225"/>
      <c r="AN142" s="226"/>
      <c r="AO142" s="228"/>
    </row>
    <row r="143" spans="2:41" x14ac:dyDescent="0.25">
      <c r="B143" s="224"/>
      <c r="C143" s="39">
        <v>2018</v>
      </c>
      <c r="D143" s="62" t="s">
        <v>1344</v>
      </c>
      <c r="E143" s="63" t="s">
        <v>1345</v>
      </c>
      <c r="F143" s="64">
        <v>43413</v>
      </c>
      <c r="G143" s="65" t="s">
        <v>34</v>
      </c>
      <c r="H143" s="94">
        <v>186355200</v>
      </c>
      <c r="I143" s="94">
        <v>152100000</v>
      </c>
      <c r="J143" s="94"/>
      <c r="K143" s="153">
        <v>-0.18381671131259014</v>
      </c>
      <c r="L143" s="11" t="s">
        <v>465</v>
      </c>
      <c r="M143" s="15">
        <v>3</v>
      </c>
      <c r="N143" s="35" t="s">
        <v>93</v>
      </c>
      <c r="O143" s="15">
        <v>4</v>
      </c>
      <c r="P143" s="35" t="s">
        <v>458</v>
      </c>
      <c r="Q143" s="35"/>
      <c r="R143" s="15"/>
      <c r="S143" s="24"/>
      <c r="T143" s="62" t="s">
        <v>442</v>
      </c>
      <c r="U143" s="62"/>
      <c r="V143" s="94">
        <v>157872084</v>
      </c>
      <c r="W143" s="199">
        <v>0.96343822255491351</v>
      </c>
      <c r="X143" s="15"/>
      <c r="Y143" s="200">
        <v>0.81618328868740986</v>
      </c>
      <c r="Z143" s="11" t="s">
        <v>465</v>
      </c>
      <c r="AA143" s="11"/>
      <c r="AB143" s="15"/>
      <c r="AC143" s="54">
        <v>186355200</v>
      </c>
      <c r="AD143" s="54">
        <v>152100000</v>
      </c>
      <c r="AE143" s="54">
        <v>34255200</v>
      </c>
      <c r="AG143" s="4"/>
      <c r="AH143" s="4"/>
      <c r="AI143" s="225"/>
      <c r="AJ143" s="226"/>
      <c r="AK143" s="227"/>
      <c r="AL143" s="227"/>
      <c r="AM143" s="225"/>
      <c r="AN143" s="226"/>
      <c r="AO143" s="228"/>
    </row>
    <row r="144" spans="2:41" x14ac:dyDescent="0.25">
      <c r="B144" s="224"/>
      <c r="C144" s="39">
        <v>2018</v>
      </c>
      <c r="D144" s="62" t="s">
        <v>1346</v>
      </c>
      <c r="E144" s="63" t="s">
        <v>1347</v>
      </c>
      <c r="F144" s="64">
        <v>43412</v>
      </c>
      <c r="G144" s="65" t="s">
        <v>34</v>
      </c>
      <c r="H144" s="94">
        <v>784000</v>
      </c>
      <c r="I144" s="94">
        <v>968530</v>
      </c>
      <c r="J144" s="105"/>
      <c r="K144" s="153">
        <v>0.23536989795918367</v>
      </c>
      <c r="L144" s="11" t="s">
        <v>465</v>
      </c>
      <c r="M144" s="15">
        <v>3</v>
      </c>
      <c r="N144" s="35" t="s">
        <v>93</v>
      </c>
      <c r="O144" s="15">
        <v>4</v>
      </c>
      <c r="P144" s="35" t="s">
        <v>458</v>
      </c>
      <c r="Q144" s="35"/>
      <c r="R144" s="15"/>
      <c r="S144" s="24"/>
      <c r="T144" s="62" t="s">
        <v>784</v>
      </c>
      <c r="U144" s="62"/>
      <c r="V144" s="94">
        <v>1009710</v>
      </c>
      <c r="W144" s="199">
        <v>0.9592160125184459</v>
      </c>
      <c r="X144" s="15"/>
      <c r="Y144" s="200">
        <v>1.2353698979591836</v>
      </c>
      <c r="Z144" s="11" t="s">
        <v>465</v>
      </c>
      <c r="AA144" s="11"/>
      <c r="AB144" s="15"/>
      <c r="AC144" s="54">
        <v>784000</v>
      </c>
      <c r="AD144" s="54">
        <v>968530</v>
      </c>
      <c r="AE144" s="54">
        <v>-184530</v>
      </c>
      <c r="AG144" s="4"/>
      <c r="AH144" s="4"/>
      <c r="AI144" s="225"/>
      <c r="AJ144" s="226"/>
      <c r="AK144" s="227"/>
      <c r="AL144" s="227"/>
      <c r="AM144" s="225"/>
      <c r="AN144" s="226"/>
      <c r="AO144" s="228"/>
    </row>
    <row r="145" spans="2:41" x14ac:dyDescent="0.25">
      <c r="B145" s="224"/>
      <c r="C145" s="39">
        <v>2018</v>
      </c>
      <c r="D145" s="62" t="s">
        <v>1318</v>
      </c>
      <c r="E145" s="63" t="s">
        <v>1319</v>
      </c>
      <c r="F145" s="64">
        <v>43410</v>
      </c>
      <c r="G145" s="65" t="s">
        <v>1225</v>
      </c>
      <c r="H145" s="94">
        <v>2215000</v>
      </c>
      <c r="I145" s="94">
        <v>1984098</v>
      </c>
      <c r="J145" s="105" t="s">
        <v>519</v>
      </c>
      <c r="K145" s="153">
        <v>-0.10424469525959368</v>
      </c>
      <c r="L145" s="11" t="s">
        <v>464</v>
      </c>
      <c r="M145" s="15">
        <v>4</v>
      </c>
      <c r="N145" s="35" t="s">
        <v>93</v>
      </c>
      <c r="O145" s="15">
        <v>4</v>
      </c>
      <c r="P145" s="35" t="s">
        <v>457</v>
      </c>
      <c r="Q145" s="35"/>
      <c r="R145" s="15"/>
      <c r="S145" s="24"/>
      <c r="T145" s="62" t="s">
        <v>1348</v>
      </c>
      <c r="U145" s="62"/>
      <c r="V145" s="94">
        <v>2858292.5</v>
      </c>
      <c r="W145" s="199">
        <v>0.69415498938614573</v>
      </c>
      <c r="X145" s="15"/>
      <c r="Y145" s="200">
        <v>0.89575530474040632</v>
      </c>
      <c r="Z145" s="11" t="s">
        <v>465</v>
      </c>
      <c r="AA145" s="11"/>
      <c r="AB145" s="15"/>
      <c r="AC145" s="54">
        <v>2215000</v>
      </c>
      <c r="AD145" s="54">
        <v>1984098</v>
      </c>
      <c r="AE145" s="54">
        <v>230902</v>
      </c>
      <c r="AG145" s="4"/>
      <c r="AH145" s="4"/>
      <c r="AI145" s="225"/>
      <c r="AJ145" s="226"/>
      <c r="AK145" s="227"/>
      <c r="AL145" s="227"/>
      <c r="AM145" s="225"/>
      <c r="AN145" s="226"/>
      <c r="AO145" s="228"/>
    </row>
    <row r="146" spans="2:41" x14ac:dyDescent="0.25">
      <c r="B146" s="224"/>
      <c r="C146" s="39">
        <v>2018</v>
      </c>
      <c r="D146" s="62" t="s">
        <v>1349</v>
      </c>
      <c r="E146" s="63" t="s">
        <v>1350</v>
      </c>
      <c r="F146" s="64">
        <v>43391</v>
      </c>
      <c r="G146" s="65" t="s">
        <v>34</v>
      </c>
      <c r="H146" s="94">
        <v>7950000</v>
      </c>
      <c r="I146" s="94">
        <v>6875775</v>
      </c>
      <c r="J146" s="94" t="s">
        <v>519</v>
      </c>
      <c r="K146" s="153">
        <v>-0.13512264150943396</v>
      </c>
      <c r="L146" s="11" t="s">
        <v>464</v>
      </c>
      <c r="M146" s="15">
        <v>2</v>
      </c>
      <c r="N146" s="35" t="s">
        <v>93</v>
      </c>
      <c r="O146" s="15">
        <v>4</v>
      </c>
      <c r="P146" s="35" t="s">
        <v>457</v>
      </c>
      <c r="Q146" s="35"/>
      <c r="R146" s="15"/>
      <c r="S146" s="24"/>
      <c r="T146" s="62" t="s">
        <v>1226</v>
      </c>
      <c r="U146" s="62"/>
      <c r="V146" s="94">
        <v>7451400</v>
      </c>
      <c r="W146" s="199">
        <v>0.92274941621708673</v>
      </c>
      <c r="X146" s="15"/>
      <c r="Y146" s="200">
        <v>0.86487735849056602</v>
      </c>
      <c r="Z146" s="11" t="s">
        <v>465</v>
      </c>
      <c r="AA146" s="11"/>
      <c r="AB146" s="15"/>
      <c r="AC146" s="54">
        <v>7950000</v>
      </c>
      <c r="AD146" s="54">
        <v>6875775</v>
      </c>
      <c r="AE146" s="54">
        <v>1074225</v>
      </c>
      <c r="AG146" s="4"/>
      <c r="AH146" s="4"/>
      <c r="AI146" s="225"/>
      <c r="AJ146" s="226"/>
      <c r="AK146" s="227"/>
      <c r="AL146" s="227"/>
      <c r="AM146" s="225"/>
      <c r="AN146" s="226"/>
      <c r="AO146" s="228"/>
    </row>
    <row r="147" spans="2:41" x14ac:dyDescent="0.25">
      <c r="B147" s="224"/>
      <c r="C147" s="39">
        <v>2018</v>
      </c>
      <c r="D147" s="62" t="s">
        <v>1351</v>
      </c>
      <c r="E147" s="63" t="s">
        <v>1352</v>
      </c>
      <c r="F147" s="64">
        <v>43389</v>
      </c>
      <c r="G147" s="65" t="s">
        <v>34</v>
      </c>
      <c r="H147" s="94">
        <v>3800000</v>
      </c>
      <c r="I147" s="94">
        <v>3781700</v>
      </c>
      <c r="J147" s="105" t="s">
        <v>519</v>
      </c>
      <c r="K147" s="153">
        <v>-4.8157894736842108E-3</v>
      </c>
      <c r="L147" s="11" t="s">
        <v>464</v>
      </c>
      <c r="M147" s="15">
        <v>8</v>
      </c>
      <c r="N147" s="35" t="s">
        <v>93</v>
      </c>
      <c r="O147" s="15">
        <v>4</v>
      </c>
      <c r="P147" s="35" t="s">
        <v>458</v>
      </c>
      <c r="Q147" s="35"/>
      <c r="R147" s="15"/>
      <c r="S147" s="24"/>
      <c r="T147" s="62" t="s">
        <v>1353</v>
      </c>
      <c r="U147" s="62"/>
      <c r="V147" s="94">
        <v>4748686.375</v>
      </c>
      <c r="W147" s="199">
        <v>0.79636760597819012</v>
      </c>
      <c r="X147" s="15"/>
      <c r="Y147" s="200">
        <v>0.99518421052631578</v>
      </c>
      <c r="Z147" s="11" t="s">
        <v>465</v>
      </c>
      <c r="AA147" s="11"/>
      <c r="AB147" s="15"/>
      <c r="AC147" s="54">
        <v>3800000</v>
      </c>
      <c r="AD147" s="54">
        <v>3781700</v>
      </c>
      <c r="AE147" s="54">
        <v>18300</v>
      </c>
      <c r="AG147" s="4"/>
      <c r="AH147" s="4"/>
      <c r="AI147" s="225"/>
      <c r="AJ147" s="226"/>
      <c r="AK147" s="227"/>
      <c r="AL147" s="227"/>
      <c r="AM147" s="225"/>
      <c r="AN147" s="226"/>
      <c r="AO147" s="228"/>
    </row>
    <row r="148" spans="2:41" x14ac:dyDescent="0.25">
      <c r="B148" s="52"/>
      <c r="C148" s="39">
        <v>2018</v>
      </c>
      <c r="D148" s="62" t="s">
        <v>1271</v>
      </c>
      <c r="E148" s="63" t="s">
        <v>1272</v>
      </c>
      <c r="F148" s="64">
        <v>43350</v>
      </c>
      <c r="G148" s="65" t="s">
        <v>34</v>
      </c>
      <c r="H148" s="94">
        <v>17920000</v>
      </c>
      <c r="I148" s="94">
        <v>21068000</v>
      </c>
      <c r="J148" s="27"/>
      <c r="K148" s="26">
        <v>0.17566964285714284</v>
      </c>
      <c r="L148" s="11" t="s">
        <v>465</v>
      </c>
      <c r="M148" s="15">
        <v>2</v>
      </c>
      <c r="N148" s="35" t="s">
        <v>93</v>
      </c>
      <c r="O148" s="15">
        <v>3</v>
      </c>
      <c r="P148" s="35" t="s">
        <v>458</v>
      </c>
      <c r="Q148" s="35"/>
      <c r="R148" s="15"/>
      <c r="S148" s="24"/>
      <c r="T148" s="62" t="s">
        <v>536</v>
      </c>
      <c r="U148" s="62"/>
      <c r="V148" s="94">
        <v>22772500</v>
      </c>
      <c r="W148" s="199">
        <v>0.92515094961027555</v>
      </c>
      <c r="X148" s="15"/>
      <c r="Y148" s="200">
        <v>1.1756696428571429</v>
      </c>
      <c r="Z148" s="11" t="s">
        <v>465</v>
      </c>
      <c r="AA148" s="11"/>
      <c r="AB148" s="15"/>
      <c r="AC148" s="54">
        <v>17920000</v>
      </c>
      <c r="AD148" s="54">
        <v>21068000</v>
      </c>
      <c r="AE148" s="54">
        <v>-3148000</v>
      </c>
    </row>
    <row r="149" spans="2:41" x14ac:dyDescent="0.25">
      <c r="B149" s="52"/>
      <c r="C149" s="39">
        <v>2018</v>
      </c>
      <c r="D149" s="62" t="s">
        <v>1258</v>
      </c>
      <c r="E149" s="63" t="s">
        <v>712</v>
      </c>
      <c r="F149" s="64">
        <v>43340</v>
      </c>
      <c r="G149" s="65" t="s">
        <v>34</v>
      </c>
      <c r="H149" s="94">
        <v>2500000</v>
      </c>
      <c r="I149" s="94">
        <v>2952000</v>
      </c>
      <c r="J149" s="105"/>
      <c r="K149" s="26">
        <v>0.18079999999999999</v>
      </c>
      <c r="L149" s="11" t="s">
        <v>465</v>
      </c>
      <c r="M149" s="15">
        <v>3</v>
      </c>
      <c r="N149" s="35" t="s">
        <v>93</v>
      </c>
      <c r="O149" s="15">
        <v>3</v>
      </c>
      <c r="P149" s="35" t="s">
        <v>457</v>
      </c>
      <c r="Q149" s="35"/>
      <c r="R149" s="15"/>
      <c r="S149" s="24"/>
      <c r="T149" s="62" t="s">
        <v>1226</v>
      </c>
      <c r="U149" s="62"/>
      <c r="V149" s="94">
        <v>2139150</v>
      </c>
      <c r="W149" s="199">
        <v>1.379987378164224</v>
      </c>
      <c r="X149" s="15"/>
      <c r="Y149" s="200">
        <v>1.1808000000000001</v>
      </c>
      <c r="Z149" s="11" t="s">
        <v>465</v>
      </c>
      <c r="AA149" s="11"/>
      <c r="AB149" s="15"/>
      <c r="AC149" s="54">
        <v>2500000</v>
      </c>
      <c r="AD149" s="54">
        <v>2952000</v>
      </c>
      <c r="AE149" s="54">
        <v>-452000</v>
      </c>
    </row>
    <row r="150" spans="2:41" x14ac:dyDescent="0.25">
      <c r="B150" s="52"/>
      <c r="C150" s="39">
        <v>2018</v>
      </c>
      <c r="D150" s="62" t="s">
        <v>1259</v>
      </c>
      <c r="E150" s="63" t="s">
        <v>1260</v>
      </c>
      <c r="F150" s="64">
        <v>43319</v>
      </c>
      <c r="G150" s="65" t="s">
        <v>34</v>
      </c>
      <c r="H150" s="94">
        <v>54744000</v>
      </c>
      <c r="I150" s="94">
        <v>34776250</v>
      </c>
      <c r="J150" s="27" t="s">
        <v>519</v>
      </c>
      <c r="K150" s="26">
        <v>-0.36474773491158846</v>
      </c>
      <c r="L150" s="11" t="s">
        <v>464</v>
      </c>
      <c r="M150" s="15">
        <v>4</v>
      </c>
      <c r="N150" s="35" t="s">
        <v>93</v>
      </c>
      <c r="O150" s="15">
        <v>3</v>
      </c>
      <c r="P150" s="35" t="s">
        <v>457</v>
      </c>
      <c r="Q150" s="35"/>
      <c r="R150" s="15"/>
      <c r="S150" s="24" t="s">
        <v>932</v>
      </c>
      <c r="T150" s="62" t="s">
        <v>1226</v>
      </c>
      <c r="U150" s="62"/>
      <c r="V150" s="94">
        <v>49859526.25</v>
      </c>
      <c r="W150" s="199">
        <v>0.69748456544951631</v>
      </c>
      <c r="X150" s="15"/>
      <c r="Y150" s="200">
        <v>0.63525226508841148</v>
      </c>
      <c r="Z150" s="11" t="s">
        <v>465</v>
      </c>
      <c r="AA150" s="11"/>
      <c r="AB150" s="15"/>
      <c r="AC150" s="54">
        <v>54744000</v>
      </c>
      <c r="AD150" s="54">
        <v>34776250</v>
      </c>
      <c r="AE150" s="54">
        <v>19967750</v>
      </c>
    </row>
    <row r="151" spans="2:41" x14ac:dyDescent="0.25">
      <c r="B151" s="52"/>
      <c r="C151" s="39">
        <v>2018</v>
      </c>
      <c r="D151" s="62" t="s">
        <v>1275</v>
      </c>
      <c r="E151" s="63" t="s">
        <v>1276</v>
      </c>
      <c r="F151" s="64">
        <v>43299</v>
      </c>
      <c r="G151" s="65" t="s">
        <v>190</v>
      </c>
      <c r="H151" s="94">
        <v>34796400</v>
      </c>
      <c r="I151" s="94">
        <v>34483510</v>
      </c>
      <c r="J151" s="27" t="s">
        <v>519</v>
      </c>
      <c r="K151" s="26">
        <v>-8.9920221632122863E-3</v>
      </c>
      <c r="L151" s="11" t="s">
        <v>464</v>
      </c>
      <c r="M151" s="15">
        <v>2</v>
      </c>
      <c r="N151" s="35" t="s">
        <v>93</v>
      </c>
      <c r="O151" s="15">
        <v>3</v>
      </c>
      <c r="P151" s="35" t="s">
        <v>458</v>
      </c>
      <c r="Q151" s="35"/>
      <c r="R151" s="15"/>
      <c r="S151" s="24"/>
      <c r="T151" s="62" t="s">
        <v>784</v>
      </c>
      <c r="U151" s="62"/>
      <c r="V151" s="94">
        <v>35471255</v>
      </c>
      <c r="W151" s="199">
        <v>0.97215364948322236</v>
      </c>
      <c r="X151" s="15"/>
      <c r="Y151" s="200">
        <v>0.99100797783678773</v>
      </c>
      <c r="Z151" s="11" t="s">
        <v>465</v>
      </c>
      <c r="AA151" s="11"/>
      <c r="AB151" s="15"/>
      <c r="AC151" s="54">
        <v>34796400</v>
      </c>
      <c r="AD151" s="54">
        <v>34483510</v>
      </c>
      <c r="AE151" s="54">
        <v>312890</v>
      </c>
    </row>
    <row r="152" spans="2:41" x14ac:dyDescent="0.25">
      <c r="B152" s="52"/>
      <c r="C152" s="39">
        <v>2018</v>
      </c>
      <c r="D152" s="62" t="s">
        <v>1250</v>
      </c>
      <c r="E152" s="63" t="s">
        <v>1251</v>
      </c>
      <c r="F152" s="64">
        <v>43230</v>
      </c>
      <c r="G152" s="65" t="s">
        <v>34</v>
      </c>
      <c r="H152" s="94">
        <v>4390000</v>
      </c>
      <c r="I152" s="94">
        <v>4220000</v>
      </c>
      <c r="J152" s="105" t="s">
        <v>519</v>
      </c>
      <c r="K152" s="26">
        <v>-3.8724373576309798E-2</v>
      </c>
      <c r="L152" s="11" t="s">
        <v>464</v>
      </c>
      <c r="M152" s="15">
        <v>4</v>
      </c>
      <c r="N152" s="35" t="s">
        <v>93</v>
      </c>
      <c r="O152" s="15">
        <v>2</v>
      </c>
      <c r="P152" s="35" t="s">
        <v>492</v>
      </c>
      <c r="Q152" s="35"/>
      <c r="R152" s="15"/>
      <c r="S152" s="24"/>
      <c r="T152" s="62" t="s">
        <v>816</v>
      </c>
      <c r="U152" s="62"/>
      <c r="V152" s="94">
        <v>6081225</v>
      </c>
      <c r="W152" s="199">
        <v>0.69393913232942372</v>
      </c>
      <c r="X152" s="15"/>
      <c r="Y152" s="200">
        <v>0.96127562642369024</v>
      </c>
      <c r="Z152" s="11" t="s">
        <v>465</v>
      </c>
      <c r="AA152" s="11"/>
      <c r="AB152" s="15"/>
      <c r="AC152" s="54">
        <v>4390000</v>
      </c>
      <c r="AD152" s="54">
        <v>4220000</v>
      </c>
      <c r="AE152" s="54">
        <v>170000</v>
      </c>
    </row>
    <row r="153" spans="2:41" x14ac:dyDescent="0.25">
      <c r="B153" s="52"/>
      <c r="C153" s="39">
        <v>2018</v>
      </c>
      <c r="D153" s="62" t="s">
        <v>1231</v>
      </c>
      <c r="E153" s="63" t="s">
        <v>1232</v>
      </c>
      <c r="F153" s="64">
        <v>43221</v>
      </c>
      <c r="G153" s="65" t="s">
        <v>1225</v>
      </c>
      <c r="H153" s="94">
        <v>960000</v>
      </c>
      <c r="I153" s="94">
        <v>413834</v>
      </c>
      <c r="J153" s="105"/>
      <c r="K153" s="26">
        <v>-0.56892291666666661</v>
      </c>
      <c r="L153" s="11" t="s">
        <v>465</v>
      </c>
      <c r="M153" s="15">
        <v>5</v>
      </c>
      <c r="N153" s="35" t="s">
        <v>93</v>
      </c>
      <c r="O153" s="15">
        <v>2</v>
      </c>
      <c r="P153" s="35" t="s">
        <v>457</v>
      </c>
      <c r="Q153" s="35"/>
      <c r="R153" s="15"/>
      <c r="S153" s="24"/>
      <c r="T153" s="62" t="s">
        <v>816</v>
      </c>
      <c r="U153" s="62"/>
      <c r="V153" s="94">
        <v>710613.8</v>
      </c>
      <c r="W153" s="199">
        <v>0.58236133325865602</v>
      </c>
      <c r="X153" s="15"/>
      <c r="Y153" s="200">
        <v>0.43107708333333333</v>
      </c>
      <c r="Z153" s="11" t="s">
        <v>465</v>
      </c>
      <c r="AA153" s="11"/>
      <c r="AB153" s="15"/>
      <c r="AC153" s="54">
        <v>960000</v>
      </c>
      <c r="AD153" s="54">
        <v>413834</v>
      </c>
      <c r="AE153" s="54">
        <v>546166</v>
      </c>
    </row>
    <row r="154" spans="2:41" x14ac:dyDescent="0.25">
      <c r="B154" s="52"/>
      <c r="C154" s="39">
        <v>2018</v>
      </c>
      <c r="D154" s="62" t="s">
        <v>1252</v>
      </c>
      <c r="E154" s="63" t="s">
        <v>1253</v>
      </c>
      <c r="F154" s="64">
        <v>43193</v>
      </c>
      <c r="G154" s="65" t="s">
        <v>34</v>
      </c>
      <c r="H154" s="94">
        <v>9140000</v>
      </c>
      <c r="I154" s="94">
        <v>4659626</v>
      </c>
      <c r="J154" s="27" t="s">
        <v>519</v>
      </c>
      <c r="K154" s="26">
        <v>-0.49019409190371993</v>
      </c>
      <c r="L154" s="11" t="s">
        <v>464</v>
      </c>
      <c r="M154" s="15">
        <v>5</v>
      </c>
      <c r="N154" s="35" t="s">
        <v>93</v>
      </c>
      <c r="O154" s="15">
        <v>2</v>
      </c>
      <c r="P154" s="35" t="s">
        <v>492</v>
      </c>
      <c r="Q154" s="35" t="s">
        <v>1238</v>
      </c>
      <c r="R154" s="15"/>
      <c r="S154" s="24" t="s">
        <v>932</v>
      </c>
      <c r="T154" s="62" t="s">
        <v>816</v>
      </c>
      <c r="U154" s="62"/>
      <c r="V154" s="94">
        <v>10095414</v>
      </c>
      <c r="W154" s="199">
        <v>0.46155868397274247</v>
      </c>
      <c r="X154" s="15"/>
      <c r="Y154" s="200">
        <v>0.50980590809628012</v>
      </c>
      <c r="Z154" s="11" t="s">
        <v>465</v>
      </c>
      <c r="AA154" s="11"/>
      <c r="AB154" s="15"/>
      <c r="AC154" s="54">
        <v>9140000</v>
      </c>
      <c r="AD154" s="54">
        <v>4659626</v>
      </c>
      <c r="AE154" s="54">
        <v>4480374</v>
      </c>
    </row>
    <row r="155" spans="2:41" x14ac:dyDescent="0.25">
      <c r="B155" s="52"/>
      <c r="C155" s="39">
        <v>2018</v>
      </c>
      <c r="D155" s="62" t="s">
        <v>1283</v>
      </c>
      <c r="E155" s="63" t="s">
        <v>1284</v>
      </c>
      <c r="F155" s="64">
        <v>43179</v>
      </c>
      <c r="G155" s="65" t="s">
        <v>34</v>
      </c>
      <c r="H155" s="94">
        <v>1440000</v>
      </c>
      <c r="I155" s="94">
        <v>1928000</v>
      </c>
      <c r="J155" s="105"/>
      <c r="K155" s="26">
        <v>0.33888888888888891</v>
      </c>
      <c r="L155" s="11" t="s">
        <v>465</v>
      </c>
      <c r="M155" s="15">
        <v>7</v>
      </c>
      <c r="N155" s="35" t="s">
        <v>93</v>
      </c>
      <c r="O155" s="15">
        <v>1</v>
      </c>
      <c r="P155" s="35" t="s">
        <v>458</v>
      </c>
      <c r="Q155" s="35" t="s">
        <v>1238</v>
      </c>
      <c r="R155" s="15"/>
      <c r="S155" s="24"/>
      <c r="T155" s="62" t="s">
        <v>784</v>
      </c>
      <c r="U155" s="62"/>
      <c r="V155" s="94">
        <v>2393861.8571428573</v>
      </c>
      <c r="W155" s="199">
        <v>0.8053931743167182</v>
      </c>
      <c r="X155" s="15"/>
      <c r="Y155" s="200">
        <v>1.3388888888888888</v>
      </c>
      <c r="Z155" s="11" t="s">
        <v>465</v>
      </c>
      <c r="AA155" s="11"/>
      <c r="AB155" s="15"/>
      <c r="AC155" s="54">
        <v>1440000</v>
      </c>
      <c r="AD155" s="54">
        <v>1928000</v>
      </c>
      <c r="AE155" s="54">
        <v>-488000</v>
      </c>
    </row>
    <row r="156" spans="2:41" x14ac:dyDescent="0.25">
      <c r="B156" s="52"/>
      <c r="C156" s="39">
        <v>2018</v>
      </c>
      <c r="D156" s="62" t="s">
        <v>1265</v>
      </c>
      <c r="E156" s="63" t="s">
        <v>1266</v>
      </c>
      <c r="F156" s="64">
        <v>43174</v>
      </c>
      <c r="G156" s="65" t="s">
        <v>34</v>
      </c>
      <c r="H156" s="94">
        <v>1150000</v>
      </c>
      <c r="I156" s="94">
        <v>1253317</v>
      </c>
      <c r="J156" s="105" t="s">
        <v>519</v>
      </c>
      <c r="K156" s="26">
        <v>8.9840869565217391E-2</v>
      </c>
      <c r="L156" s="11" t="s">
        <v>464</v>
      </c>
      <c r="M156" s="15">
        <v>6</v>
      </c>
      <c r="N156" s="35" t="s">
        <v>93</v>
      </c>
      <c r="O156" s="15">
        <v>1</v>
      </c>
      <c r="P156" s="35" t="s">
        <v>457</v>
      </c>
      <c r="Q156" s="35" t="s">
        <v>1243</v>
      </c>
      <c r="R156" s="15"/>
      <c r="S156" s="24"/>
      <c r="T156" s="62" t="s">
        <v>784</v>
      </c>
      <c r="U156" s="62"/>
      <c r="V156" s="94">
        <v>1900429</v>
      </c>
      <c r="W156" s="199">
        <v>0.65949162004999928</v>
      </c>
      <c r="X156" s="15"/>
      <c r="Y156" s="200">
        <v>1.0898408695652173</v>
      </c>
      <c r="Z156" s="11" t="s">
        <v>465</v>
      </c>
      <c r="AA156" s="11"/>
      <c r="AB156" s="15"/>
      <c r="AC156" s="54">
        <v>1150000</v>
      </c>
      <c r="AD156" s="54">
        <v>1253317</v>
      </c>
      <c r="AE156" s="54">
        <v>-103317</v>
      </c>
    </row>
    <row r="157" spans="2:41" x14ac:dyDescent="0.25">
      <c r="B157" s="52"/>
      <c r="C157" s="39">
        <v>2018</v>
      </c>
      <c r="D157" s="62" t="s">
        <v>1289</v>
      </c>
      <c r="E157" s="63" t="s">
        <v>1290</v>
      </c>
      <c r="F157" s="64">
        <v>43147</v>
      </c>
      <c r="G157" s="65" t="s">
        <v>34</v>
      </c>
      <c r="H157" s="94">
        <v>23100000</v>
      </c>
      <c r="I157" s="94">
        <v>16848000</v>
      </c>
      <c r="J157" s="27" t="s">
        <v>519</v>
      </c>
      <c r="K157" s="26">
        <v>-0.27064935064935064</v>
      </c>
      <c r="L157" s="11" t="s">
        <v>464</v>
      </c>
      <c r="M157" s="15">
        <v>6</v>
      </c>
      <c r="N157" s="35" t="s">
        <v>93</v>
      </c>
      <c r="O157" s="15">
        <v>1</v>
      </c>
      <c r="P157" s="35" t="s">
        <v>458</v>
      </c>
      <c r="Q157" s="35" t="s">
        <v>1243</v>
      </c>
      <c r="R157" s="15"/>
      <c r="S157" s="24"/>
      <c r="T157" s="62" t="s">
        <v>442</v>
      </c>
      <c r="U157" s="62"/>
      <c r="V157" s="94">
        <v>24152208.666666668</v>
      </c>
      <c r="W157" s="199">
        <v>0.69757595392310978</v>
      </c>
      <c r="X157" s="15"/>
      <c r="Y157" s="200">
        <v>0.7293506493506493</v>
      </c>
      <c r="Z157" s="11" t="s">
        <v>465</v>
      </c>
      <c r="AA157" s="11"/>
      <c r="AB157" s="15"/>
      <c r="AC157" s="54">
        <v>23100000</v>
      </c>
      <c r="AD157" s="54">
        <v>16848000</v>
      </c>
      <c r="AE157" s="54">
        <v>6252000</v>
      </c>
    </row>
    <row r="158" spans="2:41" x14ac:dyDescent="0.25">
      <c r="B158" s="52"/>
      <c r="C158" s="39">
        <v>2018</v>
      </c>
      <c r="D158" s="62" t="s">
        <v>1291</v>
      </c>
      <c r="E158" s="63" t="s">
        <v>1292</v>
      </c>
      <c r="F158" s="64">
        <v>43139</v>
      </c>
      <c r="G158" s="65" t="s">
        <v>190</v>
      </c>
      <c r="H158" s="94">
        <v>10590000</v>
      </c>
      <c r="I158" s="94">
        <v>9125000</v>
      </c>
      <c r="J158" s="27"/>
      <c r="K158" s="26">
        <v>-0.13833805476864966</v>
      </c>
      <c r="L158" s="11" t="s">
        <v>465</v>
      </c>
      <c r="M158" s="15">
        <v>2</v>
      </c>
      <c r="N158" s="35" t="s">
        <v>93</v>
      </c>
      <c r="O158" s="15">
        <v>1</v>
      </c>
      <c r="P158" s="35" t="s">
        <v>458</v>
      </c>
      <c r="Q158" s="35" t="s">
        <v>1235</v>
      </c>
      <c r="R158" s="15"/>
      <c r="S158" s="24"/>
      <c r="T158" s="62" t="s">
        <v>784</v>
      </c>
      <c r="U158" s="62"/>
      <c r="V158" s="94">
        <v>9478917</v>
      </c>
      <c r="W158" s="199">
        <v>0.96266271769232714</v>
      </c>
      <c r="X158" s="15"/>
      <c r="Y158" s="200">
        <v>0.86166194523135031</v>
      </c>
      <c r="Z158" s="11" t="s">
        <v>465</v>
      </c>
      <c r="AA158" s="11"/>
      <c r="AB158" s="15"/>
      <c r="AC158" s="54">
        <v>10590000</v>
      </c>
      <c r="AD158" s="54">
        <v>9125000</v>
      </c>
      <c r="AE158" s="54">
        <v>1465000</v>
      </c>
    </row>
    <row r="159" spans="2:41" x14ac:dyDescent="0.25">
      <c r="B159" s="52"/>
      <c r="C159" s="39">
        <v>2018</v>
      </c>
      <c r="D159" s="62" t="s">
        <v>1293</v>
      </c>
      <c r="E159" s="63" t="s">
        <v>1294</v>
      </c>
      <c r="F159" s="64">
        <v>43125</v>
      </c>
      <c r="G159" s="65" t="s">
        <v>34</v>
      </c>
      <c r="H159" s="94">
        <v>1700000</v>
      </c>
      <c r="I159" s="94">
        <v>1555555</v>
      </c>
      <c r="J159" s="105" t="s">
        <v>519</v>
      </c>
      <c r="K159" s="26">
        <v>-8.4967647058823523E-2</v>
      </c>
      <c r="L159" s="11" t="s">
        <v>464</v>
      </c>
      <c r="M159" s="15">
        <v>9</v>
      </c>
      <c r="N159" s="35" t="s">
        <v>93</v>
      </c>
      <c r="O159" s="15">
        <v>1</v>
      </c>
      <c r="P159" s="35" t="s">
        <v>458</v>
      </c>
      <c r="Q159" s="35" t="s">
        <v>1245</v>
      </c>
      <c r="R159" s="15"/>
      <c r="S159" s="24"/>
      <c r="T159" s="62" t="s">
        <v>784</v>
      </c>
      <c r="U159" s="62"/>
      <c r="V159" s="94">
        <v>2601779.6666666665</v>
      </c>
      <c r="W159" s="199">
        <v>0.59788114263839154</v>
      </c>
      <c r="X159" s="15"/>
      <c r="Y159" s="200">
        <v>0.91503235294117646</v>
      </c>
      <c r="Z159" s="11" t="s">
        <v>465</v>
      </c>
      <c r="AA159" s="11"/>
      <c r="AB159" s="15"/>
      <c r="AC159" s="54">
        <v>1700000</v>
      </c>
      <c r="AD159" s="54">
        <v>1555555</v>
      </c>
      <c r="AE159" s="54">
        <v>144445</v>
      </c>
    </row>
    <row r="160" spans="2:41" x14ac:dyDescent="0.25">
      <c r="B160" s="52"/>
      <c r="C160" s="39">
        <v>2018</v>
      </c>
      <c r="D160" s="62" t="s">
        <v>1254</v>
      </c>
      <c r="E160" s="63" t="s">
        <v>1255</v>
      </c>
      <c r="F160" s="64">
        <v>43124</v>
      </c>
      <c r="G160" s="65" t="s">
        <v>34</v>
      </c>
      <c r="H160" s="94">
        <v>22000000</v>
      </c>
      <c r="I160" s="94">
        <v>19988889</v>
      </c>
      <c r="J160" s="27" t="s">
        <v>519</v>
      </c>
      <c r="K160" s="26">
        <v>-9.1414136363636364E-2</v>
      </c>
      <c r="L160" s="11" t="s">
        <v>464</v>
      </c>
      <c r="M160" s="15">
        <v>13</v>
      </c>
      <c r="N160" s="35" t="s">
        <v>93</v>
      </c>
      <c r="O160" s="15">
        <v>1</v>
      </c>
      <c r="P160" s="35" t="s">
        <v>492</v>
      </c>
      <c r="Q160" s="35" t="s">
        <v>1245</v>
      </c>
      <c r="R160" s="15"/>
      <c r="S160" s="24"/>
      <c r="T160" s="62" t="s">
        <v>816</v>
      </c>
      <c r="U160" s="62"/>
      <c r="V160" s="94">
        <v>27586889.692307692</v>
      </c>
      <c r="W160" s="199">
        <v>0.72457929193712933</v>
      </c>
      <c r="X160" s="15"/>
      <c r="Y160" s="200">
        <v>0.90858586363636362</v>
      </c>
      <c r="Z160" s="11" t="s">
        <v>465</v>
      </c>
      <c r="AA160" s="11"/>
      <c r="AB160" s="15"/>
      <c r="AC160" s="54">
        <v>22000000</v>
      </c>
      <c r="AD160" s="54">
        <v>19988889</v>
      </c>
      <c r="AE160" s="54">
        <v>2011111</v>
      </c>
    </row>
    <row r="161" spans="2:41" x14ac:dyDescent="0.25">
      <c r="B161" s="224"/>
      <c r="C161" s="39">
        <v>2018</v>
      </c>
      <c r="D161" s="62" t="s">
        <v>1267</v>
      </c>
      <c r="E161" s="63" t="s">
        <v>1268</v>
      </c>
      <c r="F161" s="64">
        <v>43108</v>
      </c>
      <c r="G161" s="65" t="s">
        <v>190</v>
      </c>
      <c r="H161" s="94">
        <v>8520000</v>
      </c>
      <c r="I161" s="94">
        <v>6850075</v>
      </c>
      <c r="J161" s="27" t="s">
        <v>519</v>
      </c>
      <c r="K161" s="26">
        <v>-0.19600058685446009</v>
      </c>
      <c r="L161" s="11" t="s">
        <v>464</v>
      </c>
      <c r="M161" s="15">
        <v>5</v>
      </c>
      <c r="N161" s="35" t="s">
        <v>93</v>
      </c>
      <c r="O161" s="15">
        <v>1</v>
      </c>
      <c r="P161" s="35" t="s">
        <v>457</v>
      </c>
      <c r="Q161" s="35" t="s">
        <v>1235</v>
      </c>
      <c r="R161" s="15"/>
      <c r="S161" s="24"/>
      <c r="T161" s="62" t="s">
        <v>784</v>
      </c>
      <c r="U161" s="62"/>
      <c r="V161" s="94">
        <v>10472836.199999999</v>
      </c>
      <c r="W161" s="199">
        <v>0.65408021945382866</v>
      </c>
      <c r="X161" s="15"/>
      <c r="Y161" s="200">
        <v>0.80399941314553991</v>
      </c>
      <c r="Z161" s="11" t="s">
        <v>465</v>
      </c>
      <c r="AA161" s="74">
        <v>0</v>
      </c>
      <c r="AB161" s="15"/>
      <c r="AC161" s="54">
        <v>8520000</v>
      </c>
      <c r="AD161" s="54">
        <v>6850075</v>
      </c>
      <c r="AE161" s="54">
        <v>1669925</v>
      </c>
      <c r="AG161" s="4">
        <v>337954000</v>
      </c>
      <c r="AH161" s="4">
        <v>228800072</v>
      </c>
      <c r="AI161" s="7">
        <v>0.67701542813519</v>
      </c>
    </row>
    <row r="162" spans="2:41" x14ac:dyDescent="0.25">
      <c r="B162" s="52"/>
      <c r="C162" s="39"/>
      <c r="E162" s="85"/>
      <c r="F162" s="85"/>
      <c r="G162" s="85"/>
      <c r="H162" s="86">
        <f>SUM(H140:H161)</f>
        <v>394789600</v>
      </c>
      <c r="I162" s="86">
        <f>SUM(I140:I161)</f>
        <v>326633415</v>
      </c>
      <c r="J162" s="85"/>
      <c r="K162" s="87">
        <f>+I162/H162</f>
        <v>0.82736073847943314</v>
      </c>
      <c r="L162" s="85">
        <f>COUNTA(L140:L161)</f>
        <v>21</v>
      </c>
      <c r="M162" s="88">
        <f>SUM(M140:M161)/L162</f>
        <v>4.9523809523809526</v>
      </c>
      <c r="N162" s="89"/>
      <c r="O162" s="85"/>
      <c r="P162" s="233">
        <f>13/L162</f>
        <v>0.61904761904761907</v>
      </c>
      <c r="Q162" s="85"/>
    </row>
    <row r="163" spans="2:41" x14ac:dyDescent="0.25">
      <c r="B163" s="52"/>
      <c r="C163" s="39"/>
    </row>
    <row r="164" spans="2:41" x14ac:dyDescent="0.25">
      <c r="B164" s="52"/>
      <c r="C164" s="39"/>
      <c r="D164" s="31" t="s">
        <v>839</v>
      </c>
    </row>
    <row r="165" spans="2:41" x14ac:dyDescent="0.25">
      <c r="B165" s="224"/>
      <c r="C165" s="39">
        <v>2018</v>
      </c>
      <c r="D165" s="62" t="s">
        <v>1354</v>
      </c>
      <c r="E165" s="63" t="s">
        <v>1355</v>
      </c>
      <c r="F165" s="64">
        <v>43412</v>
      </c>
      <c r="G165" s="65" t="s">
        <v>34</v>
      </c>
      <c r="H165" s="94">
        <v>9720000</v>
      </c>
      <c r="I165" s="94">
        <v>7666000</v>
      </c>
      <c r="J165" s="94"/>
      <c r="K165" s="153">
        <v>-0.21131687242798353</v>
      </c>
      <c r="L165" s="11" t="s">
        <v>465</v>
      </c>
      <c r="M165" s="15">
        <v>4</v>
      </c>
      <c r="N165" s="35" t="s">
        <v>226</v>
      </c>
      <c r="O165" s="15">
        <v>4</v>
      </c>
      <c r="P165" s="35" t="s">
        <v>459</v>
      </c>
      <c r="Q165" s="35"/>
      <c r="R165" s="15"/>
      <c r="S165" s="24"/>
      <c r="T165" s="62" t="s">
        <v>447</v>
      </c>
      <c r="U165" s="62"/>
      <c r="V165" s="94">
        <v>8557038.75</v>
      </c>
      <c r="W165" s="199">
        <v>0.89587066553835581</v>
      </c>
      <c r="X165" s="15"/>
      <c r="Y165" s="200">
        <v>0.78868312757201642</v>
      </c>
      <c r="Z165" s="11" t="s">
        <v>465</v>
      </c>
      <c r="AA165" s="11"/>
      <c r="AB165" s="15"/>
      <c r="AC165" s="54">
        <v>9720000</v>
      </c>
      <c r="AD165" s="54">
        <v>7666000</v>
      </c>
      <c r="AE165" s="54">
        <v>2054000</v>
      </c>
      <c r="AG165" s="4"/>
      <c r="AH165" s="4"/>
      <c r="AI165" s="225"/>
      <c r="AJ165" s="226"/>
      <c r="AK165" s="227"/>
      <c r="AL165" s="227"/>
      <c r="AM165" s="225"/>
      <c r="AN165" s="226"/>
      <c r="AO165" s="228"/>
    </row>
    <row r="166" spans="2:41" x14ac:dyDescent="0.25">
      <c r="B166" s="52"/>
      <c r="C166" s="39">
        <v>2018</v>
      </c>
      <c r="D166" s="62" t="s">
        <v>1227</v>
      </c>
      <c r="E166" s="63" t="s">
        <v>1228</v>
      </c>
      <c r="F166" s="64">
        <v>43326</v>
      </c>
      <c r="G166" s="65" t="s">
        <v>1225</v>
      </c>
      <c r="H166" s="94">
        <v>1300000</v>
      </c>
      <c r="I166" s="94">
        <v>695800</v>
      </c>
      <c r="J166" s="105"/>
      <c r="K166" s="26">
        <v>-0.46476923076923077</v>
      </c>
      <c r="L166" s="11" t="s">
        <v>465</v>
      </c>
      <c r="M166" s="15">
        <v>2</v>
      </c>
      <c r="N166" s="35" t="s">
        <v>226</v>
      </c>
      <c r="O166" s="15">
        <v>3</v>
      </c>
      <c r="P166" s="35" t="s">
        <v>457</v>
      </c>
      <c r="Q166" s="35"/>
      <c r="R166" s="15"/>
      <c r="S166" s="24" t="s">
        <v>932</v>
      </c>
      <c r="T166" s="62" t="s">
        <v>1226</v>
      </c>
      <c r="U166" s="62"/>
      <c r="V166" s="94">
        <v>1057500</v>
      </c>
      <c r="W166" s="199">
        <v>0.65796690307328609</v>
      </c>
      <c r="X166" s="15"/>
      <c r="Y166" s="200">
        <v>0.53523076923076918</v>
      </c>
      <c r="Z166" s="11" t="s">
        <v>465</v>
      </c>
      <c r="AA166" s="11"/>
      <c r="AB166" s="15"/>
      <c r="AC166" s="54">
        <v>1300000</v>
      </c>
      <c r="AD166" s="54">
        <v>695800</v>
      </c>
      <c r="AE166" s="54">
        <v>604200</v>
      </c>
    </row>
    <row r="167" spans="2:41" x14ac:dyDescent="0.25">
      <c r="B167" s="52"/>
      <c r="C167" s="39">
        <v>2018</v>
      </c>
      <c r="D167" s="62" t="s">
        <v>1261</v>
      </c>
      <c r="E167" s="63" t="s">
        <v>1262</v>
      </c>
      <c r="F167" s="64">
        <v>43299</v>
      </c>
      <c r="G167" s="65" t="s">
        <v>34</v>
      </c>
      <c r="H167" s="94">
        <v>3570000</v>
      </c>
      <c r="I167" s="94">
        <v>3861000</v>
      </c>
      <c r="J167" s="105" t="s">
        <v>519</v>
      </c>
      <c r="K167" s="26">
        <v>8.1512605042016809E-2</v>
      </c>
      <c r="L167" s="11" t="s">
        <v>464</v>
      </c>
      <c r="M167" s="15">
        <v>6</v>
      </c>
      <c r="N167" s="35" t="s">
        <v>226</v>
      </c>
      <c r="O167" s="15">
        <v>3</v>
      </c>
      <c r="P167" s="35" t="s">
        <v>457</v>
      </c>
      <c r="Q167" s="35"/>
      <c r="R167" s="15"/>
      <c r="S167" s="24"/>
      <c r="T167" s="62" t="s">
        <v>1226</v>
      </c>
      <c r="U167" s="62"/>
      <c r="V167" s="94">
        <v>5535683.333333333</v>
      </c>
      <c r="W167" s="199">
        <v>0.69747486760141031</v>
      </c>
      <c r="X167" s="15"/>
      <c r="Y167" s="200">
        <v>1.0815126050420167</v>
      </c>
      <c r="Z167" s="11" t="s">
        <v>465</v>
      </c>
      <c r="AA167" s="11"/>
      <c r="AB167" s="15"/>
      <c r="AC167" s="54">
        <v>3570000</v>
      </c>
      <c r="AD167" s="54">
        <v>3861000</v>
      </c>
      <c r="AE167" s="54">
        <v>-291000</v>
      </c>
    </row>
    <row r="168" spans="2:41" x14ac:dyDescent="0.25">
      <c r="B168" s="52"/>
      <c r="C168" s="39">
        <v>2018</v>
      </c>
      <c r="D168" s="62" t="s">
        <v>1248</v>
      </c>
      <c r="E168" s="63" t="s">
        <v>1249</v>
      </c>
      <c r="F168" s="64">
        <v>43259</v>
      </c>
      <c r="G168" s="65" t="s">
        <v>756</v>
      </c>
      <c r="H168" s="94">
        <v>2770000</v>
      </c>
      <c r="I168" s="94">
        <v>2542996</v>
      </c>
      <c r="J168" s="105" t="s">
        <v>519</v>
      </c>
      <c r="K168" s="26">
        <v>-8.1950902527075806E-2</v>
      </c>
      <c r="L168" s="11" t="s">
        <v>464</v>
      </c>
      <c r="M168" s="15">
        <v>6</v>
      </c>
      <c r="N168" s="35" t="s">
        <v>226</v>
      </c>
      <c r="O168" s="15">
        <v>2</v>
      </c>
      <c r="P168" s="35" t="s">
        <v>492</v>
      </c>
      <c r="Q168" s="35"/>
      <c r="R168" s="15"/>
      <c r="S168" s="24"/>
      <c r="T168" s="62" t="s">
        <v>447</v>
      </c>
      <c r="U168" s="62"/>
      <c r="V168" s="94">
        <v>4162248.5</v>
      </c>
      <c r="W168" s="199">
        <v>0.61096688484601536</v>
      </c>
      <c r="X168" s="15"/>
      <c r="Y168" s="200">
        <v>0.91804909747292418</v>
      </c>
      <c r="Z168" s="11" t="s">
        <v>465</v>
      </c>
      <c r="AA168" s="11"/>
      <c r="AB168" s="15"/>
      <c r="AC168" s="54">
        <v>2770000</v>
      </c>
      <c r="AD168" s="54">
        <v>2542996</v>
      </c>
      <c r="AE168" s="54">
        <v>227004</v>
      </c>
    </row>
    <row r="169" spans="2:41" x14ac:dyDescent="0.25">
      <c r="B169" s="52"/>
      <c r="C169" s="39">
        <v>2018</v>
      </c>
      <c r="D169" s="62" t="s">
        <v>1263</v>
      </c>
      <c r="E169" s="63" t="s">
        <v>1264</v>
      </c>
      <c r="F169" s="64">
        <v>43179</v>
      </c>
      <c r="G169" s="65" t="s">
        <v>34</v>
      </c>
      <c r="H169" s="94">
        <v>27125000</v>
      </c>
      <c r="I169" s="94">
        <v>22964560</v>
      </c>
      <c r="J169" s="27" t="s">
        <v>519</v>
      </c>
      <c r="K169" s="26">
        <v>-0.15338027649769584</v>
      </c>
      <c r="L169" s="11" t="s">
        <v>464</v>
      </c>
      <c r="M169" s="15">
        <v>10</v>
      </c>
      <c r="N169" s="35" t="s">
        <v>226</v>
      </c>
      <c r="O169" s="15">
        <v>1</v>
      </c>
      <c r="P169" s="35" t="s">
        <v>457</v>
      </c>
      <c r="Q169" s="35" t="s">
        <v>1238</v>
      </c>
      <c r="R169" s="15"/>
      <c r="S169" s="24"/>
      <c r="T169" s="62" t="s">
        <v>816</v>
      </c>
      <c r="U169" s="62"/>
      <c r="V169" s="94">
        <v>31632465.399999999</v>
      </c>
      <c r="W169" s="199">
        <v>0.72598071979555534</v>
      </c>
      <c r="X169" s="15"/>
      <c r="Y169" s="200">
        <v>0.84661972350230419</v>
      </c>
      <c r="Z169" s="11" t="s">
        <v>465</v>
      </c>
      <c r="AA169" s="11"/>
      <c r="AB169" s="15"/>
      <c r="AC169" s="54">
        <v>27125000</v>
      </c>
      <c r="AD169" s="54">
        <v>22964560</v>
      </c>
      <c r="AE169" s="54">
        <v>4160440</v>
      </c>
    </row>
    <row r="170" spans="2:41" x14ac:dyDescent="0.25">
      <c r="B170" s="52"/>
      <c r="C170" s="39">
        <v>2018</v>
      </c>
      <c r="D170" s="62" t="s">
        <v>1307</v>
      </c>
      <c r="E170" s="63" t="s">
        <v>1308</v>
      </c>
      <c r="F170" s="64">
        <v>43118</v>
      </c>
      <c r="G170" s="65" t="s">
        <v>756</v>
      </c>
      <c r="H170" s="94">
        <v>26900000</v>
      </c>
      <c r="I170" s="94">
        <v>24990000</v>
      </c>
      <c r="J170" s="27" t="s">
        <v>519</v>
      </c>
      <c r="K170" s="26">
        <v>-7.1003717472118963E-2</v>
      </c>
      <c r="L170" s="11" t="s">
        <v>464</v>
      </c>
      <c r="M170" s="15">
        <v>2</v>
      </c>
      <c r="N170" s="35" t="s">
        <v>226</v>
      </c>
      <c r="O170" s="15">
        <v>1</v>
      </c>
      <c r="P170" s="35" t="s">
        <v>459</v>
      </c>
      <c r="Q170" s="35" t="s">
        <v>1246</v>
      </c>
      <c r="R170" s="15"/>
      <c r="S170" s="24"/>
      <c r="T170" s="62" t="s">
        <v>447</v>
      </c>
      <c r="U170" s="62"/>
      <c r="V170" s="94">
        <v>35017000</v>
      </c>
      <c r="W170" s="199">
        <v>0.71365336836393756</v>
      </c>
      <c r="X170" s="15"/>
      <c r="Y170" s="200">
        <v>0.92899628252788102</v>
      </c>
      <c r="Z170" s="11" t="s">
        <v>465</v>
      </c>
      <c r="AA170" s="11"/>
      <c r="AB170" s="15"/>
      <c r="AC170" s="54">
        <v>26900000</v>
      </c>
      <c r="AD170" s="54">
        <v>24990000</v>
      </c>
      <c r="AE170" s="54">
        <v>1910000</v>
      </c>
    </row>
    <row r="171" spans="2:41" x14ac:dyDescent="0.25">
      <c r="B171" s="52"/>
      <c r="C171" s="39">
        <v>2018</v>
      </c>
      <c r="D171" s="62" t="s">
        <v>1309</v>
      </c>
      <c r="E171" s="63" t="s">
        <v>1310</v>
      </c>
      <c r="F171" s="64">
        <v>43110</v>
      </c>
      <c r="G171" s="65" t="s">
        <v>190</v>
      </c>
      <c r="H171" s="94">
        <v>200000000</v>
      </c>
      <c r="I171" s="94">
        <v>108511400</v>
      </c>
      <c r="J171" s="27"/>
      <c r="K171" s="26">
        <v>-0.45744299999999999</v>
      </c>
      <c r="L171" s="11" t="s">
        <v>465</v>
      </c>
      <c r="M171" s="15">
        <v>5</v>
      </c>
      <c r="N171" s="35" t="s">
        <v>226</v>
      </c>
      <c r="O171" s="15">
        <v>1</v>
      </c>
      <c r="P171" s="35" t="s">
        <v>459</v>
      </c>
      <c r="Q171" s="35" t="s">
        <v>1246</v>
      </c>
      <c r="R171" s="15"/>
      <c r="S171" s="24" t="s">
        <v>932</v>
      </c>
      <c r="T171" s="62" t="s">
        <v>447</v>
      </c>
      <c r="U171" s="62"/>
      <c r="V171" s="94">
        <v>136419680</v>
      </c>
      <c r="W171" s="199">
        <v>0.79542335827206168</v>
      </c>
      <c r="X171" s="15"/>
      <c r="Y171" s="200">
        <v>0.54255699999999996</v>
      </c>
      <c r="Z171" s="11" t="s">
        <v>465</v>
      </c>
      <c r="AA171" s="11"/>
      <c r="AB171" s="15"/>
      <c r="AC171" s="54">
        <v>200000000</v>
      </c>
      <c r="AD171" s="54">
        <v>108511400</v>
      </c>
      <c r="AE171" s="54">
        <v>91488600</v>
      </c>
    </row>
    <row r="172" spans="2:41" x14ac:dyDescent="0.25">
      <c r="B172" s="52"/>
      <c r="C172" s="39"/>
      <c r="E172" s="85"/>
      <c r="F172" s="85"/>
      <c r="G172" s="85"/>
      <c r="H172" s="86">
        <f>SUM(H164:H171)</f>
        <v>271385000</v>
      </c>
      <c r="I172" s="86">
        <f>SUM(I164:I171)</f>
        <v>171231756</v>
      </c>
      <c r="J172" s="85"/>
      <c r="K172" s="87">
        <f>+I172/H172</f>
        <v>0.63095512279602783</v>
      </c>
      <c r="L172" s="85">
        <f>COUNTA(L164:L171)</f>
        <v>7</v>
      </c>
      <c r="M172" s="88">
        <f>SUM(M164:M171)/L172</f>
        <v>5</v>
      </c>
      <c r="N172" s="89"/>
      <c r="O172" s="85"/>
      <c r="P172" s="119">
        <f>4/L172</f>
        <v>0.5714285714285714</v>
      </c>
      <c r="Q172" s="85"/>
    </row>
    <row r="173" spans="2:41" x14ac:dyDescent="0.25">
      <c r="B173" s="52"/>
      <c r="C173" s="39"/>
    </row>
    <row r="174" spans="2:41" x14ac:dyDescent="0.25">
      <c r="B174" s="52"/>
      <c r="C174" s="39"/>
    </row>
    <row r="175" spans="2:41" x14ac:dyDescent="0.25">
      <c r="B175" s="52"/>
      <c r="C175" s="39"/>
      <c r="F175" s="31"/>
      <c r="G175" s="36" t="s">
        <v>853</v>
      </c>
      <c r="H175" s="36" t="s">
        <v>854</v>
      </c>
      <c r="I175" s="36" t="s">
        <v>59</v>
      </c>
      <c r="J175" s="36" t="s">
        <v>60</v>
      </c>
      <c r="K175" s="36" t="s">
        <v>856</v>
      </c>
      <c r="L175" s="36" t="s">
        <v>62</v>
      </c>
      <c r="M175" s="37" t="s">
        <v>855</v>
      </c>
      <c r="N175" s="36"/>
      <c r="O175" s="36"/>
      <c r="P175" s="31"/>
      <c r="Q175" s="31"/>
    </row>
    <row r="176" spans="2:41" x14ac:dyDescent="0.25">
      <c r="B176" s="52"/>
      <c r="C176" s="39"/>
      <c r="G176" t="s">
        <v>93</v>
      </c>
      <c r="H176" s="4">
        <f>+H162</f>
        <v>394789600</v>
      </c>
      <c r="I176" s="4">
        <f>+I162</f>
        <v>326633415</v>
      </c>
      <c r="J176" s="91">
        <f>+K162</f>
        <v>0.82736073847943314</v>
      </c>
      <c r="K176" s="120">
        <f>+P162</f>
        <v>0.61904761904761907</v>
      </c>
      <c r="L176">
        <f>+L162</f>
        <v>21</v>
      </c>
      <c r="M176" s="84">
        <f>+M162</f>
        <v>4.9523809523809526</v>
      </c>
    </row>
    <row r="177" spans="2:27" x14ac:dyDescent="0.25">
      <c r="B177" s="52"/>
      <c r="C177" s="39"/>
      <c r="G177" t="s">
        <v>25</v>
      </c>
      <c r="H177" s="4">
        <f>+H138</f>
        <v>496719750</v>
      </c>
      <c r="I177" s="4">
        <f>+I138</f>
        <v>427527891</v>
      </c>
      <c r="J177" s="91">
        <f>+K138</f>
        <v>0.86070242022790522</v>
      </c>
      <c r="K177" s="120">
        <f>+P138</f>
        <v>0.5714285714285714</v>
      </c>
      <c r="L177">
        <f>+L138</f>
        <v>28</v>
      </c>
      <c r="M177" s="84">
        <f>+M138</f>
        <v>4.3571428571428568</v>
      </c>
    </row>
    <row r="178" spans="2:27" s="11" customFormat="1" x14ac:dyDescent="0.25">
      <c r="B178" s="104"/>
      <c r="C178" s="39"/>
      <c r="D178"/>
      <c r="E178"/>
      <c r="F178"/>
      <c r="G178" t="s">
        <v>1373</v>
      </c>
      <c r="H178" s="4">
        <f>+H172</f>
        <v>271385000</v>
      </c>
      <c r="I178" s="4">
        <f>+I172</f>
        <v>171231756</v>
      </c>
      <c r="J178" s="91">
        <f>+K172</f>
        <v>0.63095512279602783</v>
      </c>
      <c r="K178" s="120">
        <f>+P172</f>
        <v>0.5714285714285714</v>
      </c>
      <c r="L178">
        <f>+L172</f>
        <v>7</v>
      </c>
      <c r="M178" s="84">
        <f>+M172</f>
        <v>5</v>
      </c>
      <c r="O178"/>
      <c r="P178"/>
      <c r="Q178"/>
      <c r="R178"/>
      <c r="S178"/>
      <c r="T178"/>
      <c r="U178"/>
      <c r="V178"/>
      <c r="W178"/>
      <c r="X178"/>
      <c r="Y178"/>
      <c r="Z178"/>
      <c r="AA178"/>
    </row>
    <row r="179" spans="2:27" s="11" customFormat="1" x14ac:dyDescent="0.25">
      <c r="B179" s="104"/>
      <c r="C179" s="39"/>
      <c r="D179"/>
      <c r="E179"/>
      <c r="F179"/>
      <c r="G179"/>
      <c r="H179"/>
      <c r="I179"/>
      <c r="J179"/>
      <c r="K179"/>
      <c r="L179"/>
      <c r="M179"/>
      <c r="O179"/>
      <c r="P179"/>
      <c r="Q179"/>
      <c r="R179"/>
      <c r="S179"/>
      <c r="T179"/>
      <c r="U179"/>
      <c r="V179"/>
      <c r="W179"/>
      <c r="X179"/>
      <c r="Y179"/>
      <c r="Z179"/>
      <c r="AA179"/>
    </row>
    <row r="180" spans="2:27" s="11" customFormat="1" x14ac:dyDescent="0.25">
      <c r="B180" s="104"/>
      <c r="C180" s="113"/>
      <c r="D180" s="114"/>
      <c r="E180" s="114"/>
      <c r="F180" s="114"/>
      <c r="G180" s="114"/>
      <c r="H180" s="114"/>
      <c r="I180" s="114"/>
      <c r="J180" s="114"/>
      <c r="K180" s="114"/>
      <c r="L180" s="114"/>
      <c r="M180" s="114"/>
      <c r="N180" s="115"/>
      <c r="O180" s="114"/>
      <c r="P180" s="114"/>
      <c r="Q180" s="114"/>
      <c r="R180" s="114"/>
      <c r="S180" s="114"/>
      <c r="T180"/>
      <c r="U180"/>
      <c r="V180"/>
      <c r="W180"/>
      <c r="X180"/>
      <c r="Y180"/>
      <c r="Z180"/>
      <c r="AA180"/>
    </row>
    <row r="181" spans="2:27" s="11" customFormat="1" x14ac:dyDescent="0.25">
      <c r="B181" s="104"/>
      <c r="C181" s="39"/>
      <c r="D181"/>
      <c r="E181"/>
      <c r="F181"/>
      <c r="G181"/>
      <c r="H181"/>
      <c r="I181"/>
      <c r="J181"/>
      <c r="K181"/>
      <c r="L181"/>
      <c r="M181"/>
      <c r="O181"/>
      <c r="P181"/>
      <c r="Q181"/>
      <c r="R181"/>
      <c r="S181"/>
      <c r="T181"/>
      <c r="U181"/>
      <c r="V181"/>
      <c r="W181"/>
      <c r="X181"/>
      <c r="Y181"/>
      <c r="Z181"/>
      <c r="AA181"/>
    </row>
    <row r="182" spans="2:27" x14ac:dyDescent="0.25">
      <c r="B182" s="52"/>
      <c r="C182" s="39"/>
      <c r="E182" s="131" t="s">
        <v>1166</v>
      </c>
      <c r="F182" s="132" t="s">
        <v>842</v>
      </c>
      <c r="G182" s="132" t="s">
        <v>843</v>
      </c>
      <c r="H182" s="133">
        <f>SUM(F183:G191)</f>
        <v>56</v>
      </c>
      <c r="I182" s="137" t="s">
        <v>1167</v>
      </c>
    </row>
    <row r="183" spans="2:27" x14ac:dyDescent="0.25">
      <c r="B183" s="52"/>
      <c r="C183" s="39"/>
      <c r="E183" s="133" t="s">
        <v>844</v>
      </c>
      <c r="F183" s="134">
        <v>10</v>
      </c>
      <c r="G183" s="134">
        <v>6</v>
      </c>
      <c r="H183" s="135">
        <f t="shared" ref="H183:H191" si="45">F183/(+F183+G183)</f>
        <v>0.625</v>
      </c>
      <c r="I183" s="136">
        <f>+(F183+G183)/$H$182</f>
        <v>0.2857142857142857</v>
      </c>
    </row>
    <row r="184" spans="2:27" x14ac:dyDescent="0.25">
      <c r="B184" s="52"/>
      <c r="C184" s="39"/>
      <c r="E184" s="133" t="s">
        <v>1358</v>
      </c>
      <c r="F184" s="134">
        <v>0</v>
      </c>
      <c r="G184" s="134">
        <v>0</v>
      </c>
      <c r="H184" s="138" t="s">
        <v>1165</v>
      </c>
      <c r="I184" s="136">
        <f t="shared" ref="I184:I191" si="46">+(F184+G184)/$H$182</f>
        <v>0</v>
      </c>
    </row>
    <row r="185" spans="2:27" x14ac:dyDescent="0.25">
      <c r="B185" s="52"/>
      <c r="C185" s="39"/>
      <c r="E185" s="133" t="s">
        <v>1356</v>
      </c>
      <c r="F185" s="134">
        <v>1</v>
      </c>
      <c r="G185" s="134">
        <v>0</v>
      </c>
      <c r="H185" s="135">
        <f t="shared" si="45"/>
        <v>1</v>
      </c>
      <c r="I185" s="136">
        <f t="shared" si="46"/>
        <v>1.7857142857142856E-2</v>
      </c>
    </row>
    <row r="186" spans="2:27" x14ac:dyDescent="0.25">
      <c r="C186" s="39"/>
      <c r="E186" s="133" t="s">
        <v>847</v>
      </c>
      <c r="F186" s="134">
        <v>11</v>
      </c>
      <c r="G186" s="134">
        <v>10</v>
      </c>
      <c r="H186" s="135">
        <f t="shared" si="45"/>
        <v>0.52380952380952384</v>
      </c>
      <c r="I186" s="136">
        <f t="shared" si="46"/>
        <v>0.375</v>
      </c>
    </row>
    <row r="187" spans="2:27" x14ac:dyDescent="0.25">
      <c r="C187" s="39"/>
      <c r="E187" s="133" t="s">
        <v>848</v>
      </c>
      <c r="F187" s="134">
        <v>1</v>
      </c>
      <c r="G187" s="134">
        <v>1</v>
      </c>
      <c r="H187" s="135">
        <f t="shared" si="45"/>
        <v>0.5</v>
      </c>
      <c r="I187" s="136">
        <f t="shared" si="46"/>
        <v>3.5714285714285712E-2</v>
      </c>
    </row>
    <row r="188" spans="2:27" x14ac:dyDescent="0.25">
      <c r="C188" s="39"/>
      <c r="E188" s="133" t="s">
        <v>849</v>
      </c>
      <c r="F188" s="134">
        <v>4</v>
      </c>
      <c r="G188" s="134">
        <v>2</v>
      </c>
      <c r="H188" s="135">
        <f t="shared" si="45"/>
        <v>0.66666666666666663</v>
      </c>
      <c r="I188" s="136">
        <f t="shared" si="46"/>
        <v>0.10714285714285714</v>
      </c>
    </row>
    <row r="189" spans="2:27" x14ac:dyDescent="0.25">
      <c r="C189" s="39"/>
      <c r="E189" s="133" t="s">
        <v>1163</v>
      </c>
      <c r="F189" s="134">
        <v>5</v>
      </c>
      <c r="G189" s="134">
        <v>3</v>
      </c>
      <c r="H189" s="135">
        <f t="shared" si="45"/>
        <v>0.625</v>
      </c>
      <c r="I189" s="136">
        <f t="shared" si="46"/>
        <v>0.14285714285714285</v>
      </c>
    </row>
    <row r="190" spans="2:27" x14ac:dyDescent="0.25">
      <c r="C190" s="39"/>
      <c r="E190" s="133" t="s">
        <v>1164</v>
      </c>
      <c r="F190" s="134">
        <v>0</v>
      </c>
      <c r="G190" s="134">
        <v>1</v>
      </c>
      <c r="H190" s="135">
        <f t="shared" si="45"/>
        <v>0</v>
      </c>
      <c r="I190" s="136">
        <f t="shared" si="46"/>
        <v>1.7857142857142856E-2</v>
      </c>
    </row>
    <row r="191" spans="2:27" x14ac:dyDescent="0.25">
      <c r="C191" s="39"/>
      <c r="E191" s="133" t="s">
        <v>1357</v>
      </c>
      <c r="F191" s="134">
        <v>1</v>
      </c>
      <c r="G191" s="134">
        <v>0</v>
      </c>
      <c r="H191" s="135">
        <f t="shared" si="45"/>
        <v>1</v>
      </c>
      <c r="I191" s="136">
        <f t="shared" si="46"/>
        <v>1.7857142857142856E-2</v>
      </c>
    </row>
    <row r="192" spans="2:27" x14ac:dyDescent="0.25">
      <c r="C192" s="39"/>
      <c r="E192" s="133" t="s">
        <v>1359</v>
      </c>
      <c r="F192" s="134">
        <v>0</v>
      </c>
      <c r="G192" s="134">
        <v>0</v>
      </c>
      <c r="H192" s="138" t="s">
        <v>1165</v>
      </c>
      <c r="I192" s="136">
        <f t="shared" ref="I192" si="47">+(F192+G192)/$H$182</f>
        <v>0</v>
      </c>
    </row>
    <row r="193" spans="2:41" x14ac:dyDescent="0.25">
      <c r="C193" s="39"/>
      <c r="F193" s="11"/>
      <c r="G193" s="11"/>
    </row>
    <row r="194" spans="2:41" x14ac:dyDescent="0.25">
      <c r="B194" s="52"/>
      <c r="C194" s="39"/>
    </row>
    <row r="195" spans="2:41" x14ac:dyDescent="0.25">
      <c r="C195" s="39"/>
    </row>
    <row r="196" spans="2:41" x14ac:dyDescent="0.25">
      <c r="C196" s="116"/>
      <c r="D196" s="117"/>
      <c r="E196" s="117"/>
      <c r="F196" s="117"/>
      <c r="G196" s="117"/>
      <c r="H196" s="117"/>
      <c r="I196" s="117"/>
      <c r="J196" s="117"/>
      <c r="K196" s="117"/>
      <c r="L196" s="117"/>
      <c r="M196" s="117"/>
      <c r="N196" s="118"/>
      <c r="O196" s="117"/>
      <c r="P196" s="117"/>
      <c r="Q196" s="117"/>
      <c r="R196" s="117"/>
      <c r="S196" s="117"/>
    </row>
    <row r="197" spans="2:41" x14ac:dyDescent="0.25">
      <c r="C197" s="39"/>
    </row>
    <row r="198" spans="2:41" x14ac:dyDescent="0.25">
      <c r="C198" s="39"/>
    </row>
    <row r="199" spans="2:41" x14ac:dyDescent="0.25">
      <c r="B199" s="224"/>
      <c r="C199" s="39">
        <v>2018</v>
      </c>
      <c r="D199" s="62" t="s">
        <v>1318</v>
      </c>
      <c r="E199" s="63" t="s">
        <v>1319</v>
      </c>
      <c r="F199" s="64">
        <v>43410</v>
      </c>
      <c r="G199" s="65" t="s">
        <v>1225</v>
      </c>
      <c r="H199" s="94">
        <v>2215000</v>
      </c>
      <c r="I199" s="94">
        <v>1984098</v>
      </c>
      <c r="J199" s="105" t="s">
        <v>519</v>
      </c>
      <c r="K199" s="153">
        <v>-0.10424469525959368</v>
      </c>
      <c r="L199" s="11" t="s">
        <v>464</v>
      </c>
      <c r="M199" s="15">
        <v>4</v>
      </c>
      <c r="N199" s="35" t="s">
        <v>93</v>
      </c>
      <c r="O199" s="15">
        <v>4</v>
      </c>
      <c r="P199" s="35" t="s">
        <v>457</v>
      </c>
      <c r="Q199" s="35"/>
      <c r="R199" s="15"/>
      <c r="S199" s="24"/>
      <c r="T199" s="62" t="s">
        <v>1348</v>
      </c>
      <c r="U199" s="62"/>
      <c r="V199" s="94">
        <v>2858292.5</v>
      </c>
      <c r="W199" s="199">
        <v>0.69415498938614573</v>
      </c>
      <c r="X199" s="15"/>
      <c r="Y199" s="200">
        <v>0.89575530474040632</v>
      </c>
      <c r="Z199" s="11" t="s">
        <v>465</v>
      </c>
      <c r="AA199" s="11"/>
      <c r="AB199" s="15"/>
      <c r="AC199" s="54">
        <v>2215000</v>
      </c>
      <c r="AD199" s="54">
        <v>1984098</v>
      </c>
      <c r="AE199" s="54">
        <v>230902</v>
      </c>
      <c r="AG199" s="4"/>
      <c r="AH199" s="4"/>
      <c r="AI199" s="225"/>
      <c r="AJ199" s="226"/>
      <c r="AK199" s="227"/>
      <c r="AL199" s="227"/>
      <c r="AM199" s="225"/>
      <c r="AN199" s="226"/>
      <c r="AO199" s="228"/>
    </row>
    <row r="200" spans="2:41" x14ac:dyDescent="0.25">
      <c r="B200" s="224"/>
      <c r="C200" s="39">
        <v>2018</v>
      </c>
      <c r="D200" s="62" t="s">
        <v>1349</v>
      </c>
      <c r="E200" s="63" t="s">
        <v>1350</v>
      </c>
      <c r="F200" s="64">
        <v>43391</v>
      </c>
      <c r="G200" s="65" t="s">
        <v>34</v>
      </c>
      <c r="H200" s="94">
        <v>7950000</v>
      </c>
      <c r="I200" s="94">
        <v>6875775</v>
      </c>
      <c r="J200" s="94" t="s">
        <v>519</v>
      </c>
      <c r="K200" s="153">
        <v>-0.13512264150943396</v>
      </c>
      <c r="L200" s="11" t="s">
        <v>464</v>
      </c>
      <c r="M200" s="15">
        <v>2</v>
      </c>
      <c r="N200" s="35" t="s">
        <v>93</v>
      </c>
      <c r="O200" s="15">
        <v>4</v>
      </c>
      <c r="P200" s="35" t="s">
        <v>457</v>
      </c>
      <c r="Q200" s="35"/>
      <c r="R200" s="15"/>
      <c r="S200" s="24"/>
      <c r="T200" s="62" t="s">
        <v>1226</v>
      </c>
      <c r="U200" s="62"/>
      <c r="V200" s="94">
        <v>7451400</v>
      </c>
      <c r="W200" s="199">
        <v>0.92274941621708673</v>
      </c>
      <c r="X200" s="15"/>
      <c r="Y200" s="200">
        <v>0.86487735849056602</v>
      </c>
      <c r="Z200" s="11" t="s">
        <v>465</v>
      </c>
      <c r="AA200" s="11"/>
      <c r="AB200" s="15"/>
      <c r="AC200" s="54">
        <v>7950000</v>
      </c>
      <c r="AD200" s="54">
        <v>6875775</v>
      </c>
      <c r="AE200" s="54">
        <v>1074225</v>
      </c>
      <c r="AG200" s="4"/>
      <c r="AH200" s="4"/>
      <c r="AI200" s="225"/>
      <c r="AJ200" s="226"/>
      <c r="AK200" s="227"/>
      <c r="AL200" s="227"/>
      <c r="AM200" s="225"/>
      <c r="AN200" s="226"/>
      <c r="AO200" s="228"/>
    </row>
    <row r="201" spans="2:41" x14ac:dyDescent="0.25">
      <c r="B201" s="224"/>
      <c r="C201" s="39">
        <v>2018</v>
      </c>
      <c r="D201" s="62" t="s">
        <v>1340</v>
      </c>
      <c r="E201" s="63" t="s">
        <v>1341</v>
      </c>
      <c r="F201" s="64">
        <v>43382</v>
      </c>
      <c r="G201" s="65" t="s">
        <v>34</v>
      </c>
      <c r="H201" s="94">
        <v>1130000</v>
      </c>
      <c r="I201" s="94">
        <v>1383700</v>
      </c>
      <c r="J201" s="105"/>
      <c r="K201" s="153">
        <v>0.22451327433628318</v>
      </c>
      <c r="L201" s="11" t="s">
        <v>465</v>
      </c>
      <c r="M201" s="15">
        <v>4</v>
      </c>
      <c r="N201" s="35" t="s">
        <v>25</v>
      </c>
      <c r="O201" s="15">
        <v>4</v>
      </c>
      <c r="P201" s="35" t="s">
        <v>457</v>
      </c>
      <c r="Q201" s="35"/>
      <c r="R201" s="15"/>
      <c r="S201" s="24"/>
      <c r="T201" s="62" t="s">
        <v>784</v>
      </c>
      <c r="U201" s="62"/>
      <c r="V201" s="94">
        <v>1772637.5</v>
      </c>
      <c r="W201" s="199">
        <v>0.78058824773818669</v>
      </c>
      <c r="X201" s="15"/>
      <c r="Y201" s="200">
        <v>1.2245132743362832</v>
      </c>
      <c r="Z201" s="11" t="s">
        <v>465</v>
      </c>
      <c r="AA201" s="11"/>
      <c r="AB201" s="15"/>
      <c r="AC201" s="54">
        <v>1130000</v>
      </c>
      <c r="AD201" s="54">
        <v>1383700</v>
      </c>
      <c r="AE201" s="54">
        <v>-253700</v>
      </c>
      <c r="AG201" s="4"/>
      <c r="AH201" s="4"/>
      <c r="AI201" s="225"/>
      <c r="AJ201" s="226"/>
      <c r="AK201" s="227"/>
      <c r="AL201" s="227"/>
      <c r="AM201" s="225"/>
      <c r="AN201" s="226"/>
      <c r="AO201" s="228"/>
    </row>
    <row r="202" spans="2:41" x14ac:dyDescent="0.25">
      <c r="C202" s="39">
        <v>2018</v>
      </c>
      <c r="D202" s="62" t="s">
        <v>1256</v>
      </c>
      <c r="E202" s="63" t="s">
        <v>1257</v>
      </c>
      <c r="F202" s="64">
        <v>43368</v>
      </c>
      <c r="G202" s="65" t="s">
        <v>34</v>
      </c>
      <c r="H202" s="94">
        <v>64356250</v>
      </c>
      <c r="I202" s="94">
        <v>51485000</v>
      </c>
      <c r="J202" s="27" t="s">
        <v>519</v>
      </c>
      <c r="K202" s="26">
        <v>-0.2</v>
      </c>
      <c r="L202" s="11" t="s">
        <v>464</v>
      </c>
      <c r="M202" s="15">
        <v>8</v>
      </c>
      <c r="N202" s="35" t="s">
        <v>25</v>
      </c>
      <c r="O202" s="15">
        <v>3</v>
      </c>
      <c r="P202" s="35" t="s">
        <v>457</v>
      </c>
      <c r="Q202" s="35"/>
      <c r="R202" s="15"/>
      <c r="S202" s="24"/>
      <c r="T202" s="62" t="s">
        <v>1226</v>
      </c>
      <c r="U202" s="62"/>
      <c r="V202" s="94">
        <v>75310398.875</v>
      </c>
      <c r="W202" s="199">
        <v>0.68363732989191395</v>
      </c>
      <c r="X202" s="15"/>
      <c r="Y202" s="200">
        <v>0.8</v>
      </c>
      <c r="Z202" s="11" t="s">
        <v>465</v>
      </c>
      <c r="AA202" s="11"/>
      <c r="AB202" s="15"/>
      <c r="AC202" s="54">
        <v>64356250</v>
      </c>
      <c r="AD202" s="54">
        <v>51485000</v>
      </c>
      <c r="AE202" s="54">
        <v>12871250</v>
      </c>
    </row>
    <row r="203" spans="2:41" x14ac:dyDescent="0.25">
      <c r="C203" s="39">
        <v>2018</v>
      </c>
      <c r="D203" s="62" t="s">
        <v>1258</v>
      </c>
      <c r="E203" s="63" t="s">
        <v>712</v>
      </c>
      <c r="F203" s="64">
        <v>43340</v>
      </c>
      <c r="G203" s="65" t="s">
        <v>34</v>
      </c>
      <c r="H203" s="94">
        <v>2500000</v>
      </c>
      <c r="I203" s="94">
        <v>2952000</v>
      </c>
      <c r="J203" s="105"/>
      <c r="K203" s="26">
        <v>0.18079999999999999</v>
      </c>
      <c r="L203" s="11" t="s">
        <v>465</v>
      </c>
      <c r="M203" s="15">
        <v>3</v>
      </c>
      <c r="N203" s="35" t="s">
        <v>93</v>
      </c>
      <c r="O203" s="15">
        <v>3</v>
      </c>
      <c r="P203" s="35" t="s">
        <v>457</v>
      </c>
      <c r="Q203" s="35"/>
      <c r="R203" s="15"/>
      <c r="S203" s="24"/>
      <c r="T203" s="62" t="s">
        <v>1226</v>
      </c>
      <c r="U203" s="62"/>
      <c r="V203" s="94">
        <v>2139150</v>
      </c>
      <c r="W203" s="199">
        <v>1.379987378164224</v>
      </c>
      <c r="X203" s="15"/>
      <c r="Y203" s="200">
        <v>1.1808000000000001</v>
      </c>
      <c r="Z203" s="11" t="s">
        <v>465</v>
      </c>
      <c r="AA203" s="11"/>
      <c r="AB203" s="15"/>
      <c r="AC203" s="54">
        <v>2500000</v>
      </c>
      <c r="AD203" s="54">
        <v>2952000</v>
      </c>
      <c r="AE203" s="54">
        <v>-452000</v>
      </c>
    </row>
    <row r="204" spans="2:41" x14ac:dyDescent="0.25">
      <c r="C204" s="39">
        <v>2018</v>
      </c>
      <c r="D204" s="62" t="s">
        <v>1223</v>
      </c>
      <c r="E204" s="63" t="s">
        <v>1224</v>
      </c>
      <c r="F204" s="64">
        <v>43326</v>
      </c>
      <c r="G204" s="65" t="s">
        <v>1225</v>
      </c>
      <c r="H204" s="94">
        <v>858000</v>
      </c>
      <c r="I204" s="94">
        <v>743300</v>
      </c>
      <c r="J204" s="105" t="s">
        <v>519</v>
      </c>
      <c r="K204" s="26">
        <v>-0.13368298368298367</v>
      </c>
      <c r="L204" s="11" t="s">
        <v>464</v>
      </c>
      <c r="M204" s="15">
        <v>2</v>
      </c>
      <c r="N204" s="35" t="s">
        <v>25</v>
      </c>
      <c r="O204" s="15">
        <v>3</v>
      </c>
      <c r="P204" s="35" t="s">
        <v>457</v>
      </c>
      <c r="Q204" s="35"/>
      <c r="R204" s="15"/>
      <c r="S204" s="24"/>
      <c r="T204" s="62" t="s">
        <v>1226</v>
      </c>
      <c r="U204" s="62"/>
      <c r="V204" s="94">
        <v>2139150</v>
      </c>
      <c r="W204" s="199">
        <v>0.34747446415632377</v>
      </c>
      <c r="X204" s="15"/>
      <c r="Y204" s="200">
        <v>0.8663170163170163</v>
      </c>
      <c r="Z204" s="11" t="s">
        <v>465</v>
      </c>
      <c r="AA204" s="11"/>
      <c r="AB204" s="15"/>
      <c r="AC204" s="54">
        <v>858000</v>
      </c>
      <c r="AD204" s="54">
        <v>743300</v>
      </c>
      <c r="AE204" s="54">
        <v>114700</v>
      </c>
    </row>
    <row r="205" spans="2:41" x14ac:dyDescent="0.25">
      <c r="C205" s="39">
        <v>2018</v>
      </c>
      <c r="D205" s="62" t="s">
        <v>1227</v>
      </c>
      <c r="E205" s="63" t="s">
        <v>1228</v>
      </c>
      <c r="F205" s="64">
        <v>43326</v>
      </c>
      <c r="G205" s="65" t="s">
        <v>1225</v>
      </c>
      <c r="H205" s="94">
        <v>1300000</v>
      </c>
      <c r="I205" s="94">
        <v>695800</v>
      </c>
      <c r="J205" s="105"/>
      <c r="K205" s="26">
        <v>-0.46476923076923077</v>
      </c>
      <c r="L205" s="11" t="s">
        <v>465</v>
      </c>
      <c r="M205" s="15">
        <v>2</v>
      </c>
      <c r="N205" s="35" t="s">
        <v>226</v>
      </c>
      <c r="O205" s="15">
        <v>3</v>
      </c>
      <c r="P205" s="35" t="s">
        <v>457</v>
      </c>
      <c r="Q205" s="35"/>
      <c r="R205" s="15"/>
      <c r="S205" s="24" t="s">
        <v>932</v>
      </c>
      <c r="T205" s="62" t="s">
        <v>1226</v>
      </c>
      <c r="U205" s="62"/>
      <c r="V205" s="94">
        <v>1057500</v>
      </c>
      <c r="W205" s="199">
        <v>0.65796690307328609</v>
      </c>
      <c r="X205" s="15"/>
      <c r="Y205" s="200">
        <v>0.53523076923076918</v>
      </c>
      <c r="Z205" s="11" t="s">
        <v>465</v>
      </c>
      <c r="AA205" s="11"/>
      <c r="AB205" s="15"/>
      <c r="AC205" s="54">
        <v>1300000</v>
      </c>
      <c r="AD205" s="54">
        <v>695800</v>
      </c>
      <c r="AE205" s="54">
        <v>604200</v>
      </c>
    </row>
    <row r="206" spans="2:41" x14ac:dyDescent="0.25">
      <c r="C206" s="39">
        <v>2018</v>
      </c>
      <c r="D206" s="62" t="s">
        <v>1259</v>
      </c>
      <c r="E206" s="63" t="s">
        <v>1260</v>
      </c>
      <c r="F206" s="64">
        <v>43319</v>
      </c>
      <c r="G206" s="65" t="s">
        <v>34</v>
      </c>
      <c r="H206" s="94">
        <v>54744000</v>
      </c>
      <c r="I206" s="94">
        <v>34776250</v>
      </c>
      <c r="J206" s="27" t="s">
        <v>519</v>
      </c>
      <c r="K206" s="26">
        <v>-0.36474773491158846</v>
      </c>
      <c r="L206" s="11" t="s">
        <v>464</v>
      </c>
      <c r="M206" s="15">
        <v>4</v>
      </c>
      <c r="N206" s="35" t="s">
        <v>93</v>
      </c>
      <c r="O206" s="15">
        <v>3</v>
      </c>
      <c r="P206" s="35" t="s">
        <v>457</v>
      </c>
      <c r="Q206" s="35"/>
      <c r="R206" s="15"/>
      <c r="S206" s="24" t="s">
        <v>932</v>
      </c>
      <c r="T206" s="62" t="s">
        <v>1226</v>
      </c>
      <c r="U206" s="62"/>
      <c r="V206" s="94">
        <v>49859526.25</v>
      </c>
      <c r="W206" s="199">
        <v>0.69748456544951631</v>
      </c>
      <c r="X206" s="15"/>
      <c r="Y206" s="200">
        <v>0.63525226508841148</v>
      </c>
      <c r="Z206" s="11" t="s">
        <v>465</v>
      </c>
      <c r="AA206" s="11"/>
      <c r="AB206" s="15"/>
      <c r="AC206" s="54">
        <v>54744000</v>
      </c>
      <c r="AD206" s="54">
        <v>34776250</v>
      </c>
      <c r="AE206" s="54">
        <v>19967750</v>
      </c>
    </row>
    <row r="207" spans="2:41" x14ac:dyDescent="0.25">
      <c r="C207" s="39">
        <v>2018</v>
      </c>
      <c r="D207" s="62" t="s">
        <v>1261</v>
      </c>
      <c r="E207" s="63" t="s">
        <v>1262</v>
      </c>
      <c r="F207" s="64">
        <v>43299</v>
      </c>
      <c r="G207" s="65" t="s">
        <v>34</v>
      </c>
      <c r="H207" s="94">
        <v>3570000</v>
      </c>
      <c r="I207" s="94">
        <v>3861000</v>
      </c>
      <c r="J207" s="105" t="s">
        <v>519</v>
      </c>
      <c r="K207" s="26">
        <v>8.1512605042016809E-2</v>
      </c>
      <c r="L207" s="11" t="s">
        <v>464</v>
      </c>
      <c r="M207" s="15">
        <v>6</v>
      </c>
      <c r="N207" s="35" t="s">
        <v>226</v>
      </c>
      <c r="O207" s="15">
        <v>3</v>
      </c>
      <c r="P207" s="35" t="s">
        <v>457</v>
      </c>
      <c r="Q207" s="35"/>
      <c r="R207" s="15"/>
      <c r="S207" s="24"/>
      <c r="T207" s="62" t="s">
        <v>1226</v>
      </c>
      <c r="U207" s="62"/>
      <c r="V207" s="94">
        <v>5535683.333333333</v>
      </c>
      <c r="W207" s="199">
        <v>0.69747486760141031</v>
      </c>
      <c r="X207" s="15"/>
      <c r="Y207" s="200">
        <v>1.0815126050420167</v>
      </c>
      <c r="Z207" s="11" t="s">
        <v>465</v>
      </c>
      <c r="AA207" s="11"/>
      <c r="AB207" s="15"/>
      <c r="AC207" s="54">
        <v>3570000</v>
      </c>
      <c r="AD207" s="54">
        <v>3861000</v>
      </c>
      <c r="AE207" s="54">
        <v>-291000</v>
      </c>
    </row>
    <row r="208" spans="2:41" x14ac:dyDescent="0.25">
      <c r="C208" s="39">
        <v>2018</v>
      </c>
      <c r="D208" s="62" t="s">
        <v>1231</v>
      </c>
      <c r="E208" s="63" t="s">
        <v>1232</v>
      </c>
      <c r="F208" s="64">
        <v>43221</v>
      </c>
      <c r="G208" s="65" t="s">
        <v>1225</v>
      </c>
      <c r="H208" s="94">
        <v>960000</v>
      </c>
      <c r="I208" s="94">
        <v>413834</v>
      </c>
      <c r="J208" s="105"/>
      <c r="K208" s="26">
        <v>-0.56892291666666661</v>
      </c>
      <c r="L208" s="11" t="s">
        <v>465</v>
      </c>
      <c r="M208" s="15">
        <v>5</v>
      </c>
      <c r="N208" s="35" t="s">
        <v>93</v>
      </c>
      <c r="O208" s="15">
        <v>2</v>
      </c>
      <c r="P208" s="35" t="s">
        <v>457</v>
      </c>
      <c r="Q208" s="35"/>
      <c r="R208" s="15"/>
      <c r="S208" s="24"/>
      <c r="T208" s="62" t="s">
        <v>816</v>
      </c>
      <c r="U208" s="62"/>
      <c r="V208" s="94">
        <v>710613.8</v>
      </c>
      <c r="W208" s="199">
        <v>0.58236133325865602</v>
      </c>
      <c r="X208" s="15"/>
      <c r="Y208" s="200">
        <v>0.43107708333333333</v>
      </c>
      <c r="Z208" s="11" t="s">
        <v>465</v>
      </c>
      <c r="AA208" s="11"/>
      <c r="AB208" s="15"/>
      <c r="AC208" s="54">
        <v>960000</v>
      </c>
      <c r="AD208" s="54">
        <v>413834</v>
      </c>
      <c r="AE208" s="54">
        <v>546166</v>
      </c>
    </row>
    <row r="209" spans="2:35" x14ac:dyDescent="0.25">
      <c r="C209" s="39">
        <v>2018</v>
      </c>
      <c r="D209" s="62" t="s">
        <v>1263</v>
      </c>
      <c r="E209" s="63" t="s">
        <v>1264</v>
      </c>
      <c r="F209" s="64">
        <v>43179</v>
      </c>
      <c r="G209" s="65" t="s">
        <v>34</v>
      </c>
      <c r="H209" s="94">
        <v>27125000</v>
      </c>
      <c r="I209" s="94">
        <v>22964560</v>
      </c>
      <c r="J209" s="27" t="s">
        <v>519</v>
      </c>
      <c r="K209" s="26">
        <v>-0.15338027649769584</v>
      </c>
      <c r="L209" s="11" t="s">
        <v>464</v>
      </c>
      <c r="M209" s="15">
        <v>10</v>
      </c>
      <c r="N209" s="35" t="s">
        <v>226</v>
      </c>
      <c r="O209" s="15">
        <v>1</v>
      </c>
      <c r="P209" s="35" t="s">
        <v>457</v>
      </c>
      <c r="Q209" s="35" t="s">
        <v>1238</v>
      </c>
      <c r="R209" s="15"/>
      <c r="S209" s="24"/>
      <c r="T209" s="62" t="s">
        <v>816</v>
      </c>
      <c r="U209" s="62"/>
      <c r="V209" s="94">
        <v>31632465.399999999</v>
      </c>
      <c r="W209" s="199">
        <v>0.72598071979555534</v>
      </c>
      <c r="X209" s="15"/>
      <c r="Y209" s="200">
        <v>0.84661972350230419</v>
      </c>
      <c r="Z209" s="11" t="s">
        <v>465</v>
      </c>
      <c r="AA209" s="11"/>
      <c r="AB209" s="15"/>
      <c r="AC209" s="54">
        <v>27125000</v>
      </c>
      <c r="AD209" s="54">
        <v>22964560</v>
      </c>
      <c r="AE209" s="54">
        <v>4160440</v>
      </c>
    </row>
    <row r="210" spans="2:35" x14ac:dyDescent="0.25">
      <c r="C210" s="39">
        <v>2018</v>
      </c>
      <c r="D210" s="62" t="s">
        <v>1265</v>
      </c>
      <c r="E210" s="63" t="s">
        <v>1266</v>
      </c>
      <c r="F210" s="64">
        <v>43174</v>
      </c>
      <c r="G210" s="65" t="s">
        <v>34</v>
      </c>
      <c r="H210" s="94">
        <v>1150000</v>
      </c>
      <c r="I210" s="94">
        <v>1253317</v>
      </c>
      <c r="J210" s="105" t="s">
        <v>519</v>
      </c>
      <c r="K210" s="26">
        <v>8.9840869565217391E-2</v>
      </c>
      <c r="L210" s="11" t="s">
        <v>464</v>
      </c>
      <c r="M210" s="15">
        <v>6</v>
      </c>
      <c r="N210" s="35" t="s">
        <v>93</v>
      </c>
      <c r="O210" s="15">
        <v>1</v>
      </c>
      <c r="P210" s="35" t="s">
        <v>457</v>
      </c>
      <c r="Q210" s="35" t="s">
        <v>1243</v>
      </c>
      <c r="R210" s="15"/>
      <c r="S210" s="24"/>
      <c r="T210" s="62" t="s">
        <v>784</v>
      </c>
      <c r="U210" s="62"/>
      <c r="V210" s="94">
        <v>1900429</v>
      </c>
      <c r="W210" s="199">
        <v>0.65949162004999928</v>
      </c>
      <c r="X210" s="15"/>
      <c r="Y210" s="200">
        <v>1.0898408695652173</v>
      </c>
      <c r="Z210" s="11" t="s">
        <v>465</v>
      </c>
      <c r="AA210" s="11"/>
      <c r="AB210" s="15"/>
      <c r="AC210" s="54">
        <v>1150000</v>
      </c>
      <c r="AD210" s="54">
        <v>1253317</v>
      </c>
      <c r="AE210" s="54">
        <v>-103317</v>
      </c>
    </row>
    <row r="211" spans="2:35" x14ac:dyDescent="0.25">
      <c r="C211" s="39">
        <v>2018</v>
      </c>
      <c r="D211" s="62" t="s">
        <v>1233</v>
      </c>
      <c r="E211" s="63" t="s">
        <v>1234</v>
      </c>
      <c r="F211" s="64">
        <v>43173</v>
      </c>
      <c r="G211" s="65" t="s">
        <v>693</v>
      </c>
      <c r="H211" s="94">
        <v>600000</v>
      </c>
      <c r="I211" s="94">
        <v>749000</v>
      </c>
      <c r="J211" s="105"/>
      <c r="K211" s="26">
        <v>0.24833333333333332</v>
      </c>
      <c r="L211" s="11" t="s">
        <v>465</v>
      </c>
      <c r="M211" s="15">
        <v>3</v>
      </c>
      <c r="N211" s="35" t="s">
        <v>25</v>
      </c>
      <c r="O211" s="15">
        <v>1</v>
      </c>
      <c r="P211" s="35" t="s">
        <v>457</v>
      </c>
      <c r="Q211" s="35" t="s">
        <v>1235</v>
      </c>
      <c r="R211" s="15"/>
      <c r="S211" s="24"/>
      <c r="T211" s="62" t="s">
        <v>1226</v>
      </c>
      <c r="U211" s="62"/>
      <c r="V211" s="94">
        <v>994735</v>
      </c>
      <c r="W211" s="199">
        <v>0.75296435734140243</v>
      </c>
      <c r="X211" s="15"/>
      <c r="Y211" s="200">
        <v>1.2483333333333333</v>
      </c>
      <c r="Z211" s="11" t="s">
        <v>465</v>
      </c>
      <c r="AA211" s="11"/>
      <c r="AB211" s="15"/>
      <c r="AC211" s="54">
        <v>600000</v>
      </c>
      <c r="AD211" s="54">
        <v>749000</v>
      </c>
      <c r="AE211" s="54">
        <v>-149000</v>
      </c>
    </row>
    <row r="212" spans="2:35" x14ac:dyDescent="0.25">
      <c r="C212" s="39">
        <v>2018</v>
      </c>
      <c r="D212" s="62" t="s">
        <v>1236</v>
      </c>
      <c r="E212" s="63" t="s">
        <v>1237</v>
      </c>
      <c r="F212" s="64">
        <v>43138</v>
      </c>
      <c r="G212" s="65" t="s">
        <v>693</v>
      </c>
      <c r="H212" s="94">
        <v>1056000</v>
      </c>
      <c r="I212" s="94">
        <v>619790</v>
      </c>
      <c r="J212" s="105" t="s">
        <v>519</v>
      </c>
      <c r="K212" s="26">
        <v>-0.41307765151515152</v>
      </c>
      <c r="L212" s="11" t="s">
        <v>464</v>
      </c>
      <c r="M212" s="15">
        <v>6</v>
      </c>
      <c r="N212" s="35" t="s">
        <v>25</v>
      </c>
      <c r="O212" s="15">
        <v>1</v>
      </c>
      <c r="P212" s="35" t="s">
        <v>457</v>
      </c>
      <c r="Q212" s="35" t="s">
        <v>1238</v>
      </c>
      <c r="R212" s="15"/>
      <c r="S212" s="24"/>
      <c r="T212" s="62" t="s">
        <v>784</v>
      </c>
      <c r="U212" s="62"/>
      <c r="V212" s="94">
        <v>2319072.3333333335</v>
      </c>
      <c r="W212" s="199">
        <v>0.26725772676057108</v>
      </c>
      <c r="X212" s="15"/>
      <c r="Y212" s="200">
        <v>0.58692234848484848</v>
      </c>
      <c r="Z212" s="11" t="s">
        <v>465</v>
      </c>
      <c r="AA212" s="11"/>
      <c r="AB212" s="15"/>
      <c r="AC212" s="54">
        <v>1056000</v>
      </c>
      <c r="AD212" s="54">
        <v>619790</v>
      </c>
      <c r="AE212" s="54">
        <v>436210</v>
      </c>
    </row>
    <row r="213" spans="2:35" x14ac:dyDescent="0.25">
      <c r="B213" s="224"/>
      <c r="C213" s="39">
        <v>2018</v>
      </c>
      <c r="D213" s="62" t="s">
        <v>1267</v>
      </c>
      <c r="E213" s="63" t="s">
        <v>1268</v>
      </c>
      <c r="F213" s="64">
        <v>43108</v>
      </c>
      <c r="G213" s="65" t="s">
        <v>190</v>
      </c>
      <c r="H213" s="94">
        <v>8520000</v>
      </c>
      <c r="I213" s="94">
        <v>6850075</v>
      </c>
      <c r="J213" s="27" t="s">
        <v>519</v>
      </c>
      <c r="K213" s="26">
        <v>-0.19600058685446009</v>
      </c>
      <c r="L213" s="11" t="s">
        <v>464</v>
      </c>
      <c r="M213" s="15">
        <v>5</v>
      </c>
      <c r="N213" s="35" t="s">
        <v>93</v>
      </c>
      <c r="O213" s="15">
        <v>1</v>
      </c>
      <c r="P213" s="35" t="s">
        <v>457</v>
      </c>
      <c r="Q213" s="35" t="s">
        <v>1235</v>
      </c>
      <c r="R213" s="15"/>
      <c r="S213" s="24"/>
      <c r="T213" s="62" t="s">
        <v>784</v>
      </c>
      <c r="U213" s="62"/>
      <c r="V213" s="94">
        <v>10472836.199999999</v>
      </c>
      <c r="W213" s="199">
        <v>0.65408021945382866</v>
      </c>
      <c r="X213" s="15"/>
      <c r="Y213" s="200">
        <v>0.80399941314553991</v>
      </c>
      <c r="Z213" s="11" t="s">
        <v>465</v>
      </c>
      <c r="AA213" s="74">
        <v>0</v>
      </c>
      <c r="AB213" s="15"/>
      <c r="AC213" s="54">
        <v>8520000</v>
      </c>
      <c r="AD213" s="54">
        <v>6850075</v>
      </c>
      <c r="AE213" s="54">
        <v>1669925</v>
      </c>
      <c r="AG213" s="4">
        <v>337954000</v>
      </c>
      <c r="AH213" s="4">
        <v>228800072</v>
      </c>
      <c r="AI213" s="7">
        <v>0.67701542813519</v>
      </c>
    </row>
    <row r="214" spans="2:35" x14ac:dyDescent="0.25">
      <c r="C214" s="39"/>
      <c r="E214" s="85"/>
      <c r="F214" s="85"/>
      <c r="G214" s="85"/>
      <c r="H214" s="86">
        <f>SUM(H199:H213)</f>
        <v>178034250</v>
      </c>
      <c r="I214" s="86">
        <f>SUM(I199:I213)</f>
        <v>137607499</v>
      </c>
      <c r="J214" s="85"/>
      <c r="K214" s="87">
        <f>+I214/H214</f>
        <v>0.77292711374356338</v>
      </c>
      <c r="L214" s="85">
        <f>COUNTA(L199:L213)</f>
        <v>15</v>
      </c>
      <c r="M214" s="88">
        <f>SUM(M199:M213)/L214</f>
        <v>4.666666666666667</v>
      </c>
      <c r="N214" s="89"/>
      <c r="O214" s="85"/>
      <c r="P214" s="119">
        <f>10/L214</f>
        <v>0.66666666666666663</v>
      </c>
      <c r="Q214" s="85"/>
    </row>
    <row r="215" spans="2:35" x14ac:dyDescent="0.25">
      <c r="C215" s="39"/>
    </row>
    <row r="216" spans="2:35" x14ac:dyDescent="0.25">
      <c r="C216" s="39"/>
      <c r="E216" s="126" t="s">
        <v>1170</v>
      </c>
      <c r="F216" s="70" t="str">
        <f>"'15 final"</f>
        <v>'15 final</v>
      </c>
      <c r="G216" s="70" t="str">
        <f>"'16 final"</f>
        <v>'16 final</v>
      </c>
      <c r="H216" s="121" t="str">
        <f>"'17 final"</f>
        <v>'17 final</v>
      </c>
      <c r="I216" s="121" t="str">
        <f>"'18 final"</f>
        <v>'18 final</v>
      </c>
      <c r="P216" s="11"/>
    </row>
    <row r="217" spans="2:35" x14ac:dyDescent="0.25">
      <c r="C217" s="39"/>
      <c r="E217" s="71" t="s">
        <v>800</v>
      </c>
      <c r="F217" s="11">
        <v>9</v>
      </c>
      <c r="G217" s="11">
        <v>13</v>
      </c>
      <c r="H217" s="104">
        <v>17</v>
      </c>
      <c r="I217" s="104">
        <f>+L214</f>
        <v>15</v>
      </c>
      <c r="P217" s="11"/>
    </row>
    <row r="218" spans="2:35" x14ac:dyDescent="0.25">
      <c r="C218" s="39"/>
      <c r="E218" s="72" t="s">
        <v>801</v>
      </c>
      <c r="F218" s="11">
        <v>6</v>
      </c>
      <c r="G218" s="11">
        <v>11</v>
      </c>
      <c r="H218" s="104">
        <v>14</v>
      </c>
      <c r="I218" s="104">
        <f>+I217-I219</f>
        <v>10</v>
      </c>
      <c r="P218" s="11"/>
    </row>
    <row r="219" spans="2:35" x14ac:dyDescent="0.25">
      <c r="C219" s="39"/>
      <c r="E219" s="72" t="s">
        <v>802</v>
      </c>
      <c r="F219" s="11">
        <v>3</v>
      </c>
      <c r="G219" s="11">
        <v>2</v>
      </c>
      <c r="H219" s="104">
        <v>3</v>
      </c>
      <c r="I219" s="104">
        <v>5</v>
      </c>
      <c r="P219" s="11"/>
    </row>
    <row r="220" spans="2:35" x14ac:dyDescent="0.25">
      <c r="C220" s="39"/>
      <c r="E220" s="72"/>
      <c r="F220" s="11"/>
      <c r="G220" s="11"/>
      <c r="H220" s="104"/>
      <c r="I220" s="104"/>
      <c r="P220" s="11"/>
    </row>
    <row r="221" spans="2:35" x14ac:dyDescent="0.25">
      <c r="C221" s="39"/>
      <c r="E221" s="72" t="s">
        <v>1144</v>
      </c>
      <c r="F221" s="78">
        <v>38</v>
      </c>
      <c r="G221" s="78">
        <v>121</v>
      </c>
      <c r="H221" s="122">
        <v>651</v>
      </c>
      <c r="I221" s="122">
        <f>+I214/1000000</f>
        <v>137.60749899999999</v>
      </c>
      <c r="P221" s="11"/>
    </row>
    <row r="222" spans="2:35" x14ac:dyDescent="0.25">
      <c r="C222" s="39"/>
      <c r="E222" s="72" t="s">
        <v>806</v>
      </c>
      <c r="F222" s="75">
        <v>5</v>
      </c>
      <c r="G222" s="75">
        <v>5.9</v>
      </c>
      <c r="H222" s="123">
        <v>4.5</v>
      </c>
      <c r="I222" s="123">
        <f>+M214</f>
        <v>4.666666666666667</v>
      </c>
      <c r="P222" s="11"/>
    </row>
    <row r="223" spans="2:35" x14ac:dyDescent="0.25">
      <c r="C223" s="39"/>
      <c r="E223" s="72" t="s">
        <v>807</v>
      </c>
      <c r="F223" s="74">
        <v>1.016</v>
      </c>
      <c r="G223" s="74">
        <v>0.78800000000000003</v>
      </c>
      <c r="H223" s="124">
        <v>0.91900000000000004</v>
      </c>
      <c r="I223" s="124">
        <f>+I214/H214</f>
        <v>0.77292711374356338</v>
      </c>
      <c r="P223" s="11"/>
    </row>
    <row r="224" spans="2:35" x14ac:dyDescent="0.25">
      <c r="C224" s="39"/>
      <c r="E224" s="72"/>
      <c r="F224" s="11"/>
      <c r="G224" s="11"/>
      <c r="H224" s="104"/>
      <c r="I224" s="104"/>
      <c r="P224" s="11"/>
    </row>
    <row r="225" spans="2:41" x14ac:dyDescent="0.25">
      <c r="C225" s="39"/>
      <c r="E225" s="72" t="s">
        <v>803</v>
      </c>
      <c r="F225" s="74">
        <f>3/9</f>
        <v>0.33333333333333331</v>
      </c>
      <c r="G225" s="74">
        <f>7/13</f>
        <v>0.53846153846153844</v>
      </c>
      <c r="H225" s="108">
        <v>0.58799999999999997</v>
      </c>
      <c r="I225" s="108">
        <f>+P214</f>
        <v>0.66666666666666663</v>
      </c>
      <c r="P225" s="11"/>
    </row>
    <row r="226" spans="2:41" x14ac:dyDescent="0.25">
      <c r="C226" s="107"/>
      <c r="D226" s="52"/>
      <c r="E226" s="72" t="s">
        <v>804</v>
      </c>
      <c r="F226" s="74">
        <f>1/6</f>
        <v>0.16666666666666666</v>
      </c>
      <c r="G226" s="74">
        <f>6/11</f>
        <v>0.54545454545454541</v>
      </c>
      <c r="H226" s="108">
        <v>0.57099999999999995</v>
      </c>
      <c r="I226" s="108">
        <f>5/I218</f>
        <v>0.5</v>
      </c>
      <c r="P226" s="11"/>
    </row>
    <row r="227" spans="2:41" x14ac:dyDescent="0.25">
      <c r="C227" s="107"/>
      <c r="D227" s="52"/>
      <c r="E227" s="72" t="s">
        <v>805</v>
      </c>
      <c r="F227" s="74">
        <f>2/3</f>
        <v>0.66666666666666663</v>
      </c>
      <c r="G227" s="74">
        <v>0.5</v>
      </c>
      <c r="H227" s="108">
        <v>0.66700000000000004</v>
      </c>
      <c r="I227" s="108">
        <f>5/I219</f>
        <v>1</v>
      </c>
      <c r="P227" s="11"/>
    </row>
    <row r="228" spans="2:41" x14ac:dyDescent="0.25">
      <c r="C228" s="39"/>
      <c r="E228" s="72"/>
      <c r="F228" s="11"/>
      <c r="G228" s="11"/>
      <c r="H228" s="104"/>
      <c r="I228" s="104"/>
      <c r="P228" s="11"/>
    </row>
    <row r="229" spans="2:41" x14ac:dyDescent="0.25">
      <c r="C229" s="39"/>
      <c r="E229" s="72" t="s">
        <v>1141</v>
      </c>
      <c r="F229" s="11">
        <v>3</v>
      </c>
      <c r="G229" s="11">
        <v>4</v>
      </c>
      <c r="H229" s="104">
        <v>5</v>
      </c>
      <c r="I229" s="104">
        <v>5</v>
      </c>
    </row>
    <row r="230" spans="2:41" x14ac:dyDescent="0.25">
      <c r="E230" s="106" t="s">
        <v>1143</v>
      </c>
      <c r="F230" s="108">
        <f>+F229/F217</f>
        <v>0.33333333333333331</v>
      </c>
      <c r="G230" s="108">
        <f>+G229/G217</f>
        <v>0.30769230769230771</v>
      </c>
      <c r="H230" s="108">
        <v>0.29399999999999998</v>
      </c>
      <c r="I230" s="108">
        <f>+I229/I217</f>
        <v>0.33333333333333331</v>
      </c>
    </row>
    <row r="231" spans="2:41" x14ac:dyDescent="0.25">
      <c r="C231" s="39"/>
      <c r="E231" s="72" t="s">
        <v>1142</v>
      </c>
      <c r="F231" s="11">
        <v>1</v>
      </c>
      <c r="G231" s="11">
        <v>2</v>
      </c>
      <c r="H231" s="104">
        <v>0</v>
      </c>
      <c r="I231" s="104">
        <v>4</v>
      </c>
    </row>
    <row r="232" spans="2:41" x14ac:dyDescent="0.25">
      <c r="B232" s="52"/>
      <c r="C232" s="39"/>
      <c r="E232" s="106" t="s">
        <v>1169</v>
      </c>
      <c r="F232" s="108">
        <f t="shared" ref="F232:G232" si="48">+F231/F217</f>
        <v>0.1111111111111111</v>
      </c>
      <c r="G232" s="108">
        <f t="shared" si="48"/>
        <v>0.15384615384615385</v>
      </c>
      <c r="H232" s="108">
        <v>0</v>
      </c>
      <c r="I232" s="108">
        <f>+I231/I217</f>
        <v>0.26666666666666666</v>
      </c>
    </row>
    <row r="233" spans="2:41" x14ac:dyDescent="0.25">
      <c r="B233" s="52"/>
      <c r="C233" s="39"/>
    </row>
    <row r="234" spans="2:41" x14ac:dyDescent="0.25">
      <c r="B234" s="52"/>
      <c r="C234" s="39"/>
    </row>
    <row r="235" spans="2:41" x14ac:dyDescent="0.25">
      <c r="B235" s="52"/>
      <c r="C235" s="39"/>
    </row>
    <row r="236" spans="2:41" x14ac:dyDescent="0.25">
      <c r="B236" s="224"/>
      <c r="C236" s="39">
        <v>2018</v>
      </c>
      <c r="D236" s="62" t="s">
        <v>1324</v>
      </c>
      <c r="E236" s="63" t="s">
        <v>1325</v>
      </c>
      <c r="F236" s="64">
        <v>43452</v>
      </c>
      <c r="G236" s="65" t="s">
        <v>34</v>
      </c>
      <c r="H236" s="94">
        <v>10250000</v>
      </c>
      <c r="I236" s="94">
        <v>8275000</v>
      </c>
      <c r="J236" s="94"/>
      <c r="K236" s="153">
        <v>-0.1926829268292683</v>
      </c>
      <c r="L236" s="11" t="s">
        <v>465</v>
      </c>
      <c r="M236" s="15">
        <v>3</v>
      </c>
      <c r="N236" s="35" t="s">
        <v>25</v>
      </c>
      <c r="O236" s="15">
        <v>4</v>
      </c>
      <c r="P236" s="35" t="s">
        <v>458</v>
      </c>
      <c r="Q236" s="35"/>
      <c r="R236" s="15"/>
      <c r="S236" s="24"/>
      <c r="T236" s="62" t="s">
        <v>784</v>
      </c>
      <c r="U236" s="62"/>
      <c r="V236" s="94">
        <v>9049324.666666666</v>
      </c>
      <c r="W236" s="199">
        <v>0.91443287812195495</v>
      </c>
      <c r="X236" s="15"/>
      <c r="Y236" s="200">
        <v>0.80731707317073176</v>
      </c>
      <c r="Z236" s="11" t="s">
        <v>465</v>
      </c>
      <c r="AA236" s="11"/>
      <c r="AB236" s="15"/>
      <c r="AC236" s="54">
        <v>10250000</v>
      </c>
      <c r="AD236" s="54">
        <v>8275000</v>
      </c>
      <c r="AE236" s="54">
        <v>1975000</v>
      </c>
      <c r="AG236" s="4"/>
      <c r="AH236" s="4"/>
      <c r="AI236" s="225"/>
      <c r="AJ236" s="226"/>
      <c r="AK236" s="227"/>
      <c r="AL236" s="227"/>
      <c r="AM236" s="225"/>
      <c r="AN236" s="226"/>
      <c r="AO236" s="228"/>
    </row>
    <row r="237" spans="2:41" x14ac:dyDescent="0.25">
      <c r="B237" s="224"/>
      <c r="C237" s="39">
        <v>2018</v>
      </c>
      <c r="D237" s="62" t="s">
        <v>1330</v>
      </c>
      <c r="E237" s="63" t="s">
        <v>1331</v>
      </c>
      <c r="F237" s="64">
        <v>43438</v>
      </c>
      <c r="G237" s="65" t="s">
        <v>34</v>
      </c>
      <c r="H237" s="94">
        <v>122920000</v>
      </c>
      <c r="I237" s="94">
        <v>119769038</v>
      </c>
      <c r="J237" s="94" t="s">
        <v>519</v>
      </c>
      <c r="K237" s="153">
        <v>-2.5634249918646275E-2</v>
      </c>
      <c r="L237" s="11" t="s">
        <v>464</v>
      </c>
      <c r="M237" s="15">
        <v>2</v>
      </c>
      <c r="N237" s="35" t="s">
        <v>25</v>
      </c>
      <c r="O237" s="15">
        <v>4</v>
      </c>
      <c r="P237" s="35" t="s">
        <v>458</v>
      </c>
      <c r="Q237" s="35"/>
      <c r="R237" s="15"/>
      <c r="S237" s="24"/>
      <c r="T237" s="62" t="s">
        <v>784</v>
      </c>
      <c r="U237" s="62"/>
      <c r="V237" s="94">
        <v>122138179</v>
      </c>
      <c r="W237" s="199">
        <v>0.98060278105177912</v>
      </c>
      <c r="X237" s="15"/>
      <c r="Y237" s="200">
        <v>0.97436575008135373</v>
      </c>
      <c r="Z237" s="11" t="s">
        <v>465</v>
      </c>
      <c r="AA237" s="11"/>
      <c r="AB237" s="15"/>
      <c r="AC237" s="54">
        <v>122920000</v>
      </c>
      <c r="AD237" s="54">
        <v>119769038</v>
      </c>
      <c r="AE237" s="54">
        <v>3150962</v>
      </c>
      <c r="AG237" s="4"/>
      <c r="AH237" s="4"/>
      <c r="AI237" s="225"/>
      <c r="AJ237" s="226"/>
      <c r="AK237" s="227"/>
      <c r="AL237" s="227"/>
      <c r="AM237" s="225"/>
      <c r="AN237" s="226"/>
      <c r="AO237" s="228"/>
    </row>
    <row r="238" spans="2:41" x14ac:dyDescent="0.25">
      <c r="B238" s="224"/>
      <c r="C238" s="39">
        <v>2018</v>
      </c>
      <c r="D238" s="62" t="s">
        <v>1312</v>
      </c>
      <c r="E238" s="63" t="s">
        <v>1313</v>
      </c>
      <c r="F238" s="64">
        <v>43438</v>
      </c>
      <c r="G238" s="65" t="s">
        <v>1225</v>
      </c>
      <c r="H238" s="94">
        <v>448000</v>
      </c>
      <c r="I238" s="94">
        <v>432222</v>
      </c>
      <c r="J238" s="105" t="s">
        <v>519</v>
      </c>
      <c r="K238" s="153">
        <v>-3.521875E-2</v>
      </c>
      <c r="L238" s="11" t="s">
        <v>464</v>
      </c>
      <c r="M238" s="15">
        <v>6</v>
      </c>
      <c r="N238" s="35" t="s">
        <v>93</v>
      </c>
      <c r="O238" s="15">
        <v>4</v>
      </c>
      <c r="P238" s="35" t="s">
        <v>458</v>
      </c>
      <c r="Q238" s="35"/>
      <c r="R238" s="15"/>
      <c r="S238" s="24"/>
      <c r="T238" s="62" t="s">
        <v>784</v>
      </c>
      <c r="U238" s="62"/>
      <c r="V238" s="94">
        <v>792267</v>
      </c>
      <c r="W238" s="199">
        <v>0.54555093169348212</v>
      </c>
      <c r="X238" s="15"/>
      <c r="Y238" s="200">
        <v>0.96478125000000003</v>
      </c>
      <c r="Z238" s="11" t="s">
        <v>465</v>
      </c>
      <c r="AA238" s="11"/>
      <c r="AB238" s="15"/>
      <c r="AC238" s="54">
        <v>448000</v>
      </c>
      <c r="AD238" s="54">
        <v>432222</v>
      </c>
      <c r="AE238" s="54">
        <v>15778</v>
      </c>
      <c r="AG238" s="4"/>
      <c r="AH238" s="4"/>
      <c r="AI238" s="225"/>
      <c r="AJ238" s="226"/>
      <c r="AK238" s="227"/>
      <c r="AL238" s="227"/>
      <c r="AM238" s="225"/>
      <c r="AN238" s="226"/>
      <c r="AO238" s="228"/>
    </row>
    <row r="239" spans="2:41" x14ac:dyDescent="0.25">
      <c r="B239" s="224"/>
      <c r="C239" s="39">
        <v>2018</v>
      </c>
      <c r="D239" s="62" t="s">
        <v>1314</v>
      </c>
      <c r="E239" s="63" t="s">
        <v>1315</v>
      </c>
      <c r="F239" s="64">
        <v>43433</v>
      </c>
      <c r="G239" s="65" t="s">
        <v>1225</v>
      </c>
      <c r="H239" s="94">
        <v>287000</v>
      </c>
      <c r="I239" s="94">
        <v>369034</v>
      </c>
      <c r="J239" s="105"/>
      <c r="K239" s="153">
        <v>0.28583275261324043</v>
      </c>
      <c r="L239" s="11" t="s">
        <v>465</v>
      </c>
      <c r="M239" s="15">
        <v>5</v>
      </c>
      <c r="N239" s="35" t="s">
        <v>93</v>
      </c>
      <c r="O239" s="15">
        <v>4</v>
      </c>
      <c r="P239" s="35" t="s">
        <v>458</v>
      </c>
      <c r="Q239" s="35"/>
      <c r="R239" s="15"/>
      <c r="S239" s="24"/>
      <c r="T239" s="62" t="s">
        <v>784</v>
      </c>
      <c r="U239" s="62"/>
      <c r="V239" s="94">
        <v>503308</v>
      </c>
      <c r="W239" s="199">
        <v>0.73321703608923361</v>
      </c>
      <c r="X239" s="15"/>
      <c r="Y239" s="200">
        <v>1.2858327526132405</v>
      </c>
      <c r="Z239" s="11" t="s">
        <v>465</v>
      </c>
      <c r="AA239" s="11"/>
      <c r="AB239" s="15"/>
      <c r="AC239" s="54">
        <v>287000</v>
      </c>
      <c r="AD239" s="54">
        <v>369034</v>
      </c>
      <c r="AE239" s="54">
        <v>-82034</v>
      </c>
      <c r="AG239" s="4"/>
      <c r="AH239" s="4"/>
      <c r="AI239" s="225"/>
      <c r="AJ239" s="226"/>
      <c r="AK239" s="227"/>
      <c r="AL239" s="227"/>
      <c r="AM239" s="225"/>
      <c r="AN239" s="226"/>
      <c r="AO239" s="228"/>
    </row>
    <row r="240" spans="2:41" x14ac:dyDescent="0.25">
      <c r="B240" s="224"/>
      <c r="C240" s="39">
        <v>2018</v>
      </c>
      <c r="D240" s="62" t="s">
        <v>1332</v>
      </c>
      <c r="E240" s="63" t="s">
        <v>1333</v>
      </c>
      <c r="F240" s="64">
        <v>43419</v>
      </c>
      <c r="G240" s="65" t="s">
        <v>34</v>
      </c>
      <c r="H240" s="94">
        <v>12570000</v>
      </c>
      <c r="I240" s="94">
        <v>9714000</v>
      </c>
      <c r="J240" s="94"/>
      <c r="K240" s="153">
        <v>-0.22720763723150358</v>
      </c>
      <c r="L240" s="11" t="s">
        <v>465</v>
      </c>
      <c r="M240" s="15">
        <v>4</v>
      </c>
      <c r="N240" s="35" t="s">
        <v>25</v>
      </c>
      <c r="O240" s="15">
        <v>4</v>
      </c>
      <c r="P240" s="35" t="s">
        <v>458</v>
      </c>
      <c r="Q240" s="35"/>
      <c r="R240" s="15"/>
      <c r="S240" s="24"/>
      <c r="T240" s="62" t="s">
        <v>784</v>
      </c>
      <c r="U240" s="62"/>
      <c r="V240" s="94">
        <v>10579250</v>
      </c>
      <c r="W240" s="199">
        <v>0.91821253869603237</v>
      </c>
      <c r="X240" s="15"/>
      <c r="Y240" s="200">
        <v>0.77279236276849639</v>
      </c>
      <c r="Z240" s="11" t="s">
        <v>465</v>
      </c>
      <c r="AA240" s="11"/>
      <c r="AB240" s="15"/>
      <c r="AC240" s="54">
        <v>12570000</v>
      </c>
      <c r="AD240" s="54">
        <v>9714000</v>
      </c>
      <c r="AE240" s="54">
        <v>2856000</v>
      </c>
      <c r="AG240" s="4"/>
      <c r="AH240" s="4"/>
      <c r="AI240" s="225"/>
      <c r="AJ240" s="226"/>
      <c r="AK240" s="227"/>
      <c r="AL240" s="227"/>
      <c r="AM240" s="225"/>
      <c r="AN240" s="226"/>
      <c r="AO240" s="228"/>
    </row>
    <row r="241" spans="2:41" x14ac:dyDescent="0.25">
      <c r="B241" s="224"/>
      <c r="C241" s="39">
        <v>2018</v>
      </c>
      <c r="D241" s="62" t="s">
        <v>1344</v>
      </c>
      <c r="E241" s="63" t="s">
        <v>1345</v>
      </c>
      <c r="F241" s="64">
        <v>43413</v>
      </c>
      <c r="G241" s="65" t="s">
        <v>34</v>
      </c>
      <c r="H241" s="94">
        <v>186355200</v>
      </c>
      <c r="I241" s="94">
        <v>152100000</v>
      </c>
      <c r="J241" s="94"/>
      <c r="K241" s="153">
        <v>-0.18381671131259014</v>
      </c>
      <c r="L241" s="11" t="s">
        <v>465</v>
      </c>
      <c r="M241" s="15">
        <v>3</v>
      </c>
      <c r="N241" s="35" t="s">
        <v>93</v>
      </c>
      <c r="O241" s="15">
        <v>4</v>
      </c>
      <c r="P241" s="35" t="s">
        <v>458</v>
      </c>
      <c r="Q241" s="35"/>
      <c r="R241" s="15"/>
      <c r="S241" s="24"/>
      <c r="T241" s="62" t="s">
        <v>442</v>
      </c>
      <c r="U241" s="62"/>
      <c r="V241" s="94">
        <v>157872084</v>
      </c>
      <c r="W241" s="199">
        <v>0.96343822255491351</v>
      </c>
      <c r="X241" s="15"/>
      <c r="Y241" s="200">
        <v>0.81618328868740986</v>
      </c>
      <c r="Z241" s="11" t="s">
        <v>465</v>
      </c>
      <c r="AA241" s="11"/>
      <c r="AB241" s="15"/>
      <c r="AC241" s="54">
        <v>186355200</v>
      </c>
      <c r="AD241" s="54">
        <v>152100000</v>
      </c>
      <c r="AE241" s="54">
        <v>34255200</v>
      </c>
      <c r="AG241" s="4"/>
      <c r="AH241" s="4"/>
      <c r="AI241" s="225"/>
      <c r="AJ241" s="226"/>
      <c r="AK241" s="227"/>
      <c r="AL241" s="227"/>
      <c r="AM241" s="225"/>
      <c r="AN241" s="226"/>
      <c r="AO241" s="228"/>
    </row>
    <row r="242" spans="2:41" x14ac:dyDescent="0.25">
      <c r="B242" s="224"/>
      <c r="C242" s="39">
        <v>2018</v>
      </c>
      <c r="D242" s="62" t="s">
        <v>1346</v>
      </c>
      <c r="E242" s="63" t="s">
        <v>1347</v>
      </c>
      <c r="F242" s="64">
        <v>43412</v>
      </c>
      <c r="G242" s="65" t="s">
        <v>34</v>
      </c>
      <c r="H242" s="94">
        <v>784000</v>
      </c>
      <c r="I242" s="94">
        <v>968530</v>
      </c>
      <c r="J242" s="105"/>
      <c r="K242" s="153">
        <v>0.23536989795918367</v>
      </c>
      <c r="L242" s="11" t="s">
        <v>465</v>
      </c>
      <c r="M242" s="15">
        <v>3</v>
      </c>
      <c r="N242" s="35" t="s">
        <v>93</v>
      </c>
      <c r="O242" s="15">
        <v>4</v>
      </c>
      <c r="P242" s="35" t="s">
        <v>458</v>
      </c>
      <c r="Q242" s="35"/>
      <c r="R242" s="15"/>
      <c r="S242" s="24"/>
      <c r="T242" s="62" t="s">
        <v>784</v>
      </c>
      <c r="U242" s="62"/>
      <c r="V242" s="94">
        <v>1009710</v>
      </c>
      <c r="W242" s="199">
        <v>0.9592160125184459</v>
      </c>
      <c r="X242" s="15"/>
      <c r="Y242" s="200">
        <v>1.2353698979591836</v>
      </c>
      <c r="Z242" s="11" t="s">
        <v>465</v>
      </c>
      <c r="AA242" s="11"/>
      <c r="AB242" s="15"/>
      <c r="AC242" s="54">
        <v>784000</v>
      </c>
      <c r="AD242" s="54">
        <v>968530</v>
      </c>
      <c r="AE242" s="54">
        <v>-184530</v>
      </c>
      <c r="AG242" s="4"/>
      <c r="AH242" s="4"/>
      <c r="AI242" s="225"/>
      <c r="AJ242" s="226"/>
      <c r="AK242" s="227"/>
      <c r="AL242" s="227"/>
      <c r="AM242" s="225"/>
      <c r="AN242" s="226"/>
      <c r="AO242" s="228"/>
    </row>
    <row r="243" spans="2:41" x14ac:dyDescent="0.25">
      <c r="B243" s="224"/>
      <c r="C243" s="39">
        <v>2018</v>
      </c>
      <c r="D243" s="62" t="s">
        <v>1351</v>
      </c>
      <c r="E243" s="63" t="s">
        <v>1352</v>
      </c>
      <c r="F243" s="64">
        <v>43389</v>
      </c>
      <c r="G243" s="65" t="s">
        <v>34</v>
      </c>
      <c r="H243" s="94">
        <v>3800000</v>
      </c>
      <c r="I243" s="94">
        <v>3781700</v>
      </c>
      <c r="J243" s="105" t="s">
        <v>519</v>
      </c>
      <c r="K243" s="153">
        <v>-4.8157894736842108E-3</v>
      </c>
      <c r="L243" s="11" t="s">
        <v>464</v>
      </c>
      <c r="M243" s="15">
        <v>8</v>
      </c>
      <c r="N243" s="35" t="s">
        <v>93</v>
      </c>
      <c r="O243" s="15">
        <v>4</v>
      </c>
      <c r="P243" s="35" t="s">
        <v>458</v>
      </c>
      <c r="Q243" s="35"/>
      <c r="R243" s="15"/>
      <c r="S243" s="24"/>
      <c r="T243" s="62" t="s">
        <v>1353</v>
      </c>
      <c r="U243" s="62"/>
      <c r="V243" s="94">
        <v>4748686.375</v>
      </c>
      <c r="W243" s="199">
        <v>0.79636760597819012</v>
      </c>
      <c r="X243" s="15"/>
      <c r="Y243" s="200">
        <v>0.99518421052631578</v>
      </c>
      <c r="Z243" s="11" t="s">
        <v>465</v>
      </c>
      <c r="AA243" s="11"/>
      <c r="AB243" s="15"/>
      <c r="AC243" s="54">
        <v>3800000</v>
      </c>
      <c r="AD243" s="54">
        <v>3781700</v>
      </c>
      <c r="AE243" s="54">
        <v>18300</v>
      </c>
      <c r="AG243" s="4"/>
      <c r="AH243" s="4"/>
      <c r="AI243" s="225"/>
      <c r="AJ243" s="226"/>
      <c r="AK243" s="227"/>
      <c r="AL243" s="227"/>
      <c r="AM243" s="225"/>
      <c r="AN243" s="226"/>
      <c r="AO243" s="228"/>
    </row>
    <row r="244" spans="2:41" x14ac:dyDescent="0.25">
      <c r="B244" s="52"/>
      <c r="C244" s="39">
        <v>2018</v>
      </c>
      <c r="D244" s="62" t="s">
        <v>1269</v>
      </c>
      <c r="E244" s="63" t="s">
        <v>1270</v>
      </c>
      <c r="F244" s="64">
        <v>43368</v>
      </c>
      <c r="G244" s="65" t="s">
        <v>1225</v>
      </c>
      <c r="H244" s="94">
        <v>760000</v>
      </c>
      <c r="I244" s="94">
        <v>994150</v>
      </c>
      <c r="J244" s="105"/>
      <c r="K244" s="26">
        <v>0.30809210526315789</v>
      </c>
      <c r="L244" s="11" t="s">
        <v>465</v>
      </c>
      <c r="M244" s="15">
        <v>3</v>
      </c>
      <c r="N244" s="35" t="s">
        <v>25</v>
      </c>
      <c r="O244" s="15">
        <v>3</v>
      </c>
      <c r="P244" s="35" t="s">
        <v>458</v>
      </c>
      <c r="Q244" s="35"/>
      <c r="R244" s="15"/>
      <c r="S244" s="24"/>
      <c r="T244" s="62" t="s">
        <v>784</v>
      </c>
      <c r="U244" s="62"/>
      <c r="V244" s="94">
        <v>2705657.5</v>
      </c>
      <c r="W244" s="199">
        <v>0.36743379381906244</v>
      </c>
      <c r="X244" s="15"/>
      <c r="Y244" s="200">
        <v>1.308092105263158</v>
      </c>
      <c r="Z244" s="11" t="s">
        <v>465</v>
      </c>
      <c r="AA244" s="11"/>
      <c r="AB244" s="15"/>
      <c r="AC244" s="54">
        <v>760000</v>
      </c>
      <c r="AD244" s="54">
        <v>994150</v>
      </c>
      <c r="AE244" s="54">
        <v>-234150</v>
      </c>
    </row>
    <row r="245" spans="2:41" x14ac:dyDescent="0.25">
      <c r="B245" s="52"/>
      <c r="C245" s="39">
        <v>2018</v>
      </c>
      <c r="D245" s="62" t="s">
        <v>1271</v>
      </c>
      <c r="E245" s="63" t="s">
        <v>1272</v>
      </c>
      <c r="F245" s="64">
        <v>43350</v>
      </c>
      <c r="G245" s="65" t="s">
        <v>34</v>
      </c>
      <c r="H245" s="94">
        <v>17920000</v>
      </c>
      <c r="I245" s="94">
        <v>21068000</v>
      </c>
      <c r="J245" s="27"/>
      <c r="K245" s="26">
        <v>0.17566964285714284</v>
      </c>
      <c r="L245" s="11" t="s">
        <v>465</v>
      </c>
      <c r="M245" s="15">
        <v>2</v>
      </c>
      <c r="N245" s="35" t="s">
        <v>93</v>
      </c>
      <c r="O245" s="15">
        <v>3</v>
      </c>
      <c r="P245" s="35" t="s">
        <v>458</v>
      </c>
      <c r="Q245" s="35"/>
      <c r="R245" s="15"/>
      <c r="S245" s="24"/>
      <c r="T245" s="62" t="s">
        <v>536</v>
      </c>
      <c r="U245" s="62"/>
      <c r="V245" s="94">
        <v>22772500</v>
      </c>
      <c r="W245" s="199">
        <v>0.92515094961027555</v>
      </c>
      <c r="X245" s="15"/>
      <c r="Y245" s="200">
        <v>1.1756696428571429</v>
      </c>
      <c r="Z245" s="11" t="s">
        <v>465</v>
      </c>
      <c r="AA245" s="11"/>
      <c r="AB245" s="15"/>
      <c r="AC245" s="54">
        <v>17920000</v>
      </c>
      <c r="AD245" s="54">
        <v>21068000</v>
      </c>
      <c r="AE245" s="54">
        <v>-3148000</v>
      </c>
    </row>
    <row r="246" spans="2:41" x14ac:dyDescent="0.25">
      <c r="B246" s="52"/>
      <c r="C246" s="39">
        <v>2018</v>
      </c>
      <c r="D246" s="62" t="s">
        <v>1273</v>
      </c>
      <c r="E246" s="63" t="s">
        <v>1274</v>
      </c>
      <c r="F246" s="64">
        <v>43311</v>
      </c>
      <c r="G246" s="65" t="s">
        <v>190</v>
      </c>
      <c r="H246" s="94">
        <v>9350000</v>
      </c>
      <c r="I246" s="94">
        <v>6855365</v>
      </c>
      <c r="J246" s="27" t="s">
        <v>519</v>
      </c>
      <c r="K246" s="26">
        <v>-0.26680588235294117</v>
      </c>
      <c r="L246" s="11" t="s">
        <v>464</v>
      </c>
      <c r="M246" s="15">
        <v>3</v>
      </c>
      <c r="N246" s="35" t="s">
        <v>25</v>
      </c>
      <c r="O246" s="15">
        <v>3</v>
      </c>
      <c r="P246" s="35" t="s">
        <v>458</v>
      </c>
      <c r="Q246" s="35"/>
      <c r="R246" s="15"/>
      <c r="S246" s="24" t="s">
        <v>932</v>
      </c>
      <c r="T246" s="62" t="s">
        <v>784</v>
      </c>
      <c r="U246" s="62"/>
      <c r="V246" s="94">
        <v>10087545</v>
      </c>
      <c r="W246" s="199">
        <v>0.67958705512590034</v>
      </c>
      <c r="X246" s="15"/>
      <c r="Y246" s="200">
        <v>0.73319411764705877</v>
      </c>
      <c r="Z246" s="11" t="s">
        <v>465</v>
      </c>
      <c r="AA246" s="11"/>
      <c r="AB246" s="15"/>
      <c r="AC246" s="54">
        <v>9350000</v>
      </c>
      <c r="AD246" s="54">
        <v>6855365</v>
      </c>
      <c r="AE246" s="54">
        <v>2494635</v>
      </c>
    </row>
    <row r="247" spans="2:41" x14ac:dyDescent="0.25">
      <c r="B247" s="52"/>
      <c r="C247" s="39">
        <v>2018</v>
      </c>
      <c r="D247" s="62" t="s">
        <v>1275</v>
      </c>
      <c r="E247" s="63" t="s">
        <v>1276</v>
      </c>
      <c r="F247" s="64">
        <v>43299</v>
      </c>
      <c r="G247" s="65" t="s">
        <v>190</v>
      </c>
      <c r="H247" s="94">
        <v>34796400</v>
      </c>
      <c r="I247" s="94">
        <v>34483510</v>
      </c>
      <c r="J247" s="27" t="s">
        <v>519</v>
      </c>
      <c r="K247" s="26">
        <v>-8.9920221632122863E-3</v>
      </c>
      <c r="L247" s="11" t="s">
        <v>464</v>
      </c>
      <c r="M247" s="15">
        <v>2</v>
      </c>
      <c r="N247" s="35" t="s">
        <v>93</v>
      </c>
      <c r="O247" s="15">
        <v>3</v>
      </c>
      <c r="P247" s="35" t="s">
        <v>458</v>
      </c>
      <c r="Q247" s="35"/>
      <c r="R247" s="15"/>
      <c r="S247" s="24"/>
      <c r="T247" s="62" t="s">
        <v>784</v>
      </c>
      <c r="U247" s="62"/>
      <c r="V247" s="94">
        <v>35471255</v>
      </c>
      <c r="W247" s="199">
        <v>0.97215364948322236</v>
      </c>
      <c r="X247" s="15"/>
      <c r="Y247" s="200">
        <v>0.99100797783678773</v>
      </c>
      <c r="Z247" s="11" t="s">
        <v>465</v>
      </c>
      <c r="AA247" s="11"/>
      <c r="AB247" s="15"/>
      <c r="AC247" s="54">
        <v>34796400</v>
      </c>
      <c r="AD247" s="54">
        <v>34483510</v>
      </c>
      <c r="AE247" s="54">
        <v>312890</v>
      </c>
    </row>
    <row r="248" spans="2:41" x14ac:dyDescent="0.25">
      <c r="B248" s="224"/>
      <c r="C248" s="39">
        <v>2018</v>
      </c>
      <c r="D248" s="62" t="s">
        <v>1277</v>
      </c>
      <c r="E248" s="63" t="s">
        <v>1278</v>
      </c>
      <c r="F248" s="64">
        <v>43287</v>
      </c>
      <c r="G248" s="65" t="s">
        <v>190</v>
      </c>
      <c r="H248" s="94">
        <v>3730000</v>
      </c>
      <c r="I248" s="94">
        <v>4547000</v>
      </c>
      <c r="J248" s="105"/>
      <c r="K248" s="26">
        <v>0.2190348525469169</v>
      </c>
      <c r="L248" s="11" t="s">
        <v>465</v>
      </c>
      <c r="M248" s="15">
        <v>3</v>
      </c>
      <c r="N248" s="35" t="s">
        <v>25</v>
      </c>
      <c r="O248" s="15">
        <v>3</v>
      </c>
      <c r="P248" s="35" t="s">
        <v>458</v>
      </c>
      <c r="Q248" s="35"/>
      <c r="R248" s="15"/>
      <c r="S248" s="24"/>
      <c r="T248" s="62" t="s">
        <v>784</v>
      </c>
      <c r="U248" s="62"/>
      <c r="V248" s="94">
        <v>4717276.666666667</v>
      </c>
      <c r="W248" s="199">
        <v>0.96390360822593257</v>
      </c>
      <c r="X248" s="15"/>
      <c r="Y248" s="200">
        <v>1.2190348525469168</v>
      </c>
      <c r="Z248" s="11" t="s">
        <v>465</v>
      </c>
      <c r="AA248" s="11"/>
      <c r="AB248" s="15"/>
      <c r="AC248" s="54">
        <v>3730000</v>
      </c>
      <c r="AD248" s="54">
        <v>4547000</v>
      </c>
      <c r="AE248" s="54">
        <v>-817000</v>
      </c>
      <c r="AG248" s="4">
        <v>203524650</v>
      </c>
      <c r="AH248" s="4">
        <v>173859860</v>
      </c>
      <c r="AI248" s="209">
        <v>0.85424473153497626</v>
      </c>
      <c r="AJ248" s="1" t="s">
        <v>1240</v>
      </c>
      <c r="AK248" s="210">
        <v>757144150</v>
      </c>
      <c r="AL248" s="210">
        <v>573649474</v>
      </c>
      <c r="AM248" s="211">
        <v>0.75764895495791651</v>
      </c>
      <c r="AN248" s="212"/>
      <c r="AO248" s="213"/>
    </row>
    <row r="249" spans="2:41" x14ac:dyDescent="0.25">
      <c r="B249" s="52"/>
      <c r="C249" s="39">
        <v>2018</v>
      </c>
      <c r="D249" s="62" t="s">
        <v>1279</v>
      </c>
      <c r="E249" s="63" t="s">
        <v>1280</v>
      </c>
      <c r="F249" s="64">
        <v>43250</v>
      </c>
      <c r="G249" s="65" t="s">
        <v>34</v>
      </c>
      <c r="H249" s="94">
        <v>153277500</v>
      </c>
      <c r="I249" s="94">
        <v>118434757</v>
      </c>
      <c r="J249" s="27"/>
      <c r="K249" s="26">
        <v>-0.22731805385656734</v>
      </c>
      <c r="L249" s="11" t="s">
        <v>465</v>
      </c>
      <c r="M249" s="15">
        <v>13</v>
      </c>
      <c r="N249" s="35" t="s">
        <v>25</v>
      </c>
      <c r="O249" s="15">
        <v>2</v>
      </c>
      <c r="P249" s="35" t="s">
        <v>458</v>
      </c>
      <c r="Q249" s="35"/>
      <c r="R249" s="15"/>
      <c r="S249" s="24"/>
      <c r="T249" s="62" t="s">
        <v>784</v>
      </c>
      <c r="U249" s="62"/>
      <c r="V249" s="94">
        <v>138481360</v>
      </c>
      <c r="W249" s="199">
        <v>0.85523970157427687</v>
      </c>
      <c r="X249" s="15"/>
      <c r="Y249" s="200">
        <v>0.77268194614343266</v>
      </c>
      <c r="Z249" s="11" t="s">
        <v>465</v>
      </c>
      <c r="AA249" s="11"/>
      <c r="AB249" s="15"/>
      <c r="AC249" s="54">
        <v>153277500</v>
      </c>
      <c r="AD249" s="54">
        <v>118434757</v>
      </c>
      <c r="AE249" s="54">
        <v>34842743</v>
      </c>
    </row>
    <row r="250" spans="2:41" x14ac:dyDescent="0.25">
      <c r="B250" s="224"/>
      <c r="C250" s="39">
        <v>2018</v>
      </c>
      <c r="D250" s="62" t="s">
        <v>1281</v>
      </c>
      <c r="E250" s="63" t="s">
        <v>1282</v>
      </c>
      <c r="F250" s="64">
        <v>43193</v>
      </c>
      <c r="G250" s="65" t="s">
        <v>34</v>
      </c>
      <c r="H250" s="94">
        <v>3441000</v>
      </c>
      <c r="I250" s="94">
        <v>2993080</v>
      </c>
      <c r="J250" s="105" t="s">
        <v>519</v>
      </c>
      <c r="K250" s="26">
        <v>-0.13017146178436501</v>
      </c>
      <c r="L250" s="11" t="s">
        <v>464</v>
      </c>
      <c r="M250" s="15">
        <v>3</v>
      </c>
      <c r="N250" s="35" t="s">
        <v>25</v>
      </c>
      <c r="O250" s="15">
        <v>2</v>
      </c>
      <c r="P250" s="35" t="s">
        <v>458</v>
      </c>
      <c r="Q250" s="35" t="s">
        <v>1235</v>
      </c>
      <c r="R250" s="15"/>
      <c r="S250" s="24"/>
      <c r="T250" s="62" t="s">
        <v>784</v>
      </c>
      <c r="U250" s="62"/>
      <c r="V250" s="94">
        <v>3534026.6666666665</v>
      </c>
      <c r="W250" s="199">
        <v>0.84693192279250873</v>
      </c>
      <c r="X250" s="15"/>
      <c r="Y250" s="200">
        <v>0.86982853821563499</v>
      </c>
      <c r="Z250" s="11" t="s">
        <v>465</v>
      </c>
      <c r="AA250" s="74">
        <v>0</v>
      </c>
      <c r="AB250" s="15"/>
      <c r="AC250" s="54">
        <v>3441000</v>
      </c>
      <c r="AD250" s="54">
        <v>2993080</v>
      </c>
      <c r="AE250" s="54">
        <v>447920</v>
      </c>
      <c r="AG250" s="4">
        <v>215665500</v>
      </c>
      <c r="AH250" s="4">
        <v>170989542</v>
      </c>
      <c r="AI250" s="209">
        <v>0.79284606021825466</v>
      </c>
      <c r="AJ250" s="1" t="s">
        <v>1240</v>
      </c>
      <c r="AK250" s="210">
        <v>553619500</v>
      </c>
      <c r="AL250" s="210">
        <v>399789614</v>
      </c>
      <c r="AM250" s="211">
        <v>0.72213788351024488</v>
      </c>
      <c r="AN250" s="212"/>
      <c r="AO250" s="213"/>
    </row>
    <row r="251" spans="2:41" x14ac:dyDescent="0.25">
      <c r="B251" s="52"/>
      <c r="C251" s="39">
        <v>2018</v>
      </c>
      <c r="D251" s="62" t="s">
        <v>1283</v>
      </c>
      <c r="E251" s="63" t="s">
        <v>1284</v>
      </c>
      <c r="F251" s="64">
        <v>43179</v>
      </c>
      <c r="G251" s="65" t="s">
        <v>34</v>
      </c>
      <c r="H251" s="94">
        <v>1440000</v>
      </c>
      <c r="I251" s="94">
        <v>1928000</v>
      </c>
      <c r="J251" s="105"/>
      <c r="K251" s="26">
        <v>0.33888888888888891</v>
      </c>
      <c r="L251" s="11" t="s">
        <v>465</v>
      </c>
      <c r="M251" s="15">
        <v>7</v>
      </c>
      <c r="N251" s="35" t="s">
        <v>93</v>
      </c>
      <c r="O251" s="15">
        <v>1</v>
      </c>
      <c r="P251" s="35" t="s">
        <v>458</v>
      </c>
      <c r="Q251" s="35" t="s">
        <v>1238</v>
      </c>
      <c r="R251" s="15"/>
      <c r="S251" s="24"/>
      <c r="T251" s="62" t="s">
        <v>784</v>
      </c>
      <c r="U251" s="62"/>
      <c r="V251" s="94">
        <v>2393861.8571428573</v>
      </c>
      <c r="W251" s="199">
        <v>0.8053931743167182</v>
      </c>
      <c r="X251" s="15"/>
      <c r="Y251" s="200">
        <v>1.3388888888888888</v>
      </c>
      <c r="Z251" s="11" t="s">
        <v>465</v>
      </c>
      <c r="AA251" s="11"/>
      <c r="AB251" s="15"/>
      <c r="AC251" s="54">
        <v>1440000</v>
      </c>
      <c r="AD251" s="54">
        <v>1928000</v>
      </c>
      <c r="AE251" s="54">
        <v>-488000</v>
      </c>
    </row>
    <row r="252" spans="2:41" x14ac:dyDescent="0.25">
      <c r="B252" s="52"/>
      <c r="C252" s="39">
        <v>2018</v>
      </c>
      <c r="D252" s="62" t="s">
        <v>1285</v>
      </c>
      <c r="E252" s="63" t="s">
        <v>1286</v>
      </c>
      <c r="F252" s="64">
        <v>43168</v>
      </c>
      <c r="G252" s="65" t="s">
        <v>34</v>
      </c>
      <c r="H252" s="94">
        <v>10900000</v>
      </c>
      <c r="I252" s="94">
        <v>10417536</v>
      </c>
      <c r="J252" s="27" t="s">
        <v>519</v>
      </c>
      <c r="K252" s="26">
        <v>-4.4262752293577984E-2</v>
      </c>
      <c r="L252" s="11" t="s">
        <v>464</v>
      </c>
      <c r="M252" s="15">
        <v>11</v>
      </c>
      <c r="N252" s="35" t="s">
        <v>25</v>
      </c>
      <c r="O252" s="15">
        <v>1</v>
      </c>
      <c r="P252" s="35" t="s">
        <v>458</v>
      </c>
      <c r="Q252" s="35" t="s">
        <v>1235</v>
      </c>
      <c r="R252" s="15"/>
      <c r="S252" s="24"/>
      <c r="T252" s="62" t="s">
        <v>784</v>
      </c>
      <c r="U252" s="62"/>
      <c r="V252" s="94">
        <v>12059792.454545455</v>
      </c>
      <c r="W252" s="199">
        <v>0.86382382112003331</v>
      </c>
      <c r="X252" s="15"/>
      <c r="Y252" s="200">
        <v>0.95573724770642199</v>
      </c>
      <c r="Z252" s="11" t="s">
        <v>465</v>
      </c>
      <c r="AA252" s="11"/>
      <c r="AB252" s="15"/>
      <c r="AC252" s="54">
        <v>10900000</v>
      </c>
      <c r="AD252" s="54">
        <v>10417536</v>
      </c>
      <c r="AE252" s="54">
        <v>482464</v>
      </c>
    </row>
    <row r="253" spans="2:41" x14ac:dyDescent="0.25">
      <c r="C253" s="39">
        <v>2018</v>
      </c>
      <c r="D253" s="62" t="s">
        <v>1287</v>
      </c>
      <c r="E253" s="63" t="s">
        <v>1288</v>
      </c>
      <c r="F253" s="64">
        <v>43160</v>
      </c>
      <c r="G253" s="65" t="s">
        <v>34</v>
      </c>
      <c r="H253" s="94">
        <v>1273000</v>
      </c>
      <c r="I253" s="94">
        <v>1050950</v>
      </c>
      <c r="J253" s="105" t="s">
        <v>519</v>
      </c>
      <c r="K253" s="26">
        <v>-0.1744304791830322</v>
      </c>
      <c r="L253" s="11" t="s">
        <v>464</v>
      </c>
      <c r="M253" s="15">
        <v>6</v>
      </c>
      <c r="N253" s="35" t="s">
        <v>25</v>
      </c>
      <c r="O253" s="15">
        <v>1</v>
      </c>
      <c r="P253" s="35" t="s">
        <v>458</v>
      </c>
      <c r="Q253" s="35" t="s">
        <v>1238</v>
      </c>
      <c r="R253" s="15"/>
      <c r="S253" s="24" t="s">
        <v>1244</v>
      </c>
      <c r="T253" s="62" t="s">
        <v>784</v>
      </c>
      <c r="U253" s="62"/>
      <c r="V253" s="94">
        <v>2050444.6666666667</v>
      </c>
      <c r="W253" s="199">
        <v>0.51254735964589138</v>
      </c>
      <c r="X253" s="15"/>
      <c r="Y253" s="200">
        <v>0.82556952081696777</v>
      </c>
      <c r="Z253" s="11" t="s">
        <v>465</v>
      </c>
      <c r="AA253" s="11"/>
      <c r="AB253" s="15"/>
      <c r="AC253" s="54">
        <v>1273000</v>
      </c>
      <c r="AD253" s="54">
        <v>1050950</v>
      </c>
      <c r="AE253" s="54">
        <v>222050</v>
      </c>
    </row>
    <row r="254" spans="2:41" x14ac:dyDescent="0.25">
      <c r="C254" s="39">
        <v>2018</v>
      </c>
      <c r="D254" s="62" t="s">
        <v>1289</v>
      </c>
      <c r="E254" s="63" t="s">
        <v>1290</v>
      </c>
      <c r="F254" s="64">
        <v>43147</v>
      </c>
      <c r="G254" s="65" t="s">
        <v>34</v>
      </c>
      <c r="H254" s="94">
        <v>23100000</v>
      </c>
      <c r="I254" s="94">
        <v>16848000</v>
      </c>
      <c r="J254" s="27" t="s">
        <v>519</v>
      </c>
      <c r="K254" s="26">
        <v>-0.27064935064935064</v>
      </c>
      <c r="L254" s="11" t="s">
        <v>464</v>
      </c>
      <c r="M254" s="15">
        <v>6</v>
      </c>
      <c r="N254" s="35" t="s">
        <v>93</v>
      </c>
      <c r="O254" s="15">
        <v>1</v>
      </c>
      <c r="P254" s="35" t="s">
        <v>458</v>
      </c>
      <c r="Q254" s="35" t="s">
        <v>1243</v>
      </c>
      <c r="R254" s="15"/>
      <c r="S254" s="24"/>
      <c r="T254" s="62" t="s">
        <v>442</v>
      </c>
      <c r="U254" s="62"/>
      <c r="V254" s="94">
        <v>24152208.666666668</v>
      </c>
      <c r="W254" s="199">
        <v>0.69757595392310978</v>
      </c>
      <c r="X254" s="15"/>
      <c r="Y254" s="200">
        <v>0.7293506493506493</v>
      </c>
      <c r="Z254" s="11" t="s">
        <v>465</v>
      </c>
      <c r="AA254" s="11"/>
      <c r="AB254" s="15"/>
      <c r="AC254" s="54">
        <v>23100000</v>
      </c>
      <c r="AD254" s="54">
        <v>16848000</v>
      </c>
      <c r="AE254" s="54">
        <v>6252000</v>
      </c>
    </row>
    <row r="255" spans="2:41" x14ac:dyDescent="0.25">
      <c r="C255" s="39">
        <v>2018</v>
      </c>
      <c r="D255" s="62" t="s">
        <v>1291</v>
      </c>
      <c r="E255" s="63" t="s">
        <v>1292</v>
      </c>
      <c r="F255" s="64">
        <v>43139</v>
      </c>
      <c r="G255" s="65" t="s">
        <v>190</v>
      </c>
      <c r="H255" s="94">
        <v>10590000</v>
      </c>
      <c r="I255" s="94">
        <v>9125000</v>
      </c>
      <c r="J255" s="27"/>
      <c r="K255" s="26">
        <v>-0.13833805476864966</v>
      </c>
      <c r="L255" s="11" t="s">
        <v>465</v>
      </c>
      <c r="M255" s="15">
        <v>2</v>
      </c>
      <c r="N255" s="35" t="s">
        <v>93</v>
      </c>
      <c r="O255" s="15">
        <v>1</v>
      </c>
      <c r="P255" s="35" t="s">
        <v>458</v>
      </c>
      <c r="Q255" s="35" t="s">
        <v>1235</v>
      </c>
      <c r="R255" s="15"/>
      <c r="S255" s="24"/>
      <c r="T255" s="62" t="s">
        <v>784</v>
      </c>
      <c r="U255" s="62"/>
      <c r="V255" s="94">
        <v>9478917</v>
      </c>
      <c r="W255" s="199">
        <v>0.96266271769232714</v>
      </c>
      <c r="X255" s="15"/>
      <c r="Y255" s="200">
        <v>0.86166194523135031</v>
      </c>
      <c r="Z255" s="11" t="s">
        <v>465</v>
      </c>
      <c r="AA255" s="11"/>
      <c r="AB255" s="15"/>
      <c r="AC255" s="54">
        <v>10590000</v>
      </c>
      <c r="AD255" s="54">
        <v>9125000</v>
      </c>
      <c r="AE255" s="54">
        <v>1465000</v>
      </c>
    </row>
    <row r="256" spans="2:41" x14ac:dyDescent="0.25">
      <c r="C256" s="39">
        <v>2018</v>
      </c>
      <c r="D256" s="62" t="s">
        <v>1293</v>
      </c>
      <c r="E256" s="63" t="s">
        <v>1294</v>
      </c>
      <c r="F256" s="64">
        <v>43125</v>
      </c>
      <c r="G256" s="65" t="s">
        <v>34</v>
      </c>
      <c r="H256" s="94">
        <v>1700000</v>
      </c>
      <c r="I256" s="94">
        <v>1555555</v>
      </c>
      <c r="J256" s="105" t="s">
        <v>519</v>
      </c>
      <c r="K256" s="26">
        <v>-8.4967647058823523E-2</v>
      </c>
      <c r="L256" s="11" t="s">
        <v>464</v>
      </c>
      <c r="M256" s="15">
        <v>9</v>
      </c>
      <c r="N256" s="35" t="s">
        <v>93</v>
      </c>
      <c r="O256" s="15">
        <v>1</v>
      </c>
      <c r="P256" s="35" t="s">
        <v>458</v>
      </c>
      <c r="Q256" s="35" t="s">
        <v>1245</v>
      </c>
      <c r="R256" s="15"/>
      <c r="S256" s="24"/>
      <c r="T256" s="62" t="s">
        <v>784</v>
      </c>
      <c r="U256" s="62"/>
      <c r="V256" s="94">
        <v>2601779.6666666665</v>
      </c>
      <c r="W256" s="199">
        <v>0.59788114263839154</v>
      </c>
      <c r="X256" s="15"/>
      <c r="Y256" s="200">
        <v>0.91503235294117646</v>
      </c>
      <c r="Z256" s="11" t="s">
        <v>465</v>
      </c>
      <c r="AA256" s="11"/>
      <c r="AB256" s="15"/>
      <c r="AC256" s="54">
        <v>1700000</v>
      </c>
      <c r="AD256" s="54">
        <v>1555555</v>
      </c>
      <c r="AE256" s="54">
        <v>144445</v>
      </c>
    </row>
    <row r="257" spans="3:17" x14ac:dyDescent="0.25">
      <c r="C257" s="39"/>
      <c r="E257" s="85"/>
      <c r="F257" s="85"/>
      <c r="G257" s="85"/>
      <c r="H257" s="86">
        <f>SUM(H236:H256)</f>
        <v>609692100</v>
      </c>
      <c r="I257" s="86">
        <f>SUM(I236:I256)</f>
        <v>525710427</v>
      </c>
      <c r="J257" s="85"/>
      <c r="K257" s="87">
        <f>+I257/H257</f>
        <v>0.86225559917866734</v>
      </c>
      <c r="L257" s="85">
        <f>COUNTA(L236:L256)</f>
        <v>21</v>
      </c>
      <c r="M257" s="88">
        <f>SUM(M236:M256)/L257</f>
        <v>4.9523809523809526</v>
      </c>
      <c r="N257" s="89"/>
      <c r="O257" s="85"/>
      <c r="P257" s="119">
        <f>10/L257</f>
        <v>0.47619047619047616</v>
      </c>
      <c r="Q257" s="85"/>
    </row>
    <row r="258" spans="3:17" x14ac:dyDescent="0.25">
      <c r="C258" s="39"/>
    </row>
    <row r="259" spans="3:17" x14ac:dyDescent="0.25">
      <c r="C259" s="39"/>
      <c r="E259" s="126" t="s">
        <v>1178</v>
      </c>
      <c r="F259" s="70" t="str">
        <f>"'15 final"</f>
        <v>'15 final</v>
      </c>
      <c r="G259" s="70" t="str">
        <f>"'16 final"</f>
        <v>'16 final</v>
      </c>
      <c r="H259" s="121" t="str">
        <f>"'17 final"</f>
        <v>'17 final</v>
      </c>
      <c r="I259" s="121" t="str">
        <f>"'18 final"</f>
        <v>'18 final</v>
      </c>
      <c r="P259" s="11"/>
    </row>
    <row r="260" spans="3:17" x14ac:dyDescent="0.25">
      <c r="C260" s="39"/>
      <c r="E260" s="71" t="s">
        <v>800</v>
      </c>
      <c r="F260" s="11">
        <v>18</v>
      </c>
      <c r="G260" s="11">
        <v>13</v>
      </c>
      <c r="H260" s="104">
        <v>34</v>
      </c>
      <c r="I260" s="104">
        <f>+L257</f>
        <v>21</v>
      </c>
      <c r="P260" s="11"/>
    </row>
    <row r="261" spans="3:17" x14ac:dyDescent="0.25">
      <c r="C261" s="39"/>
      <c r="E261" s="72" t="s">
        <v>801</v>
      </c>
      <c r="F261" s="11">
        <v>14</v>
      </c>
      <c r="G261" s="11">
        <v>11</v>
      </c>
      <c r="H261" s="104">
        <v>19</v>
      </c>
      <c r="I261" s="104">
        <f>+I260-I262</f>
        <v>11</v>
      </c>
      <c r="P261" s="11"/>
    </row>
    <row r="262" spans="3:17" x14ac:dyDescent="0.25">
      <c r="C262" s="39"/>
      <c r="E262" s="72" t="s">
        <v>802</v>
      </c>
      <c r="F262" s="11">
        <v>4</v>
      </c>
      <c r="G262" s="11">
        <v>2</v>
      </c>
      <c r="H262" s="104">
        <v>15</v>
      </c>
      <c r="I262" s="104">
        <v>10</v>
      </c>
      <c r="P262" s="11"/>
    </row>
    <row r="263" spans="3:17" x14ac:dyDescent="0.25">
      <c r="C263" s="39"/>
      <c r="E263" s="72"/>
      <c r="F263" s="11"/>
      <c r="G263" s="11"/>
      <c r="H263" s="104"/>
      <c r="I263" s="104"/>
      <c r="P263" s="11"/>
    </row>
    <row r="264" spans="3:17" x14ac:dyDescent="0.25">
      <c r="C264" s="39"/>
      <c r="E264" s="72" t="s">
        <v>1144</v>
      </c>
      <c r="F264" s="78">
        <v>73</v>
      </c>
      <c r="G264" s="78">
        <v>105</v>
      </c>
      <c r="H264" s="122">
        <v>269.34216099999998</v>
      </c>
      <c r="I264" s="122">
        <f>+I257/1000000</f>
        <v>525.71042699999998</v>
      </c>
      <c r="P264" s="11"/>
    </row>
    <row r="265" spans="3:17" x14ac:dyDescent="0.25">
      <c r="C265" s="39"/>
      <c r="E265" s="72" t="s">
        <v>806</v>
      </c>
      <c r="F265" s="75">
        <v>6.5</v>
      </c>
      <c r="G265" s="75">
        <v>6.1</v>
      </c>
      <c r="H265" s="123">
        <v>5.6764705882352944</v>
      </c>
      <c r="I265" s="123">
        <f>+M257</f>
        <v>4.9523809523809526</v>
      </c>
      <c r="P265" s="11"/>
    </row>
    <row r="266" spans="3:17" x14ac:dyDescent="0.25">
      <c r="C266" s="39"/>
      <c r="E266" s="72" t="s">
        <v>807</v>
      </c>
      <c r="F266" s="74">
        <v>0.95899999999999996</v>
      </c>
      <c r="G266" s="74">
        <v>0.88100000000000001</v>
      </c>
      <c r="H266" s="124">
        <v>0.88817047961530071</v>
      </c>
      <c r="I266" s="124">
        <f>+I257/H257</f>
        <v>0.86225559917866734</v>
      </c>
      <c r="P266" s="11"/>
    </row>
    <row r="267" spans="3:17" x14ac:dyDescent="0.25">
      <c r="C267" s="39"/>
      <c r="E267" s="72"/>
      <c r="F267" s="11"/>
      <c r="G267" s="11"/>
      <c r="H267" s="104"/>
      <c r="I267" s="104"/>
      <c r="P267" s="11"/>
    </row>
    <row r="268" spans="3:17" x14ac:dyDescent="0.25">
      <c r="C268" s="39"/>
      <c r="E268" s="72" t="s">
        <v>803</v>
      </c>
      <c r="F268" s="74">
        <f>9/F260</f>
        <v>0.5</v>
      </c>
      <c r="G268" s="74">
        <f>7/13</f>
        <v>0.53846153846153844</v>
      </c>
      <c r="H268" s="108">
        <v>0.61764705882352944</v>
      </c>
      <c r="I268" s="108">
        <f>+P257</f>
        <v>0.47619047619047616</v>
      </c>
      <c r="P268" s="11"/>
    </row>
    <row r="269" spans="3:17" x14ac:dyDescent="0.25">
      <c r="C269" s="107"/>
      <c r="D269" s="52"/>
      <c r="E269" s="72" t="s">
        <v>804</v>
      </c>
      <c r="F269" s="74">
        <v>0.5</v>
      </c>
      <c r="G269" s="74">
        <f>6/11</f>
        <v>0.54545454545454541</v>
      </c>
      <c r="H269" s="108">
        <v>0.63157894736842102</v>
      </c>
      <c r="I269" s="108">
        <f>5/I261</f>
        <v>0.45454545454545453</v>
      </c>
      <c r="P269" s="11"/>
    </row>
    <row r="270" spans="3:17" x14ac:dyDescent="0.25">
      <c r="C270" s="107"/>
      <c r="D270" s="52"/>
      <c r="E270" s="72" t="s">
        <v>805</v>
      </c>
      <c r="F270" s="74">
        <v>0.5</v>
      </c>
      <c r="G270" s="74">
        <v>0.5</v>
      </c>
      <c r="H270" s="108">
        <v>0.6</v>
      </c>
      <c r="I270" s="108">
        <f>5/I262</f>
        <v>0.5</v>
      </c>
      <c r="P270" s="11"/>
    </row>
    <row r="271" spans="3:17" x14ac:dyDescent="0.25">
      <c r="C271" s="39"/>
      <c r="E271" s="72"/>
      <c r="F271" s="11"/>
      <c r="G271" s="11"/>
      <c r="H271" s="104"/>
      <c r="I271" s="104"/>
      <c r="P271" s="11"/>
    </row>
    <row r="272" spans="3:17" x14ac:dyDescent="0.25">
      <c r="C272" s="39"/>
      <c r="E272" s="72" t="s">
        <v>1141</v>
      </c>
      <c r="F272" s="11">
        <v>6</v>
      </c>
      <c r="G272" s="11">
        <v>4</v>
      </c>
      <c r="H272" s="104">
        <v>13</v>
      </c>
      <c r="I272" s="104">
        <v>11</v>
      </c>
    </row>
    <row r="273" spans="2:31" x14ac:dyDescent="0.25">
      <c r="E273" s="106" t="s">
        <v>1143</v>
      </c>
      <c r="F273" s="108">
        <f>+F272/F260</f>
        <v>0.33333333333333331</v>
      </c>
      <c r="G273" s="108">
        <f>+G272/G260</f>
        <v>0.30769230769230771</v>
      </c>
      <c r="H273" s="108">
        <v>0.38235294117647056</v>
      </c>
      <c r="I273" s="108">
        <f>+I272/I260</f>
        <v>0.52380952380952384</v>
      </c>
    </row>
    <row r="274" spans="2:31" x14ac:dyDescent="0.25">
      <c r="C274" s="39"/>
      <c r="E274" s="72" t="s">
        <v>1142</v>
      </c>
      <c r="F274" s="11">
        <v>2</v>
      </c>
      <c r="G274" s="11">
        <v>0</v>
      </c>
      <c r="H274" s="104">
        <v>0</v>
      </c>
      <c r="I274" s="104">
        <v>3</v>
      </c>
    </row>
    <row r="275" spans="2:31" x14ac:dyDescent="0.25">
      <c r="C275" s="39"/>
      <c r="E275" s="106" t="s">
        <v>1169</v>
      </c>
      <c r="F275" s="108">
        <f t="shared" ref="F275:G275" si="49">+F274/F260</f>
        <v>0.1111111111111111</v>
      </c>
      <c r="G275" s="108">
        <f t="shared" si="49"/>
        <v>0</v>
      </c>
      <c r="H275" s="108">
        <v>0</v>
      </c>
      <c r="I275" s="108">
        <f>+I274/I260</f>
        <v>0.14285714285714285</v>
      </c>
    </row>
    <row r="276" spans="2:31" x14ac:dyDescent="0.25">
      <c r="C276" s="39"/>
      <c r="H276" s="52"/>
    </row>
    <row r="277" spans="2:31" x14ac:dyDescent="0.25">
      <c r="B277" s="52"/>
      <c r="C277" s="39"/>
      <c r="H277" s="52"/>
    </row>
    <row r="278" spans="2:31" x14ac:dyDescent="0.25">
      <c r="C278" s="39"/>
    </row>
    <row r="279" spans="2:31" x14ac:dyDescent="0.25">
      <c r="C279" s="39">
        <v>2018</v>
      </c>
      <c r="D279" s="62" t="s">
        <v>1229</v>
      </c>
      <c r="E279" s="63" t="s">
        <v>1230</v>
      </c>
      <c r="F279" s="64">
        <v>43314</v>
      </c>
      <c r="G279" s="65" t="s">
        <v>1225</v>
      </c>
      <c r="H279" s="94">
        <v>1980000</v>
      </c>
      <c r="I279" s="94">
        <v>2882170</v>
      </c>
      <c r="J279" s="105"/>
      <c r="K279" s="26">
        <v>0.45564141414141413</v>
      </c>
      <c r="L279" s="11" t="s">
        <v>465</v>
      </c>
      <c r="M279" s="15">
        <v>6</v>
      </c>
      <c r="N279" s="35" t="s">
        <v>25</v>
      </c>
      <c r="O279" s="15">
        <v>3</v>
      </c>
      <c r="P279" s="35" t="s">
        <v>492</v>
      </c>
      <c r="Q279" s="35"/>
      <c r="R279" s="15"/>
      <c r="S279" s="24"/>
      <c r="T279" s="62" t="s">
        <v>816</v>
      </c>
      <c r="U279" s="62"/>
      <c r="V279" s="94">
        <v>4467184.666666667</v>
      </c>
      <c r="W279" s="199">
        <v>0.64518711785215355</v>
      </c>
      <c r="X279" s="15"/>
      <c r="Y279" s="200">
        <v>1.4556414141414142</v>
      </c>
      <c r="Z279" s="11" t="s">
        <v>465</v>
      </c>
      <c r="AA279" s="11"/>
      <c r="AB279" s="15"/>
      <c r="AC279" s="54">
        <v>1980000</v>
      </c>
      <c r="AD279" s="54">
        <v>2882170</v>
      </c>
      <c r="AE279" s="54">
        <v>-902170</v>
      </c>
    </row>
    <row r="280" spans="2:31" x14ac:dyDescent="0.25">
      <c r="C280" s="39">
        <v>2018</v>
      </c>
      <c r="D280" s="62" t="s">
        <v>1248</v>
      </c>
      <c r="E280" s="63" t="s">
        <v>1249</v>
      </c>
      <c r="F280" s="64">
        <v>43259</v>
      </c>
      <c r="G280" s="65" t="s">
        <v>756</v>
      </c>
      <c r="H280" s="94">
        <v>2770000</v>
      </c>
      <c r="I280" s="94">
        <v>2542996</v>
      </c>
      <c r="J280" s="105" t="s">
        <v>519</v>
      </c>
      <c r="K280" s="26">
        <v>-8.1950902527075806E-2</v>
      </c>
      <c r="L280" s="11" t="s">
        <v>464</v>
      </c>
      <c r="M280" s="15">
        <v>6</v>
      </c>
      <c r="N280" s="35" t="s">
        <v>226</v>
      </c>
      <c r="O280" s="15">
        <v>2</v>
      </c>
      <c r="P280" s="35" t="s">
        <v>492</v>
      </c>
      <c r="Q280" s="35"/>
      <c r="R280" s="15"/>
      <c r="S280" s="24"/>
      <c r="T280" s="62" t="s">
        <v>447</v>
      </c>
      <c r="U280" s="62"/>
      <c r="V280" s="94">
        <v>4162248.5</v>
      </c>
      <c r="W280" s="199">
        <v>0.61096688484601536</v>
      </c>
      <c r="X280" s="15"/>
      <c r="Y280" s="200">
        <v>0.91804909747292418</v>
      </c>
      <c r="Z280" s="11" t="s">
        <v>465</v>
      </c>
      <c r="AA280" s="11"/>
      <c r="AB280" s="15"/>
      <c r="AC280" s="54">
        <v>2770000</v>
      </c>
      <c r="AD280" s="54">
        <v>2542996</v>
      </c>
      <c r="AE280" s="54">
        <v>227004</v>
      </c>
    </row>
    <row r="281" spans="2:31" x14ac:dyDescent="0.25">
      <c r="C281" s="39">
        <v>2018</v>
      </c>
      <c r="D281" s="62" t="s">
        <v>1250</v>
      </c>
      <c r="E281" s="63" t="s">
        <v>1251</v>
      </c>
      <c r="F281" s="64">
        <v>43230</v>
      </c>
      <c r="G281" s="65" t="s">
        <v>34</v>
      </c>
      <c r="H281" s="94">
        <v>4390000</v>
      </c>
      <c r="I281" s="94">
        <v>4220000</v>
      </c>
      <c r="J281" s="105" t="s">
        <v>519</v>
      </c>
      <c r="K281" s="26">
        <v>-3.8724373576309798E-2</v>
      </c>
      <c r="L281" s="11" t="s">
        <v>464</v>
      </c>
      <c r="M281" s="15">
        <v>4</v>
      </c>
      <c r="N281" s="35" t="s">
        <v>93</v>
      </c>
      <c r="O281" s="15">
        <v>2</v>
      </c>
      <c r="P281" s="35" t="s">
        <v>492</v>
      </c>
      <c r="Q281" s="35"/>
      <c r="R281" s="15"/>
      <c r="S281" s="24"/>
      <c r="T281" s="62" t="s">
        <v>816</v>
      </c>
      <c r="U281" s="62"/>
      <c r="V281" s="94">
        <v>6081225</v>
      </c>
      <c r="W281" s="199">
        <v>0.69393913232942372</v>
      </c>
      <c r="X281" s="15"/>
      <c r="Y281" s="200">
        <v>0.96127562642369024</v>
      </c>
      <c r="Z281" s="11" t="s">
        <v>465</v>
      </c>
      <c r="AA281" s="11"/>
      <c r="AB281" s="15"/>
      <c r="AC281" s="54">
        <v>4390000</v>
      </c>
      <c r="AD281" s="54">
        <v>4220000</v>
      </c>
      <c r="AE281" s="54">
        <v>170000</v>
      </c>
    </row>
    <row r="282" spans="2:31" x14ac:dyDescent="0.25">
      <c r="C282" s="39">
        <v>2018</v>
      </c>
      <c r="D282" s="62" t="s">
        <v>1252</v>
      </c>
      <c r="E282" s="63" t="s">
        <v>1253</v>
      </c>
      <c r="F282" s="64">
        <v>43193</v>
      </c>
      <c r="G282" s="65" t="s">
        <v>34</v>
      </c>
      <c r="H282" s="94">
        <v>9140000</v>
      </c>
      <c r="I282" s="94">
        <v>4659626</v>
      </c>
      <c r="J282" s="27" t="s">
        <v>519</v>
      </c>
      <c r="K282" s="26">
        <v>-0.49019409190371993</v>
      </c>
      <c r="L282" s="11" t="s">
        <v>464</v>
      </c>
      <c r="M282" s="15">
        <v>5</v>
      </c>
      <c r="N282" s="35" t="s">
        <v>93</v>
      </c>
      <c r="O282" s="15">
        <v>2</v>
      </c>
      <c r="P282" s="35" t="s">
        <v>492</v>
      </c>
      <c r="Q282" s="35" t="s">
        <v>1238</v>
      </c>
      <c r="R282" s="15"/>
      <c r="S282" s="24" t="s">
        <v>932</v>
      </c>
      <c r="T282" s="62" t="s">
        <v>816</v>
      </c>
      <c r="U282" s="62"/>
      <c r="V282" s="94">
        <v>10095414</v>
      </c>
      <c r="W282" s="199">
        <v>0.46155868397274247</v>
      </c>
      <c r="X282" s="15"/>
      <c r="Y282" s="200">
        <v>0.50980590809628012</v>
      </c>
      <c r="Z282" s="11" t="s">
        <v>465</v>
      </c>
      <c r="AA282" s="11"/>
      <c r="AB282" s="15"/>
      <c r="AC282" s="54">
        <v>9140000</v>
      </c>
      <c r="AD282" s="54">
        <v>4659626</v>
      </c>
      <c r="AE282" s="54">
        <v>4480374</v>
      </c>
    </row>
    <row r="283" spans="2:31" x14ac:dyDescent="0.25">
      <c r="C283" s="39">
        <v>2018</v>
      </c>
      <c r="D283" s="62" t="s">
        <v>1254</v>
      </c>
      <c r="E283" s="63" t="s">
        <v>1255</v>
      </c>
      <c r="F283" s="64">
        <v>43124</v>
      </c>
      <c r="G283" s="65" t="s">
        <v>34</v>
      </c>
      <c r="H283" s="94">
        <v>22000000</v>
      </c>
      <c r="I283" s="94">
        <v>19988889</v>
      </c>
      <c r="J283" s="27" t="s">
        <v>519</v>
      </c>
      <c r="K283" s="26">
        <v>-9.1414136363636364E-2</v>
      </c>
      <c r="L283" s="11" t="s">
        <v>464</v>
      </c>
      <c r="M283" s="15">
        <v>13</v>
      </c>
      <c r="N283" s="35" t="s">
        <v>93</v>
      </c>
      <c r="O283" s="15">
        <v>1</v>
      </c>
      <c r="P283" s="35" t="s">
        <v>492</v>
      </c>
      <c r="Q283" s="35" t="s">
        <v>1245</v>
      </c>
      <c r="R283" s="15"/>
      <c r="S283" s="24"/>
      <c r="T283" s="62" t="s">
        <v>816</v>
      </c>
      <c r="U283" s="62"/>
      <c r="V283" s="94">
        <v>27586889.692307692</v>
      </c>
      <c r="W283" s="199">
        <v>0.72457929193712933</v>
      </c>
      <c r="X283" s="15"/>
      <c r="Y283" s="200">
        <v>0.90858586363636362</v>
      </c>
      <c r="Z283" s="11" t="s">
        <v>465</v>
      </c>
      <c r="AA283" s="11"/>
      <c r="AB283" s="15"/>
      <c r="AC283" s="54">
        <v>22000000</v>
      </c>
      <c r="AD283" s="54">
        <v>19988889</v>
      </c>
      <c r="AE283" s="54">
        <v>2011111</v>
      </c>
    </row>
    <row r="284" spans="2:31" x14ac:dyDescent="0.25">
      <c r="C284" s="39"/>
      <c r="E284" s="85"/>
      <c r="F284" s="85"/>
      <c r="G284" s="85"/>
      <c r="H284" s="86">
        <f>SUM(H279:H283)</f>
        <v>40280000</v>
      </c>
      <c r="I284" s="86">
        <f>SUM(I279:I283)</f>
        <v>34293681</v>
      </c>
      <c r="J284" s="85"/>
      <c r="K284" s="87">
        <f>+I284/H284</f>
        <v>0.85138234856007944</v>
      </c>
      <c r="L284" s="85">
        <f>COUNTA(L279:L283)</f>
        <v>5</v>
      </c>
      <c r="M284" s="88">
        <f>SUM(M279:M283)/L284</f>
        <v>6.8</v>
      </c>
      <c r="N284" s="89"/>
      <c r="O284" s="85"/>
      <c r="P284" s="119">
        <f>4/L284</f>
        <v>0.8</v>
      </c>
      <c r="Q284" s="85"/>
    </row>
    <row r="285" spans="2:31" x14ac:dyDescent="0.25">
      <c r="C285" s="39"/>
    </row>
    <row r="286" spans="2:31" x14ac:dyDescent="0.25">
      <c r="C286" s="39"/>
      <c r="E286" s="126" t="s">
        <v>1171</v>
      </c>
      <c r="F286" s="70" t="str">
        <f>"'15 final"</f>
        <v>'15 final</v>
      </c>
      <c r="G286" s="70" t="str">
        <f>"'16 final"</f>
        <v>'16 final</v>
      </c>
      <c r="H286" s="121" t="s">
        <v>1360</v>
      </c>
      <c r="I286" s="121" t="str">
        <f>"'18 final"</f>
        <v>'18 final</v>
      </c>
      <c r="P286" s="11"/>
    </row>
    <row r="287" spans="2:31" x14ac:dyDescent="0.25">
      <c r="C287" s="39"/>
      <c r="E287" s="71" t="s">
        <v>800</v>
      </c>
      <c r="F287" s="11">
        <v>8</v>
      </c>
      <c r="G287" s="11">
        <v>10</v>
      </c>
      <c r="H287" s="104">
        <v>10</v>
      </c>
      <c r="I287" s="104">
        <f>+L284</f>
        <v>5</v>
      </c>
      <c r="P287" s="11"/>
    </row>
    <row r="288" spans="2:31" x14ac:dyDescent="0.25">
      <c r="C288" s="39"/>
      <c r="E288" s="72" t="s">
        <v>801</v>
      </c>
      <c r="F288" s="11">
        <v>4</v>
      </c>
      <c r="G288" s="11">
        <v>7</v>
      </c>
      <c r="H288" s="104">
        <v>7</v>
      </c>
      <c r="I288" s="104">
        <f>+I287-I289</f>
        <v>4</v>
      </c>
      <c r="P288" s="11"/>
    </row>
    <row r="289" spans="3:16" x14ac:dyDescent="0.25">
      <c r="C289" s="39"/>
      <c r="E289" s="72" t="s">
        <v>802</v>
      </c>
      <c r="F289" s="11">
        <v>4</v>
      </c>
      <c r="G289" s="11">
        <v>3</v>
      </c>
      <c r="H289" s="104">
        <v>3</v>
      </c>
      <c r="I289" s="104">
        <v>1</v>
      </c>
      <c r="P289" s="11"/>
    </row>
    <row r="290" spans="3:16" x14ac:dyDescent="0.25">
      <c r="C290" s="39"/>
      <c r="E290" s="72"/>
      <c r="F290" s="11"/>
      <c r="G290" s="11"/>
      <c r="H290" s="104"/>
      <c r="I290" s="104"/>
      <c r="P290" s="11"/>
    </row>
    <row r="291" spans="3:16" x14ac:dyDescent="0.25">
      <c r="C291" s="39"/>
      <c r="E291" s="72" t="s">
        <v>1144</v>
      </c>
      <c r="F291" s="78">
        <v>53</v>
      </c>
      <c r="G291" s="78">
        <v>81</v>
      </c>
      <c r="H291" s="122">
        <v>41.790157999999998</v>
      </c>
      <c r="I291" s="122">
        <f>+I284/1000000</f>
        <v>34.293680999999999</v>
      </c>
      <c r="P291" s="11"/>
    </row>
    <row r="292" spans="3:16" x14ac:dyDescent="0.25">
      <c r="C292" s="39"/>
      <c r="E292" s="72" t="s">
        <v>806</v>
      </c>
      <c r="F292" s="75">
        <v>8.75</v>
      </c>
      <c r="G292" s="75">
        <v>6.9</v>
      </c>
      <c r="H292" s="123">
        <v>5.8</v>
      </c>
      <c r="I292" s="123">
        <f>+M284</f>
        <v>6.8</v>
      </c>
      <c r="P292" s="11"/>
    </row>
    <row r="293" spans="3:16" x14ac:dyDescent="0.25">
      <c r="C293" s="39"/>
      <c r="E293" s="72" t="s">
        <v>807</v>
      </c>
      <c r="F293" s="74">
        <v>0.97399999999999998</v>
      </c>
      <c r="G293" s="74">
        <v>0.81599999999999995</v>
      </c>
      <c r="H293" s="124">
        <v>0.92343736603690196</v>
      </c>
      <c r="I293" s="124">
        <f>+I284/H284</f>
        <v>0.85138234856007944</v>
      </c>
      <c r="P293" s="11"/>
    </row>
    <row r="294" spans="3:16" x14ac:dyDescent="0.25">
      <c r="C294" s="39"/>
      <c r="E294" s="72"/>
      <c r="F294" s="11"/>
      <c r="G294" s="11"/>
      <c r="H294" s="104"/>
      <c r="I294" s="104"/>
      <c r="P294" s="11"/>
    </row>
    <row r="295" spans="3:16" x14ac:dyDescent="0.25">
      <c r="C295" s="39"/>
      <c r="E295" s="72" t="s">
        <v>803</v>
      </c>
      <c r="F295" s="74">
        <f>7/8</f>
        <v>0.875</v>
      </c>
      <c r="G295" s="74">
        <v>0.8</v>
      </c>
      <c r="H295" s="108">
        <v>0.9</v>
      </c>
      <c r="I295" s="108">
        <f>+P284</f>
        <v>0.8</v>
      </c>
      <c r="P295" s="11"/>
    </row>
    <row r="296" spans="3:16" x14ac:dyDescent="0.25">
      <c r="C296" s="107"/>
      <c r="D296" s="52"/>
      <c r="E296" s="72" t="s">
        <v>804</v>
      </c>
      <c r="F296" s="74">
        <v>0.75</v>
      </c>
      <c r="G296" s="74">
        <f>6/7</f>
        <v>0.8571428571428571</v>
      </c>
      <c r="H296" s="108">
        <v>1</v>
      </c>
      <c r="I296" s="108">
        <f>3/I288</f>
        <v>0.75</v>
      </c>
      <c r="P296" s="11"/>
    </row>
    <row r="297" spans="3:16" x14ac:dyDescent="0.25">
      <c r="C297" s="107"/>
      <c r="D297" s="52"/>
      <c r="E297" s="72" t="s">
        <v>805</v>
      </c>
      <c r="F297" s="74">
        <v>1</v>
      </c>
      <c r="G297" s="74">
        <v>0.66700000000000004</v>
      </c>
      <c r="H297" s="108">
        <v>0.66666666666666663</v>
      </c>
      <c r="I297" s="108">
        <f>1/I289</f>
        <v>1</v>
      </c>
      <c r="P297" s="11"/>
    </row>
    <row r="298" spans="3:16" x14ac:dyDescent="0.25">
      <c r="C298" s="39"/>
      <c r="E298" s="72"/>
      <c r="F298" s="11"/>
      <c r="G298" s="11"/>
      <c r="H298" s="104"/>
      <c r="I298" s="104"/>
      <c r="P298" s="11"/>
    </row>
    <row r="299" spans="3:16" x14ac:dyDescent="0.25">
      <c r="C299" s="39"/>
      <c r="E299" s="72" t="s">
        <v>1141</v>
      </c>
      <c r="F299" s="11">
        <v>1</v>
      </c>
      <c r="G299" s="11">
        <v>0</v>
      </c>
      <c r="H299" s="104">
        <v>4</v>
      </c>
      <c r="I299" s="104">
        <v>0</v>
      </c>
    </row>
    <row r="300" spans="3:16" x14ac:dyDescent="0.25">
      <c r="E300" s="106" t="s">
        <v>1143</v>
      </c>
      <c r="F300" s="108">
        <f>+F299/F287</f>
        <v>0.125</v>
      </c>
      <c r="G300" s="74">
        <v>0</v>
      </c>
      <c r="H300" s="108">
        <v>0.4</v>
      </c>
      <c r="I300" s="108">
        <f>+I299/I287</f>
        <v>0</v>
      </c>
    </row>
    <row r="301" spans="3:16" x14ac:dyDescent="0.25">
      <c r="C301" s="39"/>
      <c r="E301" s="72" t="s">
        <v>1142</v>
      </c>
      <c r="F301" s="11">
        <v>1</v>
      </c>
      <c r="G301" s="11">
        <v>0</v>
      </c>
      <c r="H301" s="104">
        <v>1</v>
      </c>
      <c r="I301" s="104">
        <v>0</v>
      </c>
    </row>
    <row r="302" spans="3:16" x14ac:dyDescent="0.25">
      <c r="C302" s="39"/>
      <c r="E302" s="106" t="s">
        <v>1169</v>
      </c>
      <c r="F302" s="108">
        <f t="shared" ref="F302:G302" si="50">+F301/F287</f>
        <v>0.125</v>
      </c>
      <c r="G302" s="108">
        <f t="shared" si="50"/>
        <v>0</v>
      </c>
      <c r="H302" s="108">
        <v>0.1</v>
      </c>
      <c r="I302" s="108">
        <f>+I301/I287</f>
        <v>0</v>
      </c>
    </row>
    <row r="303" spans="3:16" x14ac:dyDescent="0.25">
      <c r="C303" s="39"/>
    </row>
    <row r="304" spans="3:16" x14ac:dyDescent="0.25">
      <c r="C304" s="39"/>
    </row>
    <row r="305" spans="2:43" x14ac:dyDescent="0.25">
      <c r="C305" s="39"/>
    </row>
    <row r="306" spans="2:43" x14ac:dyDescent="0.25">
      <c r="B306" s="224"/>
      <c r="C306" s="39">
        <v>2018</v>
      </c>
      <c r="D306" s="62" t="s">
        <v>1326</v>
      </c>
      <c r="E306" s="63" t="s">
        <v>1327</v>
      </c>
      <c r="F306" s="64">
        <v>43441</v>
      </c>
      <c r="G306" s="65" t="s">
        <v>34</v>
      </c>
      <c r="H306" s="94">
        <v>5000000</v>
      </c>
      <c r="I306" s="94">
        <v>4380000</v>
      </c>
      <c r="J306" s="105" t="s">
        <v>519</v>
      </c>
      <c r="K306" s="153">
        <v>-0.124</v>
      </c>
      <c r="L306" s="11" t="s">
        <v>464</v>
      </c>
      <c r="M306" s="15">
        <v>4</v>
      </c>
      <c r="N306" s="35" t="s">
        <v>25</v>
      </c>
      <c r="O306" s="15">
        <v>4</v>
      </c>
      <c r="P306" s="35" t="s">
        <v>459</v>
      </c>
      <c r="Q306" s="35"/>
      <c r="R306" s="15"/>
      <c r="S306" s="24"/>
      <c r="T306" s="62" t="s">
        <v>447</v>
      </c>
      <c r="U306" s="62"/>
      <c r="V306" s="94">
        <v>5853509.5</v>
      </c>
      <c r="W306" s="199">
        <v>0.74826905124182341</v>
      </c>
      <c r="X306" s="15"/>
      <c r="Y306" s="200">
        <v>0.876</v>
      </c>
      <c r="Z306" s="11" t="s">
        <v>465</v>
      </c>
      <c r="AA306" s="11"/>
      <c r="AB306" s="15"/>
      <c r="AC306" s="54">
        <v>5000000</v>
      </c>
      <c r="AD306" s="54">
        <v>4380000</v>
      </c>
      <c r="AE306" s="54">
        <v>620000</v>
      </c>
      <c r="AG306" s="4"/>
      <c r="AH306" s="4"/>
      <c r="AI306" s="225"/>
      <c r="AJ306" s="226"/>
      <c r="AK306" s="227"/>
      <c r="AL306" s="227"/>
      <c r="AM306" s="225"/>
      <c r="AN306" s="226"/>
      <c r="AO306" s="228"/>
    </row>
    <row r="307" spans="2:43" x14ac:dyDescent="0.25">
      <c r="B307" s="224"/>
      <c r="C307" s="39">
        <v>2018</v>
      </c>
      <c r="D307" s="62" t="s">
        <v>1328</v>
      </c>
      <c r="E307" s="63" t="s">
        <v>1329</v>
      </c>
      <c r="F307" s="64">
        <v>43440</v>
      </c>
      <c r="G307" s="65" t="s">
        <v>1225</v>
      </c>
      <c r="H307" s="94">
        <v>1500000</v>
      </c>
      <c r="I307" s="94">
        <v>2546000</v>
      </c>
      <c r="J307" s="105"/>
      <c r="K307" s="153">
        <v>0.69733333333333336</v>
      </c>
      <c r="L307" s="11" t="s">
        <v>465</v>
      </c>
      <c r="M307" s="15">
        <v>3</v>
      </c>
      <c r="N307" s="35" t="s">
        <v>25</v>
      </c>
      <c r="O307" s="15">
        <v>4</v>
      </c>
      <c r="P307" s="35" t="s">
        <v>459</v>
      </c>
      <c r="Q307" s="35"/>
      <c r="R307" s="15"/>
      <c r="S307" s="24"/>
      <c r="T307" s="62" t="s">
        <v>447</v>
      </c>
      <c r="U307" s="62"/>
      <c r="V307" s="94">
        <v>4262816.666666667</v>
      </c>
      <c r="W307" s="199">
        <v>0.59725768173625415</v>
      </c>
      <c r="X307" s="15"/>
      <c r="Y307" s="200">
        <v>1.6973333333333334</v>
      </c>
      <c r="Z307" s="11" t="s">
        <v>465</v>
      </c>
      <c r="AA307" s="11"/>
      <c r="AB307" s="15"/>
      <c r="AC307" s="54">
        <v>1500000</v>
      </c>
      <c r="AD307" s="54">
        <v>2546000</v>
      </c>
      <c r="AE307" s="54">
        <v>-1046000</v>
      </c>
      <c r="AG307" s="4"/>
      <c r="AH307" s="4"/>
      <c r="AI307" s="225"/>
      <c r="AJ307" s="226"/>
      <c r="AK307" s="227"/>
      <c r="AL307" s="227"/>
      <c r="AM307" s="225"/>
      <c r="AN307" s="226"/>
      <c r="AO307" s="228"/>
    </row>
    <row r="308" spans="2:43" x14ac:dyDescent="0.25">
      <c r="B308" s="224"/>
      <c r="C308" s="39">
        <v>2018</v>
      </c>
      <c r="D308" s="62" t="s">
        <v>1354</v>
      </c>
      <c r="E308" s="63" t="s">
        <v>1355</v>
      </c>
      <c r="F308" s="64">
        <v>43412</v>
      </c>
      <c r="G308" s="65" t="s">
        <v>34</v>
      </c>
      <c r="H308" s="94">
        <v>9720000</v>
      </c>
      <c r="I308" s="94">
        <v>7666000</v>
      </c>
      <c r="J308" s="94"/>
      <c r="K308" s="153">
        <v>-0.21131687242798353</v>
      </c>
      <c r="L308" s="11" t="s">
        <v>465</v>
      </c>
      <c r="M308" s="15">
        <v>4</v>
      </c>
      <c r="N308" s="35" t="s">
        <v>226</v>
      </c>
      <c r="O308" s="15">
        <v>4</v>
      </c>
      <c r="P308" s="35" t="s">
        <v>459</v>
      </c>
      <c r="Q308" s="35"/>
      <c r="R308" s="15"/>
      <c r="S308" s="24"/>
      <c r="T308" s="62" t="s">
        <v>447</v>
      </c>
      <c r="U308" s="62"/>
      <c r="V308" s="94">
        <v>8557038.75</v>
      </c>
      <c r="W308" s="199">
        <v>0.89587066553835581</v>
      </c>
      <c r="X308" s="15"/>
      <c r="Y308" s="200">
        <v>0.78868312757201642</v>
      </c>
      <c r="Z308" s="11" t="s">
        <v>465</v>
      </c>
      <c r="AA308" s="11"/>
      <c r="AB308" s="15"/>
      <c r="AC308" s="54">
        <v>9720000</v>
      </c>
      <c r="AD308" s="54">
        <v>7666000</v>
      </c>
      <c r="AE308" s="54">
        <v>2054000</v>
      </c>
      <c r="AG308" s="4"/>
      <c r="AH308" s="4"/>
      <c r="AI308" s="225"/>
      <c r="AJ308" s="226"/>
      <c r="AK308" s="227"/>
      <c r="AL308" s="227"/>
      <c r="AM308" s="225"/>
      <c r="AN308" s="226"/>
      <c r="AO308" s="228"/>
    </row>
    <row r="309" spans="2:43" x14ac:dyDescent="0.25">
      <c r="B309" s="224"/>
      <c r="C309" s="39">
        <v>2018</v>
      </c>
      <c r="D309" s="62" t="s">
        <v>1334</v>
      </c>
      <c r="E309" s="63" t="s">
        <v>1335</v>
      </c>
      <c r="F309" s="64">
        <v>43405</v>
      </c>
      <c r="G309" s="65" t="s">
        <v>34</v>
      </c>
      <c r="H309" s="94">
        <v>9650000</v>
      </c>
      <c r="I309" s="94">
        <v>9200000</v>
      </c>
      <c r="J309" s="94" t="s">
        <v>519</v>
      </c>
      <c r="K309" s="153">
        <v>-4.6632124352331605E-2</v>
      </c>
      <c r="L309" s="11" t="s">
        <v>464</v>
      </c>
      <c r="M309" s="15">
        <v>1</v>
      </c>
      <c r="N309" s="35" t="s">
        <v>25</v>
      </c>
      <c r="O309" s="15">
        <v>4</v>
      </c>
      <c r="P309" s="35" t="s">
        <v>459</v>
      </c>
      <c r="Q309" s="35"/>
      <c r="R309" s="15"/>
      <c r="S309" s="24" t="s">
        <v>1323</v>
      </c>
      <c r="T309" s="62" t="s">
        <v>447</v>
      </c>
      <c r="U309" s="62"/>
      <c r="V309" s="94">
        <v>9200000</v>
      </c>
      <c r="W309" s="199">
        <v>1</v>
      </c>
      <c r="X309" s="15"/>
      <c r="Y309" s="200">
        <v>0.95336787564766834</v>
      </c>
      <c r="Z309" s="11" t="s">
        <v>465</v>
      </c>
      <c r="AA309" s="11"/>
      <c r="AB309" s="15"/>
      <c r="AC309" s="54">
        <v>9650000</v>
      </c>
      <c r="AD309" s="54">
        <v>9200000</v>
      </c>
      <c r="AE309" s="54">
        <v>450000</v>
      </c>
      <c r="AG309" s="4"/>
      <c r="AH309" s="4"/>
      <c r="AI309" s="225"/>
      <c r="AJ309" s="226"/>
      <c r="AK309" s="227"/>
      <c r="AL309" s="227"/>
      <c r="AM309" s="225"/>
      <c r="AN309" s="226"/>
      <c r="AO309" s="228"/>
    </row>
    <row r="310" spans="2:43" x14ac:dyDescent="0.25">
      <c r="B310" s="224"/>
      <c r="C310" s="39">
        <v>2018</v>
      </c>
      <c r="D310" s="62" t="s">
        <v>1336</v>
      </c>
      <c r="E310" s="63" t="s">
        <v>1337</v>
      </c>
      <c r="F310" s="64">
        <v>43404</v>
      </c>
      <c r="G310" s="65" t="s">
        <v>34</v>
      </c>
      <c r="H310" s="94">
        <v>6500000</v>
      </c>
      <c r="I310" s="94">
        <v>4149491</v>
      </c>
      <c r="J310" s="105"/>
      <c r="K310" s="153">
        <v>-0.36161676923076924</v>
      </c>
      <c r="L310" s="11" t="s">
        <v>465</v>
      </c>
      <c r="M310" s="15">
        <v>8</v>
      </c>
      <c r="N310" s="35" t="s">
        <v>25</v>
      </c>
      <c r="O310" s="15">
        <v>4</v>
      </c>
      <c r="P310" s="35" t="s">
        <v>459</v>
      </c>
      <c r="Q310" s="35"/>
      <c r="R310" s="15"/>
      <c r="S310" s="24" t="s">
        <v>932</v>
      </c>
      <c r="T310" s="62" t="s">
        <v>447</v>
      </c>
      <c r="U310" s="62"/>
      <c r="V310" s="94">
        <v>5708325.25</v>
      </c>
      <c r="W310" s="199">
        <v>0.72691916074684082</v>
      </c>
      <c r="X310" s="15"/>
      <c r="Y310" s="200">
        <v>0.63838323076923076</v>
      </c>
      <c r="Z310" s="11" t="s">
        <v>465</v>
      </c>
      <c r="AA310" s="11"/>
      <c r="AB310" s="15"/>
      <c r="AC310" s="54">
        <v>6500000</v>
      </c>
      <c r="AD310" s="54">
        <v>4149491</v>
      </c>
      <c r="AE310" s="54">
        <v>2350509</v>
      </c>
      <c r="AG310" s="4"/>
      <c r="AH310" s="4"/>
      <c r="AI310" s="225"/>
      <c r="AJ310" s="226"/>
      <c r="AK310" s="227"/>
      <c r="AL310" s="227"/>
      <c r="AM310" s="225"/>
      <c r="AN310" s="226"/>
      <c r="AO310" s="228"/>
    </row>
    <row r="311" spans="2:43" x14ac:dyDescent="0.25">
      <c r="B311" s="224"/>
      <c r="C311" s="39">
        <v>2018</v>
      </c>
      <c r="D311" s="62" t="s">
        <v>1338</v>
      </c>
      <c r="E311" s="63" t="s">
        <v>1339</v>
      </c>
      <c r="F311" s="64">
        <v>43397</v>
      </c>
      <c r="G311" s="65" t="s">
        <v>34</v>
      </c>
      <c r="H311" s="94">
        <v>2971000</v>
      </c>
      <c r="I311" s="94">
        <v>2384000</v>
      </c>
      <c r="J311" s="105" t="s">
        <v>519</v>
      </c>
      <c r="K311" s="153">
        <v>-0.1975765735442612</v>
      </c>
      <c r="L311" s="11" t="s">
        <v>464</v>
      </c>
      <c r="M311" s="15">
        <v>2</v>
      </c>
      <c r="N311" s="35" t="s">
        <v>25</v>
      </c>
      <c r="O311" s="15">
        <v>4</v>
      </c>
      <c r="P311" s="35" t="s">
        <v>459</v>
      </c>
      <c r="Q311" s="35"/>
      <c r="R311" s="15"/>
      <c r="S311" s="24"/>
      <c r="T311" s="62" t="s">
        <v>447</v>
      </c>
      <c r="U311" s="62"/>
      <c r="V311" s="94">
        <v>3291500</v>
      </c>
      <c r="W311" s="199">
        <v>0.72428983746012454</v>
      </c>
      <c r="X311" s="15"/>
      <c r="Y311" s="200">
        <v>0.80242342645573883</v>
      </c>
      <c r="Z311" s="11" t="s">
        <v>465</v>
      </c>
      <c r="AA311" s="11"/>
      <c r="AB311" s="15"/>
      <c r="AC311" s="54">
        <v>2971000</v>
      </c>
      <c r="AD311" s="54">
        <v>2384000</v>
      </c>
      <c r="AE311" s="54">
        <v>587000</v>
      </c>
      <c r="AG311" s="4"/>
      <c r="AH311" s="4"/>
      <c r="AI311" s="225"/>
      <c r="AJ311" s="226"/>
      <c r="AK311" s="227"/>
      <c r="AL311" s="227"/>
      <c r="AM311" s="225"/>
      <c r="AN311" s="226"/>
      <c r="AO311" s="228"/>
    </row>
    <row r="312" spans="2:43" x14ac:dyDescent="0.25">
      <c r="B312" s="224"/>
      <c r="C312" s="39">
        <v>2018</v>
      </c>
      <c r="D312" s="62" t="s">
        <v>1342</v>
      </c>
      <c r="E312" s="63" t="s">
        <v>1343</v>
      </c>
      <c r="F312" s="64">
        <v>43376</v>
      </c>
      <c r="G312" s="65" t="s">
        <v>34</v>
      </c>
      <c r="H312" s="94">
        <v>21700000</v>
      </c>
      <c r="I312" s="94">
        <v>15765000</v>
      </c>
      <c r="J312" s="94" t="s">
        <v>519</v>
      </c>
      <c r="K312" s="153">
        <v>-0.27350230414746546</v>
      </c>
      <c r="L312" s="11" t="s">
        <v>464</v>
      </c>
      <c r="M312" s="15">
        <v>5</v>
      </c>
      <c r="N312" s="35" t="s">
        <v>25</v>
      </c>
      <c r="O312" s="15">
        <v>4</v>
      </c>
      <c r="P312" s="35" t="s">
        <v>459</v>
      </c>
      <c r="Q312" s="35"/>
      <c r="R312" s="15"/>
      <c r="S312" s="24"/>
      <c r="T312" s="62" t="s">
        <v>447</v>
      </c>
      <c r="U312" s="62"/>
      <c r="V312" s="94">
        <v>26085716</v>
      </c>
      <c r="W312" s="199">
        <v>0.60435373903480361</v>
      </c>
      <c r="X312" s="15"/>
      <c r="Y312" s="200">
        <v>0.72649769585253454</v>
      </c>
      <c r="Z312" s="11" t="s">
        <v>465</v>
      </c>
      <c r="AA312" s="11"/>
      <c r="AB312" s="15"/>
      <c r="AC312" s="54">
        <v>21700000</v>
      </c>
      <c r="AD312" s="54">
        <v>15765000</v>
      </c>
      <c r="AE312" s="54">
        <v>5935000</v>
      </c>
      <c r="AG312" s="4">
        <v>405750200</v>
      </c>
      <c r="AH312" s="4">
        <v>351743588</v>
      </c>
      <c r="AI312" s="204">
        <v>0.86689689370455025</v>
      </c>
      <c r="AJ312" s="1" t="s">
        <v>1240</v>
      </c>
      <c r="AK312" s="205">
        <v>1162894350</v>
      </c>
      <c r="AL312" s="205">
        <v>925393062</v>
      </c>
      <c r="AM312" s="206">
        <v>0.795767097845131</v>
      </c>
      <c r="AN312" s="207" t="s">
        <v>1241</v>
      </c>
      <c r="AO312" s="208"/>
      <c r="AQ312" s="203">
        <v>0.5892857142857143</v>
      </c>
    </row>
    <row r="313" spans="2:43" x14ac:dyDescent="0.25">
      <c r="B313" s="52"/>
      <c r="C313" s="39">
        <v>2018</v>
      </c>
      <c r="D313" s="62" t="s">
        <v>1295</v>
      </c>
      <c r="E313" s="63" t="s">
        <v>1296</v>
      </c>
      <c r="F313" s="64">
        <v>43363</v>
      </c>
      <c r="G313" s="65" t="s">
        <v>1225</v>
      </c>
      <c r="H313" s="94">
        <v>1700000</v>
      </c>
      <c r="I313" s="94">
        <v>1560315</v>
      </c>
      <c r="J313" s="105" t="s">
        <v>519</v>
      </c>
      <c r="K313" s="26">
        <v>-8.2167647058823526E-2</v>
      </c>
      <c r="L313" s="11" t="s">
        <v>464</v>
      </c>
      <c r="M313" s="15">
        <v>2</v>
      </c>
      <c r="N313" s="35" t="s">
        <v>25</v>
      </c>
      <c r="O313" s="15">
        <v>3</v>
      </c>
      <c r="P313" s="35" t="s">
        <v>459</v>
      </c>
      <c r="Q313" s="35"/>
      <c r="R313" s="15"/>
      <c r="S313" s="24"/>
      <c r="T313" s="62" t="s">
        <v>447</v>
      </c>
      <c r="U313" s="62"/>
      <c r="V313" s="94">
        <v>2705657.5</v>
      </c>
      <c r="W313" s="199">
        <v>0.57668607353295831</v>
      </c>
      <c r="X313" s="15"/>
      <c r="Y313" s="200">
        <v>0.91783235294117649</v>
      </c>
      <c r="Z313" s="11" t="s">
        <v>465</v>
      </c>
      <c r="AA313" s="11"/>
      <c r="AB313" s="15"/>
      <c r="AC313" s="54">
        <v>1700000</v>
      </c>
      <c r="AD313" s="54">
        <v>1560315</v>
      </c>
      <c r="AE313" s="54">
        <v>139685</v>
      </c>
    </row>
    <row r="314" spans="2:43" x14ac:dyDescent="0.25">
      <c r="B314" s="52"/>
      <c r="C314" s="39">
        <v>2018</v>
      </c>
      <c r="D314" s="62" t="s">
        <v>1297</v>
      </c>
      <c r="E314" s="63" t="s">
        <v>1298</v>
      </c>
      <c r="F314" s="64">
        <v>43356</v>
      </c>
      <c r="G314" s="65" t="s">
        <v>34</v>
      </c>
      <c r="H314" s="94">
        <v>5960000</v>
      </c>
      <c r="I314" s="94">
        <v>6956000</v>
      </c>
      <c r="J314" s="27"/>
      <c r="K314" s="26">
        <v>0.16711409395973154</v>
      </c>
      <c r="L314" s="11" t="s">
        <v>465</v>
      </c>
      <c r="M314" s="15">
        <v>4</v>
      </c>
      <c r="N314" s="35" t="s">
        <v>25</v>
      </c>
      <c r="O314" s="15">
        <v>3</v>
      </c>
      <c r="P314" s="35" t="s">
        <v>459</v>
      </c>
      <c r="Q314" s="35"/>
      <c r="R314" s="15"/>
      <c r="S314" s="24"/>
      <c r="T314" s="62" t="s">
        <v>447</v>
      </c>
      <c r="U314" s="62"/>
      <c r="V314" s="94">
        <v>8933697.75</v>
      </c>
      <c r="W314" s="199">
        <v>0.77862495403988785</v>
      </c>
      <c r="X314" s="15"/>
      <c r="Y314" s="200">
        <v>1.1671140939597315</v>
      </c>
      <c r="Z314" s="11" t="s">
        <v>465</v>
      </c>
      <c r="AA314" s="11"/>
      <c r="AB314" s="15"/>
      <c r="AC314" s="54">
        <v>5960000</v>
      </c>
      <c r="AD314" s="54">
        <v>6956000</v>
      </c>
      <c r="AE314" s="54">
        <v>-996000</v>
      </c>
    </row>
    <row r="315" spans="2:43" x14ac:dyDescent="0.25">
      <c r="C315" s="39">
        <v>2018</v>
      </c>
      <c r="D315" s="62" t="s">
        <v>1299</v>
      </c>
      <c r="E315" s="63" t="s">
        <v>1300</v>
      </c>
      <c r="F315" s="64">
        <v>43264</v>
      </c>
      <c r="G315" s="65" t="s">
        <v>34</v>
      </c>
      <c r="H315" s="94">
        <v>38600000</v>
      </c>
      <c r="I315" s="94">
        <v>35950000</v>
      </c>
      <c r="J315" s="27" t="s">
        <v>519</v>
      </c>
      <c r="K315" s="26">
        <v>-6.8652849740932637E-2</v>
      </c>
      <c r="L315" s="11" t="s">
        <v>464</v>
      </c>
      <c r="M315" s="15">
        <v>2</v>
      </c>
      <c r="N315" s="35" t="s">
        <v>25</v>
      </c>
      <c r="O315" s="15">
        <v>2</v>
      </c>
      <c r="P315" s="35" t="s">
        <v>459</v>
      </c>
      <c r="Q315" s="35"/>
      <c r="R315" s="15"/>
      <c r="S315" s="24"/>
      <c r="T315" s="62" t="s">
        <v>447</v>
      </c>
      <c r="U315" s="62"/>
      <c r="V315" s="94">
        <v>39922000</v>
      </c>
      <c r="W315" s="199">
        <v>0.90050598667401438</v>
      </c>
      <c r="X315" s="15"/>
      <c r="Y315" s="200">
        <v>0.93134715025906734</v>
      </c>
      <c r="Z315" s="11" t="s">
        <v>465</v>
      </c>
      <c r="AA315" s="11"/>
      <c r="AB315" s="15"/>
      <c r="AC315" s="54">
        <v>38600000</v>
      </c>
      <c r="AD315" s="54">
        <v>35950000</v>
      </c>
      <c r="AE315" s="54">
        <v>2650000</v>
      </c>
    </row>
    <row r="316" spans="2:43" x14ac:dyDescent="0.25">
      <c r="C316" s="39">
        <v>2018</v>
      </c>
      <c r="D316" s="62" t="s">
        <v>1301</v>
      </c>
      <c r="E316" s="63" t="s">
        <v>1302</v>
      </c>
      <c r="F316" s="64">
        <v>43251</v>
      </c>
      <c r="G316" s="65" t="s">
        <v>34</v>
      </c>
      <c r="H316" s="94">
        <v>1567000</v>
      </c>
      <c r="I316" s="94">
        <v>918315</v>
      </c>
      <c r="J316" s="105" t="s">
        <v>519</v>
      </c>
      <c r="K316" s="26">
        <v>-0.41396617740906189</v>
      </c>
      <c r="L316" s="11" t="s">
        <v>464</v>
      </c>
      <c r="M316" s="15">
        <v>5</v>
      </c>
      <c r="N316" s="35" t="s">
        <v>25</v>
      </c>
      <c r="O316" s="15">
        <v>2</v>
      </c>
      <c r="P316" s="35" t="s">
        <v>459</v>
      </c>
      <c r="Q316" s="35"/>
      <c r="R316" s="15"/>
      <c r="S316" s="24" t="s">
        <v>932</v>
      </c>
      <c r="T316" s="62" t="s">
        <v>447</v>
      </c>
      <c r="U316" s="62"/>
      <c r="V316" s="94">
        <v>2609788.4</v>
      </c>
      <c r="W316" s="199">
        <v>0.351873354943259</v>
      </c>
      <c r="X316" s="15"/>
      <c r="Y316" s="200">
        <v>0.58603382259093806</v>
      </c>
      <c r="Z316" s="11" t="s">
        <v>465</v>
      </c>
      <c r="AA316" s="11"/>
      <c r="AB316" s="15"/>
      <c r="AC316" s="54">
        <v>1567000</v>
      </c>
      <c r="AD316" s="54">
        <v>918315</v>
      </c>
      <c r="AE316" s="54">
        <v>648685</v>
      </c>
    </row>
    <row r="317" spans="2:43" x14ac:dyDescent="0.25">
      <c r="C317" s="39">
        <v>2018</v>
      </c>
      <c r="D317" s="62" t="s">
        <v>1303</v>
      </c>
      <c r="E317" s="63" t="s">
        <v>1304</v>
      </c>
      <c r="F317" s="64">
        <v>43195</v>
      </c>
      <c r="G317" s="65" t="s">
        <v>34</v>
      </c>
      <c r="H317" s="94">
        <v>1520000</v>
      </c>
      <c r="I317" s="94">
        <v>856934</v>
      </c>
      <c r="J317" s="105" t="s">
        <v>519</v>
      </c>
      <c r="K317" s="26">
        <v>-0.43622763157894739</v>
      </c>
      <c r="L317" s="11" t="s">
        <v>464</v>
      </c>
      <c r="M317" s="15">
        <v>4</v>
      </c>
      <c r="N317" s="35" t="s">
        <v>25</v>
      </c>
      <c r="O317" s="15">
        <v>2</v>
      </c>
      <c r="P317" s="35" t="s">
        <v>459</v>
      </c>
      <c r="Q317" s="35" t="s">
        <v>1242</v>
      </c>
      <c r="R317" s="15"/>
      <c r="S317" s="24" t="s">
        <v>932</v>
      </c>
      <c r="T317" s="62" t="s">
        <v>447</v>
      </c>
      <c r="U317" s="62"/>
      <c r="V317" s="94">
        <v>1906983.5</v>
      </c>
      <c r="W317" s="199">
        <v>0.4493662373061959</v>
      </c>
      <c r="X317" s="15"/>
      <c r="Y317" s="200">
        <v>0.56377236842105261</v>
      </c>
      <c r="Z317" s="11" t="s">
        <v>465</v>
      </c>
      <c r="AA317" s="11"/>
      <c r="AB317" s="15"/>
      <c r="AC317" s="54">
        <v>1520000</v>
      </c>
      <c r="AD317" s="54">
        <v>856934</v>
      </c>
      <c r="AE317" s="54">
        <v>663066</v>
      </c>
    </row>
    <row r="318" spans="2:43" x14ac:dyDescent="0.25">
      <c r="C318" s="39">
        <v>2018</v>
      </c>
      <c r="D318" s="62" t="s">
        <v>1305</v>
      </c>
      <c r="E318" s="63" t="s">
        <v>1306</v>
      </c>
      <c r="F318" s="64">
        <v>43167</v>
      </c>
      <c r="G318" s="65" t="s">
        <v>34</v>
      </c>
      <c r="H318" s="94">
        <v>1600000</v>
      </c>
      <c r="I318" s="94">
        <v>1948000</v>
      </c>
      <c r="J318" s="105"/>
      <c r="K318" s="26">
        <v>0.2175</v>
      </c>
      <c r="L318" s="11" t="s">
        <v>465</v>
      </c>
      <c r="M318" s="15">
        <v>2</v>
      </c>
      <c r="N318" s="35" t="s">
        <v>25</v>
      </c>
      <c r="O318" s="15">
        <v>1</v>
      </c>
      <c r="P318" s="35" t="s">
        <v>459</v>
      </c>
      <c r="Q318" s="35" t="s">
        <v>1243</v>
      </c>
      <c r="R318" s="15"/>
      <c r="S318" s="24"/>
      <c r="T318" s="62" t="s">
        <v>447</v>
      </c>
      <c r="U318" s="62"/>
      <c r="V318" s="94">
        <v>2353500</v>
      </c>
      <c r="W318" s="199">
        <v>0.82770342043764611</v>
      </c>
      <c r="X318" s="15"/>
      <c r="Y318" s="200">
        <v>1.2175</v>
      </c>
      <c r="Z318" s="11" t="s">
        <v>465</v>
      </c>
      <c r="AA318" s="11"/>
      <c r="AB318" s="15"/>
      <c r="AC318" s="54">
        <v>1600000</v>
      </c>
      <c r="AD318" s="54">
        <v>1948000</v>
      </c>
      <c r="AE318" s="54">
        <v>-348000</v>
      </c>
    </row>
    <row r="319" spans="2:43" x14ac:dyDescent="0.25">
      <c r="C319" s="39">
        <v>2018</v>
      </c>
      <c r="D319" s="62" t="s">
        <v>1307</v>
      </c>
      <c r="E319" s="63" t="s">
        <v>1308</v>
      </c>
      <c r="F319" s="64">
        <v>43118</v>
      </c>
      <c r="G319" s="65" t="s">
        <v>756</v>
      </c>
      <c r="H319" s="94">
        <v>26900000</v>
      </c>
      <c r="I319" s="94">
        <v>24990000</v>
      </c>
      <c r="J319" s="27" t="s">
        <v>519</v>
      </c>
      <c r="K319" s="26">
        <v>-7.1003717472118963E-2</v>
      </c>
      <c r="L319" s="11" t="s">
        <v>464</v>
      </c>
      <c r="M319" s="15">
        <v>2</v>
      </c>
      <c r="N319" s="35" t="s">
        <v>226</v>
      </c>
      <c r="O319" s="15">
        <v>1</v>
      </c>
      <c r="P319" s="35" t="s">
        <v>459</v>
      </c>
      <c r="Q319" s="35" t="s">
        <v>1246</v>
      </c>
      <c r="R319" s="15"/>
      <c r="S319" s="24"/>
      <c r="T319" s="62" t="s">
        <v>447</v>
      </c>
      <c r="U319" s="62"/>
      <c r="V319" s="94">
        <v>35017000</v>
      </c>
      <c r="W319" s="199">
        <v>0.71365336836393756</v>
      </c>
      <c r="X319" s="15"/>
      <c r="Y319" s="200">
        <v>0.92899628252788102</v>
      </c>
      <c r="Z319" s="11" t="s">
        <v>465</v>
      </c>
      <c r="AA319" s="11"/>
      <c r="AB319" s="15"/>
      <c r="AC319" s="54">
        <v>26900000</v>
      </c>
      <c r="AD319" s="54">
        <v>24990000</v>
      </c>
      <c r="AE319" s="54">
        <v>1910000</v>
      </c>
    </row>
    <row r="320" spans="2:43" x14ac:dyDescent="0.25">
      <c r="C320" s="39">
        <v>2018</v>
      </c>
      <c r="D320" s="62" t="s">
        <v>1309</v>
      </c>
      <c r="E320" s="63" t="s">
        <v>1310</v>
      </c>
      <c r="F320" s="64">
        <v>43110</v>
      </c>
      <c r="G320" s="65" t="s">
        <v>190</v>
      </c>
      <c r="H320" s="94">
        <v>200000000</v>
      </c>
      <c r="I320" s="94">
        <v>108511400</v>
      </c>
      <c r="J320" s="27"/>
      <c r="K320" s="26">
        <v>-0.45744299999999999</v>
      </c>
      <c r="L320" s="11" t="s">
        <v>465</v>
      </c>
      <c r="M320" s="15">
        <v>5</v>
      </c>
      <c r="N320" s="35" t="s">
        <v>226</v>
      </c>
      <c r="O320" s="15">
        <v>1</v>
      </c>
      <c r="P320" s="35" t="s">
        <v>459</v>
      </c>
      <c r="Q320" s="35" t="s">
        <v>1246</v>
      </c>
      <c r="R320" s="15"/>
      <c r="S320" s="24" t="s">
        <v>932</v>
      </c>
      <c r="T320" s="62" t="s">
        <v>447</v>
      </c>
      <c r="U320" s="62"/>
      <c r="V320" s="94">
        <v>136419680</v>
      </c>
      <c r="W320" s="199">
        <v>0.79542335827206168</v>
      </c>
      <c r="X320" s="15"/>
      <c r="Y320" s="200">
        <v>0.54255699999999996</v>
      </c>
      <c r="Z320" s="11" t="s">
        <v>465</v>
      </c>
      <c r="AA320" s="11"/>
      <c r="AB320" s="15"/>
      <c r="AC320" s="54">
        <v>200000000</v>
      </c>
      <c r="AD320" s="54">
        <v>108511400</v>
      </c>
      <c r="AE320" s="54">
        <v>91488600</v>
      </c>
    </row>
    <row r="321" spans="3:17" x14ac:dyDescent="0.25">
      <c r="C321" s="39"/>
      <c r="E321" s="85"/>
      <c r="F321" s="85"/>
      <c r="G321" s="85"/>
      <c r="H321" s="86">
        <f>SUM(H306:H320)</f>
        <v>334888000</v>
      </c>
      <c r="I321" s="86">
        <f>SUM(I306:I320)</f>
        <v>227781455</v>
      </c>
      <c r="J321" s="85"/>
      <c r="K321" s="87">
        <f>+I321/H321</f>
        <v>0.68017204259334463</v>
      </c>
      <c r="L321" s="85">
        <f>COUNTA(L306:L320)</f>
        <v>15</v>
      </c>
      <c r="M321" s="88">
        <f>SUM(M306:M320)/L321</f>
        <v>3.5333333333333332</v>
      </c>
      <c r="N321" s="89"/>
      <c r="O321" s="85"/>
      <c r="P321" s="119">
        <f>9/L321</f>
        <v>0.6</v>
      </c>
      <c r="Q321" s="85"/>
    </row>
    <row r="322" spans="3:17" x14ac:dyDescent="0.25">
      <c r="C322" s="39"/>
    </row>
    <row r="323" spans="3:17" x14ac:dyDescent="0.25">
      <c r="C323" s="39"/>
      <c r="E323" s="126" t="s">
        <v>1172</v>
      </c>
      <c r="F323" s="70" t="str">
        <f>"'15 final"</f>
        <v>'15 final</v>
      </c>
      <c r="G323" s="70" t="str">
        <f>"'16 final"</f>
        <v>'16 final</v>
      </c>
      <c r="H323" s="121" t="s">
        <v>1360</v>
      </c>
      <c r="I323" s="121" t="str">
        <f>"'18 final"</f>
        <v>'18 final</v>
      </c>
      <c r="P323" s="11"/>
    </row>
    <row r="324" spans="3:17" x14ac:dyDescent="0.25">
      <c r="C324" s="39"/>
      <c r="E324" s="71" t="s">
        <v>800</v>
      </c>
      <c r="F324" s="11">
        <v>4</v>
      </c>
      <c r="G324" s="11">
        <v>6</v>
      </c>
      <c r="H324" s="104">
        <v>4</v>
      </c>
      <c r="I324" s="104">
        <f>+L321</f>
        <v>15</v>
      </c>
      <c r="P324" s="11"/>
    </row>
    <row r="325" spans="3:17" x14ac:dyDescent="0.25">
      <c r="C325" s="39"/>
      <c r="E325" s="72" t="s">
        <v>801</v>
      </c>
      <c r="F325" s="11">
        <v>4</v>
      </c>
      <c r="G325" s="11">
        <v>5</v>
      </c>
      <c r="H325" s="104">
        <v>2</v>
      </c>
      <c r="I325" s="104">
        <f>+I324-I326</f>
        <v>8</v>
      </c>
      <c r="P325" s="11"/>
    </row>
    <row r="326" spans="3:17" x14ac:dyDescent="0.25">
      <c r="C326" s="39"/>
      <c r="E326" s="72" t="s">
        <v>802</v>
      </c>
      <c r="F326" s="11">
        <v>0</v>
      </c>
      <c r="G326" s="11">
        <v>1</v>
      </c>
      <c r="H326" s="104">
        <v>2</v>
      </c>
      <c r="I326" s="104">
        <v>7</v>
      </c>
      <c r="P326" s="11"/>
    </row>
    <row r="327" spans="3:17" x14ac:dyDescent="0.25">
      <c r="C327" s="39"/>
      <c r="E327" s="72"/>
      <c r="F327" s="11"/>
      <c r="G327" s="11"/>
      <c r="H327" s="104"/>
      <c r="I327" s="104"/>
      <c r="P327" s="11"/>
    </row>
    <row r="328" spans="3:17" x14ac:dyDescent="0.25">
      <c r="C328" s="39"/>
      <c r="E328" s="72" t="s">
        <v>1144</v>
      </c>
      <c r="F328" s="78">
        <v>14</v>
      </c>
      <c r="G328" s="78">
        <v>32</v>
      </c>
      <c r="H328" s="122">
        <v>76.745751999999996</v>
      </c>
      <c r="I328" s="122">
        <f>+I321/1000000</f>
        <v>227.78145499999999</v>
      </c>
      <c r="P328" s="11"/>
    </row>
    <row r="329" spans="3:17" x14ac:dyDescent="0.25">
      <c r="C329" s="39"/>
      <c r="E329" s="72" t="s">
        <v>806</v>
      </c>
      <c r="F329" s="75">
        <v>2.8</v>
      </c>
      <c r="G329" s="75">
        <v>4.33</v>
      </c>
      <c r="H329" s="123">
        <v>4.5</v>
      </c>
      <c r="I329" s="123">
        <f>+M321</f>
        <v>3.5333333333333332</v>
      </c>
      <c r="P329" s="11"/>
    </row>
    <row r="330" spans="3:17" x14ac:dyDescent="0.25">
      <c r="C330" s="39"/>
      <c r="E330" s="72" t="s">
        <v>807</v>
      </c>
      <c r="F330" s="74">
        <v>1.3169999999999999</v>
      </c>
      <c r="G330" s="74">
        <v>0.90100000000000002</v>
      </c>
      <c r="H330" s="124">
        <v>1.2098520036573446</v>
      </c>
      <c r="I330" s="124">
        <f>+I321/H321</f>
        <v>0.68017204259334463</v>
      </c>
      <c r="P330" s="11"/>
    </row>
    <row r="331" spans="3:17" x14ac:dyDescent="0.25">
      <c r="C331" s="39"/>
      <c r="E331" s="72"/>
      <c r="F331" s="11"/>
      <c r="G331" s="11"/>
      <c r="H331" s="104"/>
      <c r="I331" s="104"/>
      <c r="P331" s="11"/>
    </row>
    <row r="332" spans="3:17" x14ac:dyDescent="0.25">
      <c r="C332" s="39"/>
      <c r="E332" s="72" t="s">
        <v>803</v>
      </c>
      <c r="F332" s="74">
        <v>0.25</v>
      </c>
      <c r="G332" s="74">
        <f>4/6</f>
        <v>0.66666666666666663</v>
      </c>
      <c r="H332" s="108">
        <v>0.5</v>
      </c>
      <c r="I332" s="108">
        <f>+P321</f>
        <v>0.6</v>
      </c>
      <c r="P332" s="11"/>
    </row>
    <row r="333" spans="3:17" x14ac:dyDescent="0.25">
      <c r="C333" s="107"/>
      <c r="D333" s="52"/>
      <c r="E333" s="72" t="s">
        <v>804</v>
      </c>
      <c r="F333" s="74">
        <v>0.25</v>
      </c>
      <c r="G333" s="74">
        <f>3/5</f>
        <v>0.6</v>
      </c>
      <c r="H333" s="108">
        <v>0.5</v>
      </c>
      <c r="I333" s="108">
        <f>5/I325</f>
        <v>0.625</v>
      </c>
      <c r="P333" s="11"/>
    </row>
    <row r="334" spans="3:17" x14ac:dyDescent="0.25">
      <c r="C334" s="107"/>
      <c r="D334" s="52"/>
      <c r="E334" s="72" t="s">
        <v>805</v>
      </c>
      <c r="F334" s="127" t="s">
        <v>1173</v>
      </c>
      <c r="G334" s="74">
        <v>1</v>
      </c>
      <c r="H334" s="108">
        <v>0.5</v>
      </c>
      <c r="I334" s="108">
        <f>4/I326</f>
        <v>0.5714285714285714</v>
      </c>
      <c r="P334" s="11"/>
    </row>
    <row r="335" spans="3:17" x14ac:dyDescent="0.25">
      <c r="C335" s="39"/>
      <c r="E335" s="72"/>
      <c r="F335" s="11"/>
      <c r="G335" s="11"/>
      <c r="H335" s="104"/>
      <c r="I335" s="104"/>
      <c r="P335" s="11"/>
    </row>
    <row r="336" spans="3:17" x14ac:dyDescent="0.25">
      <c r="C336" s="39"/>
      <c r="E336" s="72" t="s">
        <v>1141</v>
      </c>
      <c r="F336" s="11">
        <v>4</v>
      </c>
      <c r="G336" s="11">
        <v>3</v>
      </c>
      <c r="H336" s="104">
        <v>2</v>
      </c>
      <c r="I336" s="104">
        <v>7</v>
      </c>
    </row>
    <row r="337" spans="3:16" x14ac:dyDescent="0.25">
      <c r="E337" s="106" t="s">
        <v>1143</v>
      </c>
      <c r="F337" s="74">
        <f>F336/F324</f>
        <v>1</v>
      </c>
      <c r="G337" s="74">
        <f>G336/G324</f>
        <v>0.5</v>
      </c>
      <c r="H337" s="108">
        <v>0.5</v>
      </c>
      <c r="I337" s="108">
        <f>+I336/I324</f>
        <v>0.46666666666666667</v>
      </c>
    </row>
    <row r="338" spans="3:16" x14ac:dyDescent="0.25">
      <c r="C338" s="39"/>
      <c r="E338" s="72" t="s">
        <v>1142</v>
      </c>
      <c r="F338" s="11">
        <v>1</v>
      </c>
      <c r="G338" s="11">
        <v>1</v>
      </c>
      <c r="H338" s="104">
        <v>0</v>
      </c>
      <c r="I338" s="104">
        <v>0</v>
      </c>
    </row>
    <row r="339" spans="3:16" x14ac:dyDescent="0.25">
      <c r="C339" s="39"/>
      <c r="E339" s="106" t="s">
        <v>1169</v>
      </c>
      <c r="F339" s="108">
        <f t="shared" ref="F339:G339" si="51">+F338/F324</f>
        <v>0.25</v>
      </c>
      <c r="G339" s="108">
        <f t="shared" si="51"/>
        <v>0.16666666666666666</v>
      </c>
      <c r="H339" s="108">
        <v>0</v>
      </c>
      <c r="I339" s="108">
        <f>+I338/I324</f>
        <v>0</v>
      </c>
    </row>
    <row r="340" spans="3:16" x14ac:dyDescent="0.25">
      <c r="C340" s="39"/>
    </row>
    <row r="341" spans="3:16" x14ac:dyDescent="0.25">
      <c r="C341" s="39"/>
    </row>
    <row r="342" spans="3:16" x14ac:dyDescent="0.25">
      <c r="C342" s="39"/>
    </row>
    <row r="343" spans="3:16" x14ac:dyDescent="0.25">
      <c r="C343" s="39"/>
      <c r="E343" s="126" t="s">
        <v>1391</v>
      </c>
      <c r="F343" s="70" t="s">
        <v>1390</v>
      </c>
      <c r="G343" s="70" t="s">
        <v>457</v>
      </c>
      <c r="H343" s="121" t="s">
        <v>459</v>
      </c>
      <c r="I343" s="121" t="s">
        <v>492</v>
      </c>
      <c r="P343" s="11"/>
    </row>
    <row r="344" spans="3:16" x14ac:dyDescent="0.25">
      <c r="C344" s="39"/>
      <c r="E344" s="71" t="s">
        <v>800</v>
      </c>
      <c r="F344" s="90">
        <f>+I260</f>
        <v>21</v>
      </c>
      <c r="G344" s="90">
        <f>+I217</f>
        <v>15</v>
      </c>
      <c r="H344" s="264">
        <f>+I324</f>
        <v>15</v>
      </c>
      <c r="I344" s="264">
        <f>+I287</f>
        <v>5</v>
      </c>
      <c r="P344" s="11"/>
    </row>
    <row r="345" spans="3:16" x14ac:dyDescent="0.25">
      <c r="C345" s="39"/>
      <c r="E345" s="72" t="s">
        <v>801</v>
      </c>
      <c r="F345" s="11">
        <f t="shared" ref="F345:F359" si="52">+I261</f>
        <v>11</v>
      </c>
      <c r="G345" s="11">
        <f t="shared" ref="G345:G359" si="53">+I218</f>
        <v>10</v>
      </c>
      <c r="H345" s="104">
        <f t="shared" ref="H345:H359" si="54">+I325</f>
        <v>8</v>
      </c>
      <c r="I345" s="104">
        <f t="shared" ref="I345:I359" si="55">+I288</f>
        <v>4</v>
      </c>
      <c r="P345" s="11"/>
    </row>
    <row r="346" spans="3:16" x14ac:dyDescent="0.25">
      <c r="C346" s="39"/>
      <c r="E346" s="72" t="s">
        <v>802</v>
      </c>
      <c r="F346" s="11">
        <f t="shared" si="52"/>
        <v>10</v>
      </c>
      <c r="G346" s="11">
        <f t="shared" si="53"/>
        <v>5</v>
      </c>
      <c r="H346" s="104">
        <f t="shared" si="54"/>
        <v>7</v>
      </c>
      <c r="I346" s="104">
        <f t="shared" si="55"/>
        <v>1</v>
      </c>
      <c r="P346" s="11"/>
    </row>
    <row r="347" spans="3:16" x14ac:dyDescent="0.25">
      <c r="C347" s="39"/>
      <c r="E347" s="72"/>
      <c r="F347" s="11"/>
      <c r="G347" s="11"/>
      <c r="H347" s="104"/>
      <c r="I347" s="104"/>
      <c r="P347" s="11"/>
    </row>
    <row r="348" spans="3:16" x14ac:dyDescent="0.25">
      <c r="C348" s="39"/>
      <c r="E348" s="72" t="s">
        <v>1144</v>
      </c>
      <c r="F348" s="265">
        <f t="shared" si="52"/>
        <v>525.71042699999998</v>
      </c>
      <c r="G348" s="265">
        <f t="shared" si="53"/>
        <v>137.60749899999999</v>
      </c>
      <c r="H348" s="265">
        <f t="shared" si="54"/>
        <v>227.78145499999999</v>
      </c>
      <c r="I348" s="265">
        <f t="shared" si="55"/>
        <v>34.293680999999999</v>
      </c>
      <c r="J348" s="260"/>
      <c r="P348" s="11"/>
    </row>
    <row r="349" spans="3:16" x14ac:dyDescent="0.25">
      <c r="C349" s="39"/>
      <c r="E349" s="72" t="s">
        <v>806</v>
      </c>
      <c r="F349" s="123">
        <f t="shared" si="52"/>
        <v>4.9523809523809526</v>
      </c>
      <c r="G349" s="123">
        <f t="shared" si="53"/>
        <v>4.666666666666667</v>
      </c>
      <c r="H349" s="263">
        <f t="shared" si="54"/>
        <v>3.5333333333333332</v>
      </c>
      <c r="I349" s="262">
        <f t="shared" si="55"/>
        <v>6.8</v>
      </c>
      <c r="P349" s="11"/>
    </row>
    <row r="350" spans="3:16" x14ac:dyDescent="0.25">
      <c r="C350" s="39"/>
      <c r="E350" s="72" t="s">
        <v>807</v>
      </c>
      <c r="F350" s="267">
        <f t="shared" si="52"/>
        <v>0.86225559917866734</v>
      </c>
      <c r="G350" s="268">
        <f t="shared" si="53"/>
        <v>0.77292711374356338</v>
      </c>
      <c r="H350" s="269">
        <f t="shared" si="54"/>
        <v>0.68017204259334463</v>
      </c>
      <c r="I350" s="267">
        <f t="shared" si="55"/>
        <v>0.85138234856007944</v>
      </c>
      <c r="P350" s="11"/>
    </row>
    <row r="351" spans="3:16" x14ac:dyDescent="0.25">
      <c r="C351" s="39"/>
      <c r="E351" s="72"/>
      <c r="F351" s="11"/>
      <c r="G351" s="11"/>
      <c r="H351" s="104"/>
      <c r="I351" s="104"/>
      <c r="P351" s="11"/>
    </row>
    <row r="352" spans="3:16" x14ac:dyDescent="0.25">
      <c r="C352" s="39"/>
      <c r="E352" s="72" t="s">
        <v>803</v>
      </c>
      <c r="F352" s="266">
        <f t="shared" si="52"/>
        <v>0.47619047619047616</v>
      </c>
      <c r="G352" s="266">
        <f t="shared" si="53"/>
        <v>0.66666666666666663</v>
      </c>
      <c r="H352" s="266">
        <f t="shared" si="54"/>
        <v>0.6</v>
      </c>
      <c r="I352" s="267">
        <f t="shared" si="55"/>
        <v>0.8</v>
      </c>
      <c r="P352" s="11"/>
    </row>
    <row r="353" spans="3:16" x14ac:dyDescent="0.25">
      <c r="C353" s="107"/>
      <c r="D353" s="52"/>
      <c r="E353" s="72" t="s">
        <v>804</v>
      </c>
      <c r="F353" s="74">
        <f t="shared" si="52"/>
        <v>0.45454545454545453</v>
      </c>
      <c r="G353" s="74">
        <f t="shared" si="53"/>
        <v>0.5</v>
      </c>
      <c r="H353" s="108">
        <f t="shared" si="54"/>
        <v>0.625</v>
      </c>
      <c r="I353" s="108">
        <f t="shared" si="55"/>
        <v>0.75</v>
      </c>
      <c r="P353" s="11"/>
    </row>
    <row r="354" spans="3:16" x14ac:dyDescent="0.25">
      <c r="C354" s="107"/>
      <c r="D354" s="52"/>
      <c r="E354" s="72" t="s">
        <v>805</v>
      </c>
      <c r="F354" s="74">
        <f t="shared" si="52"/>
        <v>0.5</v>
      </c>
      <c r="G354" s="261">
        <f t="shared" si="53"/>
        <v>1</v>
      </c>
      <c r="H354" s="108">
        <f t="shared" si="54"/>
        <v>0.5714285714285714</v>
      </c>
      <c r="I354" s="261">
        <f t="shared" si="55"/>
        <v>1</v>
      </c>
      <c r="P354" s="11"/>
    </row>
    <row r="355" spans="3:16" x14ac:dyDescent="0.25">
      <c r="C355" s="39"/>
      <c r="E355" s="72"/>
      <c r="F355" s="11"/>
      <c r="G355" s="11"/>
      <c r="H355" s="104"/>
      <c r="I355" s="104"/>
      <c r="P355" s="11"/>
    </row>
    <row r="356" spans="3:16" x14ac:dyDescent="0.25">
      <c r="C356" s="39"/>
      <c r="E356" s="72" t="s">
        <v>1141</v>
      </c>
      <c r="F356" s="11">
        <f t="shared" si="52"/>
        <v>11</v>
      </c>
      <c r="G356" s="11">
        <f t="shared" si="53"/>
        <v>5</v>
      </c>
      <c r="H356" s="104">
        <f t="shared" si="54"/>
        <v>7</v>
      </c>
      <c r="I356" s="104">
        <f t="shared" si="55"/>
        <v>0</v>
      </c>
    </row>
    <row r="357" spans="3:16" x14ac:dyDescent="0.25">
      <c r="E357" s="106" t="s">
        <v>1143</v>
      </c>
      <c r="F357" s="266">
        <f t="shared" si="52"/>
        <v>0.52380952380952384</v>
      </c>
      <c r="G357" s="266">
        <f t="shared" si="53"/>
        <v>0.33333333333333331</v>
      </c>
      <c r="H357" s="266">
        <f t="shared" si="54"/>
        <v>0.46666666666666667</v>
      </c>
      <c r="I357" s="267">
        <f t="shared" si="55"/>
        <v>0</v>
      </c>
    </row>
    <row r="358" spans="3:16" x14ac:dyDescent="0.25">
      <c r="C358" s="39"/>
      <c r="E358" s="72" t="s">
        <v>1142</v>
      </c>
      <c r="F358" s="11">
        <f t="shared" si="52"/>
        <v>3</v>
      </c>
      <c r="G358" s="11">
        <f t="shared" si="53"/>
        <v>4</v>
      </c>
      <c r="H358" s="104">
        <f t="shared" si="54"/>
        <v>0</v>
      </c>
      <c r="I358" s="104">
        <f t="shared" si="55"/>
        <v>0</v>
      </c>
    </row>
    <row r="359" spans="3:16" x14ac:dyDescent="0.25">
      <c r="C359" s="39"/>
      <c r="E359" s="106" t="s">
        <v>1169</v>
      </c>
      <c r="F359" s="74">
        <f t="shared" si="52"/>
        <v>0.14285714285714285</v>
      </c>
      <c r="G359" s="74">
        <f t="shared" si="53"/>
        <v>0.26666666666666666</v>
      </c>
      <c r="H359" s="108">
        <f t="shared" si="54"/>
        <v>0</v>
      </c>
      <c r="I359" s="108">
        <f t="shared" si="55"/>
        <v>0</v>
      </c>
    </row>
    <row r="360" spans="3:16" x14ac:dyDescent="0.25">
      <c r="C360" s="39"/>
    </row>
    <row r="361" spans="3:16" x14ac:dyDescent="0.25">
      <c r="C361" s="39"/>
    </row>
    <row r="362" spans="3:16" x14ac:dyDescent="0.25">
      <c r="C362" s="39"/>
    </row>
    <row r="363" spans="3:16" x14ac:dyDescent="0.25">
      <c r="C363" s="39"/>
    </row>
    <row r="364" spans="3:16" x14ac:dyDescent="0.25">
      <c r="C364" s="39"/>
    </row>
    <row r="365" spans="3:16" x14ac:dyDescent="0.25">
      <c r="C365" s="39"/>
    </row>
    <row r="366" spans="3:16" x14ac:dyDescent="0.25">
      <c r="C366" s="39"/>
    </row>
    <row r="367" spans="3:16" x14ac:dyDescent="0.25">
      <c r="C367" s="39"/>
    </row>
    <row r="368" spans="3:16" x14ac:dyDescent="0.25">
      <c r="C368" s="39"/>
    </row>
    <row r="369" spans="2:41" x14ac:dyDescent="0.25">
      <c r="C369" s="39"/>
    </row>
    <row r="370" spans="2:41" x14ac:dyDescent="0.25">
      <c r="C370" s="39"/>
    </row>
    <row r="371" spans="2:41" x14ac:dyDescent="0.25">
      <c r="C371" s="39"/>
    </row>
    <row r="372" spans="2:41" x14ac:dyDescent="0.25">
      <c r="C372" s="39"/>
    </row>
    <row r="373" spans="2:41" x14ac:dyDescent="0.25">
      <c r="C373" s="39"/>
    </row>
    <row r="374" spans="2:41" x14ac:dyDescent="0.25">
      <c r="B374" s="128"/>
      <c r="C374" s="129"/>
      <c r="D374" s="128"/>
      <c r="E374" s="128"/>
      <c r="F374" s="128"/>
      <c r="G374" s="128"/>
      <c r="H374" s="128"/>
      <c r="I374" s="128"/>
      <c r="J374" s="128"/>
      <c r="K374" s="128"/>
      <c r="L374" s="128"/>
      <c r="M374" s="128"/>
      <c r="N374" s="130"/>
      <c r="O374" s="128"/>
      <c r="P374" s="128"/>
      <c r="Q374" s="128"/>
      <c r="R374" s="128"/>
    </row>
    <row r="375" spans="2:41" x14ac:dyDescent="0.25">
      <c r="C375" s="39"/>
    </row>
    <row r="376" spans="2:41" x14ac:dyDescent="0.25">
      <c r="C376" s="39"/>
    </row>
    <row r="377" spans="2:41" x14ac:dyDescent="0.25">
      <c r="C377" s="39"/>
      <c r="D377" s="15"/>
      <c r="E377" s="24"/>
      <c r="F377" s="25"/>
      <c r="G377" s="46"/>
      <c r="H377" s="27"/>
      <c r="I377" s="27"/>
      <c r="J377" s="27"/>
      <c r="K377" s="26"/>
      <c r="L377" s="11"/>
      <c r="M377" s="62"/>
      <c r="P377" s="11"/>
      <c r="V377" s="54"/>
      <c r="W377" s="54"/>
      <c r="X377" s="54"/>
    </row>
    <row r="378" spans="2:41" x14ac:dyDescent="0.25">
      <c r="C378" s="39"/>
    </row>
    <row r="379" spans="2:41" x14ac:dyDescent="0.25">
      <c r="C379" s="39"/>
    </row>
    <row r="380" spans="2:41" x14ac:dyDescent="0.25">
      <c r="C380" s="39"/>
    </row>
    <row r="381" spans="2:41" x14ac:dyDescent="0.25">
      <c r="B381" s="224"/>
      <c r="C381" s="39">
        <v>2018</v>
      </c>
      <c r="D381" s="62" t="str">
        <f>+'[1]PAT-774.174'!$F$4</f>
        <v>PAT-774.174</v>
      </c>
      <c r="E381" s="63" t="str">
        <f>+'[1]PAT-774.174'!$F$5</f>
        <v>Grove Street Headhouse Permanent Flood Protection</v>
      </c>
      <c r="F381" s="64">
        <f>+'[1]PAT-774.174'!$F$6</f>
        <v>43405</v>
      </c>
      <c r="G381" s="65" t="str">
        <f>+'[1]PAT-774.174'!$G$7</f>
        <v>Public</v>
      </c>
      <c r="H381" s="94">
        <f>+'[1]PAT-774.174'!$F$7</f>
        <v>9650000</v>
      </c>
      <c r="I381" s="94">
        <f>+'[1]PAT-774.174'!$F$8</f>
        <v>9200000</v>
      </c>
      <c r="J381" s="94" t="s">
        <v>519</v>
      </c>
      <c r="K381" s="153">
        <f>+'[1]PAT-774.174'!$G$9</f>
        <v>-4.6632124352331605E-2</v>
      </c>
      <c r="L381" s="11" t="str">
        <f>+'[1]PAT-774.174'!$F$11</f>
        <v>GOOD</v>
      </c>
      <c r="M381" s="15">
        <f>+'[1]PAT-774.174'!$H$12</f>
        <v>1</v>
      </c>
      <c r="N381" s="35" t="s">
        <v>25</v>
      </c>
      <c r="O381" s="15">
        <v>4</v>
      </c>
      <c r="P381" s="35" t="s">
        <v>459</v>
      </c>
      <c r="Q381" s="35"/>
      <c r="R381" s="15"/>
      <c r="S381" s="24" t="s">
        <v>1323</v>
      </c>
      <c r="T381" s="62" t="str">
        <f>+'[1]PAT-774.174'!$J$4</f>
        <v>Nathan Demaisip</v>
      </c>
      <c r="U381" s="62"/>
      <c r="V381" s="94">
        <f>+'[1]PAT-774.174'!$F$12</f>
        <v>9200000</v>
      </c>
      <c r="W381" s="199">
        <f t="shared" ref="W381" si="56">+I381/V381</f>
        <v>1</v>
      </c>
      <c r="X381" s="15"/>
      <c r="Y381" s="200">
        <f t="shared" ref="Y381" si="57">+I381/H381</f>
        <v>0.95336787564766834</v>
      </c>
      <c r="Z381" s="11" t="str">
        <f t="shared" ref="Z381" si="58">(IF(Y381&lt;$Y$3,"FAIL",IF(Y381&gt;$Y$4,"FAIL","GOOD")))</f>
        <v>FAIL</v>
      </c>
      <c r="AA381" s="11"/>
      <c r="AB381" s="15"/>
      <c r="AC381" s="54">
        <f t="shared" ref="AC381" si="59">+H381</f>
        <v>9650000</v>
      </c>
      <c r="AD381" s="54">
        <f t="shared" ref="AD381" si="60">+I381</f>
        <v>9200000</v>
      </c>
      <c r="AE381" s="54">
        <f t="shared" ref="AE381" si="61">+AC381-AD381</f>
        <v>450000</v>
      </c>
      <c r="AG381" s="4"/>
      <c r="AH381" s="4"/>
      <c r="AI381" s="225"/>
      <c r="AJ381" s="226"/>
      <c r="AK381" s="227"/>
      <c r="AL381" s="227"/>
      <c r="AM381" s="225"/>
      <c r="AN381" s="226"/>
      <c r="AO381" s="228"/>
    </row>
    <row r="382" spans="2:41" x14ac:dyDescent="0.25">
      <c r="C382" s="39"/>
    </row>
    <row r="383" spans="2:41" x14ac:dyDescent="0.25">
      <c r="C383" s="39"/>
    </row>
    <row r="384" spans="2:41" x14ac:dyDescent="0.25">
      <c r="B384" s="224"/>
      <c r="C384" s="39">
        <v>2018</v>
      </c>
      <c r="D384" s="62" t="s">
        <v>1330</v>
      </c>
      <c r="E384" s="63" t="s">
        <v>1331</v>
      </c>
      <c r="F384" s="64">
        <v>43438</v>
      </c>
      <c r="G384" s="65" t="s">
        <v>34</v>
      </c>
      <c r="H384" s="94">
        <v>122920000</v>
      </c>
      <c r="I384" s="94">
        <v>119769038</v>
      </c>
      <c r="J384" s="94" t="s">
        <v>519</v>
      </c>
      <c r="K384" s="153">
        <v>-2.5634249918646275E-2</v>
      </c>
      <c r="L384" s="11" t="s">
        <v>464</v>
      </c>
      <c r="M384" s="15">
        <v>2</v>
      </c>
      <c r="N384" s="35" t="s">
        <v>25</v>
      </c>
      <c r="O384" s="15">
        <v>4</v>
      </c>
      <c r="P384" s="35" t="s">
        <v>458</v>
      </c>
      <c r="Q384" s="35"/>
      <c r="R384" s="15"/>
      <c r="S384" s="24"/>
      <c r="T384" s="62" t="s">
        <v>784</v>
      </c>
      <c r="U384" s="62"/>
      <c r="V384" s="94">
        <v>122138179</v>
      </c>
      <c r="W384" s="199">
        <v>0.98060278105177912</v>
      </c>
      <c r="X384" s="15"/>
      <c r="Y384" s="200">
        <v>0.97436575008135373</v>
      </c>
      <c r="Z384" s="11" t="s">
        <v>465</v>
      </c>
      <c r="AA384" s="11"/>
      <c r="AB384" s="15"/>
      <c r="AC384" s="54">
        <v>122920000</v>
      </c>
      <c r="AD384" s="54">
        <v>119769038</v>
      </c>
      <c r="AE384" s="54">
        <v>3150962</v>
      </c>
      <c r="AG384" s="4"/>
      <c r="AH384" s="4"/>
      <c r="AI384" s="225"/>
      <c r="AJ384" s="226"/>
      <c r="AK384" s="227"/>
      <c r="AL384" s="227"/>
      <c r="AM384" s="225"/>
      <c r="AN384" s="226"/>
      <c r="AO384" s="228"/>
    </row>
    <row r="385" spans="2:41" x14ac:dyDescent="0.25">
      <c r="B385" s="224"/>
      <c r="C385" s="39">
        <v>2018</v>
      </c>
      <c r="D385" s="62" t="s">
        <v>1338</v>
      </c>
      <c r="E385" s="63" t="s">
        <v>1339</v>
      </c>
      <c r="F385" s="64">
        <v>43397</v>
      </c>
      <c r="G385" s="65" t="s">
        <v>34</v>
      </c>
      <c r="H385" s="94">
        <v>2971000</v>
      </c>
      <c r="I385" s="94">
        <v>2384000</v>
      </c>
      <c r="J385" s="105" t="s">
        <v>519</v>
      </c>
      <c r="K385" s="153">
        <v>-0.1975765735442612</v>
      </c>
      <c r="L385" s="11" t="s">
        <v>464</v>
      </c>
      <c r="M385" s="15">
        <v>2</v>
      </c>
      <c r="N385" s="35" t="s">
        <v>25</v>
      </c>
      <c r="O385" s="15">
        <v>4</v>
      </c>
      <c r="P385" s="35" t="s">
        <v>459</v>
      </c>
      <c r="Q385" s="35"/>
      <c r="R385" s="15"/>
      <c r="S385" s="24"/>
      <c r="T385" s="62" t="s">
        <v>447</v>
      </c>
      <c r="U385" s="62"/>
      <c r="V385" s="94">
        <v>3291500</v>
      </c>
      <c r="W385" s="199">
        <v>0.72428983746012454</v>
      </c>
      <c r="X385" s="15"/>
      <c r="Y385" s="200">
        <v>0.80242342645573883</v>
      </c>
      <c r="Z385" s="11" t="s">
        <v>465</v>
      </c>
      <c r="AA385" s="11"/>
      <c r="AB385" s="15"/>
      <c r="AC385" s="54">
        <v>2971000</v>
      </c>
      <c r="AD385" s="54">
        <v>2384000</v>
      </c>
      <c r="AE385" s="54">
        <v>587000</v>
      </c>
      <c r="AG385" s="4"/>
      <c r="AH385" s="4"/>
      <c r="AI385" s="225"/>
      <c r="AJ385" s="226"/>
      <c r="AK385" s="227"/>
      <c r="AL385" s="227"/>
      <c r="AM385" s="225"/>
      <c r="AN385" s="226"/>
      <c r="AO385" s="228"/>
    </row>
    <row r="386" spans="2:41" x14ac:dyDescent="0.25">
      <c r="B386" s="224"/>
      <c r="C386" s="39">
        <v>2018</v>
      </c>
      <c r="D386" s="62" t="s">
        <v>1349</v>
      </c>
      <c r="E386" s="63" t="s">
        <v>1350</v>
      </c>
      <c r="F386" s="64">
        <v>43391</v>
      </c>
      <c r="G386" s="65" t="s">
        <v>34</v>
      </c>
      <c r="H386" s="94">
        <v>7950000</v>
      </c>
      <c r="I386" s="94">
        <v>6875775</v>
      </c>
      <c r="J386" s="94" t="s">
        <v>519</v>
      </c>
      <c r="K386" s="153">
        <v>-0.13512264150943396</v>
      </c>
      <c r="L386" s="11" t="s">
        <v>464</v>
      </c>
      <c r="M386" s="15">
        <v>2</v>
      </c>
      <c r="N386" s="35" t="s">
        <v>93</v>
      </c>
      <c r="O386" s="15">
        <v>4</v>
      </c>
      <c r="P386" s="35" t="s">
        <v>457</v>
      </c>
      <c r="Q386" s="35"/>
      <c r="R386" s="15"/>
      <c r="S386" s="24"/>
      <c r="T386" s="62" t="s">
        <v>1226</v>
      </c>
      <c r="U386" s="62"/>
      <c r="V386" s="94">
        <v>7451400</v>
      </c>
      <c r="W386" s="199">
        <v>0.92274941621708673</v>
      </c>
      <c r="X386" s="15"/>
      <c r="Y386" s="200">
        <v>0.86487735849056602</v>
      </c>
      <c r="Z386" s="11" t="s">
        <v>465</v>
      </c>
      <c r="AA386" s="11"/>
      <c r="AB386" s="15"/>
      <c r="AC386" s="54">
        <v>7950000</v>
      </c>
      <c r="AD386" s="54">
        <v>6875775</v>
      </c>
      <c r="AE386" s="54">
        <v>1074225</v>
      </c>
      <c r="AG386" s="4"/>
      <c r="AH386" s="4"/>
      <c r="AI386" s="225"/>
      <c r="AJ386" s="226"/>
      <c r="AK386" s="227"/>
      <c r="AL386" s="227"/>
      <c r="AM386" s="225"/>
      <c r="AN386" s="226"/>
      <c r="AO386" s="228"/>
    </row>
    <row r="387" spans="2:41" x14ac:dyDescent="0.25">
      <c r="C387" s="39">
        <v>2018</v>
      </c>
      <c r="D387" s="62" t="s">
        <v>1295</v>
      </c>
      <c r="E387" s="63" t="s">
        <v>1296</v>
      </c>
      <c r="F387" s="64">
        <v>43363</v>
      </c>
      <c r="G387" s="65" t="s">
        <v>1225</v>
      </c>
      <c r="H387" s="94">
        <v>1700000</v>
      </c>
      <c r="I387" s="94">
        <v>1560315</v>
      </c>
      <c r="J387" s="105" t="s">
        <v>519</v>
      </c>
      <c r="K387" s="26">
        <v>-8.2167647058823526E-2</v>
      </c>
      <c r="L387" s="11" t="s">
        <v>464</v>
      </c>
      <c r="M387" s="15">
        <v>2</v>
      </c>
      <c r="N387" s="35" t="s">
        <v>25</v>
      </c>
      <c r="O387" s="15">
        <v>3</v>
      </c>
      <c r="P387" s="35" t="s">
        <v>459</v>
      </c>
      <c r="Q387" s="35"/>
      <c r="R387" s="15"/>
      <c r="S387" s="24"/>
      <c r="T387" s="62" t="s">
        <v>447</v>
      </c>
      <c r="U387" s="62"/>
      <c r="V387" s="94">
        <v>2705657.5</v>
      </c>
      <c r="W387" s="199">
        <v>0.57668607353295831</v>
      </c>
      <c r="X387" s="15"/>
      <c r="Y387" s="200">
        <v>0.91783235294117649</v>
      </c>
      <c r="Z387" s="11" t="s">
        <v>465</v>
      </c>
      <c r="AA387" s="11"/>
      <c r="AB387" s="15"/>
      <c r="AC387" s="54">
        <v>1700000</v>
      </c>
      <c r="AD387" s="54">
        <v>1560315</v>
      </c>
      <c r="AE387" s="54">
        <v>139685</v>
      </c>
    </row>
    <row r="388" spans="2:41" x14ac:dyDescent="0.25">
      <c r="C388" s="39">
        <v>2018</v>
      </c>
      <c r="D388" s="62" t="s">
        <v>1271</v>
      </c>
      <c r="E388" s="63" t="s">
        <v>1272</v>
      </c>
      <c r="F388" s="64">
        <v>43350</v>
      </c>
      <c r="G388" s="65" t="s">
        <v>34</v>
      </c>
      <c r="H388" s="94">
        <v>17920000</v>
      </c>
      <c r="I388" s="94">
        <v>21068000</v>
      </c>
      <c r="J388" s="27"/>
      <c r="K388" s="26">
        <v>0.17566964285714284</v>
      </c>
      <c r="L388" s="11" t="s">
        <v>465</v>
      </c>
      <c r="M388" s="15">
        <v>2</v>
      </c>
      <c r="N388" s="35" t="s">
        <v>93</v>
      </c>
      <c r="O388" s="15">
        <v>3</v>
      </c>
      <c r="P388" s="35" t="s">
        <v>458</v>
      </c>
      <c r="Q388" s="35"/>
      <c r="R388" s="15"/>
      <c r="S388" s="24"/>
      <c r="T388" s="62" t="s">
        <v>536</v>
      </c>
      <c r="U388" s="62"/>
      <c r="V388" s="94">
        <v>22772500</v>
      </c>
      <c r="W388" s="199">
        <v>0.92515094961027555</v>
      </c>
      <c r="X388" s="15"/>
      <c r="Y388" s="200">
        <v>1.1756696428571429</v>
      </c>
      <c r="Z388" s="11" t="s">
        <v>465</v>
      </c>
      <c r="AA388" s="11"/>
      <c r="AB388" s="15"/>
      <c r="AC388" s="54">
        <v>17920000</v>
      </c>
      <c r="AD388" s="54">
        <v>21068000</v>
      </c>
      <c r="AE388" s="54">
        <v>-3148000</v>
      </c>
    </row>
    <row r="389" spans="2:41" x14ac:dyDescent="0.25">
      <c r="C389" s="39">
        <v>2018</v>
      </c>
      <c r="D389" s="62" t="s">
        <v>1223</v>
      </c>
      <c r="E389" s="63" t="s">
        <v>1224</v>
      </c>
      <c r="F389" s="64">
        <v>43326</v>
      </c>
      <c r="G389" s="65" t="s">
        <v>1225</v>
      </c>
      <c r="H389" s="94">
        <v>858000</v>
      </c>
      <c r="I389" s="94">
        <v>743300</v>
      </c>
      <c r="J389" s="105" t="s">
        <v>519</v>
      </c>
      <c r="K389" s="26">
        <v>-0.13368298368298367</v>
      </c>
      <c r="L389" s="11" t="s">
        <v>464</v>
      </c>
      <c r="M389" s="15">
        <v>2</v>
      </c>
      <c r="N389" s="35" t="s">
        <v>25</v>
      </c>
      <c r="O389" s="15">
        <v>3</v>
      </c>
      <c r="P389" s="35" t="s">
        <v>457</v>
      </c>
      <c r="Q389" s="35"/>
      <c r="R389" s="15"/>
      <c r="S389" s="24"/>
      <c r="T389" s="62" t="s">
        <v>1226</v>
      </c>
      <c r="U389" s="62"/>
      <c r="V389" s="94">
        <v>2139150</v>
      </c>
      <c r="W389" s="199">
        <v>0.34747446415632377</v>
      </c>
      <c r="X389" s="15"/>
      <c r="Y389" s="200">
        <v>0.8663170163170163</v>
      </c>
      <c r="Z389" s="11" t="s">
        <v>465</v>
      </c>
      <c r="AA389" s="11"/>
      <c r="AB389" s="15"/>
      <c r="AC389" s="54">
        <v>858000</v>
      </c>
      <c r="AD389" s="54">
        <v>743300</v>
      </c>
      <c r="AE389" s="54">
        <v>114700</v>
      </c>
    </row>
    <row r="390" spans="2:41" x14ac:dyDescent="0.25">
      <c r="C390" s="39">
        <v>2018</v>
      </c>
      <c r="D390" s="62" t="s">
        <v>1227</v>
      </c>
      <c r="E390" s="63" t="s">
        <v>1228</v>
      </c>
      <c r="F390" s="64">
        <v>43326</v>
      </c>
      <c r="G390" s="65" t="s">
        <v>1225</v>
      </c>
      <c r="H390" s="94">
        <v>1300000</v>
      </c>
      <c r="I390" s="94">
        <v>695800</v>
      </c>
      <c r="J390" s="105"/>
      <c r="K390" s="26">
        <v>-0.46476923076923077</v>
      </c>
      <c r="L390" s="11" t="s">
        <v>465</v>
      </c>
      <c r="M390" s="15">
        <v>2</v>
      </c>
      <c r="N390" s="35" t="s">
        <v>226</v>
      </c>
      <c r="O390" s="15">
        <v>3</v>
      </c>
      <c r="P390" s="35" t="s">
        <v>457</v>
      </c>
      <c r="Q390" s="35"/>
      <c r="R390" s="15"/>
      <c r="S390" s="24" t="s">
        <v>932</v>
      </c>
      <c r="T390" s="62" t="s">
        <v>1226</v>
      </c>
      <c r="U390" s="62"/>
      <c r="V390" s="94">
        <v>1057500</v>
      </c>
      <c r="W390" s="199">
        <v>0.65796690307328609</v>
      </c>
      <c r="X390" s="15"/>
      <c r="Y390" s="200">
        <v>0.53523076923076918</v>
      </c>
      <c r="Z390" s="11" t="s">
        <v>465</v>
      </c>
      <c r="AA390" s="11"/>
      <c r="AB390" s="15"/>
      <c r="AC390" s="54">
        <v>1300000</v>
      </c>
      <c r="AD390" s="54">
        <v>695800</v>
      </c>
      <c r="AE390" s="54">
        <v>604200</v>
      </c>
    </row>
    <row r="391" spans="2:41" x14ac:dyDescent="0.25">
      <c r="C391" s="39">
        <v>2018</v>
      </c>
      <c r="D391" s="62" t="s">
        <v>1275</v>
      </c>
      <c r="E391" s="63" t="s">
        <v>1276</v>
      </c>
      <c r="F391" s="64">
        <v>43299</v>
      </c>
      <c r="G391" s="65" t="s">
        <v>190</v>
      </c>
      <c r="H391" s="94">
        <v>34796400</v>
      </c>
      <c r="I391" s="94">
        <v>34483510</v>
      </c>
      <c r="J391" s="27" t="s">
        <v>519</v>
      </c>
      <c r="K391" s="26">
        <v>-8.9920221632122863E-3</v>
      </c>
      <c r="L391" s="11" t="s">
        <v>464</v>
      </c>
      <c r="M391" s="15">
        <v>2</v>
      </c>
      <c r="N391" s="35" t="s">
        <v>93</v>
      </c>
      <c r="O391" s="15">
        <v>3</v>
      </c>
      <c r="P391" s="35" t="s">
        <v>458</v>
      </c>
      <c r="Q391" s="35"/>
      <c r="R391" s="15"/>
      <c r="S391" s="24"/>
      <c r="T391" s="62" t="s">
        <v>784</v>
      </c>
      <c r="U391" s="62"/>
      <c r="V391" s="94">
        <v>35471255</v>
      </c>
      <c r="W391" s="199">
        <v>0.97215364948322236</v>
      </c>
      <c r="X391" s="15"/>
      <c r="Y391" s="200">
        <v>0.99100797783678773</v>
      </c>
      <c r="Z391" s="11" t="s">
        <v>465</v>
      </c>
      <c r="AA391" s="11"/>
      <c r="AB391" s="15"/>
      <c r="AC391" s="54">
        <v>34796400</v>
      </c>
      <c r="AD391" s="54">
        <v>34483510</v>
      </c>
      <c r="AE391" s="54">
        <v>312890</v>
      </c>
    </row>
    <row r="392" spans="2:41" x14ac:dyDescent="0.25">
      <c r="C392" s="39">
        <v>2018</v>
      </c>
      <c r="D392" s="62" t="s">
        <v>1299</v>
      </c>
      <c r="E392" s="63" t="s">
        <v>1300</v>
      </c>
      <c r="F392" s="64">
        <v>43264</v>
      </c>
      <c r="G392" s="65" t="s">
        <v>34</v>
      </c>
      <c r="H392" s="94">
        <v>38600000</v>
      </c>
      <c r="I392" s="94">
        <v>35950000</v>
      </c>
      <c r="J392" s="27" t="s">
        <v>519</v>
      </c>
      <c r="K392" s="26">
        <v>-6.8652849740932637E-2</v>
      </c>
      <c r="L392" s="11" t="s">
        <v>464</v>
      </c>
      <c r="M392" s="15">
        <v>2</v>
      </c>
      <c r="N392" s="35" t="s">
        <v>25</v>
      </c>
      <c r="O392" s="15">
        <v>2</v>
      </c>
      <c r="P392" s="35" t="s">
        <v>459</v>
      </c>
      <c r="Q392" s="35"/>
      <c r="R392" s="15"/>
      <c r="S392" s="24"/>
      <c r="T392" s="62" t="s">
        <v>447</v>
      </c>
      <c r="U392" s="62"/>
      <c r="V392" s="94">
        <v>39922000</v>
      </c>
      <c r="W392" s="199">
        <v>0.90050598667401438</v>
      </c>
      <c r="X392" s="15"/>
      <c r="Y392" s="200">
        <v>0.93134715025906734</v>
      </c>
      <c r="Z392" s="11" t="s">
        <v>465</v>
      </c>
      <c r="AA392" s="11"/>
      <c r="AB392" s="15"/>
      <c r="AC392" s="54">
        <v>38600000</v>
      </c>
      <c r="AD392" s="54">
        <v>35950000</v>
      </c>
      <c r="AE392" s="54">
        <v>2650000</v>
      </c>
    </row>
    <row r="393" spans="2:41" x14ac:dyDescent="0.25">
      <c r="C393" s="39">
        <v>2018</v>
      </c>
      <c r="D393" s="62" t="s">
        <v>1305</v>
      </c>
      <c r="E393" s="63" t="s">
        <v>1306</v>
      </c>
      <c r="F393" s="64">
        <v>43167</v>
      </c>
      <c r="G393" s="65" t="s">
        <v>34</v>
      </c>
      <c r="H393" s="94">
        <v>1600000</v>
      </c>
      <c r="I393" s="94">
        <v>1948000</v>
      </c>
      <c r="J393" s="105"/>
      <c r="K393" s="26">
        <v>0.2175</v>
      </c>
      <c r="L393" s="11" t="s">
        <v>465</v>
      </c>
      <c r="M393" s="15">
        <v>2</v>
      </c>
      <c r="N393" s="35" t="s">
        <v>25</v>
      </c>
      <c r="O393" s="15">
        <v>1</v>
      </c>
      <c r="P393" s="35" t="s">
        <v>459</v>
      </c>
      <c r="Q393" s="35" t="s">
        <v>1243</v>
      </c>
      <c r="R393" s="15"/>
      <c r="S393" s="24"/>
      <c r="T393" s="62" t="s">
        <v>447</v>
      </c>
      <c r="U393" s="62"/>
      <c r="V393" s="94">
        <v>2353500</v>
      </c>
      <c r="W393" s="199">
        <v>0.82770342043764611</v>
      </c>
      <c r="X393" s="15"/>
      <c r="Y393" s="200">
        <v>1.2175</v>
      </c>
      <c r="Z393" s="11" t="s">
        <v>465</v>
      </c>
      <c r="AA393" s="11"/>
      <c r="AB393" s="15"/>
      <c r="AC393" s="54">
        <v>1600000</v>
      </c>
      <c r="AD393" s="54">
        <v>1948000</v>
      </c>
      <c r="AE393" s="54">
        <v>-348000</v>
      </c>
    </row>
    <row r="394" spans="2:41" x14ac:dyDescent="0.25">
      <c r="C394" s="39">
        <v>2018</v>
      </c>
      <c r="D394" s="62" t="s">
        <v>1291</v>
      </c>
      <c r="E394" s="63" t="s">
        <v>1292</v>
      </c>
      <c r="F394" s="64">
        <v>43139</v>
      </c>
      <c r="G394" s="65" t="s">
        <v>190</v>
      </c>
      <c r="H394" s="94">
        <v>10590000</v>
      </c>
      <c r="I394" s="94">
        <v>9125000</v>
      </c>
      <c r="J394" s="27"/>
      <c r="K394" s="26">
        <v>-0.13833805476864966</v>
      </c>
      <c r="L394" s="11" t="s">
        <v>465</v>
      </c>
      <c r="M394" s="15">
        <v>2</v>
      </c>
      <c r="N394" s="35" t="s">
        <v>93</v>
      </c>
      <c r="O394" s="15">
        <v>1</v>
      </c>
      <c r="P394" s="35" t="s">
        <v>458</v>
      </c>
      <c r="Q394" s="35" t="s">
        <v>1235</v>
      </c>
      <c r="R394" s="15"/>
      <c r="S394" s="24"/>
      <c r="T394" s="62" t="s">
        <v>784</v>
      </c>
      <c r="U394" s="62"/>
      <c r="V394" s="94">
        <v>9478917</v>
      </c>
      <c r="W394" s="199">
        <v>0.96266271769232714</v>
      </c>
      <c r="X394" s="15"/>
      <c r="Y394" s="200">
        <v>0.86166194523135031</v>
      </c>
      <c r="Z394" s="11" t="s">
        <v>465</v>
      </c>
      <c r="AA394" s="11"/>
      <c r="AB394" s="15"/>
      <c r="AC394" s="54">
        <v>10590000</v>
      </c>
      <c r="AD394" s="54">
        <v>9125000</v>
      </c>
      <c r="AE394" s="54">
        <v>1465000</v>
      </c>
    </row>
    <row r="395" spans="2:41" x14ac:dyDescent="0.25">
      <c r="C395" s="39">
        <v>2018</v>
      </c>
      <c r="D395" s="62" t="s">
        <v>1307</v>
      </c>
      <c r="E395" s="63" t="s">
        <v>1308</v>
      </c>
      <c r="F395" s="64">
        <v>43118</v>
      </c>
      <c r="G395" s="65" t="s">
        <v>756</v>
      </c>
      <c r="H395" s="94">
        <v>26900000</v>
      </c>
      <c r="I395" s="94">
        <v>24990000</v>
      </c>
      <c r="J395" s="27" t="s">
        <v>519</v>
      </c>
      <c r="K395" s="26">
        <v>-7.1003717472118963E-2</v>
      </c>
      <c r="L395" s="11" t="s">
        <v>464</v>
      </c>
      <c r="M395" s="15">
        <v>2</v>
      </c>
      <c r="N395" s="35" t="s">
        <v>226</v>
      </c>
      <c r="O395" s="15">
        <v>1</v>
      </c>
      <c r="P395" s="35" t="s">
        <v>459</v>
      </c>
      <c r="Q395" s="35" t="s">
        <v>1246</v>
      </c>
      <c r="R395" s="15"/>
      <c r="S395" s="24"/>
      <c r="T395" s="62" t="s">
        <v>447</v>
      </c>
      <c r="U395" s="62"/>
      <c r="V395" s="94">
        <v>35017000</v>
      </c>
      <c r="W395" s="199">
        <v>0.71365336836393756</v>
      </c>
      <c r="X395" s="15"/>
      <c r="Y395" s="200">
        <v>0.92899628252788102</v>
      </c>
      <c r="Z395" s="11" t="s">
        <v>465</v>
      </c>
      <c r="AA395" s="11"/>
      <c r="AB395" s="15"/>
      <c r="AC395" s="54">
        <v>26900000</v>
      </c>
      <c r="AD395" s="54">
        <v>24990000</v>
      </c>
      <c r="AE395" s="54">
        <v>1910000</v>
      </c>
    </row>
    <row r="396" spans="2:41" x14ac:dyDescent="0.25">
      <c r="C396" s="39"/>
    </row>
    <row r="397" spans="2:41" x14ac:dyDescent="0.25">
      <c r="C397" s="39"/>
    </row>
    <row r="398" spans="2:41" x14ac:dyDescent="0.25">
      <c r="B398" s="224"/>
      <c r="C398" s="39">
        <v>2018</v>
      </c>
      <c r="D398" s="62" t="s">
        <v>1324</v>
      </c>
      <c r="E398" s="63" t="s">
        <v>1325</v>
      </c>
      <c r="F398" s="64">
        <v>43452</v>
      </c>
      <c r="G398" s="65" t="s">
        <v>34</v>
      </c>
      <c r="H398" s="94">
        <v>10250000</v>
      </c>
      <c r="I398" s="94">
        <v>8275000</v>
      </c>
      <c r="J398" s="94"/>
      <c r="K398" s="153">
        <v>-0.1926829268292683</v>
      </c>
      <c r="L398" s="11" t="s">
        <v>465</v>
      </c>
      <c r="M398" s="15">
        <v>3</v>
      </c>
      <c r="N398" s="35" t="s">
        <v>25</v>
      </c>
      <c r="O398" s="15">
        <v>4</v>
      </c>
      <c r="P398" s="35" t="s">
        <v>458</v>
      </c>
      <c r="Q398" s="35"/>
      <c r="R398" s="15"/>
      <c r="S398" s="24"/>
      <c r="T398" s="62" t="s">
        <v>784</v>
      </c>
      <c r="U398" s="62"/>
      <c r="V398" s="94">
        <v>9049324.666666666</v>
      </c>
      <c r="W398" s="199">
        <v>0.91443287812195495</v>
      </c>
      <c r="X398" s="15"/>
      <c r="Y398" s="200">
        <v>0.80731707317073176</v>
      </c>
      <c r="Z398" s="11" t="s">
        <v>465</v>
      </c>
      <c r="AA398" s="11"/>
      <c r="AB398" s="15"/>
      <c r="AC398" s="54">
        <v>10250000</v>
      </c>
      <c r="AD398" s="54">
        <v>8275000</v>
      </c>
      <c r="AE398" s="54">
        <v>1975000</v>
      </c>
      <c r="AG398" s="4"/>
      <c r="AH398" s="4"/>
      <c r="AI398" s="225"/>
      <c r="AJ398" s="226"/>
      <c r="AK398" s="227"/>
      <c r="AL398" s="227"/>
      <c r="AM398" s="225"/>
      <c r="AN398" s="226"/>
      <c r="AO398" s="228"/>
    </row>
    <row r="399" spans="2:41" x14ac:dyDescent="0.25">
      <c r="B399" s="224"/>
      <c r="C399" s="39">
        <v>2018</v>
      </c>
      <c r="D399" s="62" t="s">
        <v>1328</v>
      </c>
      <c r="E399" s="63" t="s">
        <v>1329</v>
      </c>
      <c r="F399" s="64">
        <v>43440</v>
      </c>
      <c r="G399" s="65" t="s">
        <v>1225</v>
      </c>
      <c r="H399" s="94">
        <v>1500000</v>
      </c>
      <c r="I399" s="94">
        <v>2546000</v>
      </c>
      <c r="J399" s="105"/>
      <c r="K399" s="153">
        <v>0.69733333333333336</v>
      </c>
      <c r="L399" s="11" t="s">
        <v>465</v>
      </c>
      <c r="M399" s="15">
        <v>3</v>
      </c>
      <c r="N399" s="35" t="s">
        <v>25</v>
      </c>
      <c r="O399" s="15">
        <v>4</v>
      </c>
      <c r="P399" s="35" t="s">
        <v>459</v>
      </c>
      <c r="Q399" s="35"/>
      <c r="R399" s="15"/>
      <c r="S399" s="24"/>
      <c r="T399" s="62" t="s">
        <v>447</v>
      </c>
      <c r="U399" s="62"/>
      <c r="V399" s="94">
        <v>4262816.666666667</v>
      </c>
      <c r="W399" s="199">
        <v>0.59725768173625415</v>
      </c>
      <c r="X399" s="15"/>
      <c r="Y399" s="200">
        <v>1.6973333333333334</v>
      </c>
      <c r="Z399" s="11" t="s">
        <v>465</v>
      </c>
      <c r="AA399" s="11"/>
      <c r="AB399" s="15"/>
      <c r="AC399" s="54">
        <v>1500000</v>
      </c>
      <c r="AD399" s="54">
        <v>2546000</v>
      </c>
      <c r="AE399" s="54">
        <v>-1046000</v>
      </c>
      <c r="AG399" s="4"/>
      <c r="AH399" s="4"/>
      <c r="AI399" s="225"/>
      <c r="AJ399" s="226"/>
      <c r="AK399" s="227"/>
      <c r="AL399" s="227"/>
      <c r="AM399" s="225"/>
      <c r="AN399" s="226"/>
      <c r="AO399" s="228"/>
    </row>
    <row r="400" spans="2:41" x14ac:dyDescent="0.25">
      <c r="B400" s="224"/>
      <c r="C400" s="39">
        <v>2018</v>
      </c>
      <c r="D400" s="62" t="s">
        <v>1344</v>
      </c>
      <c r="E400" s="63" t="s">
        <v>1345</v>
      </c>
      <c r="F400" s="64">
        <v>43413</v>
      </c>
      <c r="G400" s="65" t="s">
        <v>34</v>
      </c>
      <c r="H400" s="94">
        <v>186355200</v>
      </c>
      <c r="I400" s="94">
        <v>152100000</v>
      </c>
      <c r="J400" s="94"/>
      <c r="K400" s="153">
        <v>-0.18381671131259014</v>
      </c>
      <c r="L400" s="11" t="s">
        <v>465</v>
      </c>
      <c r="M400" s="15">
        <v>3</v>
      </c>
      <c r="N400" s="35" t="s">
        <v>93</v>
      </c>
      <c r="O400" s="15">
        <v>4</v>
      </c>
      <c r="P400" s="35" t="s">
        <v>458</v>
      </c>
      <c r="Q400" s="35"/>
      <c r="R400" s="15"/>
      <c r="S400" s="24"/>
      <c r="T400" s="62" t="s">
        <v>442</v>
      </c>
      <c r="U400" s="62"/>
      <c r="V400" s="94">
        <v>157872084</v>
      </c>
      <c r="W400" s="199">
        <v>0.96343822255491351</v>
      </c>
      <c r="X400" s="15"/>
      <c r="Y400" s="200">
        <v>0.81618328868740986</v>
      </c>
      <c r="Z400" s="11" t="s">
        <v>465</v>
      </c>
      <c r="AA400" s="11"/>
      <c r="AB400" s="15"/>
      <c r="AC400" s="54">
        <v>186355200</v>
      </c>
      <c r="AD400" s="54">
        <v>152100000</v>
      </c>
      <c r="AE400" s="54">
        <v>34255200</v>
      </c>
      <c r="AG400" s="4"/>
      <c r="AH400" s="4"/>
      <c r="AI400" s="225"/>
      <c r="AJ400" s="226"/>
      <c r="AK400" s="227"/>
      <c r="AL400" s="227"/>
      <c r="AM400" s="225"/>
      <c r="AN400" s="226"/>
      <c r="AO400" s="228"/>
    </row>
    <row r="401" spans="2:41" x14ac:dyDescent="0.25">
      <c r="B401" s="224"/>
      <c r="C401" s="39">
        <v>2018</v>
      </c>
      <c r="D401" s="62" t="s">
        <v>1346</v>
      </c>
      <c r="E401" s="63" t="s">
        <v>1347</v>
      </c>
      <c r="F401" s="64">
        <v>43412</v>
      </c>
      <c r="G401" s="65" t="s">
        <v>34</v>
      </c>
      <c r="H401" s="94">
        <v>784000</v>
      </c>
      <c r="I401" s="94">
        <v>968530</v>
      </c>
      <c r="J401" s="105"/>
      <c r="K401" s="153">
        <v>0.23536989795918367</v>
      </c>
      <c r="L401" s="11" t="s">
        <v>465</v>
      </c>
      <c r="M401" s="15">
        <v>3</v>
      </c>
      <c r="N401" s="35" t="s">
        <v>93</v>
      </c>
      <c r="O401" s="15">
        <v>4</v>
      </c>
      <c r="P401" s="35" t="s">
        <v>458</v>
      </c>
      <c r="Q401" s="35"/>
      <c r="R401" s="15"/>
      <c r="S401" s="24"/>
      <c r="T401" s="62" t="s">
        <v>784</v>
      </c>
      <c r="U401" s="62"/>
      <c r="V401" s="94">
        <v>1009710</v>
      </c>
      <c r="W401" s="199">
        <v>0.9592160125184459</v>
      </c>
      <c r="X401" s="15"/>
      <c r="Y401" s="200">
        <v>1.2353698979591836</v>
      </c>
      <c r="Z401" s="11" t="s">
        <v>465</v>
      </c>
      <c r="AA401" s="11"/>
      <c r="AB401" s="15"/>
      <c r="AC401" s="54">
        <v>784000</v>
      </c>
      <c r="AD401" s="54">
        <v>968530</v>
      </c>
      <c r="AE401" s="54">
        <v>-184530</v>
      </c>
      <c r="AG401" s="4"/>
      <c r="AH401" s="4"/>
      <c r="AI401" s="225"/>
      <c r="AJ401" s="226"/>
      <c r="AK401" s="227"/>
      <c r="AL401" s="227"/>
      <c r="AM401" s="225"/>
      <c r="AN401" s="226"/>
      <c r="AO401" s="228"/>
    </row>
    <row r="402" spans="2:41" x14ac:dyDescent="0.25">
      <c r="B402" s="52"/>
      <c r="C402" s="39">
        <v>2018</v>
      </c>
      <c r="D402" s="62" t="s">
        <v>1269</v>
      </c>
      <c r="E402" s="63" t="s">
        <v>1270</v>
      </c>
      <c r="F402" s="64">
        <v>43368</v>
      </c>
      <c r="G402" s="65" t="s">
        <v>1225</v>
      </c>
      <c r="H402" s="94">
        <v>760000</v>
      </c>
      <c r="I402" s="94">
        <v>994150</v>
      </c>
      <c r="J402" s="105"/>
      <c r="K402" s="26">
        <v>0.30809210526315789</v>
      </c>
      <c r="L402" s="11" t="s">
        <v>465</v>
      </c>
      <c r="M402" s="15">
        <v>3</v>
      </c>
      <c r="N402" s="35" t="s">
        <v>25</v>
      </c>
      <c r="O402" s="15">
        <v>3</v>
      </c>
      <c r="P402" s="35" t="s">
        <v>458</v>
      </c>
      <c r="Q402" s="35"/>
      <c r="R402" s="15"/>
      <c r="S402" s="24"/>
      <c r="T402" s="62" t="s">
        <v>784</v>
      </c>
      <c r="U402" s="62"/>
      <c r="V402" s="94">
        <v>2705657.5</v>
      </c>
      <c r="W402" s="199">
        <v>0.36743379381906244</v>
      </c>
      <c r="X402" s="15"/>
      <c r="Y402" s="200">
        <v>1.308092105263158</v>
      </c>
      <c r="Z402" s="11" t="s">
        <v>465</v>
      </c>
      <c r="AA402" s="11"/>
      <c r="AB402" s="15"/>
      <c r="AC402" s="54">
        <v>760000</v>
      </c>
      <c r="AD402" s="54">
        <v>994150</v>
      </c>
      <c r="AE402" s="54">
        <v>-234150</v>
      </c>
    </row>
    <row r="403" spans="2:41" x14ac:dyDescent="0.25">
      <c r="B403" s="52"/>
      <c r="C403" s="39">
        <v>2018</v>
      </c>
      <c r="D403" s="62" t="s">
        <v>1258</v>
      </c>
      <c r="E403" s="63" t="s">
        <v>712</v>
      </c>
      <c r="F403" s="64">
        <v>43340</v>
      </c>
      <c r="G403" s="65" t="s">
        <v>34</v>
      </c>
      <c r="H403" s="94">
        <v>2500000</v>
      </c>
      <c r="I403" s="94">
        <v>2952000</v>
      </c>
      <c r="J403" s="105"/>
      <c r="K403" s="26">
        <v>0.18079999999999999</v>
      </c>
      <c r="L403" s="11" t="s">
        <v>465</v>
      </c>
      <c r="M403" s="15">
        <v>3</v>
      </c>
      <c r="N403" s="35" t="s">
        <v>93</v>
      </c>
      <c r="O403" s="15">
        <v>3</v>
      </c>
      <c r="P403" s="35" t="s">
        <v>457</v>
      </c>
      <c r="Q403" s="35"/>
      <c r="R403" s="15"/>
      <c r="S403" s="24"/>
      <c r="T403" s="62" t="s">
        <v>1226</v>
      </c>
      <c r="U403" s="62"/>
      <c r="V403" s="94">
        <v>2139150</v>
      </c>
      <c r="W403" s="199">
        <v>1.379987378164224</v>
      </c>
      <c r="X403" s="15"/>
      <c r="Y403" s="200">
        <v>1.1808000000000001</v>
      </c>
      <c r="Z403" s="11" t="s">
        <v>465</v>
      </c>
      <c r="AA403" s="11"/>
      <c r="AB403" s="15"/>
      <c r="AC403" s="54">
        <v>2500000</v>
      </c>
      <c r="AD403" s="54">
        <v>2952000</v>
      </c>
      <c r="AE403" s="54">
        <v>-452000</v>
      </c>
    </row>
    <row r="404" spans="2:41" x14ac:dyDescent="0.25">
      <c r="B404" s="52"/>
      <c r="C404" s="39">
        <v>2018</v>
      </c>
      <c r="D404" s="62" t="s">
        <v>1273</v>
      </c>
      <c r="E404" s="63" t="s">
        <v>1274</v>
      </c>
      <c r="F404" s="64">
        <v>43311</v>
      </c>
      <c r="G404" s="65" t="s">
        <v>190</v>
      </c>
      <c r="H404" s="94">
        <v>9350000</v>
      </c>
      <c r="I404" s="94">
        <v>6855365</v>
      </c>
      <c r="J404" s="27" t="s">
        <v>519</v>
      </c>
      <c r="K404" s="26">
        <v>-0.26680588235294117</v>
      </c>
      <c r="L404" s="11" t="s">
        <v>464</v>
      </c>
      <c r="M404" s="15">
        <v>3</v>
      </c>
      <c r="N404" s="35" t="s">
        <v>25</v>
      </c>
      <c r="O404" s="15">
        <v>3</v>
      </c>
      <c r="P404" s="35" t="s">
        <v>458</v>
      </c>
      <c r="Q404" s="35"/>
      <c r="R404" s="15"/>
      <c r="S404" s="24" t="s">
        <v>932</v>
      </c>
      <c r="T404" s="62" t="s">
        <v>784</v>
      </c>
      <c r="U404" s="62"/>
      <c r="V404" s="94">
        <v>10087545</v>
      </c>
      <c r="W404" s="199">
        <v>0.67958705512590034</v>
      </c>
      <c r="X404" s="15"/>
      <c r="Y404" s="200">
        <v>0.73319411764705877</v>
      </c>
      <c r="Z404" s="11" t="s">
        <v>465</v>
      </c>
      <c r="AA404" s="11"/>
      <c r="AB404" s="15"/>
      <c r="AC404" s="54">
        <v>9350000</v>
      </c>
      <c r="AD404" s="54">
        <v>6855365</v>
      </c>
      <c r="AE404" s="54">
        <v>2494635</v>
      </c>
    </row>
    <row r="405" spans="2:41" x14ac:dyDescent="0.25">
      <c r="B405" s="224"/>
      <c r="C405" s="39">
        <v>2018</v>
      </c>
      <c r="D405" s="62" t="s">
        <v>1277</v>
      </c>
      <c r="E405" s="63" t="s">
        <v>1278</v>
      </c>
      <c r="F405" s="64">
        <v>43287</v>
      </c>
      <c r="G405" s="65" t="s">
        <v>190</v>
      </c>
      <c r="H405" s="94">
        <v>3730000</v>
      </c>
      <c r="I405" s="94">
        <v>4547000</v>
      </c>
      <c r="J405" s="105"/>
      <c r="K405" s="26">
        <v>0.2190348525469169</v>
      </c>
      <c r="L405" s="11" t="s">
        <v>465</v>
      </c>
      <c r="M405" s="15">
        <v>3</v>
      </c>
      <c r="N405" s="35" t="s">
        <v>25</v>
      </c>
      <c r="O405" s="15">
        <v>3</v>
      </c>
      <c r="P405" s="35" t="s">
        <v>458</v>
      </c>
      <c r="Q405" s="35"/>
      <c r="R405" s="15"/>
      <c r="S405" s="24"/>
      <c r="T405" s="62" t="s">
        <v>784</v>
      </c>
      <c r="U405" s="62"/>
      <c r="V405" s="94">
        <v>4717276.666666667</v>
      </c>
      <c r="W405" s="199">
        <v>0.96390360822593257</v>
      </c>
      <c r="X405" s="15"/>
      <c r="Y405" s="200">
        <v>1.2190348525469168</v>
      </c>
      <c r="Z405" s="11" t="s">
        <v>465</v>
      </c>
      <c r="AA405" s="11"/>
      <c r="AB405" s="15"/>
      <c r="AC405" s="54">
        <v>3730000</v>
      </c>
      <c r="AD405" s="54">
        <v>4547000</v>
      </c>
      <c r="AE405" s="54">
        <v>-817000</v>
      </c>
      <c r="AG405" s="4">
        <v>203524650</v>
      </c>
      <c r="AH405" s="4">
        <v>173859860</v>
      </c>
      <c r="AI405" s="209">
        <v>0.85424473153497626</v>
      </c>
      <c r="AJ405" s="1" t="s">
        <v>1240</v>
      </c>
      <c r="AK405" s="210">
        <v>757144150</v>
      </c>
      <c r="AL405" s="210">
        <v>573649474</v>
      </c>
      <c r="AM405" s="211">
        <v>0.75764895495791651</v>
      </c>
      <c r="AN405" s="212"/>
      <c r="AO405" s="213"/>
    </row>
    <row r="406" spans="2:41" x14ac:dyDescent="0.25">
      <c r="B406" s="224"/>
      <c r="C406" s="39">
        <v>2018</v>
      </c>
      <c r="D406" s="62" t="s">
        <v>1281</v>
      </c>
      <c r="E406" s="63" t="s">
        <v>1282</v>
      </c>
      <c r="F406" s="64">
        <v>43193</v>
      </c>
      <c r="G406" s="65" t="s">
        <v>34</v>
      </c>
      <c r="H406" s="94">
        <v>3441000</v>
      </c>
      <c r="I406" s="94">
        <v>2993080</v>
      </c>
      <c r="J406" s="105" t="s">
        <v>519</v>
      </c>
      <c r="K406" s="26">
        <v>-0.13017146178436501</v>
      </c>
      <c r="L406" s="11" t="s">
        <v>464</v>
      </c>
      <c r="M406" s="15">
        <v>3</v>
      </c>
      <c r="N406" s="35" t="s">
        <v>25</v>
      </c>
      <c r="O406" s="15">
        <v>2</v>
      </c>
      <c r="P406" s="35" t="s">
        <v>458</v>
      </c>
      <c r="Q406" s="35" t="s">
        <v>1235</v>
      </c>
      <c r="R406" s="15"/>
      <c r="S406" s="24"/>
      <c r="T406" s="62" t="s">
        <v>784</v>
      </c>
      <c r="U406" s="62"/>
      <c r="V406" s="94">
        <v>3534026.6666666665</v>
      </c>
      <c r="W406" s="199">
        <v>0.84693192279250873</v>
      </c>
      <c r="X406" s="15"/>
      <c r="Y406" s="200">
        <v>0.86982853821563499</v>
      </c>
      <c r="Z406" s="11" t="s">
        <v>465</v>
      </c>
      <c r="AA406" s="74">
        <v>0</v>
      </c>
      <c r="AB406" s="15"/>
      <c r="AC406" s="54">
        <v>3441000</v>
      </c>
      <c r="AD406" s="54">
        <v>2993080</v>
      </c>
      <c r="AE406" s="54">
        <v>447920</v>
      </c>
      <c r="AG406" s="4">
        <v>215665500</v>
      </c>
      <c r="AH406" s="4">
        <v>170989542</v>
      </c>
      <c r="AI406" s="209">
        <v>0.79284606021825466</v>
      </c>
      <c r="AJ406" s="1" t="s">
        <v>1240</v>
      </c>
      <c r="AK406" s="210">
        <v>553619500</v>
      </c>
      <c r="AL406" s="210">
        <v>399789614</v>
      </c>
      <c r="AM406" s="211">
        <v>0.72213788351024488</v>
      </c>
      <c r="AN406" s="212"/>
      <c r="AO406" s="213"/>
    </row>
    <row r="407" spans="2:41" x14ac:dyDescent="0.25">
      <c r="B407" s="52"/>
      <c r="C407" s="39">
        <v>2018</v>
      </c>
      <c r="D407" s="62" t="s">
        <v>1233</v>
      </c>
      <c r="E407" s="63" t="s">
        <v>1234</v>
      </c>
      <c r="F407" s="64">
        <v>43173</v>
      </c>
      <c r="G407" s="65" t="s">
        <v>693</v>
      </c>
      <c r="H407" s="94">
        <v>600000</v>
      </c>
      <c r="I407" s="94">
        <v>749000</v>
      </c>
      <c r="J407" s="105"/>
      <c r="K407" s="26">
        <v>0.24833333333333332</v>
      </c>
      <c r="L407" s="11" t="s">
        <v>465</v>
      </c>
      <c r="M407" s="15">
        <v>3</v>
      </c>
      <c r="N407" s="35" t="s">
        <v>25</v>
      </c>
      <c r="O407" s="15">
        <v>1</v>
      </c>
      <c r="P407" s="35" t="s">
        <v>457</v>
      </c>
      <c r="Q407" s="35" t="s">
        <v>1235</v>
      </c>
      <c r="R407" s="15"/>
      <c r="S407" s="24"/>
      <c r="T407" s="62" t="s">
        <v>1226</v>
      </c>
      <c r="U407" s="62"/>
      <c r="V407" s="94">
        <v>994735</v>
      </c>
      <c r="W407" s="199">
        <v>0.75296435734140243</v>
      </c>
      <c r="X407" s="15"/>
      <c r="Y407" s="200">
        <v>1.2483333333333333</v>
      </c>
      <c r="Z407" s="11" t="s">
        <v>465</v>
      </c>
      <c r="AA407" s="11"/>
      <c r="AB407" s="15"/>
      <c r="AC407" s="54">
        <v>600000</v>
      </c>
      <c r="AD407" s="54">
        <v>749000</v>
      </c>
      <c r="AE407" s="54">
        <v>-149000</v>
      </c>
    </row>
    <row r="408" spans="2:41" x14ac:dyDescent="0.25">
      <c r="C408" s="39"/>
      <c r="L408" s="11"/>
    </row>
    <row r="409" spans="2:41" x14ac:dyDescent="0.25">
      <c r="C409" s="39"/>
      <c r="L409" s="11"/>
    </row>
    <row r="410" spans="2:41" x14ac:dyDescent="0.25">
      <c r="B410" s="224"/>
      <c r="C410" s="39">
        <v>2018</v>
      </c>
      <c r="D410" s="62" t="s">
        <v>1326</v>
      </c>
      <c r="E410" s="63" t="s">
        <v>1327</v>
      </c>
      <c r="F410" s="64">
        <v>43441</v>
      </c>
      <c r="G410" s="65" t="s">
        <v>34</v>
      </c>
      <c r="H410" s="94">
        <v>5000000</v>
      </c>
      <c r="I410" s="94">
        <v>4380000</v>
      </c>
      <c r="J410" s="105" t="s">
        <v>519</v>
      </c>
      <c r="K410" s="153">
        <v>-0.124</v>
      </c>
      <c r="L410" s="11" t="s">
        <v>464</v>
      </c>
      <c r="M410" s="15">
        <v>4</v>
      </c>
      <c r="N410" s="35" t="s">
        <v>25</v>
      </c>
      <c r="O410" s="15">
        <v>4</v>
      </c>
      <c r="P410" s="35" t="s">
        <v>459</v>
      </c>
      <c r="Q410" s="35"/>
      <c r="R410" s="15"/>
      <c r="S410" s="24"/>
      <c r="T410" s="62" t="s">
        <v>447</v>
      </c>
      <c r="U410" s="62"/>
      <c r="V410" s="94">
        <v>5853509.5</v>
      </c>
      <c r="W410" s="199">
        <v>0.74826905124182341</v>
      </c>
      <c r="X410" s="15"/>
      <c r="Y410" s="200">
        <v>0.876</v>
      </c>
      <c r="Z410" s="11" t="s">
        <v>465</v>
      </c>
      <c r="AA410" s="11"/>
      <c r="AB410" s="15"/>
      <c r="AC410" s="54">
        <v>5000000</v>
      </c>
      <c r="AD410" s="54">
        <v>4380000</v>
      </c>
      <c r="AE410" s="54">
        <v>620000</v>
      </c>
      <c r="AG410" s="4"/>
      <c r="AH410" s="4"/>
      <c r="AI410" s="225"/>
      <c r="AJ410" s="226"/>
      <c r="AK410" s="227"/>
      <c r="AL410" s="227"/>
      <c r="AM410" s="225"/>
      <c r="AN410" s="226"/>
      <c r="AO410" s="228"/>
    </row>
    <row r="411" spans="2:41" x14ac:dyDescent="0.25">
      <c r="B411" s="224"/>
      <c r="C411" s="39">
        <v>2018</v>
      </c>
      <c r="D411" s="62" t="s">
        <v>1332</v>
      </c>
      <c r="E411" s="63" t="s">
        <v>1333</v>
      </c>
      <c r="F411" s="64">
        <v>43419</v>
      </c>
      <c r="G411" s="65" t="s">
        <v>34</v>
      </c>
      <c r="H411" s="94">
        <v>12570000</v>
      </c>
      <c r="I411" s="94">
        <v>9714000</v>
      </c>
      <c r="J411" s="94"/>
      <c r="K411" s="153">
        <v>-0.22720763723150358</v>
      </c>
      <c r="L411" s="11" t="s">
        <v>465</v>
      </c>
      <c r="M411" s="15">
        <v>4</v>
      </c>
      <c r="N411" s="35" t="s">
        <v>25</v>
      </c>
      <c r="O411" s="15">
        <v>4</v>
      </c>
      <c r="P411" s="35" t="s">
        <v>458</v>
      </c>
      <c r="Q411" s="35"/>
      <c r="R411" s="15"/>
      <c r="S411" s="24"/>
      <c r="T411" s="62" t="s">
        <v>784</v>
      </c>
      <c r="U411" s="62"/>
      <c r="V411" s="94">
        <v>10579250</v>
      </c>
      <c r="W411" s="199">
        <v>0.91821253869603237</v>
      </c>
      <c r="X411" s="15"/>
      <c r="Y411" s="200">
        <v>0.77279236276849639</v>
      </c>
      <c r="Z411" s="11" t="s">
        <v>465</v>
      </c>
      <c r="AA411" s="11"/>
      <c r="AB411" s="15"/>
      <c r="AC411" s="54">
        <v>12570000</v>
      </c>
      <c r="AD411" s="54">
        <v>9714000</v>
      </c>
      <c r="AE411" s="54">
        <v>2856000</v>
      </c>
      <c r="AG411" s="4"/>
      <c r="AH411" s="4"/>
      <c r="AI411" s="225"/>
      <c r="AJ411" s="226"/>
      <c r="AK411" s="227"/>
      <c r="AL411" s="227"/>
      <c r="AM411" s="225"/>
      <c r="AN411" s="226"/>
      <c r="AO411" s="228"/>
    </row>
    <row r="412" spans="2:41" x14ac:dyDescent="0.25">
      <c r="B412" s="224"/>
      <c r="C412" s="39">
        <v>2018</v>
      </c>
      <c r="D412" s="62" t="s">
        <v>1354</v>
      </c>
      <c r="E412" s="63" t="s">
        <v>1355</v>
      </c>
      <c r="F412" s="64">
        <v>43412</v>
      </c>
      <c r="G412" s="65" t="s">
        <v>34</v>
      </c>
      <c r="H412" s="94">
        <v>9720000</v>
      </c>
      <c r="I412" s="94">
        <v>7666000</v>
      </c>
      <c r="J412" s="94"/>
      <c r="K412" s="153">
        <v>-0.21131687242798353</v>
      </c>
      <c r="L412" s="11" t="s">
        <v>465</v>
      </c>
      <c r="M412" s="15">
        <v>4</v>
      </c>
      <c r="N412" s="35" t="s">
        <v>226</v>
      </c>
      <c r="O412" s="15">
        <v>4</v>
      </c>
      <c r="P412" s="35" t="s">
        <v>459</v>
      </c>
      <c r="Q412" s="35"/>
      <c r="R412" s="15"/>
      <c r="S412" s="24"/>
      <c r="T412" s="62" t="s">
        <v>447</v>
      </c>
      <c r="U412" s="62"/>
      <c r="V412" s="94">
        <v>8557038.75</v>
      </c>
      <c r="W412" s="199">
        <v>0.89587066553835581</v>
      </c>
      <c r="X412" s="15"/>
      <c r="Y412" s="200">
        <v>0.78868312757201642</v>
      </c>
      <c r="Z412" s="11" t="s">
        <v>465</v>
      </c>
      <c r="AA412" s="11"/>
      <c r="AB412" s="15"/>
      <c r="AC412" s="54">
        <v>9720000</v>
      </c>
      <c r="AD412" s="54">
        <v>7666000</v>
      </c>
      <c r="AE412" s="54">
        <v>2054000</v>
      </c>
      <c r="AG412" s="4"/>
      <c r="AH412" s="4"/>
      <c r="AI412" s="225"/>
      <c r="AJ412" s="226"/>
      <c r="AK412" s="227"/>
      <c r="AL412" s="227"/>
      <c r="AM412" s="225"/>
      <c r="AN412" s="226"/>
      <c r="AO412" s="228"/>
    </row>
    <row r="413" spans="2:41" x14ac:dyDescent="0.25">
      <c r="B413" s="224"/>
      <c r="C413" s="39">
        <v>2018</v>
      </c>
      <c r="D413" s="62" t="s">
        <v>1318</v>
      </c>
      <c r="E413" s="63" t="s">
        <v>1319</v>
      </c>
      <c r="F413" s="64">
        <v>43410</v>
      </c>
      <c r="G413" s="65" t="s">
        <v>1225</v>
      </c>
      <c r="H413" s="94">
        <v>2215000</v>
      </c>
      <c r="I413" s="94">
        <v>1984098</v>
      </c>
      <c r="J413" s="105" t="s">
        <v>519</v>
      </c>
      <c r="K413" s="153">
        <v>-0.10424469525959368</v>
      </c>
      <c r="L413" s="11" t="s">
        <v>464</v>
      </c>
      <c r="M413" s="15">
        <v>4</v>
      </c>
      <c r="N413" s="35" t="s">
        <v>93</v>
      </c>
      <c r="O413" s="15">
        <v>4</v>
      </c>
      <c r="P413" s="35" t="s">
        <v>457</v>
      </c>
      <c r="Q413" s="35"/>
      <c r="R413" s="15"/>
      <c r="S413" s="24"/>
      <c r="T413" s="62" t="s">
        <v>1348</v>
      </c>
      <c r="U413" s="62"/>
      <c r="V413" s="94">
        <v>2858292.5</v>
      </c>
      <c r="W413" s="199">
        <v>0.69415498938614573</v>
      </c>
      <c r="X413" s="15"/>
      <c r="Y413" s="200">
        <v>0.89575530474040632</v>
      </c>
      <c r="Z413" s="11" t="s">
        <v>465</v>
      </c>
      <c r="AA413" s="11"/>
      <c r="AB413" s="15"/>
      <c r="AC413" s="54">
        <v>2215000</v>
      </c>
      <c r="AD413" s="54">
        <v>1984098</v>
      </c>
      <c r="AE413" s="54">
        <v>230902</v>
      </c>
      <c r="AG413" s="4"/>
      <c r="AH413" s="4"/>
      <c r="AI413" s="225"/>
      <c r="AJ413" s="226"/>
      <c r="AK413" s="227"/>
      <c r="AL413" s="227"/>
      <c r="AM413" s="225"/>
      <c r="AN413" s="226"/>
      <c r="AO413" s="228"/>
    </row>
    <row r="414" spans="2:41" x14ac:dyDescent="0.25">
      <c r="B414" s="224"/>
      <c r="C414" s="39">
        <v>2018</v>
      </c>
      <c r="D414" s="62" t="s">
        <v>1340</v>
      </c>
      <c r="E414" s="63" t="s">
        <v>1341</v>
      </c>
      <c r="F414" s="64">
        <v>43382</v>
      </c>
      <c r="G414" s="65" t="s">
        <v>34</v>
      </c>
      <c r="H414" s="94">
        <v>1130000</v>
      </c>
      <c r="I414" s="94">
        <v>1383700</v>
      </c>
      <c r="J414" s="105"/>
      <c r="K414" s="153">
        <v>0.22451327433628318</v>
      </c>
      <c r="L414" s="11" t="s">
        <v>465</v>
      </c>
      <c r="M414" s="15">
        <v>4</v>
      </c>
      <c r="N414" s="35" t="s">
        <v>25</v>
      </c>
      <c r="O414" s="15">
        <v>4</v>
      </c>
      <c r="P414" s="35" t="s">
        <v>457</v>
      </c>
      <c r="Q414" s="35"/>
      <c r="R414" s="15"/>
      <c r="S414" s="24"/>
      <c r="T414" s="62" t="s">
        <v>784</v>
      </c>
      <c r="U414" s="62"/>
      <c r="V414" s="94">
        <v>1772637.5</v>
      </c>
      <c r="W414" s="199">
        <v>0.78058824773818669</v>
      </c>
      <c r="X414" s="15"/>
      <c r="Y414" s="200">
        <v>1.2245132743362832</v>
      </c>
      <c r="Z414" s="11" t="s">
        <v>465</v>
      </c>
      <c r="AA414" s="11"/>
      <c r="AB414" s="15"/>
      <c r="AC414" s="54">
        <v>1130000</v>
      </c>
      <c r="AD414" s="54">
        <v>1383700</v>
      </c>
      <c r="AE414" s="54">
        <v>-253700</v>
      </c>
      <c r="AG414" s="4"/>
      <c r="AH414" s="4"/>
      <c r="AI414" s="225"/>
      <c r="AJ414" s="226"/>
      <c r="AK414" s="227"/>
      <c r="AL414" s="227"/>
      <c r="AM414" s="225"/>
      <c r="AN414" s="226"/>
      <c r="AO414" s="228"/>
    </row>
    <row r="415" spans="2:41" x14ac:dyDescent="0.25">
      <c r="C415" s="39">
        <v>2018</v>
      </c>
      <c r="D415" s="62" t="s">
        <v>1297</v>
      </c>
      <c r="E415" s="63" t="s">
        <v>1298</v>
      </c>
      <c r="F415" s="64">
        <v>43356</v>
      </c>
      <c r="G415" s="65" t="s">
        <v>34</v>
      </c>
      <c r="H415" s="94">
        <v>5960000</v>
      </c>
      <c r="I415" s="94">
        <v>6956000</v>
      </c>
      <c r="J415" s="27"/>
      <c r="K415" s="26">
        <v>0.16711409395973154</v>
      </c>
      <c r="L415" s="11" t="s">
        <v>465</v>
      </c>
      <c r="M415" s="15">
        <v>4</v>
      </c>
      <c r="N415" s="35" t="s">
        <v>25</v>
      </c>
      <c r="O415" s="15">
        <v>3</v>
      </c>
      <c r="P415" s="35" t="s">
        <v>459</v>
      </c>
      <c r="Q415" s="35"/>
      <c r="R415" s="15"/>
      <c r="S415" s="24"/>
      <c r="T415" s="62" t="s">
        <v>447</v>
      </c>
      <c r="U415" s="62"/>
      <c r="V415" s="94">
        <v>8933697.75</v>
      </c>
      <c r="W415" s="199">
        <v>0.77862495403988785</v>
      </c>
      <c r="X415" s="15"/>
      <c r="Y415" s="200">
        <v>1.1671140939597315</v>
      </c>
      <c r="Z415" s="11" t="s">
        <v>465</v>
      </c>
      <c r="AA415" s="11"/>
      <c r="AB415" s="15"/>
      <c r="AC415" s="54">
        <v>5960000</v>
      </c>
      <c r="AD415" s="54">
        <v>6956000</v>
      </c>
      <c r="AE415" s="54">
        <v>-996000</v>
      </c>
    </row>
    <row r="416" spans="2:41" x14ac:dyDescent="0.25">
      <c r="C416" s="39">
        <v>2018</v>
      </c>
      <c r="D416" s="62" t="s">
        <v>1259</v>
      </c>
      <c r="E416" s="63" t="s">
        <v>1260</v>
      </c>
      <c r="F416" s="64">
        <v>43319</v>
      </c>
      <c r="G416" s="65" t="s">
        <v>34</v>
      </c>
      <c r="H416" s="94">
        <v>54744000</v>
      </c>
      <c r="I416" s="94">
        <v>34776250</v>
      </c>
      <c r="J416" s="27" t="s">
        <v>519</v>
      </c>
      <c r="K416" s="26">
        <v>-0.36474773491158846</v>
      </c>
      <c r="L416" s="11" t="s">
        <v>464</v>
      </c>
      <c r="M416" s="15">
        <v>4</v>
      </c>
      <c r="N416" s="35" t="s">
        <v>93</v>
      </c>
      <c r="O416" s="15">
        <v>3</v>
      </c>
      <c r="P416" s="35" t="s">
        <v>457</v>
      </c>
      <c r="Q416" s="35"/>
      <c r="R416" s="15"/>
      <c r="S416" s="24" t="s">
        <v>932</v>
      </c>
      <c r="T416" s="62" t="s">
        <v>1226</v>
      </c>
      <c r="U416" s="62"/>
      <c r="V416" s="94">
        <v>49859526.25</v>
      </c>
      <c r="W416" s="199">
        <v>0.69748456544951631</v>
      </c>
      <c r="X416" s="15"/>
      <c r="Y416" s="200">
        <v>0.63525226508841148</v>
      </c>
      <c r="Z416" s="11" t="s">
        <v>465</v>
      </c>
      <c r="AA416" s="11"/>
      <c r="AB416" s="15"/>
      <c r="AC416" s="54">
        <v>54744000</v>
      </c>
      <c r="AD416" s="54">
        <v>34776250</v>
      </c>
      <c r="AE416" s="54">
        <v>19967750</v>
      </c>
    </row>
    <row r="417" spans="2:43" x14ac:dyDescent="0.25">
      <c r="C417" s="39">
        <v>2018</v>
      </c>
      <c r="D417" s="62" t="s">
        <v>1250</v>
      </c>
      <c r="E417" s="63" t="s">
        <v>1251</v>
      </c>
      <c r="F417" s="64">
        <v>43230</v>
      </c>
      <c r="G417" s="65" t="s">
        <v>34</v>
      </c>
      <c r="H417" s="94">
        <v>4390000</v>
      </c>
      <c r="I417" s="94">
        <v>4220000</v>
      </c>
      <c r="J417" s="105" t="s">
        <v>519</v>
      </c>
      <c r="K417" s="26">
        <v>-3.8724373576309798E-2</v>
      </c>
      <c r="L417" s="11" t="s">
        <v>464</v>
      </c>
      <c r="M417" s="15">
        <v>4</v>
      </c>
      <c r="N417" s="35" t="s">
        <v>93</v>
      </c>
      <c r="O417" s="15">
        <v>2</v>
      </c>
      <c r="P417" s="35" t="s">
        <v>492</v>
      </c>
      <c r="Q417" s="35"/>
      <c r="R417" s="15"/>
      <c r="S417" s="24"/>
      <c r="T417" s="62" t="s">
        <v>816</v>
      </c>
      <c r="U417" s="62"/>
      <c r="V417" s="94">
        <v>6081225</v>
      </c>
      <c r="W417" s="199">
        <v>0.69393913232942372</v>
      </c>
      <c r="X417" s="15"/>
      <c r="Y417" s="200">
        <v>0.96127562642369024</v>
      </c>
      <c r="Z417" s="11" t="s">
        <v>465</v>
      </c>
      <c r="AA417" s="11"/>
      <c r="AB417" s="15"/>
      <c r="AC417" s="54">
        <v>4390000</v>
      </c>
      <c r="AD417" s="54">
        <v>4220000</v>
      </c>
      <c r="AE417" s="54">
        <v>170000</v>
      </c>
    </row>
    <row r="418" spans="2:43" x14ac:dyDescent="0.25">
      <c r="C418" s="39">
        <v>2018</v>
      </c>
      <c r="D418" s="62" t="s">
        <v>1303</v>
      </c>
      <c r="E418" s="63" t="s">
        <v>1304</v>
      </c>
      <c r="F418" s="64">
        <v>43195</v>
      </c>
      <c r="G418" s="65" t="s">
        <v>34</v>
      </c>
      <c r="H418" s="94">
        <v>1520000</v>
      </c>
      <c r="I418" s="94">
        <v>856934</v>
      </c>
      <c r="J418" s="105" t="s">
        <v>519</v>
      </c>
      <c r="K418" s="26">
        <v>-0.43622763157894739</v>
      </c>
      <c r="L418" s="11" t="s">
        <v>464</v>
      </c>
      <c r="M418" s="15">
        <v>4</v>
      </c>
      <c r="N418" s="35" t="s">
        <v>25</v>
      </c>
      <c r="O418" s="15">
        <v>2</v>
      </c>
      <c r="P418" s="35" t="s">
        <v>459</v>
      </c>
      <c r="Q418" s="35" t="s">
        <v>1242</v>
      </c>
      <c r="R418" s="15"/>
      <c r="S418" s="24" t="s">
        <v>932</v>
      </c>
      <c r="T418" s="62" t="s">
        <v>447</v>
      </c>
      <c r="U418" s="62"/>
      <c r="V418" s="94">
        <v>1906983.5</v>
      </c>
      <c r="W418" s="199">
        <v>0.4493662373061959</v>
      </c>
      <c r="X418" s="15"/>
      <c r="Y418" s="200">
        <v>0.56377236842105261</v>
      </c>
      <c r="Z418" s="11" t="s">
        <v>465</v>
      </c>
      <c r="AA418" s="11"/>
      <c r="AB418" s="15"/>
      <c r="AC418" s="54">
        <v>1520000</v>
      </c>
      <c r="AD418" s="54">
        <v>856934</v>
      </c>
      <c r="AE418" s="54">
        <v>663066</v>
      </c>
    </row>
    <row r="419" spans="2:43" s="52" customFormat="1" x14ac:dyDescent="0.25">
      <c r="C419" s="101"/>
      <c r="L419" s="104"/>
      <c r="N419" s="104"/>
    </row>
    <row r="420" spans="2:43" s="52" customFormat="1" x14ac:dyDescent="0.25">
      <c r="C420" s="101"/>
      <c r="L420" s="104"/>
      <c r="N420" s="104"/>
    </row>
    <row r="421" spans="2:43" x14ac:dyDescent="0.25">
      <c r="B421" s="224"/>
      <c r="C421" s="39">
        <v>2018</v>
      </c>
      <c r="D421" s="62" t="s">
        <v>1314</v>
      </c>
      <c r="E421" s="63" t="s">
        <v>1315</v>
      </c>
      <c r="F421" s="64">
        <v>43433</v>
      </c>
      <c r="G421" s="65" t="s">
        <v>1225</v>
      </c>
      <c r="H421" s="94">
        <v>287000</v>
      </c>
      <c r="I421" s="94">
        <v>369034</v>
      </c>
      <c r="J421" s="105"/>
      <c r="K421" s="153">
        <v>0.28583275261324043</v>
      </c>
      <c r="L421" s="11" t="s">
        <v>465</v>
      </c>
      <c r="M421" s="15">
        <v>5</v>
      </c>
      <c r="N421" s="35" t="s">
        <v>93</v>
      </c>
      <c r="O421" s="15">
        <v>4</v>
      </c>
      <c r="P421" s="35" t="s">
        <v>458</v>
      </c>
      <c r="Q421" s="35"/>
      <c r="R421" s="15"/>
      <c r="S421" s="24"/>
      <c r="T421" s="62" t="s">
        <v>784</v>
      </c>
      <c r="U421" s="62"/>
      <c r="V421" s="94">
        <v>503308</v>
      </c>
      <c r="W421" s="199">
        <v>0.73321703608923361</v>
      </c>
      <c r="X421" s="15"/>
      <c r="Y421" s="200">
        <v>1.2858327526132405</v>
      </c>
      <c r="Z421" s="11" t="s">
        <v>465</v>
      </c>
      <c r="AA421" s="11"/>
      <c r="AB421" s="15"/>
      <c r="AC421" s="54">
        <v>287000</v>
      </c>
      <c r="AD421" s="54">
        <v>369034</v>
      </c>
      <c r="AE421" s="54">
        <v>-82034</v>
      </c>
      <c r="AG421" s="4"/>
      <c r="AH421" s="4"/>
      <c r="AI421" s="225"/>
      <c r="AJ421" s="226"/>
      <c r="AK421" s="227"/>
      <c r="AL421" s="227"/>
      <c r="AM421" s="225"/>
      <c r="AN421" s="226"/>
      <c r="AO421" s="228"/>
    </row>
    <row r="422" spans="2:43" x14ac:dyDescent="0.25">
      <c r="B422" s="224"/>
      <c r="C422" s="39">
        <v>2018</v>
      </c>
      <c r="D422" s="62" t="s">
        <v>1342</v>
      </c>
      <c r="E422" s="63" t="s">
        <v>1343</v>
      </c>
      <c r="F422" s="64">
        <v>43376</v>
      </c>
      <c r="G422" s="65" t="s">
        <v>34</v>
      </c>
      <c r="H422" s="94">
        <v>21700000</v>
      </c>
      <c r="I422" s="94">
        <v>15765000</v>
      </c>
      <c r="J422" s="94" t="s">
        <v>519</v>
      </c>
      <c r="K422" s="153">
        <v>-0.27350230414746546</v>
      </c>
      <c r="L422" s="11" t="s">
        <v>464</v>
      </c>
      <c r="M422" s="15">
        <v>5</v>
      </c>
      <c r="N422" s="35" t="s">
        <v>25</v>
      </c>
      <c r="O422" s="15">
        <v>4</v>
      </c>
      <c r="P422" s="35" t="s">
        <v>459</v>
      </c>
      <c r="Q422" s="35"/>
      <c r="R422" s="15"/>
      <c r="S422" s="24"/>
      <c r="T422" s="62" t="s">
        <v>447</v>
      </c>
      <c r="U422" s="62"/>
      <c r="V422" s="94">
        <v>26085716</v>
      </c>
      <c r="W422" s="199">
        <v>0.60435373903480361</v>
      </c>
      <c r="X422" s="15"/>
      <c r="Y422" s="200">
        <v>0.72649769585253454</v>
      </c>
      <c r="Z422" s="11" t="s">
        <v>465</v>
      </c>
      <c r="AA422" s="11"/>
      <c r="AB422" s="15"/>
      <c r="AC422" s="54">
        <v>21700000</v>
      </c>
      <c r="AD422" s="54">
        <v>15765000</v>
      </c>
      <c r="AE422" s="54">
        <v>5935000</v>
      </c>
      <c r="AG422" s="4">
        <v>405750200</v>
      </c>
      <c r="AH422" s="4">
        <v>351743588</v>
      </c>
      <c r="AI422" s="204">
        <v>0.86689689370455025</v>
      </c>
      <c r="AJ422" s="1" t="s">
        <v>1240</v>
      </c>
      <c r="AK422" s="205">
        <v>1162894350</v>
      </c>
      <c r="AL422" s="205">
        <v>925393062</v>
      </c>
      <c r="AM422" s="206">
        <v>0.795767097845131</v>
      </c>
      <c r="AN422" s="207" t="s">
        <v>1241</v>
      </c>
      <c r="AO422" s="208"/>
      <c r="AQ422" s="203">
        <v>0.5892857142857143</v>
      </c>
    </row>
    <row r="423" spans="2:43" x14ac:dyDescent="0.25">
      <c r="B423" s="52"/>
      <c r="C423" s="39">
        <v>2018</v>
      </c>
      <c r="D423" s="62" t="s">
        <v>1301</v>
      </c>
      <c r="E423" s="63" t="s">
        <v>1302</v>
      </c>
      <c r="F423" s="64">
        <v>43251</v>
      </c>
      <c r="G423" s="65" t="s">
        <v>34</v>
      </c>
      <c r="H423" s="94">
        <v>1567000</v>
      </c>
      <c r="I423" s="94">
        <v>918315</v>
      </c>
      <c r="J423" s="105" t="s">
        <v>519</v>
      </c>
      <c r="K423" s="26">
        <v>-0.41396617740906189</v>
      </c>
      <c r="L423" s="11" t="s">
        <v>464</v>
      </c>
      <c r="M423" s="15">
        <v>5</v>
      </c>
      <c r="N423" s="35" t="s">
        <v>25</v>
      </c>
      <c r="O423" s="15">
        <v>2</v>
      </c>
      <c r="P423" s="35" t="s">
        <v>459</v>
      </c>
      <c r="Q423" s="35"/>
      <c r="R423" s="15"/>
      <c r="S423" s="24" t="s">
        <v>932</v>
      </c>
      <c r="T423" s="62" t="s">
        <v>447</v>
      </c>
      <c r="U423" s="62"/>
      <c r="V423" s="94">
        <v>2609788.4</v>
      </c>
      <c r="W423" s="199">
        <v>0.351873354943259</v>
      </c>
      <c r="X423" s="15"/>
      <c r="Y423" s="200">
        <v>0.58603382259093806</v>
      </c>
      <c r="Z423" s="11" t="s">
        <v>465</v>
      </c>
      <c r="AA423" s="11"/>
      <c r="AB423" s="15"/>
      <c r="AC423" s="54">
        <v>1567000</v>
      </c>
      <c r="AD423" s="54">
        <v>918315</v>
      </c>
      <c r="AE423" s="54">
        <v>648685</v>
      </c>
    </row>
    <row r="424" spans="2:43" x14ac:dyDescent="0.25">
      <c r="B424" s="52"/>
      <c r="C424" s="39">
        <v>2018</v>
      </c>
      <c r="D424" s="62" t="s">
        <v>1231</v>
      </c>
      <c r="E424" s="63" t="s">
        <v>1232</v>
      </c>
      <c r="F424" s="64">
        <v>43221</v>
      </c>
      <c r="G424" s="65" t="s">
        <v>1225</v>
      </c>
      <c r="H424" s="94">
        <v>960000</v>
      </c>
      <c r="I424" s="94">
        <v>413834</v>
      </c>
      <c r="J424" s="105"/>
      <c r="K424" s="26">
        <v>-0.56892291666666661</v>
      </c>
      <c r="L424" s="11" t="s">
        <v>465</v>
      </c>
      <c r="M424" s="15">
        <v>5</v>
      </c>
      <c r="N424" s="35" t="s">
        <v>93</v>
      </c>
      <c r="O424" s="15">
        <v>2</v>
      </c>
      <c r="P424" s="35" t="s">
        <v>457</v>
      </c>
      <c r="Q424" s="35"/>
      <c r="R424" s="15"/>
      <c r="S424" s="24"/>
      <c r="T424" s="62" t="s">
        <v>816</v>
      </c>
      <c r="U424" s="62"/>
      <c r="V424" s="94">
        <v>710613.8</v>
      </c>
      <c r="W424" s="199">
        <v>0.58236133325865602</v>
      </c>
      <c r="X424" s="15"/>
      <c r="Y424" s="200">
        <v>0.43107708333333333</v>
      </c>
      <c r="Z424" s="11" t="s">
        <v>465</v>
      </c>
      <c r="AA424" s="11"/>
      <c r="AB424" s="15"/>
      <c r="AC424" s="54">
        <v>960000</v>
      </c>
      <c r="AD424" s="54">
        <v>413834</v>
      </c>
      <c r="AE424" s="54">
        <v>546166</v>
      </c>
    </row>
    <row r="425" spans="2:43" x14ac:dyDescent="0.25">
      <c r="B425" s="52"/>
      <c r="C425" s="39">
        <v>2018</v>
      </c>
      <c r="D425" s="62" t="s">
        <v>1252</v>
      </c>
      <c r="E425" s="63" t="s">
        <v>1253</v>
      </c>
      <c r="F425" s="64">
        <v>43193</v>
      </c>
      <c r="G425" s="65" t="s">
        <v>34</v>
      </c>
      <c r="H425" s="94">
        <v>9140000</v>
      </c>
      <c r="I425" s="94">
        <v>4659626</v>
      </c>
      <c r="J425" s="27" t="s">
        <v>519</v>
      </c>
      <c r="K425" s="26">
        <v>-0.49019409190371993</v>
      </c>
      <c r="L425" s="11" t="s">
        <v>464</v>
      </c>
      <c r="M425" s="15">
        <v>5</v>
      </c>
      <c r="N425" s="35" t="s">
        <v>93</v>
      </c>
      <c r="O425" s="15">
        <v>2</v>
      </c>
      <c r="P425" s="35" t="s">
        <v>492</v>
      </c>
      <c r="Q425" s="35" t="s">
        <v>1238</v>
      </c>
      <c r="R425" s="15"/>
      <c r="S425" s="24" t="s">
        <v>932</v>
      </c>
      <c r="T425" s="62" t="s">
        <v>816</v>
      </c>
      <c r="U425" s="62"/>
      <c r="V425" s="94">
        <v>10095414</v>
      </c>
      <c r="W425" s="199">
        <v>0.46155868397274247</v>
      </c>
      <c r="X425" s="15"/>
      <c r="Y425" s="200">
        <v>0.50980590809628012</v>
      </c>
      <c r="Z425" s="11" t="s">
        <v>465</v>
      </c>
      <c r="AA425" s="11"/>
      <c r="AB425" s="15"/>
      <c r="AC425" s="54">
        <v>9140000</v>
      </c>
      <c r="AD425" s="54">
        <v>4659626</v>
      </c>
      <c r="AE425" s="54">
        <v>4480374</v>
      </c>
    </row>
    <row r="426" spans="2:43" x14ac:dyDescent="0.25">
      <c r="B426" s="52"/>
      <c r="C426" s="39">
        <v>2018</v>
      </c>
      <c r="D426" s="62" t="s">
        <v>1309</v>
      </c>
      <c r="E426" s="63" t="s">
        <v>1310</v>
      </c>
      <c r="F426" s="64">
        <v>43110</v>
      </c>
      <c r="G426" s="65" t="s">
        <v>190</v>
      </c>
      <c r="H426" s="94">
        <v>200000000</v>
      </c>
      <c r="I426" s="94">
        <v>108511400</v>
      </c>
      <c r="J426" s="27"/>
      <c r="K426" s="26">
        <v>-0.45744299999999999</v>
      </c>
      <c r="L426" s="11" t="s">
        <v>465</v>
      </c>
      <c r="M426" s="15">
        <v>5</v>
      </c>
      <c r="N426" s="35" t="s">
        <v>226</v>
      </c>
      <c r="O426" s="15">
        <v>1</v>
      </c>
      <c r="P426" s="35" t="s">
        <v>459</v>
      </c>
      <c r="Q426" s="35" t="s">
        <v>1246</v>
      </c>
      <c r="R426" s="15"/>
      <c r="S426" s="24" t="s">
        <v>932</v>
      </c>
      <c r="T426" s="62" t="s">
        <v>447</v>
      </c>
      <c r="U426" s="62"/>
      <c r="V426" s="94">
        <v>136419680</v>
      </c>
      <c r="W426" s="199">
        <v>0.79542335827206168</v>
      </c>
      <c r="X426" s="15"/>
      <c r="Y426" s="200">
        <v>0.54255699999999996</v>
      </c>
      <c r="Z426" s="11" t="s">
        <v>465</v>
      </c>
      <c r="AA426" s="11"/>
      <c r="AB426" s="15"/>
      <c r="AC426" s="54">
        <v>200000000</v>
      </c>
      <c r="AD426" s="54">
        <v>108511400</v>
      </c>
      <c r="AE426" s="54">
        <v>91488600</v>
      </c>
    </row>
    <row r="427" spans="2:43" x14ac:dyDescent="0.25">
      <c r="B427" s="224"/>
      <c r="C427" s="39">
        <v>2018</v>
      </c>
      <c r="D427" s="62" t="s">
        <v>1267</v>
      </c>
      <c r="E427" s="63" t="s">
        <v>1268</v>
      </c>
      <c r="F427" s="64">
        <v>43108</v>
      </c>
      <c r="G427" s="65" t="s">
        <v>190</v>
      </c>
      <c r="H427" s="94">
        <v>8520000</v>
      </c>
      <c r="I427" s="94">
        <v>6850075</v>
      </c>
      <c r="J427" s="27" t="s">
        <v>519</v>
      </c>
      <c r="K427" s="26">
        <v>-0.19600058685446009</v>
      </c>
      <c r="L427" s="11" t="s">
        <v>464</v>
      </c>
      <c r="M427" s="15">
        <v>5</v>
      </c>
      <c r="N427" s="35" t="s">
        <v>93</v>
      </c>
      <c r="O427" s="15">
        <v>1</v>
      </c>
      <c r="P427" s="35" t="s">
        <v>457</v>
      </c>
      <c r="Q427" s="35" t="s">
        <v>1235</v>
      </c>
      <c r="R427" s="15"/>
      <c r="S427" s="24"/>
      <c r="T427" s="62" t="s">
        <v>784</v>
      </c>
      <c r="U427" s="62"/>
      <c r="V427" s="94">
        <v>10472836.199999999</v>
      </c>
      <c r="W427" s="199">
        <v>0.65408021945382866</v>
      </c>
      <c r="X427" s="15"/>
      <c r="Y427" s="200">
        <v>0.80399941314553991</v>
      </c>
      <c r="Z427" s="11" t="s">
        <v>465</v>
      </c>
      <c r="AA427" s="74">
        <v>0</v>
      </c>
      <c r="AB427" s="15"/>
      <c r="AC427" s="54">
        <v>8520000</v>
      </c>
      <c r="AD427" s="54">
        <v>6850075</v>
      </c>
      <c r="AE427" s="54">
        <v>1669925</v>
      </c>
      <c r="AG427" s="4">
        <v>337954000</v>
      </c>
      <c r="AH427" s="4">
        <v>228800072</v>
      </c>
      <c r="AI427" s="7">
        <v>0.67701542813519</v>
      </c>
    </row>
    <row r="428" spans="2:43" s="52" customFormat="1" x14ac:dyDescent="0.25">
      <c r="C428" s="101"/>
      <c r="L428" s="104"/>
      <c r="N428" s="104"/>
    </row>
    <row r="429" spans="2:43" s="52" customFormat="1" x14ac:dyDescent="0.25">
      <c r="C429" s="101"/>
      <c r="L429" s="104"/>
      <c r="N429" s="104"/>
    </row>
    <row r="430" spans="2:43" x14ac:dyDescent="0.25">
      <c r="B430" s="224"/>
      <c r="C430" s="39">
        <v>2018</v>
      </c>
      <c r="D430" s="62" t="s">
        <v>1312</v>
      </c>
      <c r="E430" s="63" t="s">
        <v>1313</v>
      </c>
      <c r="F430" s="64">
        <v>43438</v>
      </c>
      <c r="G430" s="65" t="s">
        <v>1225</v>
      </c>
      <c r="H430" s="94">
        <v>448000</v>
      </c>
      <c r="I430" s="94">
        <v>432222</v>
      </c>
      <c r="J430" s="105" t="s">
        <v>519</v>
      </c>
      <c r="K430" s="153">
        <v>-3.521875E-2</v>
      </c>
      <c r="L430" s="11" t="s">
        <v>464</v>
      </c>
      <c r="M430" s="15">
        <v>6</v>
      </c>
      <c r="N430" s="35" t="s">
        <v>93</v>
      </c>
      <c r="O430" s="15">
        <v>4</v>
      </c>
      <c r="P430" s="35" t="s">
        <v>458</v>
      </c>
      <c r="Q430" s="35"/>
      <c r="R430" s="15"/>
      <c r="S430" s="24"/>
      <c r="T430" s="62" t="s">
        <v>784</v>
      </c>
      <c r="U430" s="62"/>
      <c r="V430" s="94">
        <v>792267</v>
      </c>
      <c r="W430" s="199">
        <v>0.54555093169348212</v>
      </c>
      <c r="X430" s="15"/>
      <c r="Y430" s="200">
        <v>0.96478125000000003</v>
      </c>
      <c r="Z430" s="11" t="s">
        <v>465</v>
      </c>
      <c r="AA430" s="11"/>
      <c r="AB430" s="15"/>
      <c r="AC430" s="54">
        <v>448000</v>
      </c>
      <c r="AD430" s="54">
        <v>432222</v>
      </c>
      <c r="AE430" s="54">
        <v>15778</v>
      </c>
      <c r="AG430" s="4"/>
      <c r="AH430" s="4"/>
      <c r="AI430" s="225"/>
      <c r="AJ430" s="226"/>
      <c r="AK430" s="227"/>
      <c r="AL430" s="227"/>
      <c r="AM430" s="225"/>
      <c r="AN430" s="226"/>
      <c r="AO430" s="228"/>
    </row>
    <row r="431" spans="2:43" x14ac:dyDescent="0.25">
      <c r="B431" s="52"/>
      <c r="C431" s="39">
        <v>2018</v>
      </c>
      <c r="D431" s="62" t="s">
        <v>1229</v>
      </c>
      <c r="E431" s="63" t="s">
        <v>1230</v>
      </c>
      <c r="F431" s="64">
        <v>43314</v>
      </c>
      <c r="G431" s="65" t="s">
        <v>1225</v>
      </c>
      <c r="H431" s="94">
        <v>1980000</v>
      </c>
      <c r="I431" s="94">
        <v>2882170</v>
      </c>
      <c r="J431" s="105"/>
      <c r="K431" s="26">
        <v>0.45564141414141413</v>
      </c>
      <c r="L431" s="11" t="s">
        <v>465</v>
      </c>
      <c r="M431" s="15">
        <v>6</v>
      </c>
      <c r="N431" s="35" t="s">
        <v>25</v>
      </c>
      <c r="O431" s="15">
        <v>3</v>
      </c>
      <c r="P431" s="35" t="s">
        <v>492</v>
      </c>
      <c r="Q431" s="35"/>
      <c r="R431" s="15"/>
      <c r="S431" s="24"/>
      <c r="T431" s="62" t="s">
        <v>816</v>
      </c>
      <c r="U431" s="62"/>
      <c r="V431" s="94">
        <v>4467184.666666667</v>
      </c>
      <c r="W431" s="199">
        <v>0.64518711785215355</v>
      </c>
      <c r="X431" s="15"/>
      <c r="Y431" s="200">
        <v>1.4556414141414142</v>
      </c>
      <c r="Z431" s="11" t="s">
        <v>465</v>
      </c>
      <c r="AA431" s="11"/>
      <c r="AB431" s="15"/>
      <c r="AC431" s="54">
        <v>1980000</v>
      </c>
      <c r="AD431" s="54">
        <v>2882170</v>
      </c>
      <c r="AE431" s="54">
        <v>-902170</v>
      </c>
    </row>
    <row r="432" spans="2:43" x14ac:dyDescent="0.25">
      <c r="B432" s="52"/>
      <c r="C432" s="39">
        <v>2018</v>
      </c>
      <c r="D432" s="62" t="s">
        <v>1261</v>
      </c>
      <c r="E432" s="63" t="s">
        <v>1262</v>
      </c>
      <c r="F432" s="64">
        <v>43299</v>
      </c>
      <c r="G432" s="65" t="s">
        <v>34</v>
      </c>
      <c r="H432" s="94">
        <v>3570000</v>
      </c>
      <c r="I432" s="94">
        <v>3861000</v>
      </c>
      <c r="J432" s="105" t="s">
        <v>519</v>
      </c>
      <c r="K432" s="26">
        <v>8.1512605042016809E-2</v>
      </c>
      <c r="L432" s="11" t="s">
        <v>464</v>
      </c>
      <c r="M432" s="15">
        <v>6</v>
      </c>
      <c r="N432" s="35" t="s">
        <v>226</v>
      </c>
      <c r="O432" s="15">
        <v>3</v>
      </c>
      <c r="P432" s="35" t="s">
        <v>457</v>
      </c>
      <c r="Q432" s="35"/>
      <c r="R432" s="15"/>
      <c r="S432" s="24"/>
      <c r="T432" s="62" t="s">
        <v>1226</v>
      </c>
      <c r="U432" s="62"/>
      <c r="V432" s="94">
        <v>5535683.333333333</v>
      </c>
      <c r="W432" s="199">
        <v>0.69747486760141031</v>
      </c>
      <c r="X432" s="15"/>
      <c r="Y432" s="200">
        <v>1.0815126050420167</v>
      </c>
      <c r="Z432" s="11" t="s">
        <v>465</v>
      </c>
      <c r="AA432" s="11"/>
      <c r="AB432" s="15"/>
      <c r="AC432" s="54">
        <v>3570000</v>
      </c>
      <c r="AD432" s="54">
        <v>3861000</v>
      </c>
      <c r="AE432" s="54">
        <v>-291000</v>
      </c>
    </row>
    <row r="433" spans="2:41" x14ac:dyDescent="0.25">
      <c r="B433" s="52"/>
      <c r="C433" s="39">
        <v>2018</v>
      </c>
      <c r="D433" s="62" t="s">
        <v>1248</v>
      </c>
      <c r="E433" s="63" t="s">
        <v>1249</v>
      </c>
      <c r="F433" s="64">
        <v>43259</v>
      </c>
      <c r="G433" s="65" t="s">
        <v>756</v>
      </c>
      <c r="H433" s="94">
        <v>2770000</v>
      </c>
      <c r="I433" s="94">
        <v>2542996</v>
      </c>
      <c r="J433" s="105" t="s">
        <v>519</v>
      </c>
      <c r="K433" s="26">
        <v>-8.1950902527075806E-2</v>
      </c>
      <c r="L433" s="11" t="s">
        <v>464</v>
      </c>
      <c r="M433" s="15">
        <v>6</v>
      </c>
      <c r="N433" s="35" t="s">
        <v>226</v>
      </c>
      <c r="O433" s="15">
        <v>2</v>
      </c>
      <c r="P433" s="35" t="s">
        <v>492</v>
      </c>
      <c r="Q433" s="35"/>
      <c r="R433" s="15"/>
      <c r="S433" s="24"/>
      <c r="T433" s="62" t="s">
        <v>447</v>
      </c>
      <c r="U433" s="62"/>
      <c r="V433" s="94">
        <v>4162248.5</v>
      </c>
      <c r="W433" s="199">
        <v>0.61096688484601536</v>
      </c>
      <c r="X433" s="15"/>
      <c r="Y433" s="200">
        <v>0.91804909747292418</v>
      </c>
      <c r="Z433" s="11" t="s">
        <v>465</v>
      </c>
      <c r="AA433" s="11"/>
      <c r="AB433" s="15"/>
      <c r="AC433" s="54">
        <v>2770000</v>
      </c>
      <c r="AD433" s="54">
        <v>2542996</v>
      </c>
      <c r="AE433" s="54">
        <v>227004</v>
      </c>
    </row>
    <row r="434" spans="2:41" x14ac:dyDescent="0.25">
      <c r="C434" s="39">
        <v>2018</v>
      </c>
      <c r="D434" s="62" t="s">
        <v>1265</v>
      </c>
      <c r="E434" s="63" t="s">
        <v>1266</v>
      </c>
      <c r="F434" s="64">
        <v>43174</v>
      </c>
      <c r="G434" s="65" t="s">
        <v>34</v>
      </c>
      <c r="H434" s="94">
        <v>1150000</v>
      </c>
      <c r="I434" s="94">
        <v>1253317</v>
      </c>
      <c r="J434" s="105" t="s">
        <v>519</v>
      </c>
      <c r="K434" s="26">
        <v>8.9840869565217391E-2</v>
      </c>
      <c r="L434" s="11" t="s">
        <v>464</v>
      </c>
      <c r="M434" s="15">
        <v>6</v>
      </c>
      <c r="N434" s="35" t="s">
        <v>93</v>
      </c>
      <c r="O434" s="15">
        <v>1</v>
      </c>
      <c r="P434" s="35" t="s">
        <v>457</v>
      </c>
      <c r="Q434" s="35" t="s">
        <v>1243</v>
      </c>
      <c r="R434" s="15"/>
      <c r="S434" s="24"/>
      <c r="T434" s="62" t="s">
        <v>784</v>
      </c>
      <c r="U434" s="62"/>
      <c r="V434" s="94">
        <v>1900429</v>
      </c>
      <c r="W434" s="199">
        <v>0.65949162004999928</v>
      </c>
      <c r="X434" s="15"/>
      <c r="Y434" s="200">
        <v>1.0898408695652173</v>
      </c>
      <c r="Z434" s="11" t="s">
        <v>465</v>
      </c>
      <c r="AA434" s="11"/>
      <c r="AB434" s="15"/>
      <c r="AC434" s="54">
        <v>1150000</v>
      </c>
      <c r="AD434" s="54">
        <v>1253317</v>
      </c>
      <c r="AE434" s="54">
        <v>-103317</v>
      </c>
    </row>
    <row r="435" spans="2:41" x14ac:dyDescent="0.25">
      <c r="C435" s="39">
        <v>2018</v>
      </c>
      <c r="D435" s="62" t="s">
        <v>1287</v>
      </c>
      <c r="E435" s="63" t="s">
        <v>1288</v>
      </c>
      <c r="F435" s="64">
        <v>43160</v>
      </c>
      <c r="G435" s="65" t="s">
        <v>34</v>
      </c>
      <c r="H435" s="94">
        <v>1273000</v>
      </c>
      <c r="I435" s="94">
        <v>1050950</v>
      </c>
      <c r="J435" s="105" t="s">
        <v>519</v>
      </c>
      <c r="K435" s="26">
        <v>-0.1744304791830322</v>
      </c>
      <c r="L435" s="11" t="s">
        <v>464</v>
      </c>
      <c r="M435" s="15">
        <v>6</v>
      </c>
      <c r="N435" s="35" t="s">
        <v>25</v>
      </c>
      <c r="O435" s="15">
        <v>1</v>
      </c>
      <c r="P435" s="35" t="s">
        <v>458</v>
      </c>
      <c r="Q435" s="35" t="s">
        <v>1238</v>
      </c>
      <c r="R435" s="15"/>
      <c r="S435" s="24" t="s">
        <v>1244</v>
      </c>
      <c r="T435" s="62" t="s">
        <v>784</v>
      </c>
      <c r="U435" s="62"/>
      <c r="V435" s="94">
        <v>2050444.6666666667</v>
      </c>
      <c r="W435" s="199">
        <v>0.51254735964589138</v>
      </c>
      <c r="X435" s="15"/>
      <c r="Y435" s="200">
        <v>0.82556952081696777</v>
      </c>
      <c r="Z435" s="11" t="s">
        <v>465</v>
      </c>
      <c r="AA435" s="11"/>
      <c r="AB435" s="15"/>
      <c r="AC435" s="54">
        <v>1273000</v>
      </c>
      <c r="AD435" s="54">
        <v>1050950</v>
      </c>
      <c r="AE435" s="54">
        <v>222050</v>
      </c>
    </row>
    <row r="436" spans="2:41" x14ac:dyDescent="0.25">
      <c r="C436" s="39">
        <v>2018</v>
      </c>
      <c r="D436" s="62" t="s">
        <v>1289</v>
      </c>
      <c r="E436" s="63" t="s">
        <v>1290</v>
      </c>
      <c r="F436" s="64">
        <v>43147</v>
      </c>
      <c r="G436" s="65" t="s">
        <v>34</v>
      </c>
      <c r="H436" s="94">
        <v>23100000</v>
      </c>
      <c r="I436" s="94">
        <v>16848000</v>
      </c>
      <c r="J436" s="27" t="s">
        <v>519</v>
      </c>
      <c r="K436" s="26">
        <v>-0.27064935064935064</v>
      </c>
      <c r="L436" s="11" t="s">
        <v>464</v>
      </c>
      <c r="M436" s="15">
        <v>6</v>
      </c>
      <c r="N436" s="35" t="s">
        <v>93</v>
      </c>
      <c r="O436" s="15">
        <v>1</v>
      </c>
      <c r="P436" s="35" t="s">
        <v>458</v>
      </c>
      <c r="Q436" s="35" t="s">
        <v>1243</v>
      </c>
      <c r="R436" s="15"/>
      <c r="S436" s="24"/>
      <c r="T436" s="62" t="s">
        <v>442</v>
      </c>
      <c r="U436" s="62"/>
      <c r="V436" s="94">
        <v>24152208.666666668</v>
      </c>
      <c r="W436" s="199">
        <v>0.69757595392310978</v>
      </c>
      <c r="X436" s="15"/>
      <c r="Y436" s="200">
        <v>0.7293506493506493</v>
      </c>
      <c r="Z436" s="11" t="s">
        <v>465</v>
      </c>
      <c r="AA436" s="11"/>
      <c r="AB436" s="15"/>
      <c r="AC436" s="54">
        <v>23100000</v>
      </c>
      <c r="AD436" s="54">
        <v>16848000</v>
      </c>
      <c r="AE436" s="54">
        <v>6252000</v>
      </c>
    </row>
    <row r="437" spans="2:41" x14ac:dyDescent="0.25">
      <c r="C437" s="39">
        <v>2018</v>
      </c>
      <c r="D437" s="62" t="s">
        <v>1236</v>
      </c>
      <c r="E437" s="63" t="s">
        <v>1237</v>
      </c>
      <c r="F437" s="64">
        <v>43138</v>
      </c>
      <c r="G437" s="65" t="s">
        <v>693</v>
      </c>
      <c r="H437" s="94">
        <v>1056000</v>
      </c>
      <c r="I437" s="94">
        <v>619790</v>
      </c>
      <c r="J437" s="105" t="s">
        <v>519</v>
      </c>
      <c r="K437" s="26">
        <v>-0.41307765151515152</v>
      </c>
      <c r="L437" s="11" t="s">
        <v>464</v>
      </c>
      <c r="M437" s="15">
        <v>6</v>
      </c>
      <c r="N437" s="35" t="s">
        <v>25</v>
      </c>
      <c r="O437" s="15">
        <v>1</v>
      </c>
      <c r="P437" s="35" t="s">
        <v>457</v>
      </c>
      <c r="Q437" s="35" t="s">
        <v>1238</v>
      </c>
      <c r="R437" s="15"/>
      <c r="S437" s="24"/>
      <c r="T437" s="62" t="s">
        <v>784</v>
      </c>
      <c r="U437" s="62"/>
      <c r="V437" s="94">
        <v>2319072.3333333335</v>
      </c>
      <c r="W437" s="199">
        <v>0.26725772676057108</v>
      </c>
      <c r="X437" s="15"/>
      <c r="Y437" s="200">
        <v>0.58692234848484848</v>
      </c>
      <c r="Z437" s="11" t="s">
        <v>465</v>
      </c>
      <c r="AA437" s="11"/>
      <c r="AB437" s="15"/>
      <c r="AC437" s="54">
        <v>1056000</v>
      </c>
      <c r="AD437" s="54">
        <v>619790</v>
      </c>
      <c r="AE437" s="54">
        <v>436210</v>
      </c>
    </row>
    <row r="438" spans="2:41" s="52" customFormat="1" x14ac:dyDescent="0.25">
      <c r="C438" s="101"/>
      <c r="L438" s="104"/>
      <c r="N438" s="104"/>
    </row>
    <row r="439" spans="2:41" s="52" customFormat="1" x14ac:dyDescent="0.25">
      <c r="C439" s="101"/>
      <c r="L439" s="104"/>
      <c r="N439" s="104"/>
    </row>
    <row r="440" spans="2:41" x14ac:dyDescent="0.25">
      <c r="C440" s="39">
        <v>2018</v>
      </c>
      <c r="D440" s="62" t="str">
        <f>+'[1]LGA-124.261'!$F$4</f>
        <v>LGA-124.261</v>
      </c>
      <c r="E440" s="63" t="str">
        <f>+'[1]LGA-124.261'!$F$5</f>
        <v>Rehab of Pump House 1 Retaining Wall</v>
      </c>
      <c r="F440" s="64">
        <f>+'[1]LGA-124.261'!$F$6</f>
        <v>43179</v>
      </c>
      <c r="G440" s="65" t="str">
        <f>+'[1]LGA-124.261'!$G$7</f>
        <v>Public</v>
      </c>
      <c r="H440" s="94">
        <f>+'[1]LGA-124.261'!$F$7</f>
        <v>1440000</v>
      </c>
      <c r="I440" s="94">
        <f>+'[1]LGA-124.261'!$F$8</f>
        <v>1928000</v>
      </c>
      <c r="J440" s="105"/>
      <c r="K440" s="26">
        <f>+'[1]LGA-124.261'!$G$9</f>
        <v>0.33888888888888891</v>
      </c>
      <c r="L440" s="11" t="str">
        <f>+'[1]LGA-124.261'!$F$11</f>
        <v>FAIL</v>
      </c>
      <c r="M440" s="15">
        <f>+'[1]LGA-124.261'!$H$12</f>
        <v>7</v>
      </c>
      <c r="N440" s="35" t="s">
        <v>93</v>
      </c>
      <c r="O440" s="15">
        <v>1</v>
      </c>
      <c r="P440" s="35" t="s">
        <v>458</v>
      </c>
      <c r="Q440" s="35" t="s">
        <v>1238</v>
      </c>
      <c r="R440" s="15"/>
      <c r="S440" s="24"/>
      <c r="T440" s="62" t="str">
        <f>+'[1]LGA-124.261'!$J$4</f>
        <v>Joe Lucin</v>
      </c>
      <c r="U440" s="62"/>
      <c r="V440" s="94">
        <f>+'[1]LGA-124.261'!$F$12</f>
        <v>2393861.8571428573</v>
      </c>
      <c r="W440" s="199">
        <f t="shared" ref="W440" si="62">+I440/V440</f>
        <v>0.8053931743167182</v>
      </c>
      <c r="X440" s="15"/>
      <c r="Y440" s="200">
        <f t="shared" ref="Y440" si="63">+I440/H440</f>
        <v>1.3388888888888888</v>
      </c>
      <c r="Z440" s="11" t="str">
        <f t="shared" ref="Z440" si="64">(IF(Y440&lt;$Y$3,"FAIL",IF(Y440&gt;$Y$4,"FAIL","GOOD")))</f>
        <v>FAIL</v>
      </c>
      <c r="AA440" s="11"/>
      <c r="AB440" s="15"/>
      <c r="AC440" s="54">
        <f t="shared" ref="AC440" si="65">+H440</f>
        <v>1440000</v>
      </c>
      <c r="AD440" s="54">
        <f t="shared" ref="AD440" si="66">+I440</f>
        <v>1928000</v>
      </c>
      <c r="AE440" s="54">
        <f t="shared" ref="AE440" si="67">+AC440-AD440</f>
        <v>-488000</v>
      </c>
    </row>
    <row r="441" spans="2:41" s="52" customFormat="1" x14ac:dyDescent="0.25">
      <c r="C441" s="101"/>
      <c r="L441" s="104"/>
      <c r="N441" s="104"/>
    </row>
    <row r="442" spans="2:41" s="52" customFormat="1" x14ac:dyDescent="0.25">
      <c r="C442" s="101"/>
      <c r="L442" s="104"/>
      <c r="N442" s="104"/>
    </row>
    <row r="443" spans="2:41" x14ac:dyDescent="0.25">
      <c r="B443" s="224"/>
      <c r="C443" s="39">
        <v>2018</v>
      </c>
      <c r="D443" s="62" t="s">
        <v>1336</v>
      </c>
      <c r="E443" s="63" t="s">
        <v>1337</v>
      </c>
      <c r="F443" s="64">
        <v>43404</v>
      </c>
      <c r="G443" s="65" t="s">
        <v>34</v>
      </c>
      <c r="H443" s="94">
        <v>6500000</v>
      </c>
      <c r="I443" s="94">
        <v>4149491</v>
      </c>
      <c r="J443" s="105"/>
      <c r="K443" s="153">
        <v>-0.36161676923076924</v>
      </c>
      <c r="L443" s="11" t="s">
        <v>465</v>
      </c>
      <c r="M443" s="15">
        <v>8</v>
      </c>
      <c r="N443" s="35" t="s">
        <v>25</v>
      </c>
      <c r="O443" s="15">
        <v>4</v>
      </c>
      <c r="P443" s="35" t="s">
        <v>459</v>
      </c>
      <c r="Q443" s="35"/>
      <c r="R443" s="15"/>
      <c r="S443" s="24" t="s">
        <v>932</v>
      </c>
      <c r="T443" s="62" t="s">
        <v>447</v>
      </c>
      <c r="U443" s="62"/>
      <c r="V443" s="94">
        <v>5708325.25</v>
      </c>
      <c r="W443" s="199">
        <v>0.72691916074684082</v>
      </c>
      <c r="X443" s="15"/>
      <c r="Y443" s="200">
        <v>0.63838323076923076</v>
      </c>
      <c r="Z443" s="11" t="s">
        <v>465</v>
      </c>
      <c r="AA443" s="11"/>
      <c r="AB443" s="15"/>
      <c r="AC443" s="54">
        <v>6500000</v>
      </c>
      <c r="AD443" s="54">
        <v>4149491</v>
      </c>
      <c r="AE443" s="54">
        <v>2350509</v>
      </c>
      <c r="AG443" s="4"/>
      <c r="AH443" s="4"/>
      <c r="AI443" s="225"/>
      <c r="AJ443" s="226"/>
      <c r="AK443" s="227"/>
      <c r="AL443" s="227"/>
      <c r="AM443" s="225"/>
      <c r="AN443" s="226"/>
      <c r="AO443" s="228"/>
    </row>
    <row r="444" spans="2:41" x14ac:dyDescent="0.25">
      <c r="B444" s="224"/>
      <c r="C444" s="39">
        <v>2018</v>
      </c>
      <c r="D444" s="62" t="s">
        <v>1351</v>
      </c>
      <c r="E444" s="63" t="s">
        <v>1352</v>
      </c>
      <c r="F444" s="64">
        <v>43389</v>
      </c>
      <c r="G444" s="65" t="s">
        <v>34</v>
      </c>
      <c r="H444" s="94">
        <v>3800000</v>
      </c>
      <c r="I444" s="94">
        <v>3781700</v>
      </c>
      <c r="J444" s="105" t="s">
        <v>519</v>
      </c>
      <c r="K444" s="153">
        <v>-4.8157894736842108E-3</v>
      </c>
      <c r="L444" s="11" t="s">
        <v>464</v>
      </c>
      <c r="M444" s="15">
        <v>8</v>
      </c>
      <c r="N444" s="35" t="s">
        <v>93</v>
      </c>
      <c r="O444" s="15">
        <v>4</v>
      </c>
      <c r="P444" s="35" t="s">
        <v>458</v>
      </c>
      <c r="Q444" s="35"/>
      <c r="R444" s="15"/>
      <c r="S444" s="24"/>
      <c r="T444" s="62" t="s">
        <v>1353</v>
      </c>
      <c r="U444" s="62"/>
      <c r="V444" s="94">
        <v>4748686.375</v>
      </c>
      <c r="W444" s="199">
        <v>0.79636760597819012</v>
      </c>
      <c r="X444" s="15"/>
      <c r="Y444" s="200">
        <v>0.99518421052631578</v>
      </c>
      <c r="Z444" s="11" t="s">
        <v>465</v>
      </c>
      <c r="AA444" s="11"/>
      <c r="AB444" s="15"/>
      <c r="AC444" s="54">
        <v>3800000</v>
      </c>
      <c r="AD444" s="54">
        <v>3781700</v>
      </c>
      <c r="AE444" s="54">
        <v>18300</v>
      </c>
      <c r="AG444" s="4"/>
      <c r="AH444" s="4"/>
      <c r="AI444" s="225"/>
      <c r="AJ444" s="226"/>
      <c r="AK444" s="227"/>
      <c r="AL444" s="227"/>
      <c r="AM444" s="225"/>
      <c r="AN444" s="226"/>
      <c r="AO444" s="228"/>
    </row>
    <row r="445" spans="2:41" x14ac:dyDescent="0.25">
      <c r="C445" s="39">
        <v>2018</v>
      </c>
      <c r="D445" s="62" t="s">
        <v>1256</v>
      </c>
      <c r="E445" s="63" t="s">
        <v>1257</v>
      </c>
      <c r="F445" s="64">
        <v>43368</v>
      </c>
      <c r="G445" s="65" t="s">
        <v>34</v>
      </c>
      <c r="H445" s="94">
        <v>64356250</v>
      </c>
      <c r="I445" s="94">
        <v>51485000</v>
      </c>
      <c r="J445" s="27" t="s">
        <v>519</v>
      </c>
      <c r="K445" s="26">
        <v>-0.2</v>
      </c>
      <c r="L445" s="11" t="s">
        <v>464</v>
      </c>
      <c r="M445" s="15">
        <v>8</v>
      </c>
      <c r="N445" s="35" t="s">
        <v>25</v>
      </c>
      <c r="O445" s="15">
        <v>3</v>
      </c>
      <c r="P445" s="35" t="s">
        <v>457</v>
      </c>
      <c r="Q445" s="35"/>
      <c r="R445" s="15"/>
      <c r="S445" s="24"/>
      <c r="T445" s="62" t="s">
        <v>1226</v>
      </c>
      <c r="U445" s="62"/>
      <c r="V445" s="94">
        <v>75310398.875</v>
      </c>
      <c r="W445" s="199">
        <v>0.68363732989191395</v>
      </c>
      <c r="X445" s="15"/>
      <c r="Y445" s="200">
        <v>0.8</v>
      </c>
      <c r="Z445" s="11" t="s">
        <v>465</v>
      </c>
      <c r="AA445" s="11"/>
      <c r="AB445" s="15"/>
      <c r="AC445" s="54">
        <v>64356250</v>
      </c>
      <c r="AD445" s="54">
        <v>51485000</v>
      </c>
      <c r="AE445" s="54">
        <v>12871250</v>
      </c>
    </row>
    <row r="446" spans="2:41" s="52" customFormat="1" x14ac:dyDescent="0.25">
      <c r="C446" s="101"/>
      <c r="L446" s="104"/>
      <c r="N446" s="104"/>
    </row>
    <row r="447" spans="2:41" s="52" customFormat="1" x14ac:dyDescent="0.25">
      <c r="C447" s="101"/>
      <c r="L447" s="104"/>
      <c r="N447" s="104"/>
    </row>
    <row r="448" spans="2:41" x14ac:dyDescent="0.25">
      <c r="C448" s="39">
        <v>2018</v>
      </c>
      <c r="D448" s="62" t="str">
        <f>+'[1]LGA-774.264'!$F$4</f>
        <v>LGA-774.264</v>
      </c>
      <c r="E448" s="63" t="str">
        <f>+'[1]LGA-774.264'!$F$5</f>
        <v>Flood Protection at the West End Substation</v>
      </c>
      <c r="F448" s="64">
        <f>+'[1]LGA-774.264'!$F$6</f>
        <v>43125</v>
      </c>
      <c r="G448" s="65" t="str">
        <f>+'[1]LGA-774.264'!$G$7</f>
        <v>Public</v>
      </c>
      <c r="H448" s="94">
        <f>+'[1]LGA-774.264'!$F$7</f>
        <v>1700000</v>
      </c>
      <c r="I448" s="94">
        <f>+'[1]LGA-774.264'!$F$8</f>
        <v>1555555</v>
      </c>
      <c r="J448" s="105" t="s">
        <v>519</v>
      </c>
      <c r="K448" s="26">
        <f>+'[1]LGA-774.264'!$G$9</f>
        <v>-8.4967647058823523E-2</v>
      </c>
      <c r="L448" s="11" t="str">
        <f>+'[1]LGA-774.264'!$F$11</f>
        <v>GOOD</v>
      </c>
      <c r="M448" s="15">
        <f>+'[1]LGA-774.264'!$H$12</f>
        <v>9</v>
      </c>
      <c r="N448" s="35" t="s">
        <v>93</v>
      </c>
      <c r="O448" s="15">
        <v>1</v>
      </c>
      <c r="P448" s="35" t="s">
        <v>458</v>
      </c>
      <c r="Q448" s="35" t="s">
        <v>1245</v>
      </c>
      <c r="R448" s="15"/>
      <c r="S448" s="24"/>
      <c r="T448" s="62" t="str">
        <f>+'[1]LGA-774.264'!$J$4</f>
        <v>Joe Lucin</v>
      </c>
      <c r="U448" s="62"/>
      <c r="V448" s="94">
        <f>+'[1]LGA-774.264'!$F$12</f>
        <v>2601779.6666666665</v>
      </c>
      <c r="W448" s="199">
        <f t="shared" ref="W448" si="68">+I448/V448</f>
        <v>0.59788114263839154</v>
      </c>
      <c r="X448" s="15"/>
      <c r="Y448" s="200">
        <f t="shared" ref="Y448" si="69">+I448/H448</f>
        <v>0.91503235294117646</v>
      </c>
      <c r="Z448" s="11" t="str">
        <f t="shared" ref="Z448" si="70">(IF(Y448&lt;$Y$3,"FAIL",IF(Y448&gt;$Y$4,"FAIL","GOOD")))</f>
        <v>FAIL</v>
      </c>
      <c r="AA448" s="11"/>
      <c r="AB448" s="15"/>
      <c r="AC448" s="54">
        <f t="shared" ref="AC448" si="71">+H448</f>
        <v>1700000</v>
      </c>
      <c r="AD448" s="54">
        <f t="shared" ref="AD448" si="72">+I448</f>
        <v>1555555</v>
      </c>
      <c r="AE448" s="54">
        <f t="shared" ref="AE448" si="73">+AC448-AD448</f>
        <v>144445</v>
      </c>
    </row>
    <row r="449" spans="3:31" s="52" customFormat="1" x14ac:dyDescent="0.25">
      <c r="C449" s="101"/>
      <c r="L449" s="104"/>
      <c r="N449" s="104"/>
    </row>
    <row r="450" spans="3:31" s="52" customFormat="1" x14ac:dyDescent="0.25">
      <c r="C450" s="101"/>
      <c r="L450" s="104"/>
      <c r="N450" s="104"/>
    </row>
    <row r="451" spans="3:31" x14ac:dyDescent="0.25">
      <c r="C451" s="39">
        <v>2018</v>
      </c>
      <c r="D451" s="62" t="s">
        <v>1279</v>
      </c>
      <c r="E451" s="63" t="s">
        <v>1280</v>
      </c>
      <c r="F451" s="64">
        <v>43250</v>
      </c>
      <c r="G451" s="65" t="s">
        <v>34</v>
      </c>
      <c r="H451" s="94">
        <v>153277500</v>
      </c>
      <c r="I451" s="94">
        <v>118434757</v>
      </c>
      <c r="J451" s="27"/>
      <c r="K451" s="26">
        <v>-0.22731805385656734</v>
      </c>
      <c r="L451" s="11" t="s">
        <v>465</v>
      </c>
      <c r="M451" s="15">
        <v>13</v>
      </c>
      <c r="N451" s="35" t="s">
        <v>25</v>
      </c>
      <c r="O451" s="15">
        <v>2</v>
      </c>
      <c r="P451" s="35" t="s">
        <v>458</v>
      </c>
      <c r="Q451" s="35"/>
      <c r="R451" s="15"/>
      <c r="S451" s="24"/>
      <c r="T451" s="62" t="s">
        <v>784</v>
      </c>
      <c r="U451" s="62"/>
      <c r="V451" s="94">
        <v>138481360</v>
      </c>
      <c r="W451" s="199">
        <v>0.85523970157427687</v>
      </c>
      <c r="X451" s="15"/>
      <c r="Y451" s="200">
        <v>0.77268194614343266</v>
      </c>
      <c r="Z451" s="11" t="s">
        <v>465</v>
      </c>
      <c r="AA451" s="11"/>
      <c r="AB451" s="15"/>
      <c r="AC451" s="54">
        <v>153277500</v>
      </c>
      <c r="AD451" s="54">
        <v>118434757</v>
      </c>
      <c r="AE451" s="54">
        <v>34842743</v>
      </c>
    </row>
    <row r="452" spans="3:31" x14ac:dyDescent="0.25">
      <c r="C452" s="39">
        <v>2018</v>
      </c>
      <c r="D452" s="62" t="s">
        <v>1263</v>
      </c>
      <c r="E452" s="63" t="s">
        <v>1264</v>
      </c>
      <c r="F452" s="64">
        <v>43179</v>
      </c>
      <c r="G452" s="65" t="s">
        <v>34</v>
      </c>
      <c r="H452" s="94">
        <v>27125000</v>
      </c>
      <c r="I452" s="94">
        <v>22964560</v>
      </c>
      <c r="J452" s="27" t="s">
        <v>519</v>
      </c>
      <c r="K452" s="26">
        <v>-0.15338027649769584</v>
      </c>
      <c r="L452" s="11" t="s">
        <v>464</v>
      </c>
      <c r="M452" s="15">
        <v>10</v>
      </c>
      <c r="N452" s="35" t="s">
        <v>226</v>
      </c>
      <c r="O452" s="15">
        <v>1</v>
      </c>
      <c r="P452" s="35" t="s">
        <v>457</v>
      </c>
      <c r="Q452" s="35" t="s">
        <v>1238</v>
      </c>
      <c r="R452" s="15"/>
      <c r="S452" s="24"/>
      <c r="T452" s="62" t="s">
        <v>816</v>
      </c>
      <c r="U452" s="62"/>
      <c r="V452" s="94">
        <v>31632465.399999999</v>
      </c>
      <c r="W452" s="199">
        <v>0.72598071979555534</v>
      </c>
      <c r="X452" s="15"/>
      <c r="Y452" s="200">
        <v>0.84661972350230419</v>
      </c>
      <c r="Z452" s="11" t="s">
        <v>465</v>
      </c>
      <c r="AA452" s="11"/>
      <c r="AB452" s="15"/>
      <c r="AC452" s="54">
        <v>27125000</v>
      </c>
      <c r="AD452" s="54">
        <v>22964560</v>
      </c>
      <c r="AE452" s="54">
        <v>4160440</v>
      </c>
    </row>
    <row r="453" spans="3:31" x14ac:dyDescent="0.25">
      <c r="C453" s="39">
        <v>2018</v>
      </c>
      <c r="D453" s="62" t="s">
        <v>1285</v>
      </c>
      <c r="E453" s="63" t="s">
        <v>1286</v>
      </c>
      <c r="F453" s="64">
        <v>43168</v>
      </c>
      <c r="G453" s="65" t="s">
        <v>34</v>
      </c>
      <c r="H453" s="94">
        <v>10900000</v>
      </c>
      <c r="I453" s="94">
        <v>10417536</v>
      </c>
      <c r="J453" s="27" t="s">
        <v>519</v>
      </c>
      <c r="K453" s="26">
        <v>-4.4262752293577984E-2</v>
      </c>
      <c r="L453" s="11" t="s">
        <v>464</v>
      </c>
      <c r="M453" s="15">
        <v>11</v>
      </c>
      <c r="N453" s="35" t="s">
        <v>25</v>
      </c>
      <c r="O453" s="15">
        <v>1</v>
      </c>
      <c r="P453" s="35" t="s">
        <v>458</v>
      </c>
      <c r="Q453" s="35" t="s">
        <v>1235</v>
      </c>
      <c r="R453" s="15"/>
      <c r="S453" s="24"/>
      <c r="T453" s="62" t="s">
        <v>784</v>
      </c>
      <c r="U453" s="62"/>
      <c r="V453" s="94">
        <v>12059792.454545455</v>
      </c>
      <c r="W453" s="199">
        <v>0.86382382112003331</v>
      </c>
      <c r="X453" s="15"/>
      <c r="Y453" s="200">
        <v>0.95573724770642199</v>
      </c>
      <c r="Z453" s="11" t="s">
        <v>465</v>
      </c>
      <c r="AA453" s="11"/>
      <c r="AB453" s="15"/>
      <c r="AC453" s="54">
        <v>10900000</v>
      </c>
      <c r="AD453" s="54">
        <v>10417536</v>
      </c>
      <c r="AE453" s="54">
        <v>482464</v>
      </c>
    </row>
    <row r="454" spans="3:31" x14ac:dyDescent="0.25">
      <c r="C454" s="39">
        <v>2018</v>
      </c>
      <c r="D454" s="62" t="s">
        <v>1254</v>
      </c>
      <c r="E454" s="63" t="s">
        <v>1255</v>
      </c>
      <c r="F454" s="64">
        <v>43124</v>
      </c>
      <c r="G454" s="65" t="s">
        <v>34</v>
      </c>
      <c r="H454" s="94">
        <v>22000000</v>
      </c>
      <c r="I454" s="94">
        <v>19988889</v>
      </c>
      <c r="J454" s="27" t="s">
        <v>519</v>
      </c>
      <c r="K454" s="26">
        <v>-9.1414136363636364E-2</v>
      </c>
      <c r="L454" s="11" t="s">
        <v>464</v>
      </c>
      <c r="M454" s="15">
        <v>13</v>
      </c>
      <c r="N454" s="35" t="s">
        <v>93</v>
      </c>
      <c r="O454" s="15">
        <v>1</v>
      </c>
      <c r="P454" s="35" t="s">
        <v>492</v>
      </c>
      <c r="Q454" s="35" t="s">
        <v>1245</v>
      </c>
      <c r="R454" s="15"/>
      <c r="S454" s="24"/>
      <c r="T454" s="62" t="s">
        <v>816</v>
      </c>
      <c r="U454" s="62"/>
      <c r="V454" s="94">
        <v>27586889.692307692</v>
      </c>
      <c r="W454" s="199">
        <v>0.72457929193712933</v>
      </c>
      <c r="X454" s="15"/>
      <c r="Y454" s="200">
        <v>0.90858586363636362</v>
      </c>
      <c r="Z454" s="11" t="s">
        <v>465</v>
      </c>
      <c r="AA454" s="11"/>
      <c r="AB454" s="15"/>
      <c r="AC454" s="54">
        <v>22000000</v>
      </c>
      <c r="AD454" s="54">
        <v>19988889</v>
      </c>
      <c r="AE454" s="54">
        <v>2011111</v>
      </c>
    </row>
    <row r="455" spans="3:31" s="52" customFormat="1" x14ac:dyDescent="0.25">
      <c r="C455" s="101"/>
      <c r="N455" s="104"/>
    </row>
    <row r="456" spans="3:31" x14ac:dyDescent="0.25">
      <c r="C456" s="39"/>
    </row>
    <row r="457" spans="3:31" x14ac:dyDescent="0.25">
      <c r="C457" s="39"/>
      <c r="K457" s="11"/>
    </row>
    <row r="458" spans="3:31" x14ac:dyDescent="0.25">
      <c r="C458" s="39"/>
      <c r="E458" s="241" t="s">
        <v>1363</v>
      </c>
      <c r="F458" s="393" t="s">
        <v>1361</v>
      </c>
      <c r="G458" s="396"/>
      <c r="H458" s="396"/>
      <c r="I458" s="394" t="s">
        <v>1362</v>
      </c>
      <c r="J458" s="397"/>
      <c r="K458" s="397"/>
      <c r="L458" s="242"/>
    </row>
    <row r="459" spans="3:31" x14ac:dyDescent="0.25">
      <c r="C459" s="39"/>
      <c r="E459" s="239" t="s">
        <v>1364</v>
      </c>
      <c r="F459" s="159" t="s">
        <v>1194</v>
      </c>
      <c r="G459" s="159" t="s">
        <v>39</v>
      </c>
      <c r="H459" s="160" t="s">
        <v>1365</v>
      </c>
      <c r="I459" s="235" t="s">
        <v>1194</v>
      </c>
      <c r="J459" s="235" t="s">
        <v>39</v>
      </c>
      <c r="K459" s="236" t="s">
        <v>842</v>
      </c>
      <c r="L459" s="239"/>
    </row>
    <row r="460" spans="3:31" x14ac:dyDescent="0.25">
      <c r="C460" s="39"/>
      <c r="E460" s="240" t="s">
        <v>1184</v>
      </c>
      <c r="F460" s="162">
        <v>0</v>
      </c>
      <c r="G460" s="156">
        <v>1</v>
      </c>
      <c r="H460" s="157">
        <v>0</v>
      </c>
      <c r="I460" s="237">
        <f>K460/J460</f>
        <v>1</v>
      </c>
      <c r="J460" s="234">
        <v>1</v>
      </c>
      <c r="K460" s="238">
        <v>1</v>
      </c>
      <c r="L460" s="243">
        <f>+(H460+K460)/(G460+J460)</f>
        <v>0.5</v>
      </c>
    </row>
    <row r="461" spans="3:31" x14ac:dyDescent="0.25">
      <c r="C461" s="39"/>
      <c r="E461" s="240" t="s">
        <v>1185</v>
      </c>
      <c r="F461" s="162">
        <v>0.5</v>
      </c>
      <c r="G461" s="156">
        <v>8</v>
      </c>
      <c r="H461" s="157">
        <v>4</v>
      </c>
      <c r="I461" s="237">
        <f t="shared" ref="I461:I469" si="74">K461/J461</f>
        <v>0.66666666666666663</v>
      </c>
      <c r="J461" s="234">
        <v>12</v>
      </c>
      <c r="K461" s="238">
        <v>8</v>
      </c>
      <c r="L461" s="243">
        <f t="shared" ref="L461:L469" si="75">+(H461+K461)/(G461+J461)</f>
        <v>0.6</v>
      </c>
    </row>
    <row r="462" spans="3:31" x14ac:dyDescent="0.25">
      <c r="C462" s="39"/>
      <c r="E462" s="240" t="s">
        <v>1186</v>
      </c>
      <c r="F462" s="162">
        <v>0.6428571428571429</v>
      </c>
      <c r="G462" s="156">
        <v>14</v>
      </c>
      <c r="H462" s="157">
        <v>9</v>
      </c>
      <c r="I462" s="237">
        <f t="shared" si="74"/>
        <v>0.2</v>
      </c>
      <c r="J462" s="234">
        <v>10</v>
      </c>
      <c r="K462" s="238">
        <v>2</v>
      </c>
      <c r="L462" s="243">
        <f t="shared" si="75"/>
        <v>0.45833333333333331</v>
      </c>
    </row>
    <row r="463" spans="3:31" x14ac:dyDescent="0.25">
      <c r="C463" s="39"/>
      <c r="E463" s="240" t="s">
        <v>1187</v>
      </c>
      <c r="F463" s="162">
        <v>0.66666666666666663</v>
      </c>
      <c r="G463" s="156">
        <v>9</v>
      </c>
      <c r="H463" s="157">
        <v>6</v>
      </c>
      <c r="I463" s="237">
        <f t="shared" si="74"/>
        <v>0.55555555555555558</v>
      </c>
      <c r="J463" s="234">
        <f>COUNTA(O410:O418)</f>
        <v>9</v>
      </c>
      <c r="K463" s="238">
        <v>5</v>
      </c>
      <c r="L463" s="243">
        <f t="shared" si="75"/>
        <v>0.61111111111111116</v>
      </c>
    </row>
    <row r="464" spans="3:31" x14ac:dyDescent="0.25">
      <c r="C464" s="39"/>
      <c r="E464" s="240" t="s">
        <v>1188</v>
      </c>
      <c r="F464" s="162">
        <v>0.5</v>
      </c>
      <c r="G464" s="156">
        <v>8</v>
      </c>
      <c r="H464" s="157">
        <v>4</v>
      </c>
      <c r="I464" s="237">
        <f t="shared" si="74"/>
        <v>0.5714285714285714</v>
      </c>
      <c r="J464" s="234">
        <f>COUNTA(O421:O427)</f>
        <v>7</v>
      </c>
      <c r="K464" s="238">
        <v>4</v>
      </c>
      <c r="L464" s="243">
        <f t="shared" si="75"/>
        <v>0.53333333333333333</v>
      </c>
    </row>
    <row r="465" spans="2:41" x14ac:dyDescent="0.25">
      <c r="C465" s="39"/>
      <c r="E465" s="240" t="s">
        <v>1189</v>
      </c>
      <c r="F465" s="162">
        <v>0.625</v>
      </c>
      <c r="G465" s="156">
        <v>8</v>
      </c>
      <c r="H465" s="157">
        <v>5</v>
      </c>
      <c r="I465" s="237">
        <f t="shared" si="74"/>
        <v>0.875</v>
      </c>
      <c r="J465" s="234">
        <f>COUNTA(O430:O437)</f>
        <v>8</v>
      </c>
      <c r="K465" s="238">
        <v>7</v>
      </c>
      <c r="L465" s="243">
        <f t="shared" si="75"/>
        <v>0.75</v>
      </c>
    </row>
    <row r="466" spans="2:41" x14ac:dyDescent="0.25">
      <c r="C466" s="39"/>
      <c r="E466" s="240" t="s">
        <v>1190</v>
      </c>
      <c r="F466" s="162">
        <v>1</v>
      </c>
      <c r="G466" s="156">
        <v>4</v>
      </c>
      <c r="H466" s="157">
        <v>4</v>
      </c>
      <c r="I466" s="237">
        <f t="shared" si="74"/>
        <v>0</v>
      </c>
      <c r="J466" s="234">
        <f>COUNTA(O440:O440)</f>
        <v>1</v>
      </c>
      <c r="K466" s="238">
        <v>0</v>
      </c>
      <c r="L466" s="243">
        <f t="shared" si="75"/>
        <v>0.8</v>
      </c>
    </row>
    <row r="467" spans="2:41" x14ac:dyDescent="0.25">
      <c r="C467" s="39"/>
      <c r="E467" s="240" t="s">
        <v>1191</v>
      </c>
      <c r="F467" s="162">
        <v>1</v>
      </c>
      <c r="G467" s="156">
        <v>3</v>
      </c>
      <c r="H467" s="157">
        <v>3</v>
      </c>
      <c r="I467" s="237">
        <f t="shared" si="74"/>
        <v>0.66666666666666663</v>
      </c>
      <c r="J467" s="234">
        <f>COUNTA(O443:O445)</f>
        <v>3</v>
      </c>
      <c r="K467" s="238">
        <v>2</v>
      </c>
      <c r="L467" s="243">
        <f t="shared" si="75"/>
        <v>0.83333333333333337</v>
      </c>
    </row>
    <row r="468" spans="2:41" x14ac:dyDescent="0.25">
      <c r="C468" s="39"/>
      <c r="E468" s="240" t="s">
        <v>1192</v>
      </c>
      <c r="F468" s="162">
        <v>1</v>
      </c>
      <c r="G468" s="156">
        <v>5</v>
      </c>
      <c r="H468" s="157">
        <v>5</v>
      </c>
      <c r="I468" s="237">
        <f t="shared" si="74"/>
        <v>1</v>
      </c>
      <c r="J468" s="234">
        <f>COUNTA(O448:O448)</f>
        <v>1</v>
      </c>
      <c r="K468" s="238">
        <v>1</v>
      </c>
      <c r="L468" s="243">
        <f t="shared" si="75"/>
        <v>1</v>
      </c>
    </row>
    <row r="469" spans="2:41" x14ac:dyDescent="0.25">
      <c r="C469" s="39"/>
      <c r="E469" s="240" t="s">
        <v>1193</v>
      </c>
      <c r="F469" s="162">
        <v>0.6</v>
      </c>
      <c r="G469" s="156">
        <v>5</v>
      </c>
      <c r="H469" s="157">
        <v>3</v>
      </c>
      <c r="I469" s="237">
        <f t="shared" si="74"/>
        <v>0.75</v>
      </c>
      <c r="J469" s="234">
        <f>COUNTA(O451:O454)</f>
        <v>4</v>
      </c>
      <c r="K469" s="238">
        <v>3</v>
      </c>
      <c r="L469" s="243">
        <f t="shared" si="75"/>
        <v>0.66666666666666663</v>
      </c>
    </row>
    <row r="470" spans="2:41" x14ac:dyDescent="0.25">
      <c r="C470" s="39"/>
      <c r="K470" s="52"/>
    </row>
    <row r="471" spans="2:41" x14ac:dyDescent="0.25">
      <c r="C471" s="39"/>
      <c r="K471" s="52"/>
    </row>
    <row r="472" spans="2:41" x14ac:dyDescent="0.25">
      <c r="C472" s="39"/>
    </row>
    <row r="473" spans="2:41" x14ac:dyDescent="0.25">
      <c r="C473" s="39"/>
    </row>
    <row r="474" spans="2:41" x14ac:dyDescent="0.25">
      <c r="B474" s="139"/>
      <c r="C474" s="140"/>
      <c r="D474" s="139"/>
      <c r="E474" s="139"/>
      <c r="F474" s="139"/>
      <c r="G474" s="139"/>
      <c r="H474" s="139"/>
      <c r="I474" s="139"/>
      <c r="J474" s="139"/>
      <c r="K474" s="139"/>
      <c r="L474" s="139"/>
      <c r="M474" s="139"/>
      <c r="N474" s="141"/>
      <c r="O474" s="139"/>
      <c r="P474" s="139"/>
      <c r="Q474" s="139"/>
      <c r="R474" s="139"/>
      <c r="S474" s="139"/>
    </row>
    <row r="475" spans="2:41" x14ac:dyDescent="0.25">
      <c r="C475" s="39"/>
    </row>
    <row r="476" spans="2:41" x14ac:dyDescent="0.25">
      <c r="B476" s="52"/>
      <c r="C476" s="39"/>
    </row>
    <row r="477" spans="2:41" x14ac:dyDescent="0.25">
      <c r="B477" s="52"/>
      <c r="C477" s="39"/>
    </row>
    <row r="478" spans="2:41" x14ac:dyDescent="0.25">
      <c r="B478" s="224"/>
      <c r="C478" s="39">
        <v>2018</v>
      </c>
      <c r="D478" s="62" t="s">
        <v>1328</v>
      </c>
      <c r="E478" s="63" t="s">
        <v>1329</v>
      </c>
      <c r="F478" s="64">
        <v>43440</v>
      </c>
      <c r="G478" s="65" t="s">
        <v>1225</v>
      </c>
      <c r="H478" s="94">
        <v>1500000</v>
      </c>
      <c r="I478" s="94">
        <v>2546000</v>
      </c>
      <c r="J478" s="105"/>
      <c r="K478" s="153">
        <v>0.69733333333333336</v>
      </c>
      <c r="L478" s="11" t="s">
        <v>465</v>
      </c>
      <c r="M478" s="15">
        <v>3</v>
      </c>
      <c r="N478" s="35" t="s">
        <v>25</v>
      </c>
      <c r="O478" s="15">
        <v>4</v>
      </c>
      <c r="P478" s="35" t="s">
        <v>459</v>
      </c>
      <c r="Q478" s="35"/>
      <c r="R478" s="15"/>
      <c r="S478" s="24"/>
      <c r="T478" s="62" t="s">
        <v>447</v>
      </c>
      <c r="U478" s="62"/>
      <c r="V478" s="94">
        <v>4262816.666666667</v>
      </c>
      <c r="W478" s="199">
        <v>0.59725768173625415</v>
      </c>
      <c r="X478" s="15"/>
      <c r="Y478" s="200">
        <v>1.6973333333333334</v>
      </c>
      <c r="Z478" s="11" t="s">
        <v>465</v>
      </c>
      <c r="AA478" s="11"/>
      <c r="AB478" s="15"/>
      <c r="AC478" s="54">
        <v>1500000</v>
      </c>
      <c r="AD478" s="54">
        <v>2546000</v>
      </c>
      <c r="AE478" s="54">
        <v>-1046000</v>
      </c>
      <c r="AG478" s="4"/>
      <c r="AH478" s="4"/>
      <c r="AI478" s="225"/>
      <c r="AJ478" s="226"/>
      <c r="AK478" s="227"/>
      <c r="AL478" s="227"/>
      <c r="AM478" s="225"/>
      <c r="AN478" s="226"/>
      <c r="AO478" s="228"/>
    </row>
    <row r="479" spans="2:41" x14ac:dyDescent="0.25">
      <c r="B479" s="224"/>
      <c r="C479" s="39">
        <v>2018</v>
      </c>
      <c r="D479" s="62" t="s">
        <v>1312</v>
      </c>
      <c r="E479" s="63" t="s">
        <v>1313</v>
      </c>
      <c r="F479" s="64">
        <v>43438</v>
      </c>
      <c r="G479" s="65" t="s">
        <v>1225</v>
      </c>
      <c r="H479" s="94">
        <v>448000</v>
      </c>
      <c r="I479" s="94">
        <v>432222</v>
      </c>
      <c r="J479" s="105" t="s">
        <v>519</v>
      </c>
      <c r="K479" s="153">
        <v>-3.521875E-2</v>
      </c>
      <c r="L479" s="11" t="s">
        <v>464</v>
      </c>
      <c r="M479" s="15">
        <v>6</v>
      </c>
      <c r="N479" s="35" t="s">
        <v>93</v>
      </c>
      <c r="O479" s="15">
        <v>4</v>
      </c>
      <c r="P479" s="35" t="s">
        <v>458</v>
      </c>
      <c r="Q479" s="35"/>
      <c r="R479" s="15"/>
      <c r="S479" s="24"/>
      <c r="T479" s="62" t="s">
        <v>784</v>
      </c>
      <c r="U479" s="62"/>
      <c r="V479" s="94">
        <v>792267</v>
      </c>
      <c r="W479" s="199">
        <v>0.54555093169348212</v>
      </c>
      <c r="X479" s="15"/>
      <c r="Y479" s="200">
        <v>0.96478125000000003</v>
      </c>
      <c r="Z479" s="11" t="s">
        <v>465</v>
      </c>
      <c r="AA479" s="11"/>
      <c r="AB479" s="15"/>
      <c r="AC479" s="54">
        <v>448000</v>
      </c>
      <c r="AD479" s="54">
        <v>432222</v>
      </c>
      <c r="AE479" s="54">
        <v>15778</v>
      </c>
      <c r="AG479" s="4"/>
      <c r="AH479" s="4"/>
      <c r="AI479" s="225"/>
      <c r="AJ479" s="226"/>
      <c r="AK479" s="227"/>
      <c r="AL479" s="227"/>
      <c r="AM479" s="225"/>
      <c r="AN479" s="226"/>
      <c r="AO479" s="228"/>
    </row>
    <row r="480" spans="2:41" x14ac:dyDescent="0.25">
      <c r="B480" s="224"/>
      <c r="C480" s="39">
        <v>2018</v>
      </c>
      <c r="D480" s="62" t="s">
        <v>1314</v>
      </c>
      <c r="E480" s="63" t="s">
        <v>1315</v>
      </c>
      <c r="F480" s="64">
        <v>43433</v>
      </c>
      <c r="G480" s="65" t="s">
        <v>1225</v>
      </c>
      <c r="H480" s="94">
        <v>287000</v>
      </c>
      <c r="I480" s="94">
        <v>369034</v>
      </c>
      <c r="J480" s="105"/>
      <c r="K480" s="153">
        <v>0.28583275261324043</v>
      </c>
      <c r="L480" s="11" t="s">
        <v>465</v>
      </c>
      <c r="M480" s="15">
        <v>5</v>
      </c>
      <c r="N480" s="35" t="s">
        <v>93</v>
      </c>
      <c r="O480" s="15">
        <v>4</v>
      </c>
      <c r="P480" s="35" t="s">
        <v>458</v>
      </c>
      <c r="Q480" s="35"/>
      <c r="R480" s="15"/>
      <c r="S480" s="24"/>
      <c r="T480" s="62" t="s">
        <v>784</v>
      </c>
      <c r="U480" s="62"/>
      <c r="V480" s="94">
        <v>503308</v>
      </c>
      <c r="W480" s="199">
        <v>0.73321703608923361</v>
      </c>
      <c r="X480" s="15"/>
      <c r="Y480" s="200">
        <v>1.2858327526132405</v>
      </c>
      <c r="Z480" s="11" t="s">
        <v>465</v>
      </c>
      <c r="AA480" s="11"/>
      <c r="AB480" s="15"/>
      <c r="AC480" s="54">
        <v>287000</v>
      </c>
      <c r="AD480" s="54">
        <v>369034</v>
      </c>
      <c r="AE480" s="54">
        <v>-82034</v>
      </c>
      <c r="AG480" s="4"/>
      <c r="AH480" s="4"/>
      <c r="AI480" s="225"/>
      <c r="AJ480" s="226"/>
      <c r="AK480" s="227"/>
      <c r="AL480" s="227"/>
      <c r="AM480" s="225"/>
      <c r="AN480" s="226"/>
      <c r="AO480" s="228"/>
    </row>
    <row r="481" spans="2:41" x14ac:dyDescent="0.25">
      <c r="B481" s="224"/>
      <c r="C481" s="39">
        <v>2018</v>
      </c>
      <c r="D481" s="62" t="s">
        <v>1318</v>
      </c>
      <c r="E481" s="63" t="s">
        <v>1319</v>
      </c>
      <c r="F481" s="64">
        <v>43410</v>
      </c>
      <c r="G481" s="65" t="s">
        <v>1225</v>
      </c>
      <c r="H481" s="94">
        <v>2215000</v>
      </c>
      <c r="I481" s="94">
        <v>1984098</v>
      </c>
      <c r="J481" s="105" t="s">
        <v>519</v>
      </c>
      <c r="K481" s="153">
        <v>-0.10424469525959368</v>
      </c>
      <c r="L481" s="11" t="s">
        <v>464</v>
      </c>
      <c r="M481" s="15">
        <v>4</v>
      </c>
      <c r="N481" s="35" t="s">
        <v>93</v>
      </c>
      <c r="O481" s="15">
        <v>4</v>
      </c>
      <c r="P481" s="35" t="s">
        <v>457</v>
      </c>
      <c r="Q481" s="35"/>
      <c r="R481" s="15"/>
      <c r="S481" s="24"/>
      <c r="T481" s="62" t="s">
        <v>1348</v>
      </c>
      <c r="U481" s="62"/>
      <c r="V481" s="94">
        <v>2858292.5</v>
      </c>
      <c r="W481" s="199">
        <v>0.69415498938614573</v>
      </c>
      <c r="X481" s="15"/>
      <c r="Y481" s="200">
        <v>0.89575530474040632</v>
      </c>
      <c r="Z481" s="11" t="s">
        <v>465</v>
      </c>
      <c r="AA481" s="11"/>
      <c r="AB481" s="15"/>
      <c r="AC481" s="54">
        <v>2215000</v>
      </c>
      <c r="AD481" s="54">
        <v>1984098</v>
      </c>
      <c r="AE481" s="54">
        <v>230902</v>
      </c>
      <c r="AG481" s="4"/>
      <c r="AH481" s="4"/>
      <c r="AI481" s="225"/>
      <c r="AJ481" s="226"/>
      <c r="AK481" s="227"/>
      <c r="AL481" s="227"/>
      <c r="AM481" s="225"/>
      <c r="AN481" s="226"/>
      <c r="AO481" s="228"/>
    </row>
    <row r="482" spans="2:41" x14ac:dyDescent="0.25">
      <c r="B482" s="52"/>
      <c r="C482" s="39">
        <v>2018</v>
      </c>
      <c r="D482" s="62" t="s">
        <v>1269</v>
      </c>
      <c r="E482" s="63" t="s">
        <v>1270</v>
      </c>
      <c r="F482" s="64">
        <v>43368</v>
      </c>
      <c r="G482" s="65" t="s">
        <v>1225</v>
      </c>
      <c r="H482" s="94">
        <v>760000</v>
      </c>
      <c r="I482" s="94">
        <v>994150</v>
      </c>
      <c r="J482" s="105"/>
      <c r="K482" s="26">
        <v>0.30809210526315789</v>
      </c>
      <c r="L482" s="11" t="s">
        <v>465</v>
      </c>
      <c r="M482" s="15">
        <v>3</v>
      </c>
      <c r="N482" s="35" t="s">
        <v>25</v>
      </c>
      <c r="O482" s="15">
        <v>3</v>
      </c>
      <c r="P482" s="35" t="s">
        <v>458</v>
      </c>
      <c r="Q482" s="35"/>
      <c r="R482" s="15"/>
      <c r="S482" s="24"/>
      <c r="T482" s="62" t="s">
        <v>784</v>
      </c>
      <c r="U482" s="62"/>
      <c r="V482" s="94">
        <v>2705657.5</v>
      </c>
      <c r="W482" s="199">
        <v>0.36743379381906244</v>
      </c>
      <c r="X482" s="15"/>
      <c r="Y482" s="200">
        <v>1.308092105263158</v>
      </c>
      <c r="Z482" s="11" t="s">
        <v>465</v>
      </c>
      <c r="AA482" s="11"/>
      <c r="AB482" s="15"/>
      <c r="AC482" s="54">
        <v>760000</v>
      </c>
      <c r="AD482" s="54">
        <v>994150</v>
      </c>
      <c r="AE482" s="54">
        <v>-234150</v>
      </c>
    </row>
    <row r="483" spans="2:41" x14ac:dyDescent="0.25">
      <c r="B483" s="52"/>
      <c r="C483" s="39">
        <v>2018</v>
      </c>
      <c r="D483" s="62" t="s">
        <v>1295</v>
      </c>
      <c r="E483" s="63" t="s">
        <v>1296</v>
      </c>
      <c r="F483" s="64">
        <v>43363</v>
      </c>
      <c r="G483" s="65" t="s">
        <v>1225</v>
      </c>
      <c r="H483" s="94">
        <v>1700000</v>
      </c>
      <c r="I483" s="94">
        <v>1560315</v>
      </c>
      <c r="J483" s="105" t="s">
        <v>519</v>
      </c>
      <c r="K483" s="26">
        <v>-8.2167647058823526E-2</v>
      </c>
      <c r="L483" s="11" t="s">
        <v>464</v>
      </c>
      <c r="M483" s="15">
        <v>2</v>
      </c>
      <c r="N483" s="35" t="s">
        <v>25</v>
      </c>
      <c r="O483" s="15">
        <v>3</v>
      </c>
      <c r="P483" s="35" t="s">
        <v>459</v>
      </c>
      <c r="Q483" s="35"/>
      <c r="R483" s="15"/>
      <c r="S483" s="24"/>
      <c r="T483" s="62" t="s">
        <v>447</v>
      </c>
      <c r="U483" s="62"/>
      <c r="V483" s="94">
        <v>2705657.5</v>
      </c>
      <c r="W483" s="199">
        <v>0.57668607353295831</v>
      </c>
      <c r="X483" s="15"/>
      <c r="Y483" s="200">
        <v>0.91783235294117649</v>
      </c>
      <c r="Z483" s="11" t="s">
        <v>465</v>
      </c>
      <c r="AA483" s="11"/>
      <c r="AB483" s="15"/>
      <c r="AC483" s="54">
        <v>1700000</v>
      </c>
      <c r="AD483" s="54">
        <v>1560315</v>
      </c>
      <c r="AE483" s="54">
        <v>139685</v>
      </c>
    </row>
    <row r="484" spans="2:41" x14ac:dyDescent="0.25">
      <c r="B484" s="52"/>
      <c r="C484" s="39">
        <v>2018</v>
      </c>
      <c r="D484" s="62" t="s">
        <v>1223</v>
      </c>
      <c r="E484" s="63" t="s">
        <v>1224</v>
      </c>
      <c r="F484" s="64">
        <v>43326</v>
      </c>
      <c r="G484" s="65" t="s">
        <v>1225</v>
      </c>
      <c r="H484" s="94">
        <v>858000</v>
      </c>
      <c r="I484" s="94">
        <v>743300</v>
      </c>
      <c r="J484" s="105" t="s">
        <v>519</v>
      </c>
      <c r="K484" s="26">
        <v>-0.13368298368298367</v>
      </c>
      <c r="L484" s="11" t="s">
        <v>464</v>
      </c>
      <c r="M484" s="15">
        <v>2</v>
      </c>
      <c r="N484" s="35" t="s">
        <v>25</v>
      </c>
      <c r="O484" s="15">
        <v>3</v>
      </c>
      <c r="P484" s="35" t="s">
        <v>457</v>
      </c>
      <c r="Q484" s="35"/>
      <c r="R484" s="15"/>
      <c r="S484" s="24"/>
      <c r="T484" s="62" t="s">
        <v>1226</v>
      </c>
      <c r="U484" s="62"/>
      <c r="V484" s="94">
        <v>2139150</v>
      </c>
      <c r="W484" s="199">
        <v>0.34747446415632377</v>
      </c>
      <c r="X484" s="15"/>
      <c r="Y484" s="200">
        <v>0.8663170163170163</v>
      </c>
      <c r="Z484" s="11" t="s">
        <v>465</v>
      </c>
      <c r="AA484" s="11"/>
      <c r="AB484" s="15"/>
      <c r="AC484" s="54">
        <v>858000</v>
      </c>
      <c r="AD484" s="54">
        <v>743300</v>
      </c>
      <c r="AE484" s="54">
        <v>114700</v>
      </c>
    </row>
    <row r="485" spans="2:41" x14ac:dyDescent="0.25">
      <c r="B485" s="52"/>
      <c r="C485" s="39">
        <v>2018</v>
      </c>
      <c r="D485" s="62" t="s">
        <v>1227</v>
      </c>
      <c r="E485" s="63" t="s">
        <v>1228</v>
      </c>
      <c r="F485" s="64">
        <v>43326</v>
      </c>
      <c r="G485" s="65" t="s">
        <v>1225</v>
      </c>
      <c r="H485" s="94">
        <v>1300000</v>
      </c>
      <c r="I485" s="94">
        <v>695800</v>
      </c>
      <c r="J485" s="105"/>
      <c r="K485" s="26">
        <v>-0.46476923076923077</v>
      </c>
      <c r="L485" s="11" t="s">
        <v>465</v>
      </c>
      <c r="M485" s="15">
        <v>2</v>
      </c>
      <c r="N485" s="35" t="s">
        <v>226</v>
      </c>
      <c r="O485" s="15">
        <v>3</v>
      </c>
      <c r="P485" s="35" t="s">
        <v>457</v>
      </c>
      <c r="Q485" s="35"/>
      <c r="R485" s="15"/>
      <c r="S485" s="24" t="s">
        <v>932</v>
      </c>
      <c r="T485" s="62" t="s">
        <v>1226</v>
      </c>
      <c r="U485" s="62"/>
      <c r="V485" s="94">
        <v>1057500</v>
      </c>
      <c r="W485" s="199">
        <v>0.65796690307328609</v>
      </c>
      <c r="X485" s="15"/>
      <c r="Y485" s="200">
        <v>0.53523076923076918</v>
      </c>
      <c r="Z485" s="11" t="s">
        <v>465</v>
      </c>
      <c r="AA485" s="11"/>
      <c r="AB485" s="15"/>
      <c r="AC485" s="54">
        <v>1300000</v>
      </c>
      <c r="AD485" s="54">
        <v>695800</v>
      </c>
      <c r="AE485" s="54">
        <v>604200</v>
      </c>
    </row>
    <row r="486" spans="2:41" x14ac:dyDescent="0.25">
      <c r="B486" s="52"/>
      <c r="C486" s="39">
        <v>2018</v>
      </c>
      <c r="D486" s="62" t="s">
        <v>1229</v>
      </c>
      <c r="E486" s="63" t="s">
        <v>1230</v>
      </c>
      <c r="F486" s="64">
        <v>43314</v>
      </c>
      <c r="G486" s="65" t="s">
        <v>1225</v>
      </c>
      <c r="H486" s="94">
        <v>1980000</v>
      </c>
      <c r="I486" s="94">
        <v>2882170</v>
      </c>
      <c r="J486" s="105"/>
      <c r="K486" s="26">
        <v>0.45564141414141413</v>
      </c>
      <c r="L486" s="11" t="s">
        <v>465</v>
      </c>
      <c r="M486" s="15">
        <v>6</v>
      </c>
      <c r="N486" s="35" t="s">
        <v>25</v>
      </c>
      <c r="O486" s="15">
        <v>3</v>
      </c>
      <c r="P486" s="35" t="s">
        <v>492</v>
      </c>
      <c r="Q486" s="35"/>
      <c r="R486" s="15"/>
      <c r="S486" s="24"/>
      <c r="T486" s="62" t="s">
        <v>816</v>
      </c>
      <c r="U486" s="62"/>
      <c r="V486" s="94">
        <v>4467184.666666667</v>
      </c>
      <c r="W486" s="199">
        <v>0.64518711785215355</v>
      </c>
      <c r="X486" s="15"/>
      <c r="Y486" s="200">
        <v>1.4556414141414142</v>
      </c>
      <c r="Z486" s="11" t="s">
        <v>465</v>
      </c>
      <c r="AA486" s="11"/>
      <c r="AB486" s="15"/>
      <c r="AC486" s="54">
        <v>1980000</v>
      </c>
      <c r="AD486" s="54">
        <v>2882170</v>
      </c>
      <c r="AE486" s="54">
        <v>-902170</v>
      </c>
    </row>
    <row r="487" spans="2:41" x14ac:dyDescent="0.25">
      <c r="B487" s="52"/>
      <c r="C487" s="39">
        <v>2018</v>
      </c>
      <c r="D487" s="62" t="s">
        <v>1231</v>
      </c>
      <c r="E487" s="63" t="s">
        <v>1232</v>
      </c>
      <c r="F487" s="64">
        <v>43221</v>
      </c>
      <c r="G487" s="65" t="s">
        <v>1225</v>
      </c>
      <c r="H487" s="94">
        <v>960000</v>
      </c>
      <c r="I487" s="94">
        <v>413834</v>
      </c>
      <c r="J487" s="105"/>
      <c r="K487" s="26">
        <v>-0.56892291666666661</v>
      </c>
      <c r="L487" s="11" t="s">
        <v>465</v>
      </c>
      <c r="M487" s="15">
        <v>5</v>
      </c>
      <c r="N487" s="35" t="s">
        <v>93</v>
      </c>
      <c r="O487" s="15">
        <v>2</v>
      </c>
      <c r="P487" s="35" t="s">
        <v>457</v>
      </c>
      <c r="Q487" s="35"/>
      <c r="R487" s="15"/>
      <c r="S487" s="24"/>
      <c r="T487" s="62" t="s">
        <v>816</v>
      </c>
      <c r="U487" s="62"/>
      <c r="V487" s="94">
        <v>710613.8</v>
      </c>
      <c r="W487" s="199">
        <v>0.58236133325865602</v>
      </c>
      <c r="X487" s="15"/>
      <c r="Y487" s="200">
        <v>0.43107708333333333</v>
      </c>
      <c r="Z487" s="11" t="s">
        <v>465</v>
      </c>
      <c r="AA487" s="11"/>
      <c r="AB487" s="15"/>
      <c r="AC487" s="54">
        <v>960000</v>
      </c>
      <c r="AD487" s="54">
        <v>413834</v>
      </c>
      <c r="AE487" s="54">
        <v>546166</v>
      </c>
    </row>
    <row r="488" spans="2:41" x14ac:dyDescent="0.25">
      <c r="B488" s="52"/>
      <c r="C488" s="39">
        <v>2018</v>
      </c>
      <c r="D488" s="62" t="s">
        <v>1233</v>
      </c>
      <c r="E488" s="63" t="s">
        <v>1234</v>
      </c>
      <c r="F488" s="64">
        <v>43173</v>
      </c>
      <c r="G488" s="65" t="s">
        <v>693</v>
      </c>
      <c r="H488" s="94">
        <v>600000</v>
      </c>
      <c r="I488" s="94">
        <v>749000</v>
      </c>
      <c r="J488" s="105"/>
      <c r="K488" s="26">
        <v>0.24833333333333332</v>
      </c>
      <c r="L488" s="11" t="s">
        <v>465</v>
      </c>
      <c r="M488" s="15">
        <v>3</v>
      </c>
      <c r="N488" s="35" t="s">
        <v>25</v>
      </c>
      <c r="O488" s="15">
        <v>1</v>
      </c>
      <c r="P488" s="35" t="s">
        <v>457</v>
      </c>
      <c r="Q488" s="35" t="s">
        <v>1235</v>
      </c>
      <c r="R488" s="15"/>
      <c r="S488" s="24"/>
      <c r="T488" s="62" t="s">
        <v>1226</v>
      </c>
      <c r="U488" s="62"/>
      <c r="V488" s="94">
        <v>994735</v>
      </c>
      <c r="W488" s="199">
        <v>0.75296435734140243</v>
      </c>
      <c r="X488" s="15"/>
      <c r="Y488" s="200">
        <v>1.2483333333333333</v>
      </c>
      <c r="Z488" s="11" t="s">
        <v>465</v>
      </c>
      <c r="AA488" s="11"/>
      <c r="AB488" s="15"/>
      <c r="AC488" s="54">
        <v>600000</v>
      </c>
      <c r="AD488" s="54">
        <v>749000</v>
      </c>
      <c r="AE488" s="54">
        <v>-149000</v>
      </c>
    </row>
    <row r="489" spans="2:41" x14ac:dyDescent="0.25">
      <c r="B489" s="52"/>
      <c r="C489" s="39">
        <v>2018</v>
      </c>
      <c r="D489" s="62" t="s">
        <v>1236</v>
      </c>
      <c r="E489" s="63" t="s">
        <v>1237</v>
      </c>
      <c r="F489" s="64">
        <v>43138</v>
      </c>
      <c r="G489" s="65" t="s">
        <v>693</v>
      </c>
      <c r="H489" s="94">
        <v>1056000</v>
      </c>
      <c r="I489" s="94">
        <v>619790</v>
      </c>
      <c r="J489" s="105" t="s">
        <v>519</v>
      </c>
      <c r="K489" s="26">
        <v>-0.41307765151515152</v>
      </c>
      <c r="L489" s="11" t="s">
        <v>464</v>
      </c>
      <c r="M489" s="15">
        <v>6</v>
      </c>
      <c r="N489" s="35" t="s">
        <v>25</v>
      </c>
      <c r="O489" s="15">
        <v>1</v>
      </c>
      <c r="P489" s="35" t="s">
        <v>457</v>
      </c>
      <c r="Q489" s="35" t="s">
        <v>1238</v>
      </c>
      <c r="R489" s="15"/>
      <c r="S489" s="24"/>
      <c r="T489" s="62" t="s">
        <v>784</v>
      </c>
      <c r="U489" s="62"/>
      <c r="V489" s="94">
        <v>2319072.3333333335</v>
      </c>
      <c r="W489" s="199">
        <v>0.26725772676057108</v>
      </c>
      <c r="X489" s="15"/>
      <c r="Y489" s="200">
        <v>0.58692234848484848</v>
      </c>
      <c r="Z489" s="11" t="s">
        <v>465</v>
      </c>
      <c r="AA489" s="11"/>
      <c r="AB489" s="15"/>
      <c r="AC489" s="54">
        <v>1056000</v>
      </c>
      <c r="AD489" s="54">
        <v>619790</v>
      </c>
      <c r="AE489" s="54">
        <v>436210</v>
      </c>
    </row>
    <row r="490" spans="2:41" x14ac:dyDescent="0.25">
      <c r="B490" s="52"/>
      <c r="C490" s="39"/>
    </row>
    <row r="491" spans="2:41" x14ac:dyDescent="0.25">
      <c r="B491" s="52"/>
      <c r="C491" s="39"/>
    </row>
    <row r="492" spans="2:41" x14ac:dyDescent="0.25">
      <c r="B492" s="52"/>
      <c r="C492" s="39">
        <v>2018</v>
      </c>
      <c r="D492" s="62" t="s">
        <v>1273</v>
      </c>
      <c r="E492" s="63" t="s">
        <v>1274</v>
      </c>
      <c r="F492" s="64">
        <v>43311</v>
      </c>
      <c r="G492" s="65" t="s">
        <v>190</v>
      </c>
      <c r="H492" s="94">
        <v>9350000</v>
      </c>
      <c r="I492" s="94">
        <v>6855365</v>
      </c>
      <c r="J492" s="27" t="s">
        <v>519</v>
      </c>
      <c r="K492" s="26">
        <v>-0.26680588235294117</v>
      </c>
      <c r="L492" s="11" t="s">
        <v>464</v>
      </c>
      <c r="M492" s="15">
        <v>3</v>
      </c>
      <c r="N492" s="35" t="s">
        <v>25</v>
      </c>
      <c r="O492" s="15">
        <v>3</v>
      </c>
      <c r="P492" s="35" t="s">
        <v>458</v>
      </c>
      <c r="Q492" s="35"/>
      <c r="R492" s="15"/>
      <c r="S492" s="24" t="s">
        <v>932</v>
      </c>
      <c r="T492" s="62" t="s">
        <v>784</v>
      </c>
      <c r="U492" s="62"/>
      <c r="V492" s="94">
        <v>10087545</v>
      </c>
      <c r="W492" s="199">
        <v>0.67958705512590034</v>
      </c>
      <c r="X492" s="15"/>
      <c r="Y492" s="200">
        <v>0.73319411764705877</v>
      </c>
      <c r="Z492" s="11" t="s">
        <v>465</v>
      </c>
      <c r="AA492" s="11"/>
      <c r="AB492" s="15"/>
      <c r="AC492" s="54">
        <v>9350000</v>
      </c>
      <c r="AD492" s="54">
        <v>6855365</v>
      </c>
      <c r="AE492" s="54">
        <v>2494635</v>
      </c>
    </row>
    <row r="493" spans="2:41" x14ac:dyDescent="0.25">
      <c r="B493" s="52"/>
      <c r="C493" s="39">
        <v>2018</v>
      </c>
      <c r="D493" s="62" t="s">
        <v>1275</v>
      </c>
      <c r="E493" s="63" t="s">
        <v>1276</v>
      </c>
      <c r="F493" s="64">
        <v>43299</v>
      </c>
      <c r="G493" s="65" t="s">
        <v>190</v>
      </c>
      <c r="H493" s="94">
        <v>34796400</v>
      </c>
      <c r="I493" s="94">
        <v>34483510</v>
      </c>
      <c r="J493" s="27" t="s">
        <v>519</v>
      </c>
      <c r="K493" s="26">
        <v>-8.9920221632122863E-3</v>
      </c>
      <c r="L493" s="11" t="s">
        <v>464</v>
      </c>
      <c r="M493" s="15">
        <v>2</v>
      </c>
      <c r="N493" s="35" t="s">
        <v>93</v>
      </c>
      <c r="O493" s="15">
        <v>3</v>
      </c>
      <c r="P493" s="35" t="s">
        <v>458</v>
      </c>
      <c r="Q493" s="35"/>
      <c r="R493" s="15"/>
      <c r="S493" s="24"/>
      <c r="T493" s="62" t="s">
        <v>784</v>
      </c>
      <c r="U493" s="62"/>
      <c r="V493" s="94">
        <v>35471255</v>
      </c>
      <c r="W493" s="199">
        <v>0.97215364948322236</v>
      </c>
      <c r="X493" s="15"/>
      <c r="Y493" s="200">
        <v>0.99100797783678773</v>
      </c>
      <c r="Z493" s="11" t="s">
        <v>465</v>
      </c>
      <c r="AA493" s="11"/>
      <c r="AB493" s="15"/>
      <c r="AC493" s="54">
        <v>34796400</v>
      </c>
      <c r="AD493" s="54">
        <v>34483510</v>
      </c>
      <c r="AE493" s="54">
        <v>312890</v>
      </c>
    </row>
    <row r="494" spans="2:41" x14ac:dyDescent="0.25">
      <c r="B494" s="224"/>
      <c r="C494" s="39">
        <v>2018</v>
      </c>
      <c r="D494" s="62" t="s">
        <v>1277</v>
      </c>
      <c r="E494" s="63" t="s">
        <v>1278</v>
      </c>
      <c r="F494" s="64">
        <v>43287</v>
      </c>
      <c r="G494" s="65" t="s">
        <v>190</v>
      </c>
      <c r="H494" s="94">
        <v>3730000</v>
      </c>
      <c r="I494" s="94">
        <v>4547000</v>
      </c>
      <c r="J494" s="105"/>
      <c r="K494" s="26">
        <v>0.2190348525469169</v>
      </c>
      <c r="L494" s="11" t="s">
        <v>465</v>
      </c>
      <c r="M494" s="15">
        <v>3</v>
      </c>
      <c r="N494" s="35" t="s">
        <v>25</v>
      </c>
      <c r="O494" s="15">
        <v>3</v>
      </c>
      <c r="P494" s="35" t="s">
        <v>458</v>
      </c>
      <c r="Q494" s="35"/>
      <c r="R494" s="15"/>
      <c r="S494" s="24"/>
      <c r="T494" s="62" t="s">
        <v>784</v>
      </c>
      <c r="U494" s="62"/>
      <c r="V494" s="94">
        <v>4717276.666666667</v>
      </c>
      <c r="W494" s="199">
        <v>0.96390360822593257</v>
      </c>
      <c r="X494" s="15"/>
      <c r="Y494" s="200">
        <v>1.2190348525469168</v>
      </c>
      <c r="Z494" s="11" t="s">
        <v>465</v>
      </c>
      <c r="AA494" s="11"/>
      <c r="AB494" s="15"/>
      <c r="AC494" s="54">
        <v>3730000</v>
      </c>
      <c r="AD494" s="54">
        <v>4547000</v>
      </c>
      <c r="AE494" s="54">
        <v>-817000</v>
      </c>
      <c r="AG494" s="4">
        <v>203524650</v>
      </c>
      <c r="AH494" s="4">
        <v>173859860</v>
      </c>
      <c r="AI494" s="209">
        <v>0.85424473153497626</v>
      </c>
      <c r="AJ494" s="1" t="s">
        <v>1240</v>
      </c>
      <c r="AK494" s="210">
        <v>757144150</v>
      </c>
      <c r="AL494" s="210">
        <v>573649474</v>
      </c>
      <c r="AM494" s="211">
        <v>0.75764895495791651</v>
      </c>
      <c r="AN494" s="212"/>
      <c r="AO494" s="213"/>
    </row>
    <row r="495" spans="2:41" x14ac:dyDescent="0.25">
      <c r="B495" s="52"/>
      <c r="C495" s="39">
        <v>2018</v>
      </c>
      <c r="D495" s="62" t="s">
        <v>1291</v>
      </c>
      <c r="E495" s="63" t="s">
        <v>1292</v>
      </c>
      <c r="F495" s="64">
        <v>43139</v>
      </c>
      <c r="G495" s="65" t="s">
        <v>190</v>
      </c>
      <c r="H495" s="94">
        <v>10590000</v>
      </c>
      <c r="I495" s="94">
        <v>9125000</v>
      </c>
      <c r="J495" s="27"/>
      <c r="K495" s="26">
        <v>-0.13833805476864966</v>
      </c>
      <c r="L495" s="11" t="s">
        <v>465</v>
      </c>
      <c r="M495" s="15">
        <v>2</v>
      </c>
      <c r="N495" s="35" t="s">
        <v>93</v>
      </c>
      <c r="O495" s="15">
        <v>1</v>
      </c>
      <c r="P495" s="35" t="s">
        <v>458</v>
      </c>
      <c r="Q495" s="35" t="s">
        <v>1235</v>
      </c>
      <c r="R495" s="15"/>
      <c r="S495" s="24"/>
      <c r="T495" s="62" t="s">
        <v>784</v>
      </c>
      <c r="U495" s="62"/>
      <c r="V495" s="94">
        <v>9478917</v>
      </c>
      <c r="W495" s="199">
        <v>0.96266271769232714</v>
      </c>
      <c r="X495" s="15"/>
      <c r="Y495" s="200">
        <v>0.86166194523135031</v>
      </c>
      <c r="Z495" s="11" t="s">
        <v>465</v>
      </c>
      <c r="AA495" s="11"/>
      <c r="AB495" s="15"/>
      <c r="AC495" s="54">
        <v>10590000</v>
      </c>
      <c r="AD495" s="54">
        <v>9125000</v>
      </c>
      <c r="AE495" s="54">
        <v>1465000</v>
      </c>
    </row>
    <row r="496" spans="2:41" x14ac:dyDescent="0.25">
      <c r="B496" s="52"/>
      <c r="C496" s="39">
        <v>2018</v>
      </c>
      <c r="D496" s="62" t="s">
        <v>1309</v>
      </c>
      <c r="E496" s="63" t="s">
        <v>1310</v>
      </c>
      <c r="F496" s="64">
        <v>43110</v>
      </c>
      <c r="G496" s="65" t="s">
        <v>190</v>
      </c>
      <c r="H496" s="94">
        <v>200000000</v>
      </c>
      <c r="I496" s="94">
        <v>108511400</v>
      </c>
      <c r="J496" s="27"/>
      <c r="K496" s="26">
        <v>-0.45744299999999999</v>
      </c>
      <c r="L496" s="11" t="s">
        <v>465</v>
      </c>
      <c r="M496" s="15">
        <v>5</v>
      </c>
      <c r="N496" s="35" t="s">
        <v>226</v>
      </c>
      <c r="O496" s="15">
        <v>1</v>
      </c>
      <c r="P496" s="35" t="s">
        <v>459</v>
      </c>
      <c r="Q496" s="35" t="s">
        <v>1246</v>
      </c>
      <c r="R496" s="15"/>
      <c r="S496" s="24" t="s">
        <v>932</v>
      </c>
      <c r="T496" s="62" t="s">
        <v>447</v>
      </c>
      <c r="U496" s="62"/>
      <c r="V496" s="94">
        <v>136419680</v>
      </c>
      <c r="W496" s="199">
        <v>0.79542335827206168</v>
      </c>
      <c r="X496" s="15"/>
      <c r="Y496" s="200">
        <v>0.54255699999999996</v>
      </c>
      <c r="Z496" s="11" t="s">
        <v>465</v>
      </c>
      <c r="AA496" s="11"/>
      <c r="AB496" s="15"/>
      <c r="AC496" s="54">
        <v>200000000</v>
      </c>
      <c r="AD496" s="54">
        <v>108511400</v>
      </c>
      <c r="AE496" s="54">
        <v>91488600</v>
      </c>
    </row>
    <row r="497" spans="2:41" x14ac:dyDescent="0.25">
      <c r="B497" s="224"/>
      <c r="C497" s="39">
        <v>2018</v>
      </c>
      <c r="D497" s="62" t="s">
        <v>1267</v>
      </c>
      <c r="E497" s="63" t="s">
        <v>1268</v>
      </c>
      <c r="F497" s="64">
        <v>43108</v>
      </c>
      <c r="G497" s="65" t="s">
        <v>190</v>
      </c>
      <c r="H497" s="94">
        <v>8520000</v>
      </c>
      <c r="I497" s="94">
        <v>6850075</v>
      </c>
      <c r="J497" s="27" t="s">
        <v>519</v>
      </c>
      <c r="K497" s="26">
        <v>-0.19600058685446009</v>
      </c>
      <c r="L497" s="11" t="s">
        <v>464</v>
      </c>
      <c r="M497" s="15">
        <v>5</v>
      </c>
      <c r="N497" s="35" t="s">
        <v>93</v>
      </c>
      <c r="O497" s="15">
        <v>1</v>
      </c>
      <c r="P497" s="35" t="s">
        <v>457</v>
      </c>
      <c r="Q497" s="35" t="s">
        <v>1235</v>
      </c>
      <c r="R497" s="15"/>
      <c r="S497" s="24"/>
      <c r="T497" s="62" t="s">
        <v>784</v>
      </c>
      <c r="U497" s="62"/>
      <c r="V497" s="94">
        <v>10472836.199999999</v>
      </c>
      <c r="W497" s="199">
        <v>0.65408021945382866</v>
      </c>
      <c r="X497" s="15"/>
      <c r="Y497" s="200">
        <v>0.80399941314553991</v>
      </c>
      <c r="Z497" s="11" t="s">
        <v>465</v>
      </c>
      <c r="AA497" s="74">
        <v>0</v>
      </c>
      <c r="AB497" s="15"/>
      <c r="AC497" s="54">
        <v>8520000</v>
      </c>
      <c r="AD497" s="54">
        <v>6850075</v>
      </c>
      <c r="AE497" s="54">
        <v>1669925</v>
      </c>
      <c r="AG497" s="4">
        <v>337954000</v>
      </c>
      <c r="AH497" s="4">
        <v>228800072</v>
      </c>
      <c r="AI497" s="7">
        <v>0.67701542813519</v>
      </c>
    </row>
    <row r="498" spans="2:41" x14ac:dyDescent="0.25">
      <c r="B498" s="52"/>
      <c r="C498" s="39"/>
    </row>
    <row r="499" spans="2:41" x14ac:dyDescent="0.25">
      <c r="B499" s="52"/>
      <c r="C499" s="39"/>
    </row>
    <row r="500" spans="2:41" x14ac:dyDescent="0.25">
      <c r="B500" s="52"/>
      <c r="C500" s="39">
        <v>2018</v>
      </c>
      <c r="D500" s="62" t="s">
        <v>1248</v>
      </c>
      <c r="E500" s="63" t="s">
        <v>1249</v>
      </c>
      <c r="F500" s="64">
        <v>43259</v>
      </c>
      <c r="G500" s="65" t="s">
        <v>756</v>
      </c>
      <c r="H500" s="94">
        <v>2770000</v>
      </c>
      <c r="I500" s="94">
        <v>2542996</v>
      </c>
      <c r="J500" s="105" t="s">
        <v>519</v>
      </c>
      <c r="K500" s="26">
        <v>-8.1950902527075806E-2</v>
      </c>
      <c r="L500" s="11" t="s">
        <v>464</v>
      </c>
      <c r="M500" s="15">
        <v>6</v>
      </c>
      <c r="N500" s="35" t="s">
        <v>226</v>
      </c>
      <c r="O500" s="15">
        <v>2</v>
      </c>
      <c r="P500" s="35" t="s">
        <v>492</v>
      </c>
      <c r="Q500" s="35"/>
      <c r="R500" s="15"/>
      <c r="S500" s="24"/>
      <c r="T500" s="62" t="s">
        <v>447</v>
      </c>
      <c r="U500" s="62"/>
      <c r="V500" s="94">
        <v>4162248.5</v>
      </c>
      <c r="W500" s="199">
        <v>0.61096688484601536</v>
      </c>
      <c r="X500" s="15"/>
      <c r="Y500" s="200">
        <v>0.91804909747292418</v>
      </c>
      <c r="Z500" s="11" t="s">
        <v>465</v>
      </c>
      <c r="AA500" s="11"/>
      <c r="AB500" s="15"/>
      <c r="AC500" s="54">
        <v>2770000</v>
      </c>
      <c r="AD500" s="54">
        <v>2542996</v>
      </c>
      <c r="AE500" s="54">
        <v>227004</v>
      </c>
    </row>
    <row r="501" spans="2:41" x14ac:dyDescent="0.25">
      <c r="B501" s="52"/>
      <c r="C501" s="39">
        <v>2018</v>
      </c>
      <c r="D501" s="62" t="s">
        <v>1307</v>
      </c>
      <c r="E501" s="63" t="s">
        <v>1308</v>
      </c>
      <c r="F501" s="64">
        <v>43118</v>
      </c>
      <c r="G501" s="65" t="s">
        <v>756</v>
      </c>
      <c r="H501" s="94">
        <v>26900000</v>
      </c>
      <c r="I501" s="94">
        <v>24990000</v>
      </c>
      <c r="J501" s="27" t="s">
        <v>519</v>
      </c>
      <c r="K501" s="26">
        <v>-7.1003717472118963E-2</v>
      </c>
      <c r="L501" s="11" t="s">
        <v>464</v>
      </c>
      <c r="M501" s="15">
        <v>2</v>
      </c>
      <c r="N501" s="35" t="s">
        <v>226</v>
      </c>
      <c r="O501" s="15">
        <v>1</v>
      </c>
      <c r="P501" s="35" t="s">
        <v>459</v>
      </c>
      <c r="Q501" s="35" t="s">
        <v>1246</v>
      </c>
      <c r="R501" s="15"/>
      <c r="S501" s="24"/>
      <c r="T501" s="62" t="s">
        <v>447</v>
      </c>
      <c r="U501" s="62"/>
      <c r="V501" s="94">
        <v>35017000</v>
      </c>
      <c r="W501" s="199">
        <v>0.71365336836393756</v>
      </c>
      <c r="X501" s="15"/>
      <c r="Y501" s="200">
        <v>0.92899628252788102</v>
      </c>
      <c r="Z501" s="11" t="s">
        <v>465</v>
      </c>
      <c r="AA501" s="11"/>
      <c r="AB501" s="15"/>
      <c r="AC501" s="54">
        <v>26900000</v>
      </c>
      <c r="AD501" s="54">
        <v>24990000</v>
      </c>
      <c r="AE501" s="54">
        <v>1910000</v>
      </c>
    </row>
    <row r="502" spans="2:41" x14ac:dyDescent="0.25">
      <c r="B502" s="52"/>
      <c r="C502" s="39"/>
    </row>
    <row r="503" spans="2:41" x14ac:dyDescent="0.25">
      <c r="B503" s="52"/>
      <c r="C503" s="39"/>
    </row>
    <row r="504" spans="2:41" x14ac:dyDescent="0.25">
      <c r="B504" s="52"/>
      <c r="C504" s="39"/>
    </row>
    <row r="505" spans="2:41" x14ac:dyDescent="0.25">
      <c r="B505" s="224"/>
      <c r="C505" s="39">
        <v>2018</v>
      </c>
      <c r="D505" s="62" t="s">
        <v>1324</v>
      </c>
      <c r="E505" s="63" t="s">
        <v>1325</v>
      </c>
      <c r="F505" s="64">
        <v>43452</v>
      </c>
      <c r="G505" s="65" t="s">
        <v>34</v>
      </c>
      <c r="H505" s="94">
        <v>10250000</v>
      </c>
      <c r="I505" s="94">
        <v>8275000</v>
      </c>
      <c r="J505" s="94"/>
      <c r="K505" s="153">
        <v>-0.1926829268292683</v>
      </c>
      <c r="L505" s="11" t="s">
        <v>465</v>
      </c>
      <c r="M505" s="15">
        <v>3</v>
      </c>
      <c r="N505" s="35" t="s">
        <v>25</v>
      </c>
      <c r="O505" s="15">
        <v>4</v>
      </c>
      <c r="P505" s="35" t="s">
        <v>458</v>
      </c>
      <c r="Q505" s="35"/>
      <c r="R505" s="15"/>
      <c r="S505" s="24"/>
      <c r="T505" s="62" t="s">
        <v>784</v>
      </c>
      <c r="U505" s="62"/>
      <c r="V505" s="94">
        <v>9049324.666666666</v>
      </c>
      <c r="W505" s="199">
        <v>0.91443287812195495</v>
      </c>
      <c r="X505" s="15"/>
      <c r="Y505" s="200">
        <v>0.80731707317073176</v>
      </c>
      <c r="Z505" s="11" t="s">
        <v>465</v>
      </c>
      <c r="AA505" s="11"/>
      <c r="AB505" s="15"/>
      <c r="AC505" s="54">
        <v>10250000</v>
      </c>
      <c r="AD505" s="54">
        <v>8275000</v>
      </c>
      <c r="AE505" s="54">
        <v>1975000</v>
      </c>
      <c r="AG505" s="4"/>
      <c r="AH505" s="4"/>
      <c r="AI505" s="225"/>
      <c r="AJ505" s="226"/>
      <c r="AK505" s="227"/>
      <c r="AL505" s="227"/>
      <c r="AM505" s="225"/>
      <c r="AN505" s="226"/>
      <c r="AO505" s="228"/>
    </row>
    <row r="506" spans="2:41" x14ac:dyDescent="0.25">
      <c r="B506" s="224"/>
      <c r="C506" s="39">
        <v>2018</v>
      </c>
      <c r="D506" s="62" t="s">
        <v>1326</v>
      </c>
      <c r="E506" s="63" t="s">
        <v>1327</v>
      </c>
      <c r="F506" s="64">
        <v>43441</v>
      </c>
      <c r="G506" s="65" t="s">
        <v>34</v>
      </c>
      <c r="H506" s="94">
        <v>5000000</v>
      </c>
      <c r="I506" s="94">
        <v>4380000</v>
      </c>
      <c r="J506" s="105" t="s">
        <v>519</v>
      </c>
      <c r="K506" s="153">
        <v>-0.124</v>
      </c>
      <c r="L506" s="11" t="s">
        <v>464</v>
      </c>
      <c r="M506" s="15">
        <v>4</v>
      </c>
      <c r="N506" s="35" t="s">
        <v>25</v>
      </c>
      <c r="O506" s="15">
        <v>4</v>
      </c>
      <c r="P506" s="35" t="s">
        <v>459</v>
      </c>
      <c r="Q506" s="35"/>
      <c r="R506" s="15"/>
      <c r="S506" s="24"/>
      <c r="T506" s="62" t="s">
        <v>447</v>
      </c>
      <c r="U506" s="62"/>
      <c r="V506" s="94">
        <v>5853509.5</v>
      </c>
      <c r="W506" s="199">
        <v>0.74826905124182341</v>
      </c>
      <c r="X506" s="15"/>
      <c r="Y506" s="200">
        <v>0.876</v>
      </c>
      <c r="Z506" s="11" t="s">
        <v>465</v>
      </c>
      <c r="AA506" s="11"/>
      <c r="AB506" s="15"/>
      <c r="AC506" s="54">
        <v>5000000</v>
      </c>
      <c r="AD506" s="54">
        <v>4380000</v>
      </c>
      <c r="AE506" s="54">
        <v>620000</v>
      </c>
      <c r="AG506" s="4"/>
      <c r="AH506" s="4"/>
      <c r="AI506" s="225"/>
      <c r="AJ506" s="226"/>
      <c r="AK506" s="227"/>
      <c r="AL506" s="227"/>
      <c r="AM506" s="225"/>
      <c r="AN506" s="226"/>
      <c r="AO506" s="228"/>
    </row>
    <row r="507" spans="2:41" x14ac:dyDescent="0.25">
      <c r="B507" s="224"/>
      <c r="C507" s="39">
        <v>2018</v>
      </c>
      <c r="D507" s="62" t="s">
        <v>1330</v>
      </c>
      <c r="E507" s="63" t="s">
        <v>1331</v>
      </c>
      <c r="F507" s="64">
        <v>43438</v>
      </c>
      <c r="G507" s="65" t="s">
        <v>34</v>
      </c>
      <c r="H507" s="94">
        <v>122920000</v>
      </c>
      <c r="I507" s="94">
        <v>119769038</v>
      </c>
      <c r="J507" s="94" t="s">
        <v>519</v>
      </c>
      <c r="K507" s="153">
        <v>-2.5634249918646275E-2</v>
      </c>
      <c r="L507" s="11" t="s">
        <v>464</v>
      </c>
      <c r="M507" s="15">
        <v>2</v>
      </c>
      <c r="N507" s="35" t="s">
        <v>25</v>
      </c>
      <c r="O507" s="15">
        <v>4</v>
      </c>
      <c r="P507" s="35" t="s">
        <v>458</v>
      </c>
      <c r="Q507" s="35"/>
      <c r="R507" s="15"/>
      <c r="S507" s="24"/>
      <c r="T507" s="62" t="s">
        <v>784</v>
      </c>
      <c r="U507" s="62"/>
      <c r="V507" s="94">
        <v>122138179</v>
      </c>
      <c r="W507" s="199">
        <v>0.98060278105177912</v>
      </c>
      <c r="X507" s="15"/>
      <c r="Y507" s="200">
        <v>0.97436575008135373</v>
      </c>
      <c r="Z507" s="11" t="s">
        <v>465</v>
      </c>
      <c r="AA507" s="11"/>
      <c r="AB507" s="15"/>
      <c r="AC507" s="54">
        <v>122920000</v>
      </c>
      <c r="AD507" s="54">
        <v>119769038</v>
      </c>
      <c r="AE507" s="54">
        <v>3150962</v>
      </c>
      <c r="AG507" s="4"/>
      <c r="AH507" s="4"/>
      <c r="AI507" s="225"/>
      <c r="AJ507" s="226"/>
      <c r="AK507" s="227"/>
      <c r="AL507" s="227"/>
      <c r="AM507" s="225"/>
      <c r="AN507" s="226"/>
      <c r="AO507" s="228"/>
    </row>
    <row r="508" spans="2:41" x14ac:dyDescent="0.25">
      <c r="B508" s="224"/>
      <c r="C508" s="39">
        <v>2018</v>
      </c>
      <c r="D508" s="62" t="s">
        <v>1332</v>
      </c>
      <c r="E508" s="63" t="s">
        <v>1333</v>
      </c>
      <c r="F508" s="64">
        <v>43419</v>
      </c>
      <c r="G508" s="65" t="s">
        <v>34</v>
      </c>
      <c r="H508" s="94">
        <v>12570000</v>
      </c>
      <c r="I508" s="94">
        <v>9714000</v>
      </c>
      <c r="J508" s="94"/>
      <c r="K508" s="153">
        <v>-0.22720763723150358</v>
      </c>
      <c r="L508" s="11" t="s">
        <v>465</v>
      </c>
      <c r="M508" s="15">
        <v>4</v>
      </c>
      <c r="N508" s="35" t="s">
        <v>25</v>
      </c>
      <c r="O508" s="15">
        <v>4</v>
      </c>
      <c r="P508" s="35" t="s">
        <v>458</v>
      </c>
      <c r="Q508" s="35"/>
      <c r="R508" s="15"/>
      <c r="S508" s="24"/>
      <c r="T508" s="62" t="s">
        <v>784</v>
      </c>
      <c r="U508" s="62"/>
      <c r="V508" s="94">
        <v>10579250</v>
      </c>
      <c r="W508" s="199">
        <v>0.91821253869603237</v>
      </c>
      <c r="X508" s="15"/>
      <c r="Y508" s="200">
        <v>0.77279236276849639</v>
      </c>
      <c r="Z508" s="11" t="s">
        <v>465</v>
      </c>
      <c r="AA508" s="11"/>
      <c r="AB508" s="15"/>
      <c r="AC508" s="54">
        <v>12570000</v>
      </c>
      <c r="AD508" s="54">
        <v>9714000</v>
      </c>
      <c r="AE508" s="54">
        <v>2856000</v>
      </c>
      <c r="AG508" s="4"/>
      <c r="AH508" s="4"/>
      <c r="AI508" s="225"/>
      <c r="AJ508" s="226"/>
      <c r="AK508" s="227"/>
      <c r="AL508" s="227"/>
      <c r="AM508" s="225"/>
      <c r="AN508" s="226"/>
      <c r="AO508" s="228"/>
    </row>
    <row r="509" spans="2:41" x14ac:dyDescent="0.25">
      <c r="B509" s="224"/>
      <c r="C509" s="39">
        <v>2018</v>
      </c>
      <c r="D509" s="62" t="s">
        <v>1344</v>
      </c>
      <c r="E509" s="63" t="s">
        <v>1345</v>
      </c>
      <c r="F509" s="64">
        <v>43413</v>
      </c>
      <c r="G509" s="65" t="s">
        <v>34</v>
      </c>
      <c r="H509" s="94">
        <v>186355200</v>
      </c>
      <c r="I509" s="94">
        <v>152100000</v>
      </c>
      <c r="J509" s="94"/>
      <c r="K509" s="153">
        <v>-0.18381671131259014</v>
      </c>
      <c r="L509" s="11" t="s">
        <v>465</v>
      </c>
      <c r="M509" s="15">
        <v>3</v>
      </c>
      <c r="N509" s="35" t="s">
        <v>93</v>
      </c>
      <c r="O509" s="15">
        <v>4</v>
      </c>
      <c r="P509" s="35" t="s">
        <v>458</v>
      </c>
      <c r="Q509" s="35"/>
      <c r="R509" s="15"/>
      <c r="S509" s="24"/>
      <c r="T509" s="62" t="s">
        <v>442</v>
      </c>
      <c r="U509" s="62"/>
      <c r="V509" s="94">
        <v>157872084</v>
      </c>
      <c r="W509" s="199">
        <v>0.96343822255491351</v>
      </c>
      <c r="X509" s="15"/>
      <c r="Y509" s="200">
        <v>0.81618328868740986</v>
      </c>
      <c r="Z509" s="11" t="s">
        <v>465</v>
      </c>
      <c r="AA509" s="11"/>
      <c r="AB509" s="15"/>
      <c r="AC509" s="54">
        <v>186355200</v>
      </c>
      <c r="AD509" s="54">
        <v>152100000</v>
      </c>
      <c r="AE509" s="54">
        <v>34255200</v>
      </c>
      <c r="AG509" s="4"/>
      <c r="AH509" s="4"/>
      <c r="AI509" s="225"/>
      <c r="AJ509" s="226"/>
      <c r="AK509" s="227"/>
      <c r="AL509" s="227"/>
      <c r="AM509" s="225"/>
      <c r="AN509" s="226"/>
      <c r="AO509" s="228"/>
    </row>
    <row r="510" spans="2:41" x14ac:dyDescent="0.25">
      <c r="B510" s="224"/>
      <c r="C510" s="39">
        <v>2018</v>
      </c>
      <c r="D510" s="62" t="s">
        <v>1346</v>
      </c>
      <c r="E510" s="63" t="s">
        <v>1347</v>
      </c>
      <c r="F510" s="64">
        <v>43412</v>
      </c>
      <c r="G510" s="65" t="s">
        <v>34</v>
      </c>
      <c r="H510" s="94">
        <v>784000</v>
      </c>
      <c r="I510" s="94">
        <v>968530</v>
      </c>
      <c r="J510" s="105"/>
      <c r="K510" s="153">
        <v>0.23536989795918367</v>
      </c>
      <c r="L510" s="11" t="s">
        <v>465</v>
      </c>
      <c r="M510" s="15">
        <v>3</v>
      </c>
      <c r="N510" s="35" t="s">
        <v>93</v>
      </c>
      <c r="O510" s="15">
        <v>4</v>
      </c>
      <c r="P510" s="35" t="s">
        <v>458</v>
      </c>
      <c r="Q510" s="35"/>
      <c r="R510" s="15"/>
      <c r="S510" s="24"/>
      <c r="T510" s="62" t="s">
        <v>784</v>
      </c>
      <c r="U510" s="62"/>
      <c r="V510" s="94">
        <v>1009710</v>
      </c>
      <c r="W510" s="199">
        <v>0.9592160125184459</v>
      </c>
      <c r="X510" s="15"/>
      <c r="Y510" s="200">
        <v>1.2353698979591836</v>
      </c>
      <c r="Z510" s="11" t="s">
        <v>465</v>
      </c>
      <c r="AA510" s="11"/>
      <c r="AB510" s="15"/>
      <c r="AC510" s="54">
        <v>784000</v>
      </c>
      <c r="AD510" s="54">
        <v>968530</v>
      </c>
      <c r="AE510" s="54">
        <v>-184530</v>
      </c>
      <c r="AG510" s="4"/>
      <c r="AH510" s="4"/>
      <c r="AI510" s="225"/>
      <c r="AJ510" s="226"/>
      <c r="AK510" s="227"/>
      <c r="AL510" s="227"/>
      <c r="AM510" s="225"/>
      <c r="AN510" s="226"/>
      <c r="AO510" s="228"/>
    </row>
    <row r="511" spans="2:41" x14ac:dyDescent="0.25">
      <c r="B511" s="224"/>
      <c r="C511" s="39">
        <v>2018</v>
      </c>
      <c r="D511" s="62" t="s">
        <v>1354</v>
      </c>
      <c r="E511" s="63" t="s">
        <v>1355</v>
      </c>
      <c r="F511" s="64">
        <v>43412</v>
      </c>
      <c r="G511" s="65" t="s">
        <v>34</v>
      </c>
      <c r="H511" s="94">
        <v>9720000</v>
      </c>
      <c r="I511" s="94">
        <v>7666000</v>
      </c>
      <c r="J511" s="94"/>
      <c r="K511" s="153">
        <v>-0.21131687242798353</v>
      </c>
      <c r="L511" s="11" t="s">
        <v>465</v>
      </c>
      <c r="M511" s="15">
        <v>4</v>
      </c>
      <c r="N511" s="35" t="s">
        <v>226</v>
      </c>
      <c r="O511" s="15">
        <v>4</v>
      </c>
      <c r="P511" s="35" t="s">
        <v>459</v>
      </c>
      <c r="Q511" s="35"/>
      <c r="R511" s="15"/>
      <c r="S511" s="24"/>
      <c r="T511" s="62" t="s">
        <v>447</v>
      </c>
      <c r="U511" s="62"/>
      <c r="V511" s="94">
        <v>8557038.75</v>
      </c>
      <c r="W511" s="199">
        <v>0.89587066553835581</v>
      </c>
      <c r="X511" s="15"/>
      <c r="Y511" s="200">
        <v>0.78868312757201642</v>
      </c>
      <c r="Z511" s="11" t="s">
        <v>465</v>
      </c>
      <c r="AA511" s="11"/>
      <c r="AB511" s="15"/>
      <c r="AC511" s="54">
        <v>9720000</v>
      </c>
      <c r="AD511" s="54">
        <v>7666000</v>
      </c>
      <c r="AE511" s="54">
        <v>2054000</v>
      </c>
      <c r="AG511" s="4"/>
      <c r="AH511" s="4"/>
      <c r="AI511" s="225"/>
      <c r="AJ511" s="226"/>
      <c r="AK511" s="227"/>
      <c r="AL511" s="227"/>
      <c r="AM511" s="225"/>
      <c r="AN511" s="226"/>
      <c r="AO511" s="228"/>
    </row>
    <row r="512" spans="2:41" x14ac:dyDescent="0.25">
      <c r="B512" s="224"/>
      <c r="C512" s="39">
        <v>2018</v>
      </c>
      <c r="D512" s="62" t="s">
        <v>1334</v>
      </c>
      <c r="E512" s="63" t="s">
        <v>1335</v>
      </c>
      <c r="F512" s="64">
        <v>43405</v>
      </c>
      <c r="G512" s="65" t="s">
        <v>34</v>
      </c>
      <c r="H512" s="94">
        <v>9650000</v>
      </c>
      <c r="I512" s="94">
        <v>9200000</v>
      </c>
      <c r="J512" s="94" t="s">
        <v>519</v>
      </c>
      <c r="K512" s="153">
        <v>-4.6632124352331605E-2</v>
      </c>
      <c r="L512" s="11" t="s">
        <v>464</v>
      </c>
      <c r="M512" s="15">
        <v>1</v>
      </c>
      <c r="N512" s="35" t="s">
        <v>25</v>
      </c>
      <c r="O512" s="15">
        <v>4</v>
      </c>
      <c r="P512" s="35" t="s">
        <v>459</v>
      </c>
      <c r="Q512" s="35"/>
      <c r="R512" s="15"/>
      <c r="S512" s="24" t="s">
        <v>1323</v>
      </c>
      <c r="T512" s="62" t="s">
        <v>447</v>
      </c>
      <c r="U512" s="62"/>
      <c r="V512" s="94">
        <v>9200000</v>
      </c>
      <c r="W512" s="199">
        <v>1</v>
      </c>
      <c r="X512" s="15"/>
      <c r="Y512" s="200">
        <v>0.95336787564766834</v>
      </c>
      <c r="Z512" s="11" t="s">
        <v>465</v>
      </c>
      <c r="AA512" s="11"/>
      <c r="AB512" s="15"/>
      <c r="AC512" s="54">
        <v>9650000</v>
      </c>
      <c r="AD512" s="54">
        <v>9200000</v>
      </c>
      <c r="AE512" s="54">
        <v>450000</v>
      </c>
      <c r="AG512" s="4"/>
      <c r="AH512" s="4"/>
      <c r="AI512" s="225"/>
      <c r="AJ512" s="226"/>
      <c r="AK512" s="227"/>
      <c r="AL512" s="227"/>
      <c r="AM512" s="225"/>
      <c r="AN512" s="226"/>
      <c r="AO512" s="228"/>
    </row>
    <row r="513" spans="2:43" x14ac:dyDescent="0.25">
      <c r="B513" s="224"/>
      <c r="C513" s="39">
        <v>2018</v>
      </c>
      <c r="D513" s="62" t="s">
        <v>1336</v>
      </c>
      <c r="E513" s="63" t="s">
        <v>1337</v>
      </c>
      <c r="F513" s="64">
        <v>43404</v>
      </c>
      <c r="G513" s="65" t="s">
        <v>34</v>
      </c>
      <c r="H513" s="94">
        <v>6500000</v>
      </c>
      <c r="I513" s="94">
        <v>4149491</v>
      </c>
      <c r="J513" s="105"/>
      <c r="K513" s="153">
        <v>-0.36161676923076924</v>
      </c>
      <c r="L513" s="11" t="s">
        <v>465</v>
      </c>
      <c r="M513" s="15">
        <v>8</v>
      </c>
      <c r="N513" s="35" t="s">
        <v>25</v>
      </c>
      <c r="O513" s="15">
        <v>4</v>
      </c>
      <c r="P513" s="35" t="s">
        <v>459</v>
      </c>
      <c r="Q513" s="35"/>
      <c r="R513" s="15"/>
      <c r="S513" s="24" t="s">
        <v>932</v>
      </c>
      <c r="T513" s="62" t="s">
        <v>447</v>
      </c>
      <c r="U513" s="62"/>
      <c r="V513" s="94">
        <v>5708325.25</v>
      </c>
      <c r="W513" s="199">
        <v>0.72691916074684082</v>
      </c>
      <c r="X513" s="15"/>
      <c r="Y513" s="200">
        <v>0.63838323076923076</v>
      </c>
      <c r="Z513" s="11" t="s">
        <v>465</v>
      </c>
      <c r="AA513" s="11"/>
      <c r="AB513" s="15"/>
      <c r="AC513" s="54">
        <v>6500000</v>
      </c>
      <c r="AD513" s="54">
        <v>4149491</v>
      </c>
      <c r="AE513" s="54">
        <v>2350509</v>
      </c>
      <c r="AG513" s="4"/>
      <c r="AH513" s="4"/>
      <c r="AI513" s="225"/>
      <c r="AJ513" s="226"/>
      <c r="AK513" s="227"/>
      <c r="AL513" s="227"/>
      <c r="AM513" s="225"/>
      <c r="AN513" s="226"/>
      <c r="AO513" s="228"/>
    </row>
    <row r="514" spans="2:43" x14ac:dyDescent="0.25">
      <c r="B514" s="224"/>
      <c r="C514" s="39">
        <v>2018</v>
      </c>
      <c r="D514" s="62" t="s">
        <v>1338</v>
      </c>
      <c r="E514" s="63" t="s">
        <v>1339</v>
      </c>
      <c r="F514" s="64">
        <v>43397</v>
      </c>
      <c r="G514" s="65" t="s">
        <v>34</v>
      </c>
      <c r="H514" s="94">
        <v>2971000</v>
      </c>
      <c r="I514" s="94">
        <v>2384000</v>
      </c>
      <c r="J514" s="105" t="s">
        <v>519</v>
      </c>
      <c r="K514" s="153">
        <v>-0.1975765735442612</v>
      </c>
      <c r="L514" s="11" t="s">
        <v>464</v>
      </c>
      <c r="M514" s="15">
        <v>2</v>
      </c>
      <c r="N514" s="35" t="s">
        <v>25</v>
      </c>
      <c r="O514" s="15">
        <v>4</v>
      </c>
      <c r="P514" s="35" t="s">
        <v>459</v>
      </c>
      <c r="Q514" s="35"/>
      <c r="R514" s="15"/>
      <c r="S514" s="24"/>
      <c r="T514" s="62" t="s">
        <v>447</v>
      </c>
      <c r="U514" s="62"/>
      <c r="V514" s="94">
        <v>3291500</v>
      </c>
      <c r="W514" s="199">
        <v>0.72428983746012454</v>
      </c>
      <c r="X514" s="15"/>
      <c r="Y514" s="200">
        <v>0.80242342645573883</v>
      </c>
      <c r="Z514" s="11" t="s">
        <v>465</v>
      </c>
      <c r="AA514" s="11"/>
      <c r="AB514" s="15"/>
      <c r="AC514" s="54">
        <v>2971000</v>
      </c>
      <c r="AD514" s="54">
        <v>2384000</v>
      </c>
      <c r="AE514" s="54">
        <v>587000</v>
      </c>
      <c r="AG514" s="4"/>
      <c r="AH514" s="4"/>
      <c r="AI514" s="225"/>
      <c r="AJ514" s="226"/>
      <c r="AK514" s="227"/>
      <c r="AL514" s="227"/>
      <c r="AM514" s="225"/>
      <c r="AN514" s="226"/>
      <c r="AO514" s="228"/>
    </row>
    <row r="515" spans="2:43" x14ac:dyDescent="0.25">
      <c r="B515" s="224"/>
      <c r="C515" s="39">
        <v>2018</v>
      </c>
      <c r="D515" s="62" t="s">
        <v>1349</v>
      </c>
      <c r="E515" s="63" t="s">
        <v>1350</v>
      </c>
      <c r="F515" s="64">
        <v>43391</v>
      </c>
      <c r="G515" s="65" t="s">
        <v>34</v>
      </c>
      <c r="H515" s="94">
        <v>7950000</v>
      </c>
      <c r="I515" s="94">
        <v>6875775</v>
      </c>
      <c r="J515" s="94" t="s">
        <v>519</v>
      </c>
      <c r="K515" s="153">
        <v>-0.13512264150943396</v>
      </c>
      <c r="L515" s="11" t="s">
        <v>464</v>
      </c>
      <c r="M515" s="15">
        <v>2</v>
      </c>
      <c r="N515" s="35" t="s">
        <v>93</v>
      </c>
      <c r="O515" s="15">
        <v>4</v>
      </c>
      <c r="P515" s="35" t="s">
        <v>457</v>
      </c>
      <c r="Q515" s="35"/>
      <c r="R515" s="15"/>
      <c r="S515" s="24"/>
      <c r="T515" s="62" t="s">
        <v>1226</v>
      </c>
      <c r="U515" s="62"/>
      <c r="V515" s="94">
        <v>7451400</v>
      </c>
      <c r="W515" s="199">
        <v>0.92274941621708673</v>
      </c>
      <c r="X515" s="15"/>
      <c r="Y515" s="200">
        <v>0.86487735849056602</v>
      </c>
      <c r="Z515" s="11" t="s">
        <v>465</v>
      </c>
      <c r="AA515" s="11"/>
      <c r="AB515" s="15"/>
      <c r="AC515" s="54">
        <v>7950000</v>
      </c>
      <c r="AD515" s="54">
        <v>6875775</v>
      </c>
      <c r="AE515" s="54">
        <v>1074225</v>
      </c>
      <c r="AG515" s="4"/>
      <c r="AH515" s="4"/>
      <c r="AI515" s="225"/>
      <c r="AJ515" s="226"/>
      <c r="AK515" s="227"/>
      <c r="AL515" s="227"/>
      <c r="AM515" s="225"/>
      <c r="AN515" s="226"/>
      <c r="AO515" s="228"/>
    </row>
    <row r="516" spans="2:43" x14ac:dyDescent="0.25">
      <c r="B516" s="224"/>
      <c r="C516" s="39">
        <v>2018</v>
      </c>
      <c r="D516" s="62" t="s">
        <v>1351</v>
      </c>
      <c r="E516" s="63" t="s">
        <v>1352</v>
      </c>
      <c r="F516" s="64">
        <v>43389</v>
      </c>
      <c r="G516" s="65" t="s">
        <v>34</v>
      </c>
      <c r="H516" s="94">
        <v>3800000</v>
      </c>
      <c r="I516" s="94">
        <v>3781700</v>
      </c>
      <c r="J516" s="105" t="s">
        <v>519</v>
      </c>
      <c r="K516" s="153">
        <v>-4.8157894736842108E-3</v>
      </c>
      <c r="L516" s="11" t="s">
        <v>464</v>
      </c>
      <c r="M516" s="15">
        <v>8</v>
      </c>
      <c r="N516" s="35" t="s">
        <v>93</v>
      </c>
      <c r="O516" s="15">
        <v>4</v>
      </c>
      <c r="P516" s="35" t="s">
        <v>458</v>
      </c>
      <c r="Q516" s="35"/>
      <c r="R516" s="15"/>
      <c r="S516" s="24"/>
      <c r="T516" s="62" t="s">
        <v>1353</v>
      </c>
      <c r="U516" s="62"/>
      <c r="V516" s="94">
        <v>4748686.375</v>
      </c>
      <c r="W516" s="199">
        <v>0.79636760597819012</v>
      </c>
      <c r="X516" s="15"/>
      <c r="Y516" s="200">
        <v>0.99518421052631578</v>
      </c>
      <c r="Z516" s="11" t="s">
        <v>465</v>
      </c>
      <c r="AA516" s="11"/>
      <c r="AB516" s="15"/>
      <c r="AC516" s="54">
        <v>3800000</v>
      </c>
      <c r="AD516" s="54">
        <v>3781700</v>
      </c>
      <c r="AE516" s="54">
        <v>18300</v>
      </c>
      <c r="AG516" s="4"/>
      <c r="AH516" s="4"/>
      <c r="AI516" s="225"/>
      <c r="AJ516" s="226"/>
      <c r="AK516" s="227"/>
      <c r="AL516" s="227"/>
      <c r="AM516" s="225"/>
      <c r="AN516" s="226"/>
      <c r="AO516" s="228"/>
    </row>
    <row r="517" spans="2:43" x14ac:dyDescent="0.25">
      <c r="B517" s="224"/>
      <c r="C517" s="39">
        <v>2018</v>
      </c>
      <c r="D517" s="62" t="s">
        <v>1340</v>
      </c>
      <c r="E517" s="63" t="s">
        <v>1341</v>
      </c>
      <c r="F517" s="64">
        <v>43382</v>
      </c>
      <c r="G517" s="65" t="s">
        <v>34</v>
      </c>
      <c r="H517" s="94">
        <v>1130000</v>
      </c>
      <c r="I517" s="94">
        <v>1383700</v>
      </c>
      <c r="J517" s="105"/>
      <c r="K517" s="153">
        <v>0.22451327433628318</v>
      </c>
      <c r="L517" s="11" t="s">
        <v>465</v>
      </c>
      <c r="M517" s="15">
        <v>4</v>
      </c>
      <c r="N517" s="35" t="s">
        <v>25</v>
      </c>
      <c r="O517" s="15">
        <v>4</v>
      </c>
      <c r="P517" s="35" t="s">
        <v>457</v>
      </c>
      <c r="Q517" s="35"/>
      <c r="R517" s="15"/>
      <c r="S517" s="24"/>
      <c r="T517" s="62" t="s">
        <v>784</v>
      </c>
      <c r="U517" s="62"/>
      <c r="V517" s="94">
        <v>1772637.5</v>
      </c>
      <c r="W517" s="199">
        <v>0.78058824773818669</v>
      </c>
      <c r="X517" s="15"/>
      <c r="Y517" s="200">
        <v>1.2245132743362832</v>
      </c>
      <c r="Z517" s="11" t="s">
        <v>465</v>
      </c>
      <c r="AA517" s="11"/>
      <c r="AB517" s="15"/>
      <c r="AC517" s="54">
        <v>1130000</v>
      </c>
      <c r="AD517" s="54">
        <v>1383700</v>
      </c>
      <c r="AE517" s="54">
        <v>-253700</v>
      </c>
      <c r="AG517" s="4"/>
      <c r="AH517" s="4"/>
      <c r="AI517" s="225"/>
      <c r="AJ517" s="226"/>
      <c r="AK517" s="227"/>
      <c r="AL517" s="227"/>
      <c r="AM517" s="225"/>
      <c r="AN517" s="226"/>
      <c r="AO517" s="228"/>
    </row>
    <row r="518" spans="2:43" x14ac:dyDescent="0.25">
      <c r="B518" s="224"/>
      <c r="C518" s="39">
        <v>2018</v>
      </c>
      <c r="D518" s="62" t="s">
        <v>1342</v>
      </c>
      <c r="E518" s="63" t="s">
        <v>1343</v>
      </c>
      <c r="F518" s="64">
        <v>43376</v>
      </c>
      <c r="G518" s="65" t="s">
        <v>34</v>
      </c>
      <c r="H518" s="94">
        <v>21700000</v>
      </c>
      <c r="I518" s="94">
        <v>15765000</v>
      </c>
      <c r="J518" s="94" t="s">
        <v>519</v>
      </c>
      <c r="K518" s="153">
        <v>-0.27350230414746546</v>
      </c>
      <c r="L518" s="11" t="s">
        <v>464</v>
      </c>
      <c r="M518" s="15">
        <v>5</v>
      </c>
      <c r="N518" s="35" t="s">
        <v>25</v>
      </c>
      <c r="O518" s="15">
        <v>4</v>
      </c>
      <c r="P518" s="35" t="s">
        <v>459</v>
      </c>
      <c r="Q518" s="35"/>
      <c r="R518" s="15"/>
      <c r="S518" s="24"/>
      <c r="T518" s="62" t="s">
        <v>447</v>
      </c>
      <c r="U518" s="62"/>
      <c r="V518" s="94">
        <v>26085716</v>
      </c>
      <c r="W518" s="199">
        <v>0.60435373903480361</v>
      </c>
      <c r="X518" s="15"/>
      <c r="Y518" s="200">
        <v>0.72649769585253454</v>
      </c>
      <c r="Z518" s="11" t="s">
        <v>465</v>
      </c>
      <c r="AA518" s="11"/>
      <c r="AB518" s="15"/>
      <c r="AC518" s="54">
        <v>21700000</v>
      </c>
      <c r="AD518" s="54">
        <v>15765000</v>
      </c>
      <c r="AE518" s="54">
        <v>5935000</v>
      </c>
      <c r="AG518" s="4">
        <v>405750200</v>
      </c>
      <c r="AH518" s="4">
        <v>351743588</v>
      </c>
      <c r="AI518" s="204">
        <v>0.86689689370455025</v>
      </c>
      <c r="AJ518" s="1" t="s">
        <v>1240</v>
      </c>
      <c r="AK518" s="205">
        <v>1162894350</v>
      </c>
      <c r="AL518" s="205">
        <v>925393062</v>
      </c>
      <c r="AM518" s="206">
        <v>0.795767097845131</v>
      </c>
      <c r="AN518" s="207" t="s">
        <v>1241</v>
      </c>
      <c r="AO518" s="208"/>
      <c r="AQ518" s="203">
        <v>0.5892857142857143</v>
      </c>
    </row>
    <row r="519" spans="2:43" x14ac:dyDescent="0.25">
      <c r="B519" s="52"/>
      <c r="C519" s="39">
        <v>2018</v>
      </c>
      <c r="D519" s="62" t="s">
        <v>1256</v>
      </c>
      <c r="E519" s="63" t="s">
        <v>1257</v>
      </c>
      <c r="F519" s="64">
        <v>43368</v>
      </c>
      <c r="G519" s="65" t="s">
        <v>34</v>
      </c>
      <c r="H519" s="94">
        <v>64356250</v>
      </c>
      <c r="I519" s="94">
        <v>51485000</v>
      </c>
      <c r="J519" s="27" t="s">
        <v>519</v>
      </c>
      <c r="K519" s="26">
        <v>-0.2</v>
      </c>
      <c r="L519" s="11" t="s">
        <v>464</v>
      </c>
      <c r="M519" s="15">
        <v>8</v>
      </c>
      <c r="N519" s="35" t="s">
        <v>25</v>
      </c>
      <c r="O519" s="15">
        <v>3</v>
      </c>
      <c r="P519" s="35" t="s">
        <v>457</v>
      </c>
      <c r="Q519" s="35"/>
      <c r="R519" s="15"/>
      <c r="S519" s="24"/>
      <c r="T519" s="62" t="s">
        <v>1226</v>
      </c>
      <c r="U519" s="62"/>
      <c r="V519" s="94">
        <v>75310398.875</v>
      </c>
      <c r="W519" s="199">
        <v>0.68363732989191395</v>
      </c>
      <c r="X519" s="15"/>
      <c r="Y519" s="200">
        <v>0.8</v>
      </c>
      <c r="Z519" s="11" t="s">
        <v>465</v>
      </c>
      <c r="AA519" s="11"/>
      <c r="AB519" s="15"/>
      <c r="AC519" s="54">
        <v>64356250</v>
      </c>
      <c r="AD519" s="54">
        <v>51485000</v>
      </c>
      <c r="AE519" s="54">
        <v>12871250</v>
      </c>
    </row>
    <row r="520" spans="2:43" x14ac:dyDescent="0.25">
      <c r="B520" s="52"/>
      <c r="C520" s="39">
        <v>2018</v>
      </c>
      <c r="D520" s="62" t="s">
        <v>1297</v>
      </c>
      <c r="E520" s="63" t="s">
        <v>1298</v>
      </c>
      <c r="F520" s="64">
        <v>43356</v>
      </c>
      <c r="G520" s="65" t="s">
        <v>34</v>
      </c>
      <c r="H520" s="94">
        <v>5960000</v>
      </c>
      <c r="I520" s="94">
        <v>6956000</v>
      </c>
      <c r="J520" s="27"/>
      <c r="K520" s="26">
        <v>0.16711409395973154</v>
      </c>
      <c r="L520" s="11" t="s">
        <v>465</v>
      </c>
      <c r="M520" s="15">
        <v>4</v>
      </c>
      <c r="N520" s="35" t="s">
        <v>25</v>
      </c>
      <c r="O520" s="15">
        <v>3</v>
      </c>
      <c r="P520" s="35" t="s">
        <v>459</v>
      </c>
      <c r="Q520" s="35"/>
      <c r="R520" s="15"/>
      <c r="S520" s="24"/>
      <c r="T520" s="62" t="s">
        <v>447</v>
      </c>
      <c r="U520" s="62"/>
      <c r="V520" s="94">
        <v>8933697.75</v>
      </c>
      <c r="W520" s="199">
        <v>0.77862495403988785</v>
      </c>
      <c r="X520" s="15"/>
      <c r="Y520" s="200">
        <v>1.1671140939597315</v>
      </c>
      <c r="Z520" s="11" t="s">
        <v>465</v>
      </c>
      <c r="AA520" s="11"/>
      <c r="AB520" s="15"/>
      <c r="AC520" s="54">
        <v>5960000</v>
      </c>
      <c r="AD520" s="54">
        <v>6956000</v>
      </c>
      <c r="AE520" s="54">
        <v>-996000</v>
      </c>
    </row>
    <row r="521" spans="2:43" x14ac:dyDescent="0.25">
      <c r="B521" s="52"/>
      <c r="C521" s="39">
        <v>2018</v>
      </c>
      <c r="D521" s="62" t="s">
        <v>1271</v>
      </c>
      <c r="E521" s="63" t="s">
        <v>1272</v>
      </c>
      <c r="F521" s="64">
        <v>43350</v>
      </c>
      <c r="G521" s="65" t="s">
        <v>34</v>
      </c>
      <c r="H521" s="94">
        <v>17920000</v>
      </c>
      <c r="I521" s="94">
        <v>21068000</v>
      </c>
      <c r="J521" s="27"/>
      <c r="K521" s="26">
        <v>0.17566964285714284</v>
      </c>
      <c r="L521" s="11" t="s">
        <v>465</v>
      </c>
      <c r="M521" s="15">
        <v>2</v>
      </c>
      <c r="N521" s="35" t="s">
        <v>93</v>
      </c>
      <c r="O521" s="15">
        <v>3</v>
      </c>
      <c r="P521" s="35" t="s">
        <v>458</v>
      </c>
      <c r="Q521" s="35"/>
      <c r="R521" s="15"/>
      <c r="S521" s="24"/>
      <c r="T521" s="62" t="s">
        <v>536</v>
      </c>
      <c r="U521" s="62"/>
      <c r="V521" s="94">
        <v>22772500</v>
      </c>
      <c r="W521" s="199">
        <v>0.92515094961027555</v>
      </c>
      <c r="X521" s="15"/>
      <c r="Y521" s="200">
        <v>1.1756696428571429</v>
      </c>
      <c r="Z521" s="11" t="s">
        <v>465</v>
      </c>
      <c r="AA521" s="11"/>
      <c r="AB521" s="15"/>
      <c r="AC521" s="54">
        <v>17920000</v>
      </c>
      <c r="AD521" s="54">
        <v>21068000</v>
      </c>
      <c r="AE521" s="54">
        <v>-3148000</v>
      </c>
    </row>
    <row r="522" spans="2:43" x14ac:dyDescent="0.25">
      <c r="B522" s="52"/>
      <c r="C522" s="39">
        <v>2018</v>
      </c>
      <c r="D522" s="62" t="s">
        <v>1258</v>
      </c>
      <c r="E522" s="63" t="s">
        <v>712</v>
      </c>
      <c r="F522" s="64">
        <v>43340</v>
      </c>
      <c r="G522" s="65" t="s">
        <v>34</v>
      </c>
      <c r="H522" s="94">
        <v>2500000</v>
      </c>
      <c r="I522" s="94">
        <v>2952000</v>
      </c>
      <c r="J522" s="105"/>
      <c r="K522" s="26">
        <v>0.18079999999999999</v>
      </c>
      <c r="L522" s="11" t="s">
        <v>465</v>
      </c>
      <c r="M522" s="15">
        <v>3</v>
      </c>
      <c r="N522" s="35" t="s">
        <v>93</v>
      </c>
      <c r="O522" s="15">
        <v>3</v>
      </c>
      <c r="P522" s="35" t="s">
        <v>457</v>
      </c>
      <c r="Q522" s="35"/>
      <c r="R522" s="15"/>
      <c r="S522" s="24"/>
      <c r="T522" s="62" t="s">
        <v>1226</v>
      </c>
      <c r="U522" s="62"/>
      <c r="V522" s="94">
        <v>2139150</v>
      </c>
      <c r="W522" s="199">
        <v>1.379987378164224</v>
      </c>
      <c r="X522" s="15"/>
      <c r="Y522" s="200">
        <v>1.1808000000000001</v>
      </c>
      <c r="Z522" s="11" t="s">
        <v>465</v>
      </c>
      <c r="AA522" s="11"/>
      <c r="AB522" s="15"/>
      <c r="AC522" s="54">
        <v>2500000</v>
      </c>
      <c r="AD522" s="54">
        <v>2952000</v>
      </c>
      <c r="AE522" s="54">
        <v>-452000</v>
      </c>
    </row>
    <row r="523" spans="2:43" x14ac:dyDescent="0.25">
      <c r="B523" s="52"/>
      <c r="C523" s="39">
        <v>2018</v>
      </c>
      <c r="D523" s="62" t="s">
        <v>1259</v>
      </c>
      <c r="E523" s="63" t="s">
        <v>1260</v>
      </c>
      <c r="F523" s="64">
        <v>43319</v>
      </c>
      <c r="G523" s="65" t="s">
        <v>34</v>
      </c>
      <c r="H523" s="94">
        <v>54744000</v>
      </c>
      <c r="I523" s="94">
        <v>34776250</v>
      </c>
      <c r="J523" s="27" t="s">
        <v>519</v>
      </c>
      <c r="K523" s="26">
        <v>-0.36474773491158846</v>
      </c>
      <c r="L523" s="11" t="s">
        <v>464</v>
      </c>
      <c r="M523" s="15">
        <v>4</v>
      </c>
      <c r="N523" s="35" t="s">
        <v>93</v>
      </c>
      <c r="O523" s="15">
        <v>3</v>
      </c>
      <c r="P523" s="35" t="s">
        <v>457</v>
      </c>
      <c r="Q523" s="35"/>
      <c r="R523" s="15"/>
      <c r="S523" s="24" t="s">
        <v>932</v>
      </c>
      <c r="T523" s="62" t="s">
        <v>1226</v>
      </c>
      <c r="U523" s="62"/>
      <c r="V523" s="94">
        <v>49859526.25</v>
      </c>
      <c r="W523" s="199">
        <v>0.69748456544951631</v>
      </c>
      <c r="X523" s="15"/>
      <c r="Y523" s="200">
        <v>0.63525226508841148</v>
      </c>
      <c r="Z523" s="11" t="s">
        <v>465</v>
      </c>
      <c r="AA523" s="11"/>
      <c r="AB523" s="15"/>
      <c r="AC523" s="54">
        <v>54744000</v>
      </c>
      <c r="AD523" s="54">
        <v>34776250</v>
      </c>
      <c r="AE523" s="54">
        <v>19967750</v>
      </c>
    </row>
    <row r="524" spans="2:43" x14ac:dyDescent="0.25">
      <c r="B524" s="52"/>
      <c r="C524" s="39">
        <v>2018</v>
      </c>
      <c r="D524" s="62" t="s">
        <v>1261</v>
      </c>
      <c r="E524" s="63" t="s">
        <v>1262</v>
      </c>
      <c r="F524" s="64">
        <v>43299</v>
      </c>
      <c r="G524" s="65" t="s">
        <v>34</v>
      </c>
      <c r="H524" s="94">
        <v>3570000</v>
      </c>
      <c r="I524" s="94">
        <v>3861000</v>
      </c>
      <c r="J524" s="105" t="s">
        <v>519</v>
      </c>
      <c r="K524" s="26">
        <v>8.1512605042016809E-2</v>
      </c>
      <c r="L524" s="11" t="s">
        <v>464</v>
      </c>
      <c r="M524" s="15">
        <v>6</v>
      </c>
      <c r="N524" s="35" t="s">
        <v>226</v>
      </c>
      <c r="O524" s="15">
        <v>3</v>
      </c>
      <c r="P524" s="35" t="s">
        <v>457</v>
      </c>
      <c r="Q524" s="35"/>
      <c r="R524" s="15"/>
      <c r="S524" s="24"/>
      <c r="T524" s="62" t="s">
        <v>1226</v>
      </c>
      <c r="U524" s="62"/>
      <c r="V524" s="94">
        <v>5535683.333333333</v>
      </c>
      <c r="W524" s="199">
        <v>0.69747486760141031</v>
      </c>
      <c r="X524" s="15"/>
      <c r="Y524" s="200">
        <v>1.0815126050420167</v>
      </c>
      <c r="Z524" s="11" t="s">
        <v>465</v>
      </c>
      <c r="AA524" s="11"/>
      <c r="AB524" s="15"/>
      <c r="AC524" s="54">
        <v>3570000</v>
      </c>
      <c r="AD524" s="54">
        <v>3861000</v>
      </c>
      <c r="AE524" s="54">
        <v>-291000</v>
      </c>
    </row>
    <row r="525" spans="2:43" x14ac:dyDescent="0.25">
      <c r="B525" s="52"/>
      <c r="C525" s="39">
        <v>2018</v>
      </c>
      <c r="D525" s="62" t="s">
        <v>1299</v>
      </c>
      <c r="E525" s="63" t="s">
        <v>1300</v>
      </c>
      <c r="F525" s="64">
        <v>43264</v>
      </c>
      <c r="G525" s="65" t="s">
        <v>34</v>
      </c>
      <c r="H525" s="94">
        <v>38600000</v>
      </c>
      <c r="I525" s="94">
        <v>35950000</v>
      </c>
      <c r="J525" s="27" t="s">
        <v>519</v>
      </c>
      <c r="K525" s="26">
        <v>-6.8652849740932637E-2</v>
      </c>
      <c r="L525" s="11" t="s">
        <v>464</v>
      </c>
      <c r="M525" s="15">
        <v>2</v>
      </c>
      <c r="N525" s="35" t="s">
        <v>25</v>
      </c>
      <c r="O525" s="15">
        <v>2</v>
      </c>
      <c r="P525" s="35" t="s">
        <v>459</v>
      </c>
      <c r="Q525" s="35"/>
      <c r="R525" s="15"/>
      <c r="S525" s="24"/>
      <c r="T525" s="62" t="s">
        <v>447</v>
      </c>
      <c r="U525" s="62"/>
      <c r="V525" s="94">
        <v>39922000</v>
      </c>
      <c r="W525" s="199">
        <v>0.90050598667401438</v>
      </c>
      <c r="X525" s="15"/>
      <c r="Y525" s="200">
        <v>0.93134715025906734</v>
      </c>
      <c r="Z525" s="11" t="s">
        <v>465</v>
      </c>
      <c r="AA525" s="11"/>
      <c r="AB525" s="15"/>
      <c r="AC525" s="54">
        <v>38600000</v>
      </c>
      <c r="AD525" s="54">
        <v>35950000</v>
      </c>
      <c r="AE525" s="54">
        <v>2650000</v>
      </c>
    </row>
    <row r="526" spans="2:43" x14ac:dyDescent="0.25">
      <c r="B526" s="52"/>
      <c r="C526" s="39">
        <v>2018</v>
      </c>
      <c r="D526" s="62" t="s">
        <v>1301</v>
      </c>
      <c r="E526" s="63" t="s">
        <v>1302</v>
      </c>
      <c r="F526" s="64">
        <v>43251</v>
      </c>
      <c r="G526" s="65" t="s">
        <v>34</v>
      </c>
      <c r="H526" s="94">
        <v>1567000</v>
      </c>
      <c r="I526" s="94">
        <v>918315</v>
      </c>
      <c r="J526" s="105" t="s">
        <v>519</v>
      </c>
      <c r="K526" s="26">
        <v>-0.41396617740906189</v>
      </c>
      <c r="L526" s="11" t="s">
        <v>464</v>
      </c>
      <c r="M526" s="15">
        <v>5</v>
      </c>
      <c r="N526" s="35" t="s">
        <v>25</v>
      </c>
      <c r="O526" s="15">
        <v>2</v>
      </c>
      <c r="P526" s="35" t="s">
        <v>459</v>
      </c>
      <c r="Q526" s="35"/>
      <c r="R526" s="15"/>
      <c r="S526" s="24" t="s">
        <v>932</v>
      </c>
      <c r="T526" s="62" t="s">
        <v>447</v>
      </c>
      <c r="U526" s="62"/>
      <c r="V526" s="94">
        <v>2609788.4</v>
      </c>
      <c r="W526" s="199">
        <v>0.351873354943259</v>
      </c>
      <c r="X526" s="15"/>
      <c r="Y526" s="200">
        <v>0.58603382259093806</v>
      </c>
      <c r="Z526" s="11" t="s">
        <v>465</v>
      </c>
      <c r="AA526" s="11"/>
      <c r="AB526" s="15"/>
      <c r="AC526" s="54">
        <v>1567000</v>
      </c>
      <c r="AD526" s="54">
        <v>918315</v>
      </c>
      <c r="AE526" s="54">
        <v>648685</v>
      </c>
    </row>
    <row r="527" spans="2:43" x14ac:dyDescent="0.25">
      <c r="B527" s="52"/>
      <c r="C527" s="39">
        <v>2018</v>
      </c>
      <c r="D527" s="62" t="s">
        <v>1279</v>
      </c>
      <c r="E527" s="63" t="s">
        <v>1280</v>
      </c>
      <c r="F527" s="64">
        <v>43250</v>
      </c>
      <c r="G527" s="65" t="s">
        <v>34</v>
      </c>
      <c r="H527" s="94">
        <v>153277500</v>
      </c>
      <c r="I527" s="94">
        <v>118434757</v>
      </c>
      <c r="J527" s="27"/>
      <c r="K527" s="26">
        <v>-0.22731805385656734</v>
      </c>
      <c r="L527" s="11" t="s">
        <v>465</v>
      </c>
      <c r="M527" s="15">
        <v>13</v>
      </c>
      <c r="N527" s="35" t="s">
        <v>25</v>
      </c>
      <c r="O527" s="15">
        <v>2</v>
      </c>
      <c r="P527" s="35" t="s">
        <v>458</v>
      </c>
      <c r="Q527" s="35"/>
      <c r="R527" s="15"/>
      <c r="S527" s="24"/>
      <c r="T527" s="62" t="s">
        <v>784</v>
      </c>
      <c r="U527" s="62"/>
      <c r="V527" s="94">
        <v>138481360</v>
      </c>
      <c r="W527" s="199">
        <v>0.85523970157427687</v>
      </c>
      <c r="X527" s="15"/>
      <c r="Y527" s="200">
        <v>0.77268194614343266</v>
      </c>
      <c r="Z527" s="11" t="s">
        <v>465</v>
      </c>
      <c r="AA527" s="11"/>
      <c r="AB527" s="15"/>
      <c r="AC527" s="54">
        <v>153277500</v>
      </c>
      <c r="AD527" s="54">
        <v>118434757</v>
      </c>
      <c r="AE527" s="54">
        <v>34842743</v>
      </c>
    </row>
    <row r="528" spans="2:43" x14ac:dyDescent="0.25">
      <c r="B528" s="52"/>
      <c r="C528" s="39">
        <v>2018</v>
      </c>
      <c r="D528" s="62" t="s">
        <v>1250</v>
      </c>
      <c r="E528" s="63" t="s">
        <v>1251</v>
      </c>
      <c r="F528" s="64">
        <v>43230</v>
      </c>
      <c r="G528" s="65" t="s">
        <v>34</v>
      </c>
      <c r="H528" s="94">
        <v>4390000</v>
      </c>
      <c r="I528" s="94">
        <v>4220000</v>
      </c>
      <c r="J528" s="105" t="s">
        <v>519</v>
      </c>
      <c r="K528" s="26">
        <v>-3.8724373576309798E-2</v>
      </c>
      <c r="L528" s="11" t="s">
        <v>464</v>
      </c>
      <c r="M528" s="15">
        <v>4</v>
      </c>
      <c r="N528" s="35" t="s">
        <v>93</v>
      </c>
      <c r="O528" s="15">
        <v>2</v>
      </c>
      <c r="P528" s="35" t="s">
        <v>492</v>
      </c>
      <c r="Q528" s="35"/>
      <c r="R528" s="15"/>
      <c r="S528" s="24"/>
      <c r="T528" s="62" t="s">
        <v>816</v>
      </c>
      <c r="U528" s="62"/>
      <c r="V528" s="94">
        <v>6081225</v>
      </c>
      <c r="W528" s="199">
        <v>0.69393913232942372</v>
      </c>
      <c r="X528" s="15"/>
      <c r="Y528" s="200">
        <v>0.96127562642369024</v>
      </c>
      <c r="Z528" s="11" t="s">
        <v>465</v>
      </c>
      <c r="AA528" s="11"/>
      <c r="AB528" s="15"/>
      <c r="AC528" s="54">
        <v>4390000</v>
      </c>
      <c r="AD528" s="54">
        <v>4220000</v>
      </c>
      <c r="AE528" s="54">
        <v>170000</v>
      </c>
    </row>
    <row r="529" spans="2:41" x14ac:dyDescent="0.25">
      <c r="B529" s="52"/>
      <c r="C529" s="39">
        <v>2018</v>
      </c>
      <c r="D529" s="62" t="s">
        <v>1303</v>
      </c>
      <c r="E529" s="63" t="s">
        <v>1304</v>
      </c>
      <c r="F529" s="64">
        <v>43195</v>
      </c>
      <c r="G529" s="65" t="s">
        <v>34</v>
      </c>
      <c r="H529" s="94">
        <v>1520000</v>
      </c>
      <c r="I529" s="94">
        <v>856934</v>
      </c>
      <c r="J529" s="105" t="s">
        <v>519</v>
      </c>
      <c r="K529" s="26">
        <v>-0.43622763157894739</v>
      </c>
      <c r="L529" s="11" t="s">
        <v>464</v>
      </c>
      <c r="M529" s="15">
        <v>4</v>
      </c>
      <c r="N529" s="35" t="s">
        <v>25</v>
      </c>
      <c r="O529" s="15">
        <v>2</v>
      </c>
      <c r="P529" s="35" t="s">
        <v>459</v>
      </c>
      <c r="Q529" s="35" t="s">
        <v>1242</v>
      </c>
      <c r="R529" s="15"/>
      <c r="S529" s="24" t="s">
        <v>932</v>
      </c>
      <c r="T529" s="62" t="s">
        <v>447</v>
      </c>
      <c r="U529" s="62"/>
      <c r="V529" s="94">
        <v>1906983.5</v>
      </c>
      <c r="W529" s="199">
        <v>0.4493662373061959</v>
      </c>
      <c r="X529" s="15"/>
      <c r="Y529" s="200">
        <v>0.56377236842105261</v>
      </c>
      <c r="Z529" s="11" t="s">
        <v>465</v>
      </c>
      <c r="AA529" s="11"/>
      <c r="AB529" s="15"/>
      <c r="AC529" s="54">
        <v>1520000</v>
      </c>
      <c r="AD529" s="54">
        <v>856934</v>
      </c>
      <c r="AE529" s="54">
        <v>663066</v>
      </c>
    </row>
    <row r="530" spans="2:41" x14ac:dyDescent="0.25">
      <c r="B530" s="52"/>
      <c r="C530" s="39">
        <v>2018</v>
      </c>
      <c r="D530" s="62" t="s">
        <v>1252</v>
      </c>
      <c r="E530" s="63" t="s">
        <v>1253</v>
      </c>
      <c r="F530" s="64">
        <v>43193</v>
      </c>
      <c r="G530" s="65" t="s">
        <v>34</v>
      </c>
      <c r="H530" s="94">
        <v>9140000</v>
      </c>
      <c r="I530" s="94">
        <v>4659626</v>
      </c>
      <c r="J530" s="27" t="s">
        <v>519</v>
      </c>
      <c r="K530" s="26">
        <v>-0.49019409190371993</v>
      </c>
      <c r="L530" s="11" t="s">
        <v>464</v>
      </c>
      <c r="M530" s="15">
        <v>5</v>
      </c>
      <c r="N530" s="35" t="s">
        <v>93</v>
      </c>
      <c r="O530" s="15">
        <v>2</v>
      </c>
      <c r="P530" s="35" t="s">
        <v>492</v>
      </c>
      <c r="Q530" s="35" t="s">
        <v>1238</v>
      </c>
      <c r="R530" s="15"/>
      <c r="S530" s="24" t="s">
        <v>932</v>
      </c>
      <c r="T530" s="62" t="s">
        <v>816</v>
      </c>
      <c r="U530" s="62"/>
      <c r="V530" s="94">
        <v>10095414</v>
      </c>
      <c r="W530" s="199">
        <v>0.46155868397274247</v>
      </c>
      <c r="X530" s="15"/>
      <c r="Y530" s="200">
        <v>0.50980590809628012</v>
      </c>
      <c r="Z530" s="11" t="s">
        <v>465</v>
      </c>
      <c r="AA530" s="11"/>
      <c r="AB530" s="15"/>
      <c r="AC530" s="54">
        <v>9140000</v>
      </c>
      <c r="AD530" s="54">
        <v>4659626</v>
      </c>
      <c r="AE530" s="54">
        <v>4480374</v>
      </c>
    </row>
    <row r="531" spans="2:41" x14ac:dyDescent="0.25">
      <c r="B531" s="224"/>
      <c r="C531" s="39">
        <v>2018</v>
      </c>
      <c r="D531" s="62" t="s">
        <v>1281</v>
      </c>
      <c r="E531" s="63" t="s">
        <v>1282</v>
      </c>
      <c r="F531" s="64">
        <v>43193</v>
      </c>
      <c r="G531" s="65" t="s">
        <v>34</v>
      </c>
      <c r="H531" s="94">
        <v>3441000</v>
      </c>
      <c r="I531" s="94">
        <v>2993080</v>
      </c>
      <c r="J531" s="105" t="s">
        <v>519</v>
      </c>
      <c r="K531" s="26">
        <v>-0.13017146178436501</v>
      </c>
      <c r="L531" s="11" t="s">
        <v>464</v>
      </c>
      <c r="M531" s="15">
        <v>3</v>
      </c>
      <c r="N531" s="35" t="s">
        <v>25</v>
      </c>
      <c r="O531" s="15">
        <v>2</v>
      </c>
      <c r="P531" s="35" t="s">
        <v>458</v>
      </c>
      <c r="Q531" s="35" t="s">
        <v>1235</v>
      </c>
      <c r="R531" s="15"/>
      <c r="S531" s="24"/>
      <c r="T531" s="62" t="s">
        <v>784</v>
      </c>
      <c r="U531" s="62"/>
      <c r="V531" s="94">
        <v>3534026.6666666665</v>
      </c>
      <c r="W531" s="199">
        <v>0.84693192279250873</v>
      </c>
      <c r="X531" s="15"/>
      <c r="Y531" s="200">
        <v>0.86982853821563499</v>
      </c>
      <c r="Z531" s="11" t="s">
        <v>465</v>
      </c>
      <c r="AA531" s="74">
        <v>0</v>
      </c>
      <c r="AB531" s="15"/>
      <c r="AC531" s="54">
        <v>3441000</v>
      </c>
      <c r="AD531" s="54">
        <v>2993080</v>
      </c>
      <c r="AE531" s="54">
        <v>447920</v>
      </c>
      <c r="AG531" s="4">
        <v>215665500</v>
      </c>
      <c r="AH531" s="4">
        <v>170989542</v>
      </c>
      <c r="AI531" s="209">
        <v>0.79284606021825466</v>
      </c>
      <c r="AJ531" s="1" t="s">
        <v>1240</v>
      </c>
      <c r="AK531" s="210">
        <v>553619500</v>
      </c>
      <c r="AL531" s="210">
        <v>399789614</v>
      </c>
      <c r="AM531" s="211">
        <v>0.72213788351024488</v>
      </c>
      <c r="AN531" s="212"/>
      <c r="AO531" s="213"/>
    </row>
    <row r="532" spans="2:41" x14ac:dyDescent="0.25">
      <c r="B532" s="52"/>
      <c r="C532" s="39">
        <v>2018</v>
      </c>
      <c r="D532" s="62" t="s">
        <v>1283</v>
      </c>
      <c r="E532" s="63" t="s">
        <v>1284</v>
      </c>
      <c r="F532" s="64">
        <v>43179</v>
      </c>
      <c r="G532" s="65" t="s">
        <v>34</v>
      </c>
      <c r="H532" s="94">
        <v>1440000</v>
      </c>
      <c r="I532" s="94">
        <v>1928000</v>
      </c>
      <c r="J532" s="105"/>
      <c r="K532" s="26">
        <v>0.33888888888888891</v>
      </c>
      <c r="L532" s="11" t="s">
        <v>465</v>
      </c>
      <c r="M532" s="15">
        <v>7</v>
      </c>
      <c r="N532" s="35" t="s">
        <v>93</v>
      </c>
      <c r="O532" s="15">
        <v>1</v>
      </c>
      <c r="P532" s="35" t="s">
        <v>458</v>
      </c>
      <c r="Q532" s="35" t="s">
        <v>1238</v>
      </c>
      <c r="R532" s="15"/>
      <c r="S532" s="24"/>
      <c r="T532" s="62" t="s">
        <v>784</v>
      </c>
      <c r="U532" s="62"/>
      <c r="V532" s="94">
        <v>2393861.8571428573</v>
      </c>
      <c r="W532" s="199">
        <v>0.8053931743167182</v>
      </c>
      <c r="X532" s="15"/>
      <c r="Y532" s="200">
        <v>1.3388888888888888</v>
      </c>
      <c r="Z532" s="11" t="s">
        <v>465</v>
      </c>
      <c r="AA532" s="11"/>
      <c r="AB532" s="15"/>
      <c r="AC532" s="54">
        <v>1440000</v>
      </c>
      <c r="AD532" s="54">
        <v>1928000</v>
      </c>
      <c r="AE532" s="54">
        <v>-488000</v>
      </c>
    </row>
    <row r="533" spans="2:41" x14ac:dyDescent="0.25">
      <c r="B533" s="52"/>
      <c r="C533" s="39">
        <v>2018</v>
      </c>
      <c r="D533" s="62" t="s">
        <v>1263</v>
      </c>
      <c r="E533" s="63" t="s">
        <v>1264</v>
      </c>
      <c r="F533" s="64">
        <v>43179</v>
      </c>
      <c r="G533" s="65" t="s">
        <v>34</v>
      </c>
      <c r="H533" s="94">
        <v>27125000</v>
      </c>
      <c r="I533" s="94">
        <v>22964560</v>
      </c>
      <c r="J533" s="27" t="s">
        <v>519</v>
      </c>
      <c r="K533" s="26">
        <v>-0.15338027649769584</v>
      </c>
      <c r="L533" s="11" t="s">
        <v>464</v>
      </c>
      <c r="M533" s="15">
        <v>10</v>
      </c>
      <c r="N533" s="35" t="s">
        <v>226</v>
      </c>
      <c r="O533" s="15">
        <v>1</v>
      </c>
      <c r="P533" s="35" t="s">
        <v>457</v>
      </c>
      <c r="Q533" s="35" t="s">
        <v>1238</v>
      </c>
      <c r="R533" s="15"/>
      <c r="S533" s="24"/>
      <c r="T533" s="62" t="s">
        <v>816</v>
      </c>
      <c r="U533" s="62"/>
      <c r="V533" s="94">
        <v>31632465.399999999</v>
      </c>
      <c r="W533" s="199">
        <v>0.72598071979555534</v>
      </c>
      <c r="X533" s="15"/>
      <c r="Y533" s="200">
        <v>0.84661972350230419</v>
      </c>
      <c r="Z533" s="11" t="s">
        <v>465</v>
      </c>
      <c r="AA533" s="11"/>
      <c r="AB533" s="15"/>
      <c r="AC533" s="54">
        <v>27125000</v>
      </c>
      <c r="AD533" s="54">
        <v>22964560</v>
      </c>
      <c r="AE533" s="54">
        <v>4160440</v>
      </c>
    </row>
    <row r="534" spans="2:41" x14ac:dyDescent="0.25">
      <c r="B534" s="52"/>
      <c r="C534" s="39">
        <v>2018</v>
      </c>
      <c r="D534" s="62" t="s">
        <v>1265</v>
      </c>
      <c r="E534" s="63" t="s">
        <v>1266</v>
      </c>
      <c r="F534" s="64">
        <v>43174</v>
      </c>
      <c r="G534" s="65" t="s">
        <v>34</v>
      </c>
      <c r="H534" s="94">
        <v>1150000</v>
      </c>
      <c r="I534" s="94">
        <v>1253317</v>
      </c>
      <c r="J534" s="105" t="s">
        <v>519</v>
      </c>
      <c r="K534" s="26">
        <v>8.9840869565217391E-2</v>
      </c>
      <c r="L534" s="11" t="s">
        <v>464</v>
      </c>
      <c r="M534" s="15">
        <v>6</v>
      </c>
      <c r="N534" s="35" t="s">
        <v>93</v>
      </c>
      <c r="O534" s="15">
        <v>1</v>
      </c>
      <c r="P534" s="35" t="s">
        <v>457</v>
      </c>
      <c r="Q534" s="35" t="s">
        <v>1243</v>
      </c>
      <c r="R534" s="15"/>
      <c r="S534" s="24"/>
      <c r="T534" s="62" t="s">
        <v>784</v>
      </c>
      <c r="U534" s="62"/>
      <c r="V534" s="94">
        <v>1900429</v>
      </c>
      <c r="W534" s="199">
        <v>0.65949162004999928</v>
      </c>
      <c r="X534" s="15"/>
      <c r="Y534" s="200">
        <v>1.0898408695652173</v>
      </c>
      <c r="Z534" s="11" t="s">
        <v>465</v>
      </c>
      <c r="AA534" s="11"/>
      <c r="AB534" s="15"/>
      <c r="AC534" s="54">
        <v>1150000</v>
      </c>
      <c r="AD534" s="54">
        <v>1253317</v>
      </c>
      <c r="AE534" s="54">
        <v>-103317</v>
      </c>
    </row>
    <row r="535" spans="2:41" x14ac:dyDescent="0.25">
      <c r="B535" s="52"/>
      <c r="C535" s="39">
        <v>2018</v>
      </c>
      <c r="D535" s="62" t="s">
        <v>1285</v>
      </c>
      <c r="E535" s="63" t="s">
        <v>1286</v>
      </c>
      <c r="F535" s="64">
        <v>43168</v>
      </c>
      <c r="G535" s="65" t="s">
        <v>34</v>
      </c>
      <c r="H535" s="94">
        <v>10900000</v>
      </c>
      <c r="I535" s="94">
        <v>10417536</v>
      </c>
      <c r="J535" s="27" t="s">
        <v>519</v>
      </c>
      <c r="K535" s="26">
        <v>-4.4262752293577984E-2</v>
      </c>
      <c r="L535" s="11" t="s">
        <v>464</v>
      </c>
      <c r="M535" s="15">
        <v>11</v>
      </c>
      <c r="N535" s="35" t="s">
        <v>25</v>
      </c>
      <c r="O535" s="15">
        <v>1</v>
      </c>
      <c r="P535" s="35" t="s">
        <v>458</v>
      </c>
      <c r="Q535" s="35" t="s">
        <v>1235</v>
      </c>
      <c r="R535" s="15"/>
      <c r="S535" s="24"/>
      <c r="T535" s="62" t="s">
        <v>784</v>
      </c>
      <c r="U535" s="62"/>
      <c r="V535" s="94">
        <v>12059792.454545455</v>
      </c>
      <c r="W535" s="199">
        <v>0.86382382112003331</v>
      </c>
      <c r="X535" s="15"/>
      <c r="Y535" s="200">
        <v>0.95573724770642199</v>
      </c>
      <c r="Z535" s="11" t="s">
        <v>465</v>
      </c>
      <c r="AA535" s="11"/>
      <c r="AB535" s="15"/>
      <c r="AC535" s="54">
        <v>10900000</v>
      </c>
      <c r="AD535" s="54">
        <v>10417536</v>
      </c>
      <c r="AE535" s="54">
        <v>482464</v>
      </c>
    </row>
    <row r="536" spans="2:41" x14ac:dyDescent="0.25">
      <c r="B536" s="52"/>
      <c r="C536" s="39">
        <v>2018</v>
      </c>
      <c r="D536" s="62" t="s">
        <v>1305</v>
      </c>
      <c r="E536" s="63" t="s">
        <v>1306</v>
      </c>
      <c r="F536" s="64">
        <v>43167</v>
      </c>
      <c r="G536" s="65" t="s">
        <v>34</v>
      </c>
      <c r="H536" s="94">
        <v>1600000</v>
      </c>
      <c r="I536" s="94">
        <v>1948000</v>
      </c>
      <c r="J536" s="105"/>
      <c r="K536" s="26">
        <v>0.2175</v>
      </c>
      <c r="L536" s="11" t="s">
        <v>465</v>
      </c>
      <c r="M536" s="15">
        <v>2</v>
      </c>
      <c r="N536" s="35" t="s">
        <v>25</v>
      </c>
      <c r="O536" s="15">
        <v>1</v>
      </c>
      <c r="P536" s="35" t="s">
        <v>459</v>
      </c>
      <c r="Q536" s="35" t="s">
        <v>1243</v>
      </c>
      <c r="R536" s="15"/>
      <c r="S536" s="24"/>
      <c r="T536" s="62" t="s">
        <v>447</v>
      </c>
      <c r="U536" s="62"/>
      <c r="V536" s="94">
        <v>2353500</v>
      </c>
      <c r="W536" s="199">
        <v>0.82770342043764611</v>
      </c>
      <c r="X536" s="15"/>
      <c r="Y536" s="200">
        <v>1.2175</v>
      </c>
      <c r="Z536" s="11" t="s">
        <v>465</v>
      </c>
      <c r="AA536" s="11"/>
      <c r="AB536" s="15"/>
      <c r="AC536" s="54">
        <v>1600000</v>
      </c>
      <c r="AD536" s="54">
        <v>1948000</v>
      </c>
      <c r="AE536" s="54">
        <v>-348000</v>
      </c>
    </row>
    <row r="537" spans="2:41" x14ac:dyDescent="0.25">
      <c r="C537" s="39">
        <v>2018</v>
      </c>
      <c r="D537" s="62" t="s">
        <v>1287</v>
      </c>
      <c r="E537" s="63" t="s">
        <v>1288</v>
      </c>
      <c r="F537" s="64">
        <v>43160</v>
      </c>
      <c r="G537" s="65" t="s">
        <v>34</v>
      </c>
      <c r="H537" s="94">
        <v>1273000</v>
      </c>
      <c r="I537" s="94">
        <v>1050950</v>
      </c>
      <c r="J537" s="105" t="s">
        <v>519</v>
      </c>
      <c r="K537" s="26">
        <v>-0.1744304791830322</v>
      </c>
      <c r="L537" s="11" t="s">
        <v>464</v>
      </c>
      <c r="M537" s="15">
        <v>6</v>
      </c>
      <c r="N537" s="35" t="s">
        <v>25</v>
      </c>
      <c r="O537" s="15">
        <v>1</v>
      </c>
      <c r="P537" s="35" t="s">
        <v>458</v>
      </c>
      <c r="Q537" s="35" t="s">
        <v>1238</v>
      </c>
      <c r="R537" s="15"/>
      <c r="S537" s="24" t="s">
        <v>1244</v>
      </c>
      <c r="T537" s="62" t="s">
        <v>784</v>
      </c>
      <c r="U537" s="62"/>
      <c r="V537" s="94">
        <v>2050444.6666666667</v>
      </c>
      <c r="W537" s="199">
        <v>0.51254735964589138</v>
      </c>
      <c r="X537" s="15"/>
      <c r="Y537" s="200">
        <v>0.82556952081696777</v>
      </c>
      <c r="Z537" s="11" t="s">
        <v>465</v>
      </c>
      <c r="AA537" s="11"/>
      <c r="AB537" s="15"/>
      <c r="AC537" s="54">
        <v>1273000</v>
      </c>
      <c r="AD537" s="54">
        <v>1050950</v>
      </c>
      <c r="AE537" s="54">
        <v>222050</v>
      </c>
    </row>
    <row r="538" spans="2:41" x14ac:dyDescent="0.25">
      <c r="C538" s="39">
        <v>2018</v>
      </c>
      <c r="D538" s="62" t="s">
        <v>1289</v>
      </c>
      <c r="E538" s="63" t="s">
        <v>1290</v>
      </c>
      <c r="F538" s="64">
        <v>43147</v>
      </c>
      <c r="G538" s="65" t="s">
        <v>34</v>
      </c>
      <c r="H538" s="94">
        <v>23100000</v>
      </c>
      <c r="I538" s="94">
        <v>16848000</v>
      </c>
      <c r="J538" s="27" t="s">
        <v>519</v>
      </c>
      <c r="K538" s="26">
        <v>-0.27064935064935064</v>
      </c>
      <c r="L538" s="11" t="s">
        <v>464</v>
      </c>
      <c r="M538" s="15">
        <v>6</v>
      </c>
      <c r="N538" s="35" t="s">
        <v>93</v>
      </c>
      <c r="O538" s="15">
        <v>1</v>
      </c>
      <c r="P538" s="35" t="s">
        <v>458</v>
      </c>
      <c r="Q538" s="35" t="s">
        <v>1243</v>
      </c>
      <c r="R538" s="15"/>
      <c r="S538" s="24"/>
      <c r="T538" s="62" t="s">
        <v>442</v>
      </c>
      <c r="U538" s="62"/>
      <c r="V538" s="94">
        <v>24152208.666666668</v>
      </c>
      <c r="W538" s="199">
        <v>0.69757595392310978</v>
      </c>
      <c r="X538" s="15"/>
      <c r="Y538" s="200">
        <v>0.7293506493506493</v>
      </c>
      <c r="Z538" s="11" t="s">
        <v>465</v>
      </c>
      <c r="AA538" s="11"/>
      <c r="AB538" s="15"/>
      <c r="AC538" s="54">
        <v>23100000</v>
      </c>
      <c r="AD538" s="54">
        <v>16848000</v>
      </c>
      <c r="AE538" s="54">
        <v>6252000</v>
      </c>
    </row>
    <row r="539" spans="2:41" x14ac:dyDescent="0.25">
      <c r="C539" s="39">
        <v>2018</v>
      </c>
      <c r="D539" s="62" t="s">
        <v>1293</v>
      </c>
      <c r="E539" s="63" t="s">
        <v>1294</v>
      </c>
      <c r="F539" s="64">
        <v>43125</v>
      </c>
      <c r="G539" s="65" t="s">
        <v>34</v>
      </c>
      <c r="H539" s="94">
        <v>1700000</v>
      </c>
      <c r="I539" s="94">
        <v>1555555</v>
      </c>
      <c r="J539" s="105" t="s">
        <v>519</v>
      </c>
      <c r="K539" s="26">
        <v>-8.4967647058823523E-2</v>
      </c>
      <c r="L539" s="11" t="s">
        <v>464</v>
      </c>
      <c r="M539" s="15">
        <v>9</v>
      </c>
      <c r="N539" s="35" t="s">
        <v>93</v>
      </c>
      <c r="O539" s="15">
        <v>1</v>
      </c>
      <c r="P539" s="35" t="s">
        <v>458</v>
      </c>
      <c r="Q539" s="35" t="s">
        <v>1245</v>
      </c>
      <c r="R539" s="15"/>
      <c r="S539" s="24"/>
      <c r="T539" s="62" t="s">
        <v>784</v>
      </c>
      <c r="U539" s="62"/>
      <c r="V539" s="94">
        <v>2601779.6666666665</v>
      </c>
      <c r="W539" s="199">
        <v>0.59788114263839154</v>
      </c>
      <c r="X539" s="15"/>
      <c r="Y539" s="200">
        <v>0.91503235294117646</v>
      </c>
      <c r="Z539" s="11" t="s">
        <v>465</v>
      </c>
      <c r="AA539" s="11"/>
      <c r="AB539" s="15"/>
      <c r="AC539" s="54">
        <v>1700000</v>
      </c>
      <c r="AD539" s="54">
        <v>1555555</v>
      </c>
      <c r="AE539" s="54">
        <v>144445</v>
      </c>
    </row>
    <row r="540" spans="2:41" x14ac:dyDescent="0.25">
      <c r="C540" s="39">
        <v>2018</v>
      </c>
      <c r="D540" s="62" t="s">
        <v>1254</v>
      </c>
      <c r="E540" s="63" t="s">
        <v>1255</v>
      </c>
      <c r="F540" s="64">
        <v>43124</v>
      </c>
      <c r="G540" s="65" t="s">
        <v>34</v>
      </c>
      <c r="H540" s="94">
        <v>22000000</v>
      </c>
      <c r="I540" s="94">
        <v>19988889</v>
      </c>
      <c r="J540" s="27" t="s">
        <v>519</v>
      </c>
      <c r="K540" s="26">
        <v>-9.1414136363636364E-2</v>
      </c>
      <c r="L540" s="11" t="s">
        <v>464</v>
      </c>
      <c r="M540" s="15">
        <v>13</v>
      </c>
      <c r="N540" s="35" t="s">
        <v>93</v>
      </c>
      <c r="O540" s="15">
        <v>1</v>
      </c>
      <c r="P540" s="35" t="s">
        <v>492</v>
      </c>
      <c r="Q540" s="35" t="s">
        <v>1245</v>
      </c>
      <c r="R540" s="15"/>
      <c r="S540" s="24"/>
      <c r="T540" s="62" t="s">
        <v>816</v>
      </c>
      <c r="U540" s="62"/>
      <c r="V540" s="94">
        <v>27586889.692307692</v>
      </c>
      <c r="W540" s="199">
        <v>0.72457929193712933</v>
      </c>
      <c r="X540" s="15"/>
      <c r="Y540" s="200">
        <v>0.90858586363636362</v>
      </c>
      <c r="Z540" s="11" t="s">
        <v>465</v>
      </c>
      <c r="AA540" s="11"/>
      <c r="AB540" s="15"/>
      <c r="AC540" s="54">
        <v>22000000</v>
      </c>
      <c r="AD540" s="54">
        <v>19988889</v>
      </c>
      <c r="AE540" s="54">
        <v>2011111</v>
      </c>
    </row>
    <row r="541" spans="2:41" x14ac:dyDescent="0.25">
      <c r="C541" s="39"/>
    </row>
    <row r="542" spans="2:41" x14ac:dyDescent="0.25">
      <c r="C542" s="39"/>
      <c r="K542" s="398" t="s">
        <v>1183</v>
      </c>
      <c r="L542" s="398"/>
      <c r="M542" s="247" t="s">
        <v>1366</v>
      </c>
      <c r="N542" s="245" t="s">
        <v>790</v>
      </c>
      <c r="O542" s="244"/>
      <c r="P542" s="248" t="s">
        <v>1368</v>
      </c>
    </row>
    <row r="543" spans="2:41" x14ac:dyDescent="0.25">
      <c r="C543" s="39"/>
      <c r="K543" s="142" t="s">
        <v>190</v>
      </c>
      <c r="L543" s="143">
        <f>+N543/M543</f>
        <v>0.5</v>
      </c>
      <c r="M543" s="246">
        <f>COUNTA(L492:L497)</f>
        <v>6</v>
      </c>
      <c r="N543" s="245">
        <v>3</v>
      </c>
      <c r="O543" s="244"/>
      <c r="P543" s="258">
        <f>AVERAGE(M492:M497)</f>
        <v>3.3333333333333335</v>
      </c>
    </row>
    <row r="544" spans="2:41" x14ac:dyDescent="0.25">
      <c r="C544" s="39"/>
      <c r="K544" s="142" t="s">
        <v>1206</v>
      </c>
      <c r="L544" s="143">
        <f t="shared" ref="L544:L546" si="76">+N544/M544</f>
        <v>0.63888888888888884</v>
      </c>
      <c r="M544" s="246">
        <f>COUNTA(L505:L540)</f>
        <v>36</v>
      </c>
      <c r="N544" s="245">
        <v>23</v>
      </c>
      <c r="O544" s="244"/>
      <c r="P544" s="259">
        <f>AVERAGE(M505:M540)</f>
        <v>5.166666666666667</v>
      </c>
    </row>
    <row r="545" spans="2:19" x14ac:dyDescent="0.25">
      <c r="C545" s="39"/>
      <c r="K545" s="142" t="s">
        <v>1367</v>
      </c>
      <c r="L545" s="143">
        <f t="shared" si="76"/>
        <v>0.41666666666666669</v>
      </c>
      <c r="M545" s="246">
        <f>COUNTA(L478:L489)</f>
        <v>12</v>
      </c>
      <c r="N545" s="245">
        <v>5</v>
      </c>
      <c r="O545" s="244"/>
      <c r="P545" s="258">
        <f>AVERAGE(M478:M489)</f>
        <v>3.9166666666666665</v>
      </c>
    </row>
    <row r="546" spans="2:19" x14ac:dyDescent="0.25">
      <c r="C546" s="39"/>
      <c r="K546" s="142" t="s">
        <v>756</v>
      </c>
      <c r="L546" s="143">
        <f t="shared" si="76"/>
        <v>1</v>
      </c>
      <c r="M546" s="246">
        <f>COUNTA(L500:L501)</f>
        <v>2</v>
      </c>
      <c r="N546" s="245">
        <v>2</v>
      </c>
      <c r="O546" s="244"/>
      <c r="P546" s="258">
        <f>AVERAGE(M500:M501)</f>
        <v>4</v>
      </c>
    </row>
    <row r="547" spans="2:19" x14ac:dyDescent="0.25">
      <c r="C547" s="39"/>
    </row>
    <row r="548" spans="2:19" x14ac:dyDescent="0.25">
      <c r="C548" s="39"/>
    </row>
    <row r="549" spans="2:19" x14ac:dyDescent="0.25">
      <c r="C549" s="39"/>
    </row>
    <row r="550" spans="2:19" x14ac:dyDescent="0.25">
      <c r="C550" s="39"/>
    </row>
    <row r="551" spans="2:19" x14ac:dyDescent="0.25">
      <c r="C551" s="39"/>
    </row>
    <row r="552" spans="2:19" x14ac:dyDescent="0.25">
      <c r="B552" s="144"/>
      <c r="C552" s="145"/>
      <c r="D552" s="144"/>
      <c r="E552" s="144"/>
      <c r="F552" s="144"/>
      <c r="G552" s="144"/>
      <c r="H552" s="144"/>
      <c r="I552" s="144"/>
      <c r="J552" s="144"/>
      <c r="K552" s="144"/>
      <c r="L552" s="144"/>
      <c r="M552" s="144"/>
      <c r="N552" s="146"/>
      <c r="O552" s="144"/>
      <c r="P552" s="144"/>
      <c r="Q552" s="144"/>
      <c r="R552" s="144"/>
      <c r="S552" s="144"/>
    </row>
    <row r="553" spans="2:19" x14ac:dyDescent="0.25">
      <c r="C553" s="39"/>
    </row>
    <row r="554" spans="2:19" x14ac:dyDescent="0.25">
      <c r="C554" s="39"/>
    </row>
    <row r="555" spans="2:19" x14ac:dyDescent="0.25">
      <c r="C555" s="39"/>
      <c r="D555" t="s">
        <v>1174</v>
      </c>
    </row>
    <row r="556" spans="2:19" x14ac:dyDescent="0.25">
      <c r="C556" s="39"/>
      <c r="D556" t="s">
        <v>1177</v>
      </c>
      <c r="F556" t="s">
        <v>1175</v>
      </c>
      <c r="G556" t="s">
        <v>1176</v>
      </c>
    </row>
    <row r="557" spans="2:19" x14ac:dyDescent="0.25">
      <c r="C557" s="39"/>
      <c r="D557">
        <v>17</v>
      </c>
      <c r="E557" t="s">
        <v>1366</v>
      </c>
      <c r="F557">
        <v>10</v>
      </c>
      <c r="G557">
        <v>7</v>
      </c>
      <c r="H557" s="252">
        <f>+F557/(G557+F557)</f>
        <v>0.58823529411764708</v>
      </c>
    </row>
    <row r="558" spans="2:19" x14ac:dyDescent="0.25">
      <c r="C558" s="39"/>
    </row>
    <row r="559" spans="2:19" x14ac:dyDescent="0.25">
      <c r="C559" s="39"/>
    </row>
    <row r="560" spans="2:19" x14ac:dyDescent="0.25">
      <c r="B560" s="147"/>
      <c r="C560" s="148"/>
      <c r="D560" s="147"/>
      <c r="E560" s="147"/>
      <c r="F560" s="147"/>
      <c r="G560" s="147"/>
      <c r="H560" s="147"/>
      <c r="I560" s="147"/>
      <c r="J560" s="147"/>
      <c r="K560" s="147"/>
      <c r="L560" s="147"/>
      <c r="M560" s="147"/>
      <c r="N560" s="149"/>
      <c r="O560" s="147"/>
      <c r="P560" s="147"/>
      <c r="Q560" s="147"/>
      <c r="R560" s="147"/>
      <c r="S560" s="147"/>
    </row>
    <row r="561" spans="2:24" x14ac:dyDescent="0.25">
      <c r="C561" s="39"/>
    </row>
    <row r="562" spans="2:24" x14ac:dyDescent="0.25">
      <c r="C562" s="39"/>
      <c r="R562">
        <f>+H583+H611+H638+H661</f>
        <v>34</v>
      </c>
    </row>
    <row r="563" spans="2:24" x14ac:dyDescent="0.25">
      <c r="C563" s="39"/>
    </row>
    <row r="564" spans="2:24" x14ac:dyDescent="0.25">
      <c r="B564" s="253"/>
      <c r="C564" s="39"/>
    </row>
    <row r="565" spans="2:24" x14ac:dyDescent="0.25">
      <c r="C565" s="39">
        <v>2017</v>
      </c>
      <c r="D565" s="102" t="s">
        <v>1136</v>
      </c>
      <c r="E565" s="63" t="s">
        <v>1137</v>
      </c>
      <c r="F565" s="64">
        <v>43074</v>
      </c>
      <c r="G565" s="65" t="s">
        <v>34</v>
      </c>
      <c r="H565" s="94">
        <v>1530000</v>
      </c>
      <c r="I565" s="27">
        <v>1189000</v>
      </c>
      <c r="J565" s="27"/>
      <c r="K565" s="26">
        <v>-0.22287581699346407</v>
      </c>
      <c r="L565" s="11" t="s">
        <v>464</v>
      </c>
      <c r="M565" s="15">
        <v>3</v>
      </c>
      <c r="N565" s="35" t="s">
        <v>25</v>
      </c>
      <c r="O565" s="15">
        <v>4</v>
      </c>
      <c r="P565" s="35" t="s">
        <v>458</v>
      </c>
      <c r="Q565" s="15"/>
      <c r="R565" s="24"/>
      <c r="S565" s="62" t="s">
        <v>616</v>
      </c>
      <c r="T565" s="15"/>
      <c r="U565" s="15"/>
      <c r="V565" s="54">
        <v>1530000</v>
      </c>
      <c r="W565" s="54">
        <v>1189000</v>
      </c>
      <c r="X565" s="54">
        <v>341000</v>
      </c>
    </row>
    <row r="566" spans="2:24" x14ac:dyDescent="0.25">
      <c r="C566" s="39">
        <v>2017</v>
      </c>
      <c r="D566" s="102" t="s">
        <v>1129</v>
      </c>
      <c r="E566" s="63" t="s">
        <v>1130</v>
      </c>
      <c r="F566" s="64">
        <v>43068</v>
      </c>
      <c r="G566" s="65" t="s">
        <v>34</v>
      </c>
      <c r="H566" s="94">
        <v>6600000</v>
      </c>
      <c r="I566" s="27">
        <v>5189333</v>
      </c>
      <c r="J566" s="27" t="s">
        <v>519</v>
      </c>
      <c r="K566" s="26">
        <v>-0.21373742424242423</v>
      </c>
      <c r="L566" s="11" t="s">
        <v>464</v>
      </c>
      <c r="M566" s="15">
        <v>7</v>
      </c>
      <c r="N566" s="35" t="s">
        <v>25</v>
      </c>
      <c r="O566" s="15">
        <v>4</v>
      </c>
      <c r="P566" s="35" t="s">
        <v>458</v>
      </c>
      <c r="Q566" s="15"/>
      <c r="R566" s="24"/>
      <c r="S566" s="62" t="s">
        <v>616</v>
      </c>
      <c r="T566" s="15"/>
      <c r="U566" s="15"/>
      <c r="V566" s="54">
        <v>6600000</v>
      </c>
      <c r="W566" s="54">
        <v>5189333</v>
      </c>
      <c r="X566" s="54">
        <v>1410667</v>
      </c>
    </row>
    <row r="567" spans="2:24" x14ac:dyDescent="0.25">
      <c r="C567" s="39">
        <v>2017</v>
      </c>
      <c r="D567" s="62" t="s">
        <v>1124</v>
      </c>
      <c r="E567" s="63" t="s">
        <v>1125</v>
      </c>
      <c r="F567" s="64">
        <v>43053</v>
      </c>
      <c r="G567" s="65" t="s">
        <v>693</v>
      </c>
      <c r="H567" s="94">
        <v>820000</v>
      </c>
      <c r="I567" s="27">
        <v>861500</v>
      </c>
      <c r="J567" s="27"/>
      <c r="K567" s="26">
        <v>5.0609756097560979E-2</v>
      </c>
      <c r="L567" s="11" t="s">
        <v>464</v>
      </c>
      <c r="M567" s="15">
        <v>4</v>
      </c>
      <c r="N567" s="35" t="s">
        <v>25</v>
      </c>
      <c r="O567" s="15">
        <v>4</v>
      </c>
      <c r="P567" s="35" t="s">
        <v>458</v>
      </c>
      <c r="Q567" s="15"/>
      <c r="R567" s="24"/>
      <c r="S567" s="62" t="s">
        <v>616</v>
      </c>
      <c r="T567" s="15"/>
      <c r="U567" s="15"/>
      <c r="V567" s="54">
        <v>820000</v>
      </c>
      <c r="W567" s="54">
        <v>861500</v>
      </c>
      <c r="X567" s="54">
        <v>-41500</v>
      </c>
    </row>
    <row r="568" spans="2:24" x14ac:dyDescent="0.25">
      <c r="C568" s="39">
        <v>2017</v>
      </c>
      <c r="D568" s="62" t="s">
        <v>1116</v>
      </c>
      <c r="E568" s="63" t="s">
        <v>1117</v>
      </c>
      <c r="F568" s="64">
        <v>43047</v>
      </c>
      <c r="G568" s="65" t="s">
        <v>190</v>
      </c>
      <c r="H568" s="94">
        <v>26900000</v>
      </c>
      <c r="I568" s="27">
        <v>26600000</v>
      </c>
      <c r="J568" s="27" t="s">
        <v>519</v>
      </c>
      <c r="K568" s="26">
        <v>-1.1152416356877323E-2</v>
      </c>
      <c r="L568" s="11" t="s">
        <v>464</v>
      </c>
      <c r="M568" s="15">
        <v>3</v>
      </c>
      <c r="N568" s="35" t="s">
        <v>25</v>
      </c>
      <c r="O568" s="15">
        <v>4</v>
      </c>
      <c r="P568" s="35" t="s">
        <v>458</v>
      </c>
      <c r="Q568" s="15"/>
      <c r="R568" s="24"/>
      <c r="S568" s="62" t="s">
        <v>616</v>
      </c>
      <c r="T568" s="15"/>
      <c r="U568" s="15"/>
      <c r="V568" s="54">
        <v>26900000</v>
      </c>
      <c r="W568" s="54">
        <v>26600000</v>
      </c>
      <c r="X568" s="54">
        <v>300000</v>
      </c>
    </row>
    <row r="569" spans="2:24" x14ac:dyDescent="0.25">
      <c r="C569" s="39">
        <v>2017</v>
      </c>
      <c r="D569" s="62" t="s">
        <v>1099</v>
      </c>
      <c r="E569" s="63" t="s">
        <v>1100</v>
      </c>
      <c r="F569" s="64">
        <v>43025</v>
      </c>
      <c r="G569" s="65" t="s">
        <v>34</v>
      </c>
      <c r="H569" s="94">
        <v>3000000</v>
      </c>
      <c r="I569" s="27">
        <v>2812500</v>
      </c>
      <c r="J569" s="27"/>
      <c r="K569" s="26">
        <v>-6.25E-2</v>
      </c>
      <c r="L569" s="11" t="s">
        <v>464</v>
      </c>
      <c r="M569" s="15">
        <v>2</v>
      </c>
      <c r="N569" s="35" t="s">
        <v>25</v>
      </c>
      <c r="O569" s="15">
        <v>4</v>
      </c>
      <c r="P569" s="35" t="s">
        <v>458</v>
      </c>
      <c r="Q569" s="15"/>
      <c r="R569" s="24"/>
      <c r="S569" s="62" t="s">
        <v>616</v>
      </c>
      <c r="T569" s="15"/>
      <c r="U569" s="15"/>
      <c r="V569" s="54">
        <v>3000000</v>
      </c>
      <c r="W569" s="54">
        <v>2812500</v>
      </c>
      <c r="X569" s="54">
        <v>187500</v>
      </c>
    </row>
    <row r="570" spans="2:24" x14ac:dyDescent="0.25">
      <c r="C570" s="39">
        <v>2017</v>
      </c>
      <c r="D570" s="62" t="s">
        <v>1093</v>
      </c>
      <c r="E570" s="63" t="s">
        <v>1094</v>
      </c>
      <c r="F570" s="64">
        <v>43013</v>
      </c>
      <c r="G570" s="65" t="s">
        <v>34</v>
      </c>
      <c r="H570" s="94">
        <v>970000</v>
      </c>
      <c r="I570" s="27">
        <v>1285000</v>
      </c>
      <c r="J570" s="27"/>
      <c r="K570" s="26">
        <v>0.32474226804123713</v>
      </c>
      <c r="L570" s="11" t="s">
        <v>465</v>
      </c>
      <c r="M570" s="15">
        <v>6</v>
      </c>
      <c r="N570" s="35" t="s">
        <v>25</v>
      </c>
      <c r="O570" s="15">
        <v>4</v>
      </c>
      <c r="P570" s="35" t="s">
        <v>458</v>
      </c>
      <c r="Q570" s="15"/>
      <c r="R570" s="24"/>
      <c r="S570" s="62" t="s">
        <v>616</v>
      </c>
      <c r="T570" s="15"/>
      <c r="U570" s="15"/>
      <c r="V570" s="54">
        <v>970000</v>
      </c>
      <c r="W570" s="54">
        <v>1285000</v>
      </c>
      <c r="X570" s="54">
        <v>-315000</v>
      </c>
    </row>
    <row r="571" spans="2:24" x14ac:dyDescent="0.25">
      <c r="C571" s="39">
        <v>2017</v>
      </c>
      <c r="D571" s="62" t="s">
        <v>1068</v>
      </c>
      <c r="E571" s="63" t="s">
        <v>1069</v>
      </c>
      <c r="F571" s="64">
        <v>42964</v>
      </c>
      <c r="G571" s="65" t="s">
        <v>190</v>
      </c>
      <c r="H571" s="94">
        <v>8500000</v>
      </c>
      <c r="I571" s="27">
        <v>5682000</v>
      </c>
      <c r="J571" s="105" t="s">
        <v>519</v>
      </c>
      <c r="K571" s="26">
        <v>-0.33152941176470591</v>
      </c>
      <c r="L571" s="11" t="s">
        <v>465</v>
      </c>
      <c r="M571" s="15">
        <v>3</v>
      </c>
      <c r="N571" s="35" t="s">
        <v>25</v>
      </c>
      <c r="O571" s="15">
        <v>3</v>
      </c>
      <c r="P571" s="35" t="s">
        <v>458</v>
      </c>
      <c r="Q571" s="15"/>
      <c r="R571" s="24"/>
      <c r="S571" s="62" t="s">
        <v>616</v>
      </c>
      <c r="T571" s="15"/>
      <c r="U571" s="15"/>
      <c r="V571" s="54">
        <v>8500000</v>
      </c>
      <c r="W571" s="54">
        <v>5682000</v>
      </c>
      <c r="X571" s="54">
        <v>2818000</v>
      </c>
    </row>
    <row r="572" spans="2:24" x14ac:dyDescent="0.25">
      <c r="C572" s="101">
        <v>2017</v>
      </c>
      <c r="D572" s="62" t="s">
        <v>1038</v>
      </c>
      <c r="E572" s="63" t="s">
        <v>1039</v>
      </c>
      <c r="F572" s="64">
        <v>42901</v>
      </c>
      <c r="G572" s="65" t="s">
        <v>693</v>
      </c>
      <c r="H572" s="94">
        <v>850000</v>
      </c>
      <c r="I572" s="27">
        <v>887000</v>
      </c>
      <c r="J572" s="27"/>
      <c r="K572" s="26">
        <v>4.3529411764705879E-2</v>
      </c>
      <c r="L572" s="11" t="s">
        <v>464</v>
      </c>
      <c r="M572" s="15">
        <v>3</v>
      </c>
      <c r="N572" s="35" t="s">
        <v>25</v>
      </c>
      <c r="O572" s="15">
        <v>2</v>
      </c>
      <c r="P572" s="35" t="s">
        <v>458</v>
      </c>
      <c r="Q572" s="15"/>
      <c r="R572" s="24"/>
      <c r="S572" s="62" t="s">
        <v>616</v>
      </c>
      <c r="T572" s="15"/>
      <c r="U572" s="15"/>
      <c r="V572" s="54">
        <v>850000</v>
      </c>
      <c r="W572" s="54">
        <v>887000</v>
      </c>
      <c r="X572" s="54">
        <v>-37000</v>
      </c>
    </row>
    <row r="573" spans="2:24" x14ac:dyDescent="0.25">
      <c r="C573" s="39">
        <v>2017</v>
      </c>
      <c r="D573" s="62" t="s">
        <v>1035</v>
      </c>
      <c r="E573" s="63" t="s">
        <v>1036</v>
      </c>
      <c r="F573" s="64">
        <v>42900</v>
      </c>
      <c r="G573" s="65" t="s">
        <v>756</v>
      </c>
      <c r="H573" s="94">
        <v>2900000</v>
      </c>
      <c r="I573" s="27">
        <v>1157000</v>
      </c>
      <c r="J573" s="27"/>
      <c r="K573" s="26">
        <v>-0.6010344827586207</v>
      </c>
      <c r="L573" s="11" t="s">
        <v>465</v>
      </c>
      <c r="M573" s="15">
        <v>5</v>
      </c>
      <c r="N573" s="35" t="s">
        <v>25</v>
      </c>
      <c r="O573" s="15">
        <v>2</v>
      </c>
      <c r="P573" s="35" t="s">
        <v>458</v>
      </c>
      <c r="Q573" s="15"/>
      <c r="R573" s="24"/>
      <c r="S573" s="62" t="s">
        <v>447</v>
      </c>
      <c r="T573" s="15"/>
      <c r="U573" s="15"/>
      <c r="V573" s="54">
        <v>2900000</v>
      </c>
      <c r="W573" s="54">
        <v>1157000</v>
      </c>
      <c r="X573" s="54">
        <v>1743000</v>
      </c>
    </row>
    <row r="574" spans="2:24" x14ac:dyDescent="0.25">
      <c r="C574" s="39">
        <v>2017</v>
      </c>
      <c r="D574" s="62" t="s">
        <v>1025</v>
      </c>
      <c r="E574" s="63" t="s">
        <v>1026</v>
      </c>
      <c r="F574" s="64">
        <v>42893</v>
      </c>
      <c r="G574" s="65" t="s">
        <v>693</v>
      </c>
      <c r="H574" s="94">
        <v>650000</v>
      </c>
      <c r="I574" s="27">
        <v>865508</v>
      </c>
      <c r="J574" s="27"/>
      <c r="K574" s="26">
        <v>0.3315507692307692</v>
      </c>
      <c r="L574" s="11" t="s">
        <v>465</v>
      </c>
      <c r="M574" s="15">
        <v>3</v>
      </c>
      <c r="N574" s="35" t="s">
        <v>25</v>
      </c>
      <c r="O574" s="15">
        <v>2</v>
      </c>
      <c r="P574" s="35" t="s">
        <v>458</v>
      </c>
      <c r="Q574" s="15"/>
      <c r="R574" s="24"/>
      <c r="S574" s="62" t="s">
        <v>616</v>
      </c>
      <c r="T574" s="15"/>
      <c r="U574" s="15"/>
      <c r="V574" s="54">
        <v>650000</v>
      </c>
      <c r="W574" s="54">
        <v>865508</v>
      </c>
      <c r="X574" s="54">
        <v>-215508</v>
      </c>
    </row>
    <row r="575" spans="2:24" x14ac:dyDescent="0.25">
      <c r="C575" s="39">
        <v>2017</v>
      </c>
      <c r="D575" s="62" t="s">
        <v>1023</v>
      </c>
      <c r="E575" s="63" t="s">
        <v>1024</v>
      </c>
      <c r="F575" s="64">
        <v>42893</v>
      </c>
      <c r="G575" s="65" t="s">
        <v>693</v>
      </c>
      <c r="H575" s="94">
        <v>1070000</v>
      </c>
      <c r="I575" s="27">
        <v>758000</v>
      </c>
      <c r="J575" s="27"/>
      <c r="K575" s="26">
        <v>-0.29158878504672897</v>
      </c>
      <c r="L575" s="11" t="s">
        <v>465</v>
      </c>
      <c r="M575" s="15">
        <v>5</v>
      </c>
      <c r="N575" s="35" t="s">
        <v>25</v>
      </c>
      <c r="O575" s="15">
        <v>2</v>
      </c>
      <c r="P575" s="35" t="s">
        <v>458</v>
      </c>
      <c r="Q575" s="15"/>
      <c r="R575" s="24"/>
      <c r="S575" s="62" t="s">
        <v>616</v>
      </c>
      <c r="T575" s="15"/>
      <c r="U575" s="15"/>
      <c r="V575" s="54">
        <v>1070000</v>
      </c>
      <c r="W575" s="54">
        <v>758000</v>
      </c>
      <c r="X575" s="54">
        <v>312000</v>
      </c>
    </row>
    <row r="576" spans="2:24" x14ac:dyDescent="0.25">
      <c r="C576" s="39">
        <v>2017</v>
      </c>
      <c r="D576" s="62" t="s">
        <v>1014</v>
      </c>
      <c r="E576" s="63" t="s">
        <v>1015</v>
      </c>
      <c r="F576" s="64">
        <v>42886</v>
      </c>
      <c r="G576" s="65" t="s">
        <v>34</v>
      </c>
      <c r="H576" s="94">
        <v>1140000</v>
      </c>
      <c r="I576" s="27">
        <v>904780</v>
      </c>
      <c r="J576" s="27"/>
      <c r="K576" s="26">
        <v>-0.20633333333333334</v>
      </c>
      <c r="L576" s="11" t="s">
        <v>464</v>
      </c>
      <c r="M576" s="15">
        <v>9</v>
      </c>
      <c r="N576" s="35" t="s">
        <v>25</v>
      </c>
      <c r="O576" s="15">
        <v>2</v>
      </c>
      <c r="P576" s="35" t="s">
        <v>458</v>
      </c>
      <c r="Q576" s="15"/>
      <c r="R576" s="24"/>
      <c r="S576" s="62" t="s">
        <v>616</v>
      </c>
      <c r="T576" s="15"/>
      <c r="U576" s="15"/>
      <c r="V576" s="54">
        <v>1140000</v>
      </c>
      <c r="W576" s="54">
        <v>904780</v>
      </c>
      <c r="X576" s="54">
        <v>235220</v>
      </c>
    </row>
    <row r="577" spans="3:32" x14ac:dyDescent="0.25">
      <c r="C577" s="39">
        <v>2017</v>
      </c>
      <c r="D577" s="62" t="s">
        <v>981</v>
      </c>
      <c r="E577" s="63" t="s">
        <v>982</v>
      </c>
      <c r="F577" s="64">
        <v>42844</v>
      </c>
      <c r="G577" s="65" t="s">
        <v>190</v>
      </c>
      <c r="H577" s="94">
        <v>18870000</v>
      </c>
      <c r="I577" s="27">
        <v>19910000</v>
      </c>
      <c r="J577" s="27" t="s">
        <v>519</v>
      </c>
      <c r="K577" s="26">
        <v>5.5113937466878642E-2</v>
      </c>
      <c r="L577" s="11" t="s">
        <v>464</v>
      </c>
      <c r="M577" s="15">
        <v>3</v>
      </c>
      <c r="N577" s="35" t="s">
        <v>25</v>
      </c>
      <c r="O577" s="15">
        <v>2</v>
      </c>
      <c r="P577" s="35" t="s">
        <v>458</v>
      </c>
      <c r="Q577" s="15"/>
      <c r="R577" s="24"/>
      <c r="S577" s="62" t="s">
        <v>616</v>
      </c>
      <c r="T577" s="15"/>
      <c r="U577" s="15"/>
      <c r="V577" s="54">
        <v>18870000</v>
      </c>
      <c r="W577" s="54">
        <v>19910000</v>
      </c>
      <c r="X577" s="54">
        <v>-1040000</v>
      </c>
    </row>
    <row r="578" spans="3:32" x14ac:dyDescent="0.25">
      <c r="C578" s="39">
        <v>2017</v>
      </c>
      <c r="D578" s="62" t="s">
        <v>901</v>
      </c>
      <c r="E578" s="63" t="s">
        <v>902</v>
      </c>
      <c r="F578" s="64">
        <v>42774</v>
      </c>
      <c r="G578" s="65" t="s">
        <v>34</v>
      </c>
      <c r="H578" s="94">
        <v>970000</v>
      </c>
      <c r="I578" s="27">
        <v>756482</v>
      </c>
      <c r="J578" s="27"/>
      <c r="K578" s="26">
        <v>-0.22012164948453608</v>
      </c>
      <c r="L578" s="11" t="s">
        <v>464</v>
      </c>
      <c r="M578" s="15">
        <v>9</v>
      </c>
      <c r="N578" s="35" t="s">
        <v>25</v>
      </c>
      <c r="O578" s="15">
        <v>1</v>
      </c>
      <c r="P578" s="35" t="s">
        <v>458</v>
      </c>
      <c r="Q578" s="15"/>
      <c r="R578" s="24"/>
      <c r="S578" s="62" t="s">
        <v>616</v>
      </c>
      <c r="T578" s="15"/>
      <c r="U578" s="15"/>
      <c r="V578" s="54">
        <v>970000</v>
      </c>
      <c r="W578" s="54">
        <v>756482</v>
      </c>
      <c r="X578" s="54">
        <v>213518</v>
      </c>
    </row>
    <row r="579" spans="3:32" x14ac:dyDescent="0.25">
      <c r="C579" s="39">
        <v>2017</v>
      </c>
      <c r="D579" s="62" t="s">
        <v>862</v>
      </c>
      <c r="E579" s="63" t="s">
        <v>863</v>
      </c>
      <c r="F579" s="64">
        <v>42759</v>
      </c>
      <c r="G579" s="65" t="s">
        <v>190</v>
      </c>
      <c r="H579" s="94">
        <v>69800000</v>
      </c>
      <c r="I579" s="27">
        <v>67107000</v>
      </c>
      <c r="J579" s="27" t="s">
        <v>519</v>
      </c>
      <c r="K579" s="26">
        <v>-3.8581661891117482E-2</v>
      </c>
      <c r="L579" s="11" t="s">
        <v>464</v>
      </c>
      <c r="M579" s="15">
        <v>9</v>
      </c>
      <c r="N579" s="35" t="s">
        <v>25</v>
      </c>
      <c r="O579" s="15">
        <v>1</v>
      </c>
      <c r="P579" s="35" t="s">
        <v>458</v>
      </c>
      <c r="Q579" s="15"/>
      <c r="R579" s="24"/>
      <c r="S579" s="62" t="s">
        <v>616</v>
      </c>
      <c r="T579" s="15"/>
      <c r="U579" s="15"/>
      <c r="V579" s="54">
        <v>69800000</v>
      </c>
      <c r="W579" s="54">
        <v>67107000</v>
      </c>
      <c r="X579" s="54">
        <v>2693000</v>
      </c>
    </row>
    <row r="580" spans="3:32" x14ac:dyDescent="0.25">
      <c r="C580" s="39"/>
      <c r="E580" s="85"/>
      <c r="F580" s="85"/>
      <c r="G580" s="85"/>
      <c r="H580" s="86">
        <f>SUM(H565:H579)</f>
        <v>144570000</v>
      </c>
      <c r="I580" s="86">
        <f>SUM(I565:I579)</f>
        <v>135965103</v>
      </c>
      <c r="J580" s="85"/>
      <c r="K580" s="87">
        <f>+I580/H580</f>
        <v>0.94047937331396558</v>
      </c>
      <c r="L580" s="85">
        <f>COUNTA(L565:L579)</f>
        <v>15</v>
      </c>
      <c r="M580" s="88">
        <f>SUM(M565:M579)/L580</f>
        <v>4.9333333333333336</v>
      </c>
      <c r="N580" s="89"/>
      <c r="O580" s="85"/>
      <c r="P580" s="119"/>
      <c r="Q580" s="85"/>
    </row>
    <row r="581" spans="3:32" x14ac:dyDescent="0.25">
      <c r="C581" s="39"/>
    </row>
    <row r="582" spans="3:32" x14ac:dyDescent="0.25">
      <c r="C582" s="39"/>
      <c r="E582" s="150" t="s">
        <v>1179</v>
      </c>
      <c r="F582" s="70"/>
      <c r="G582" s="70"/>
      <c r="H582" s="121" t="str">
        <f>"'17 final"</f>
        <v>'17 final</v>
      </c>
      <c r="P582" s="11"/>
      <c r="W582" s="168"/>
      <c r="X582" s="168"/>
      <c r="Y582" s="168"/>
      <c r="Z582" s="168"/>
      <c r="AA582" s="169" t="s">
        <v>1200</v>
      </c>
      <c r="AB582" s="170" t="str">
        <f>"'17 all"</f>
        <v>'17 all</v>
      </c>
      <c r="AC582" s="70" t="s">
        <v>1201</v>
      </c>
      <c r="AD582" s="70" t="s">
        <v>1202</v>
      </c>
      <c r="AE582" s="70" t="s">
        <v>1203</v>
      </c>
      <c r="AF582" s="70" t="s">
        <v>1204</v>
      </c>
    </row>
    <row r="583" spans="3:32" x14ac:dyDescent="0.25">
      <c r="C583" s="39"/>
      <c r="E583" s="71" t="s">
        <v>800</v>
      </c>
      <c r="F583" s="11"/>
      <c r="G583" s="11"/>
      <c r="H583" s="104">
        <f>+L580</f>
        <v>15</v>
      </c>
      <c r="P583" s="11"/>
      <c r="AA583" s="71" t="s">
        <v>800</v>
      </c>
      <c r="AB583" s="171">
        <v>34</v>
      </c>
      <c r="AC583" s="104">
        <v>15</v>
      </c>
      <c r="AD583" s="104">
        <v>9</v>
      </c>
      <c r="AE583" s="104">
        <v>7</v>
      </c>
      <c r="AF583" s="104">
        <v>3</v>
      </c>
    </row>
    <row r="584" spans="3:32" x14ac:dyDescent="0.25">
      <c r="C584" s="39"/>
      <c r="E584" s="72" t="s">
        <v>801</v>
      </c>
      <c r="F584" s="11"/>
      <c r="G584" s="11"/>
      <c r="H584" s="104">
        <f>+H583-H585</f>
        <v>10</v>
      </c>
      <c r="P584" s="11"/>
      <c r="AA584" s="72" t="s">
        <v>801</v>
      </c>
      <c r="AB584" s="171">
        <v>19</v>
      </c>
      <c r="AC584" s="104">
        <v>10</v>
      </c>
      <c r="AD584" s="104">
        <v>5</v>
      </c>
      <c r="AE584" s="104">
        <v>2</v>
      </c>
      <c r="AF584" s="104">
        <v>2</v>
      </c>
    </row>
    <row r="585" spans="3:32" x14ac:dyDescent="0.25">
      <c r="C585" s="39"/>
      <c r="E585" s="72" t="s">
        <v>802</v>
      </c>
      <c r="F585" s="11"/>
      <c r="G585" s="11"/>
      <c r="H585" s="104">
        <v>5</v>
      </c>
      <c r="P585" s="11"/>
      <c r="AA585" s="72" t="s">
        <v>802</v>
      </c>
      <c r="AB585" s="171">
        <v>15</v>
      </c>
      <c r="AC585" s="104">
        <v>5</v>
      </c>
      <c r="AD585" s="104">
        <v>4</v>
      </c>
      <c r="AE585" s="104">
        <v>5</v>
      </c>
      <c r="AF585" s="104">
        <v>1</v>
      </c>
    </row>
    <row r="586" spans="3:32" x14ac:dyDescent="0.25">
      <c r="C586" s="39"/>
      <c r="E586" s="72"/>
      <c r="F586" s="11"/>
      <c r="G586" s="11"/>
      <c r="H586" s="104"/>
      <c r="P586" s="11"/>
      <c r="AA586" s="72"/>
      <c r="AB586" s="171"/>
      <c r="AC586" s="104"/>
      <c r="AD586" s="104"/>
      <c r="AE586" s="104"/>
      <c r="AF586" s="104"/>
    </row>
    <row r="587" spans="3:32" x14ac:dyDescent="0.25">
      <c r="C587" s="39"/>
      <c r="E587" s="72" t="s">
        <v>1144</v>
      </c>
      <c r="F587" s="78"/>
      <c r="G587" s="78"/>
      <c r="H587" s="122">
        <f>+I580/1000000</f>
        <v>135.965103</v>
      </c>
      <c r="I587" s="52"/>
      <c r="P587" s="11"/>
      <c r="AA587" s="72" t="s">
        <v>1144</v>
      </c>
      <c r="AB587" s="172">
        <v>260.86096099999997</v>
      </c>
      <c r="AC587" s="122">
        <v>135.965103</v>
      </c>
      <c r="AD587" s="122">
        <v>78.535071000000002</v>
      </c>
      <c r="AE587" s="122">
        <v>32.957763999999997</v>
      </c>
      <c r="AF587" s="122">
        <v>13.403022999999999</v>
      </c>
    </row>
    <row r="588" spans="3:32" x14ac:dyDescent="0.25">
      <c r="C588" s="39"/>
      <c r="E588" s="72" t="s">
        <v>806</v>
      </c>
      <c r="F588" s="75"/>
      <c r="G588" s="75"/>
      <c r="H588" s="123">
        <f>+M580</f>
        <v>4.9333333333333336</v>
      </c>
      <c r="K588" s="166" t="s">
        <v>1199</v>
      </c>
      <c r="L588" s="166"/>
      <c r="M588" s="166"/>
      <c r="N588" s="167"/>
      <c r="O588" s="166"/>
      <c r="P588" s="167"/>
      <c r="Q588" s="166"/>
      <c r="R588" s="166"/>
      <c r="AA588" s="72" t="s">
        <v>806</v>
      </c>
      <c r="AB588" s="173">
        <v>5.7058823529411766</v>
      </c>
      <c r="AC588" s="123">
        <v>4.9333333333333336</v>
      </c>
      <c r="AD588" s="123">
        <v>6.5555555555555554</v>
      </c>
      <c r="AE588" s="123">
        <v>5.8571428571428568</v>
      </c>
      <c r="AF588" s="123">
        <v>6.666666666666667</v>
      </c>
    </row>
    <row r="589" spans="3:32" x14ac:dyDescent="0.25">
      <c r="C589" s="39"/>
      <c r="E589" s="72" t="s">
        <v>807</v>
      </c>
      <c r="F589" s="74"/>
      <c r="G589" s="74"/>
      <c r="H589" s="124">
        <f>+I580/H580</f>
        <v>0.94047937331396558</v>
      </c>
      <c r="P589" s="11"/>
      <c r="AA589" s="72" t="s">
        <v>807</v>
      </c>
      <c r="AB589" s="174">
        <v>0.86020325961622568</v>
      </c>
      <c r="AC589" s="124">
        <v>0.94047937331396558</v>
      </c>
      <c r="AD589" s="124">
        <v>0.7957267883888941</v>
      </c>
      <c r="AE589" s="124">
        <v>0.7524603652968036</v>
      </c>
      <c r="AF589" s="124">
        <v>0.82790925937364879</v>
      </c>
    </row>
    <row r="590" spans="3:32" x14ac:dyDescent="0.25">
      <c r="C590" s="39"/>
      <c r="E590" s="72"/>
      <c r="F590" s="11"/>
      <c r="G590" s="11"/>
      <c r="H590" s="104"/>
      <c r="P590" s="11"/>
      <c r="AA590" s="72"/>
      <c r="AB590" s="171"/>
      <c r="AC590" s="104"/>
      <c r="AD590" s="104"/>
      <c r="AE590" s="104"/>
      <c r="AF590" s="104"/>
    </row>
    <row r="591" spans="3:32" x14ac:dyDescent="0.25">
      <c r="C591" s="39"/>
      <c r="E591" s="72" t="s">
        <v>803</v>
      </c>
      <c r="F591" s="74"/>
      <c r="G591" s="74"/>
      <c r="H591" s="108">
        <f>10/15</f>
        <v>0.66666666666666663</v>
      </c>
      <c r="P591" s="11"/>
      <c r="AA591" s="72" t="s">
        <v>803</v>
      </c>
      <c r="AB591" s="152">
        <v>0.61764705882352944</v>
      </c>
      <c r="AC591" s="108">
        <v>0.66666666666666663</v>
      </c>
      <c r="AD591" s="108">
        <v>0.66666666666666663</v>
      </c>
      <c r="AE591" s="108">
        <v>0.42857142857142855</v>
      </c>
      <c r="AF591" s="108">
        <v>0.66666666666666663</v>
      </c>
    </row>
    <row r="592" spans="3:32" x14ac:dyDescent="0.25">
      <c r="C592" s="107"/>
      <c r="D592" s="52"/>
      <c r="E592" s="72" t="s">
        <v>804</v>
      </c>
      <c r="F592" s="74"/>
      <c r="G592" s="74"/>
      <c r="H592" s="108">
        <f>6/H584</f>
        <v>0.6</v>
      </c>
      <c r="P592" s="11"/>
      <c r="AA592" s="72" t="s">
        <v>804</v>
      </c>
      <c r="AB592" s="152">
        <v>0.63157894736842102</v>
      </c>
      <c r="AC592" s="108">
        <v>0.6</v>
      </c>
      <c r="AD592" s="108">
        <v>0.8</v>
      </c>
      <c r="AE592" s="108">
        <v>0.5</v>
      </c>
      <c r="AF592" s="108">
        <v>0.5</v>
      </c>
    </row>
    <row r="593" spans="3:32" x14ac:dyDescent="0.25">
      <c r="C593" s="107"/>
      <c r="D593" s="52"/>
      <c r="E593" s="72" t="s">
        <v>805</v>
      </c>
      <c r="F593" s="74"/>
      <c r="G593" s="74"/>
      <c r="H593" s="108">
        <f>4/H585</f>
        <v>0.8</v>
      </c>
      <c r="P593" s="11"/>
      <c r="AA593" s="72" t="s">
        <v>805</v>
      </c>
      <c r="AB593" s="152">
        <v>0.6</v>
      </c>
      <c r="AC593" s="108">
        <v>0.8</v>
      </c>
      <c r="AD593" s="108">
        <v>0.5</v>
      </c>
      <c r="AE593" s="108">
        <v>0.4</v>
      </c>
      <c r="AF593" s="108">
        <v>1</v>
      </c>
    </row>
    <row r="594" spans="3:32" x14ac:dyDescent="0.25">
      <c r="C594" s="39"/>
      <c r="E594" s="72"/>
      <c r="F594" s="11"/>
      <c r="G594" s="11"/>
      <c r="H594" s="104"/>
      <c r="P594" s="11"/>
      <c r="AA594" s="72"/>
      <c r="AB594" s="171"/>
      <c r="AC594" s="104"/>
      <c r="AD594" s="104"/>
      <c r="AE594" s="104"/>
      <c r="AF594" s="104"/>
    </row>
    <row r="595" spans="3:32" x14ac:dyDescent="0.25">
      <c r="C595" s="39"/>
      <c r="E595" s="72" t="s">
        <v>1141</v>
      </c>
      <c r="F595" s="11"/>
      <c r="G595" s="11"/>
      <c r="H595" s="104">
        <v>7</v>
      </c>
      <c r="AA595" s="72" t="s">
        <v>1141</v>
      </c>
      <c r="AB595" s="171">
        <v>13</v>
      </c>
      <c r="AC595" s="104">
        <v>7</v>
      </c>
      <c r="AD595" s="104">
        <v>2</v>
      </c>
      <c r="AE595" s="104">
        <v>2</v>
      </c>
      <c r="AF595" s="104">
        <v>2</v>
      </c>
    </row>
    <row r="596" spans="3:32" x14ac:dyDescent="0.25">
      <c r="E596" s="106" t="s">
        <v>1143</v>
      </c>
      <c r="F596" s="108"/>
      <c r="G596" s="108"/>
      <c r="H596" s="108">
        <f>+H595/H583</f>
        <v>0.46666666666666667</v>
      </c>
      <c r="AA596" s="106" t="s">
        <v>1143</v>
      </c>
      <c r="AB596" s="152">
        <v>0.41176470588235292</v>
      </c>
      <c r="AC596" s="108">
        <v>0.46666666666666667</v>
      </c>
      <c r="AD596" s="108">
        <v>0.22222222222222221</v>
      </c>
      <c r="AE596" s="108">
        <v>0.2857142857142857</v>
      </c>
      <c r="AF596" s="108">
        <v>0.66666666666666663</v>
      </c>
    </row>
    <row r="597" spans="3:32" x14ac:dyDescent="0.25">
      <c r="C597" s="39"/>
      <c r="AA597" s="72"/>
      <c r="AB597" s="104"/>
    </row>
    <row r="598" spans="3:32" x14ac:dyDescent="0.25">
      <c r="C598" s="39"/>
      <c r="AA598" s="106"/>
      <c r="AB598" s="175" t="s">
        <v>1205</v>
      </c>
    </row>
    <row r="599" spans="3:32" x14ac:dyDescent="0.25">
      <c r="C599" s="39">
        <v>2017</v>
      </c>
      <c r="D599" s="102" t="s">
        <v>1135</v>
      </c>
      <c r="E599" s="63" t="s">
        <v>982</v>
      </c>
      <c r="F599" s="64">
        <v>43074</v>
      </c>
      <c r="G599" s="65" t="s">
        <v>34</v>
      </c>
      <c r="H599" s="94">
        <v>38000000</v>
      </c>
      <c r="I599" s="27">
        <f>$I$12</f>
        <v>369034</v>
      </c>
      <c r="J599" s="27"/>
      <c r="K599" s="26">
        <f>+$K$12</f>
        <v>0.28583275261324043</v>
      </c>
      <c r="L599" s="78" t="str">
        <f>+$L$12</f>
        <v>FAIL</v>
      </c>
      <c r="M599" s="15">
        <f>+$M$12</f>
        <v>5</v>
      </c>
      <c r="N599" s="35" t="s">
        <v>93</v>
      </c>
      <c r="O599" s="15">
        <v>4</v>
      </c>
      <c r="P599" s="35" t="s">
        <v>458</v>
      </c>
      <c r="Q599" s="15"/>
      <c r="R599" s="24">
        <f>+$R$12</f>
        <v>0</v>
      </c>
      <c r="S599" s="62" t="s">
        <v>616</v>
      </c>
      <c r="T599" s="15"/>
      <c r="U599" s="15"/>
      <c r="V599" s="54"/>
      <c r="W599" s="54"/>
      <c r="X599" s="54"/>
    </row>
    <row r="600" spans="3:32" x14ac:dyDescent="0.25">
      <c r="C600" s="39">
        <v>2017</v>
      </c>
      <c r="D600" s="62" t="s">
        <v>1101</v>
      </c>
      <c r="E600" s="63" t="s">
        <v>1102</v>
      </c>
      <c r="F600" s="64">
        <v>43025</v>
      </c>
      <c r="G600" s="65" t="s">
        <v>34</v>
      </c>
      <c r="H600" s="94">
        <v>2800000</v>
      </c>
      <c r="I600" s="27">
        <v>2847000</v>
      </c>
      <c r="J600" s="27"/>
      <c r="K600" s="26">
        <v>1.6785714285714286E-2</v>
      </c>
      <c r="L600" s="11" t="s">
        <v>464</v>
      </c>
      <c r="M600" s="15">
        <v>9</v>
      </c>
      <c r="N600" s="35" t="s">
        <v>93</v>
      </c>
      <c r="O600" s="15">
        <v>4</v>
      </c>
      <c r="P600" s="35" t="s">
        <v>458</v>
      </c>
      <c r="Q600" s="15"/>
      <c r="R600" s="24"/>
      <c r="S600" s="62" t="s">
        <v>616</v>
      </c>
      <c r="T600" s="15"/>
      <c r="U600" s="15"/>
      <c r="V600" s="54"/>
      <c r="W600" s="54"/>
      <c r="X600" s="54"/>
    </row>
    <row r="601" spans="3:32" x14ac:dyDescent="0.25">
      <c r="C601" s="39">
        <v>2017</v>
      </c>
      <c r="D601" s="62" t="s">
        <v>1057</v>
      </c>
      <c r="E601" s="63" t="s">
        <v>1058</v>
      </c>
      <c r="F601" s="64">
        <v>42949</v>
      </c>
      <c r="G601" s="65" t="s">
        <v>34</v>
      </c>
      <c r="H601" s="94">
        <v>1650000</v>
      </c>
      <c r="I601" s="27">
        <v>1320718</v>
      </c>
      <c r="J601" s="27"/>
      <c r="K601" s="26">
        <v>-0.19956484848484848</v>
      </c>
      <c r="L601" s="11" t="s">
        <v>464</v>
      </c>
      <c r="M601" s="15">
        <v>4</v>
      </c>
      <c r="N601" s="35" t="s">
        <v>93</v>
      </c>
      <c r="O601" s="15">
        <v>3</v>
      </c>
      <c r="P601" s="35" t="s">
        <v>458</v>
      </c>
      <c r="Q601" s="15"/>
      <c r="R601" s="24"/>
      <c r="S601" s="62" t="s">
        <v>616</v>
      </c>
      <c r="T601" s="15"/>
      <c r="U601" s="15"/>
      <c r="V601" s="54"/>
      <c r="W601" s="54"/>
      <c r="X601" s="54"/>
    </row>
    <row r="602" spans="3:32" x14ac:dyDescent="0.25">
      <c r="C602" s="39">
        <v>2017</v>
      </c>
      <c r="D602" s="62" t="s">
        <v>1052</v>
      </c>
      <c r="E602" s="63" t="s">
        <v>1053</v>
      </c>
      <c r="F602" s="64">
        <v>42948</v>
      </c>
      <c r="G602" s="65" t="s">
        <v>34</v>
      </c>
      <c r="H602" s="94">
        <v>1330000</v>
      </c>
      <c r="I602" s="27">
        <v>936000</v>
      </c>
      <c r="J602" s="27"/>
      <c r="K602" s="26">
        <v>-0.29624060150375942</v>
      </c>
      <c r="L602" s="11" t="s">
        <v>464</v>
      </c>
      <c r="M602" s="15">
        <v>6</v>
      </c>
      <c r="N602" s="35" t="s">
        <v>93</v>
      </c>
      <c r="O602" s="15">
        <v>3</v>
      </c>
      <c r="P602" s="35" t="s">
        <v>458</v>
      </c>
      <c r="Q602" s="15"/>
      <c r="R602" s="24"/>
      <c r="S602" s="62" t="s">
        <v>616</v>
      </c>
      <c r="T602" s="15"/>
      <c r="U602" s="15"/>
      <c r="V602" s="54"/>
      <c r="W602" s="54"/>
      <c r="X602" s="54"/>
    </row>
    <row r="603" spans="3:32" x14ac:dyDescent="0.25">
      <c r="C603" s="39">
        <v>2017</v>
      </c>
      <c r="D603" s="62" t="s">
        <v>1009</v>
      </c>
      <c r="E603" s="63" t="s">
        <v>1010</v>
      </c>
      <c r="F603" s="64">
        <v>42880</v>
      </c>
      <c r="G603" s="65" t="s">
        <v>34</v>
      </c>
      <c r="H603" s="94">
        <v>2850000</v>
      </c>
      <c r="I603" s="27">
        <v>1808548</v>
      </c>
      <c r="J603" s="27"/>
      <c r="K603" s="26">
        <v>-0.36542175438596491</v>
      </c>
      <c r="L603" s="11" t="s">
        <v>465</v>
      </c>
      <c r="M603" s="15">
        <v>11</v>
      </c>
      <c r="N603" s="35" t="s">
        <v>93</v>
      </c>
      <c r="O603" s="15">
        <v>2</v>
      </c>
      <c r="P603" s="35" t="s">
        <v>458</v>
      </c>
      <c r="Q603" s="15"/>
      <c r="R603" s="24"/>
      <c r="S603" s="62" t="s">
        <v>442</v>
      </c>
      <c r="T603" s="15"/>
      <c r="U603" s="15"/>
      <c r="V603" s="54"/>
      <c r="W603" s="54"/>
      <c r="X603" s="54"/>
    </row>
    <row r="604" spans="3:32" x14ac:dyDescent="0.25">
      <c r="C604" s="39">
        <v>2017</v>
      </c>
      <c r="D604" s="62" t="s">
        <v>880</v>
      </c>
      <c r="E604" s="63" t="s">
        <v>881</v>
      </c>
      <c r="F604" s="64">
        <v>42768</v>
      </c>
      <c r="G604" s="65" t="s">
        <v>34</v>
      </c>
      <c r="H604" s="94">
        <v>4800000</v>
      </c>
      <c r="I604" s="27">
        <v>3901193</v>
      </c>
      <c r="J604" s="27"/>
      <c r="K604" s="26">
        <v>-0.18725145833333334</v>
      </c>
      <c r="L604" s="11" t="s">
        <v>464</v>
      </c>
      <c r="M604" s="15">
        <v>14</v>
      </c>
      <c r="N604" s="35" t="s">
        <v>93</v>
      </c>
      <c r="O604" s="15">
        <v>1</v>
      </c>
      <c r="P604" s="35" t="s">
        <v>458</v>
      </c>
      <c r="Q604" s="15"/>
      <c r="R604" s="24"/>
      <c r="S604" s="62" t="s">
        <v>616</v>
      </c>
      <c r="T604" s="15"/>
      <c r="U604" s="15"/>
      <c r="V604" s="54"/>
      <c r="W604" s="54"/>
      <c r="X604" s="54"/>
    </row>
    <row r="605" spans="3:32" x14ac:dyDescent="0.25">
      <c r="C605" s="39">
        <v>2017</v>
      </c>
      <c r="D605" s="62" t="s">
        <v>876</v>
      </c>
      <c r="E605" s="63" t="s">
        <v>877</v>
      </c>
      <c r="F605" s="64">
        <v>42765</v>
      </c>
      <c r="G605" s="65" t="s">
        <v>756</v>
      </c>
      <c r="H605" s="94">
        <v>6500000</v>
      </c>
      <c r="I605" s="27">
        <v>5987000</v>
      </c>
      <c r="J605" s="27" t="s">
        <v>519</v>
      </c>
      <c r="K605" s="26">
        <v>-7.8923076923076929E-2</v>
      </c>
      <c r="L605" s="11" t="s">
        <v>464</v>
      </c>
      <c r="M605" s="15">
        <v>5</v>
      </c>
      <c r="N605" s="35" t="s">
        <v>93</v>
      </c>
      <c r="O605" s="15">
        <v>1</v>
      </c>
      <c r="P605" s="35" t="s">
        <v>458</v>
      </c>
      <c r="Q605" s="15"/>
      <c r="R605" s="24"/>
      <c r="S605" s="62" t="s">
        <v>447</v>
      </c>
      <c r="T605" s="15"/>
      <c r="U605" s="15"/>
      <c r="V605" s="54"/>
      <c r="W605" s="54"/>
      <c r="X605" s="54"/>
    </row>
    <row r="606" spans="3:32" x14ac:dyDescent="0.25">
      <c r="C606" s="39">
        <v>2017</v>
      </c>
      <c r="D606" s="62" t="s">
        <v>830</v>
      </c>
      <c r="E606" s="63" t="s">
        <v>831</v>
      </c>
      <c r="F606" s="64">
        <v>42746</v>
      </c>
      <c r="G606" s="65" t="s">
        <v>190</v>
      </c>
      <c r="H606" s="94">
        <v>12071025</v>
      </c>
      <c r="I606" s="27">
        <v>9977777</v>
      </c>
      <c r="J606" s="105" t="s">
        <v>519</v>
      </c>
      <c r="K606" s="26">
        <v>-0.17341095723022693</v>
      </c>
      <c r="L606" s="11" t="s">
        <v>465</v>
      </c>
      <c r="M606" s="15">
        <v>3</v>
      </c>
      <c r="N606" s="35" t="s">
        <v>93</v>
      </c>
      <c r="O606" s="15">
        <v>1</v>
      </c>
      <c r="P606" s="35" t="s">
        <v>458</v>
      </c>
      <c r="Q606" s="15"/>
      <c r="R606" s="24"/>
      <c r="S606" s="62" t="s">
        <v>616</v>
      </c>
      <c r="T606" s="15"/>
      <c r="U606" s="15"/>
      <c r="V606" s="54"/>
      <c r="W606" s="54"/>
      <c r="X606" s="54"/>
    </row>
    <row r="607" spans="3:32" x14ac:dyDescent="0.25">
      <c r="C607" s="39">
        <v>2017</v>
      </c>
      <c r="D607" s="62" t="s">
        <v>828</v>
      </c>
      <c r="E607" s="63" t="s">
        <v>829</v>
      </c>
      <c r="F607" s="64">
        <v>42739</v>
      </c>
      <c r="G607" s="65" t="s">
        <v>190</v>
      </c>
      <c r="H607" s="94">
        <v>28695000</v>
      </c>
      <c r="I607" s="27">
        <v>31768035</v>
      </c>
      <c r="J607" s="27" t="s">
        <v>519</v>
      </c>
      <c r="K607" s="26">
        <v>0.10709304756926294</v>
      </c>
      <c r="L607" s="11" t="s">
        <v>464</v>
      </c>
      <c r="M607" s="15">
        <v>2</v>
      </c>
      <c r="N607" s="35" t="s">
        <v>93</v>
      </c>
      <c r="O607" s="15">
        <v>1</v>
      </c>
      <c r="P607" s="35" t="s">
        <v>458</v>
      </c>
      <c r="Q607" s="15"/>
      <c r="R607" s="24"/>
      <c r="S607" s="62" t="s">
        <v>616</v>
      </c>
      <c r="T607" s="15"/>
      <c r="U607" s="15"/>
      <c r="V607" s="54"/>
      <c r="W607" s="54"/>
      <c r="X607" s="54"/>
    </row>
    <row r="608" spans="3:32" x14ac:dyDescent="0.25">
      <c r="C608" s="39"/>
      <c r="E608" s="85"/>
      <c r="F608" s="85"/>
      <c r="G608" s="85"/>
      <c r="H608" s="86">
        <f>SUM(H599:H607)</f>
        <v>98696025</v>
      </c>
      <c r="I608" s="86">
        <f>SUM(I599:I607)</f>
        <v>58915305</v>
      </c>
      <c r="J608" s="85"/>
      <c r="K608" s="87">
        <f>+I608/H608</f>
        <v>0.59693695870730357</v>
      </c>
      <c r="L608" s="85">
        <f>COUNTA(L599:L607)</f>
        <v>9</v>
      </c>
      <c r="M608" s="88">
        <f>SUM(M599:M607)/L608</f>
        <v>6.5555555555555554</v>
      </c>
      <c r="N608" s="89"/>
      <c r="O608" s="85"/>
      <c r="P608" s="119">
        <f>22/L608</f>
        <v>2.4444444444444446</v>
      </c>
      <c r="Q608" s="85"/>
    </row>
    <row r="609" spans="3:16" x14ac:dyDescent="0.25">
      <c r="C609" s="39"/>
    </row>
    <row r="610" spans="3:16" x14ac:dyDescent="0.25">
      <c r="C610" s="39"/>
      <c r="E610" s="150" t="s">
        <v>1180</v>
      </c>
      <c r="F610" s="70"/>
      <c r="G610" s="70"/>
      <c r="H610" s="121" t="str">
        <f>"'17 final"</f>
        <v>'17 final</v>
      </c>
      <c r="P610" s="11"/>
    </row>
    <row r="611" spans="3:16" x14ac:dyDescent="0.25">
      <c r="C611" s="39"/>
      <c r="E611" s="71" t="s">
        <v>800</v>
      </c>
      <c r="F611" s="11"/>
      <c r="G611" s="11"/>
      <c r="H611" s="104">
        <f>+L608</f>
        <v>9</v>
      </c>
      <c r="P611" s="11"/>
    </row>
    <row r="612" spans="3:16" x14ac:dyDescent="0.25">
      <c r="C612" s="39"/>
      <c r="E612" s="72" t="s">
        <v>801</v>
      </c>
      <c r="F612" s="11"/>
      <c r="G612" s="11"/>
      <c r="H612" s="104">
        <f>+H611-H613</f>
        <v>5</v>
      </c>
      <c r="P612" s="11"/>
    </row>
    <row r="613" spans="3:16" x14ac:dyDescent="0.25">
      <c r="C613" s="39"/>
      <c r="E613" s="72" t="s">
        <v>802</v>
      </c>
      <c r="F613" s="11"/>
      <c r="G613" s="11"/>
      <c r="H613" s="104">
        <v>4</v>
      </c>
      <c r="P613" s="11"/>
    </row>
    <row r="614" spans="3:16" x14ac:dyDescent="0.25">
      <c r="C614" s="39"/>
      <c r="E614" s="72"/>
      <c r="F614" s="11"/>
      <c r="G614" s="11"/>
      <c r="H614" s="104"/>
      <c r="P614" s="11"/>
    </row>
    <row r="615" spans="3:16" x14ac:dyDescent="0.25">
      <c r="C615" s="39"/>
      <c r="E615" s="72" t="s">
        <v>1144</v>
      </c>
      <c r="F615" s="78"/>
      <c r="G615" s="78"/>
      <c r="H615" s="122">
        <f>+I608/1000000</f>
        <v>58.915304999999996</v>
      </c>
      <c r="I615" s="52"/>
      <c r="P615" s="11"/>
    </row>
    <row r="616" spans="3:16" x14ac:dyDescent="0.25">
      <c r="C616" s="39"/>
      <c r="E616" s="72" t="s">
        <v>806</v>
      </c>
      <c r="F616" s="75"/>
      <c r="G616" s="75"/>
      <c r="H616" s="123">
        <f>+M608</f>
        <v>6.5555555555555554</v>
      </c>
      <c r="P616" s="11"/>
    </row>
    <row r="617" spans="3:16" x14ac:dyDescent="0.25">
      <c r="C617" s="39"/>
      <c r="E617" s="72" t="s">
        <v>807</v>
      </c>
      <c r="F617" s="74"/>
      <c r="G617" s="74"/>
      <c r="H617" s="124">
        <f>+I608/H608</f>
        <v>0.59693695870730357</v>
      </c>
      <c r="P617" s="11"/>
    </row>
    <row r="618" spans="3:16" x14ac:dyDescent="0.25">
      <c r="C618" s="39"/>
      <c r="E618" s="72"/>
      <c r="F618" s="11"/>
      <c r="G618" s="11"/>
      <c r="H618" s="104"/>
      <c r="P618" s="11"/>
    </row>
    <row r="619" spans="3:16" x14ac:dyDescent="0.25">
      <c r="C619" s="39"/>
      <c r="E619" s="72" t="s">
        <v>803</v>
      </c>
      <c r="F619" s="74"/>
      <c r="G619" s="74"/>
      <c r="H619" s="108">
        <f>6/H611</f>
        <v>0.66666666666666663</v>
      </c>
      <c r="P619" s="11"/>
    </row>
    <row r="620" spans="3:16" x14ac:dyDescent="0.25">
      <c r="C620" s="107"/>
      <c r="D620" s="52"/>
      <c r="E620" s="72" t="s">
        <v>804</v>
      </c>
      <c r="F620" s="74"/>
      <c r="G620" s="74"/>
      <c r="H620" s="108">
        <f>4/H612</f>
        <v>0.8</v>
      </c>
      <c r="P620" s="11"/>
    </row>
    <row r="621" spans="3:16" x14ac:dyDescent="0.25">
      <c r="C621" s="107"/>
      <c r="D621" s="52"/>
      <c r="E621" s="72" t="s">
        <v>805</v>
      </c>
      <c r="F621" s="74"/>
      <c r="G621" s="74"/>
      <c r="H621" s="108">
        <f>2/H613</f>
        <v>0.5</v>
      </c>
      <c r="P621" s="11"/>
    </row>
    <row r="622" spans="3:16" x14ac:dyDescent="0.25">
      <c r="C622" s="39"/>
      <c r="E622" s="72"/>
      <c r="F622" s="11"/>
      <c r="G622" s="11"/>
      <c r="H622" s="104"/>
      <c r="P622" s="11"/>
    </row>
    <row r="623" spans="3:16" x14ac:dyDescent="0.25">
      <c r="C623" s="39"/>
      <c r="E623" s="72" t="s">
        <v>1141</v>
      </c>
      <c r="F623" s="11"/>
      <c r="G623" s="11"/>
      <c r="H623" s="104">
        <v>2</v>
      </c>
    </row>
    <row r="624" spans="3:16" x14ac:dyDescent="0.25">
      <c r="E624" s="106" t="s">
        <v>1143</v>
      </c>
      <c r="F624" s="108"/>
      <c r="G624" s="108"/>
      <c r="H624" s="108">
        <f>+H623/H611</f>
        <v>0.22222222222222221</v>
      </c>
    </row>
    <row r="625" spans="3:24" x14ac:dyDescent="0.25">
      <c r="C625" s="39"/>
    </row>
    <row r="626" spans="3:24" x14ac:dyDescent="0.25">
      <c r="C626" s="38"/>
    </row>
    <row r="627" spans="3:24" x14ac:dyDescent="0.25">
      <c r="C627" s="39"/>
    </row>
    <row r="628" spans="3:24" x14ac:dyDescent="0.25">
      <c r="C628" s="39">
        <v>2017</v>
      </c>
      <c r="D628" s="102" t="s">
        <v>1145</v>
      </c>
      <c r="E628" s="63" t="s">
        <v>1146</v>
      </c>
      <c r="F628" s="64">
        <v>43083</v>
      </c>
      <c r="G628" s="65" t="s">
        <v>190</v>
      </c>
      <c r="H628" s="94">
        <v>4872000</v>
      </c>
      <c r="I628" s="27">
        <v>3997350</v>
      </c>
      <c r="J628" s="27"/>
      <c r="K628" s="26">
        <v>-0.17952586206896551</v>
      </c>
      <c r="L628" s="11" t="s">
        <v>464</v>
      </c>
      <c r="M628" s="15">
        <v>5</v>
      </c>
      <c r="N628" s="35" t="s">
        <v>93</v>
      </c>
      <c r="O628" s="15">
        <v>4</v>
      </c>
      <c r="P628" s="35" t="s">
        <v>458</v>
      </c>
      <c r="Q628" s="15"/>
      <c r="R628" s="24"/>
      <c r="S628" s="62" t="s">
        <v>784</v>
      </c>
      <c r="T628" s="15"/>
      <c r="U628" s="15"/>
      <c r="V628" s="54">
        <v>4872000</v>
      </c>
      <c r="W628" s="54">
        <v>3997350</v>
      </c>
      <c r="X628" s="54">
        <v>874650</v>
      </c>
    </row>
    <row r="629" spans="3:24" x14ac:dyDescent="0.25">
      <c r="C629" s="39">
        <v>2017</v>
      </c>
      <c r="D629" s="62" t="s">
        <v>1063</v>
      </c>
      <c r="E629" s="63" t="s">
        <v>1064</v>
      </c>
      <c r="F629" s="64">
        <v>42951</v>
      </c>
      <c r="G629" s="65" t="s">
        <v>34</v>
      </c>
      <c r="H629" s="94">
        <v>6040000</v>
      </c>
      <c r="I629" s="27">
        <v>4845475</v>
      </c>
      <c r="J629" s="27" t="s">
        <v>519</v>
      </c>
      <c r="K629" s="26">
        <v>-0.19776903973509935</v>
      </c>
      <c r="L629" s="11" t="s">
        <v>464</v>
      </c>
      <c r="M629" s="15">
        <v>8</v>
      </c>
      <c r="N629" s="35" t="s">
        <v>93</v>
      </c>
      <c r="O629" s="15">
        <v>3</v>
      </c>
      <c r="P629" s="35" t="s">
        <v>458</v>
      </c>
      <c r="Q629" s="15"/>
      <c r="R629" s="24"/>
      <c r="S629" s="62" t="s">
        <v>784</v>
      </c>
      <c r="T629" s="15"/>
      <c r="U629" s="15"/>
      <c r="V629" s="54">
        <v>6040000</v>
      </c>
      <c r="W629" s="54">
        <v>4845475</v>
      </c>
      <c r="X629" s="54">
        <v>1194525</v>
      </c>
    </row>
    <row r="630" spans="3:24" x14ac:dyDescent="0.25">
      <c r="C630" s="39">
        <v>2017</v>
      </c>
      <c r="D630" s="62" t="s">
        <v>1047</v>
      </c>
      <c r="E630" s="63" t="s">
        <v>982</v>
      </c>
      <c r="F630" s="64">
        <v>42941</v>
      </c>
      <c r="G630" s="65" t="s">
        <v>34</v>
      </c>
      <c r="H630" s="94">
        <v>7200000</v>
      </c>
      <c r="I630" s="27">
        <v>1936000</v>
      </c>
      <c r="J630" s="105" t="s">
        <v>519</v>
      </c>
      <c r="K630" s="26">
        <v>-0.73111111111111116</v>
      </c>
      <c r="L630" s="11" t="s">
        <v>465</v>
      </c>
      <c r="M630" s="15">
        <v>4</v>
      </c>
      <c r="N630" s="35" t="s">
        <v>93</v>
      </c>
      <c r="O630" s="15">
        <v>3</v>
      </c>
      <c r="P630" s="35" t="s">
        <v>458</v>
      </c>
      <c r="Q630" s="15"/>
      <c r="R630" s="24"/>
      <c r="S630" s="62" t="s">
        <v>616</v>
      </c>
      <c r="T630" s="15"/>
      <c r="U630" s="15"/>
      <c r="V630" s="54">
        <v>7200000</v>
      </c>
      <c r="W630" s="54">
        <v>1936000</v>
      </c>
      <c r="X630" s="54">
        <v>5264000</v>
      </c>
    </row>
    <row r="631" spans="3:24" x14ac:dyDescent="0.25">
      <c r="C631" s="39">
        <v>2017</v>
      </c>
      <c r="D631" s="62" t="s">
        <v>1028</v>
      </c>
      <c r="E631" s="63" t="s">
        <v>1029</v>
      </c>
      <c r="F631" s="64">
        <v>42894</v>
      </c>
      <c r="G631" s="65" t="s">
        <v>756</v>
      </c>
      <c r="H631" s="94">
        <v>6445000</v>
      </c>
      <c r="I631" s="27">
        <v>7166666</v>
      </c>
      <c r="J631" s="105" t="s">
        <v>519</v>
      </c>
      <c r="K631" s="26">
        <v>0.11197300232738557</v>
      </c>
      <c r="L631" s="11" t="s">
        <v>465</v>
      </c>
      <c r="M631" s="15">
        <v>11</v>
      </c>
      <c r="N631" s="35" t="s">
        <v>93</v>
      </c>
      <c r="O631" s="15">
        <v>2</v>
      </c>
      <c r="P631" s="35" t="s">
        <v>458</v>
      </c>
      <c r="Q631" s="15"/>
      <c r="R631" s="24"/>
      <c r="S631" s="62" t="s">
        <v>784</v>
      </c>
      <c r="T631" s="15"/>
      <c r="U631" s="15"/>
      <c r="V631" s="54">
        <v>6445000</v>
      </c>
      <c r="W631" s="54">
        <v>7166666</v>
      </c>
      <c r="X631" s="54">
        <v>-721666</v>
      </c>
    </row>
    <row r="632" spans="3:24" x14ac:dyDescent="0.25">
      <c r="C632" s="39">
        <v>2017</v>
      </c>
      <c r="D632" s="62" t="s">
        <v>964</v>
      </c>
      <c r="E632" s="63" t="s">
        <v>965</v>
      </c>
      <c r="F632" s="64">
        <v>42815</v>
      </c>
      <c r="G632" s="65" t="s">
        <v>190</v>
      </c>
      <c r="H632" s="27">
        <v>3750000</v>
      </c>
      <c r="I632" s="27">
        <v>2468147</v>
      </c>
      <c r="J632" s="27"/>
      <c r="K632" s="26">
        <v>-0.34182746666666669</v>
      </c>
      <c r="L632" s="11" t="s">
        <v>465</v>
      </c>
      <c r="M632" s="15">
        <v>3</v>
      </c>
      <c r="N632" s="35" t="s">
        <v>93</v>
      </c>
      <c r="O632" s="15">
        <v>1</v>
      </c>
      <c r="P632" s="35" t="s">
        <v>458</v>
      </c>
      <c r="Q632" s="15"/>
      <c r="R632" s="24"/>
      <c r="S632" s="62" t="s">
        <v>784</v>
      </c>
      <c r="T632" s="15"/>
      <c r="U632" s="15"/>
      <c r="V632" s="54">
        <v>3750000</v>
      </c>
      <c r="W632" s="54">
        <v>2468147</v>
      </c>
      <c r="X632" s="54">
        <v>1281853</v>
      </c>
    </row>
    <row r="633" spans="3:24" x14ac:dyDescent="0.25">
      <c r="C633" s="39">
        <v>2017</v>
      </c>
      <c r="D633" s="62" t="s">
        <v>914</v>
      </c>
      <c r="E633" s="63" t="s">
        <v>933</v>
      </c>
      <c r="F633" s="64">
        <v>42787</v>
      </c>
      <c r="G633" s="65" t="s">
        <v>190</v>
      </c>
      <c r="H633" s="94">
        <v>10393000</v>
      </c>
      <c r="I633" s="27">
        <v>7903950</v>
      </c>
      <c r="J633" s="105" t="s">
        <v>519</v>
      </c>
      <c r="K633" s="26">
        <v>-0.2394929279322621</v>
      </c>
      <c r="L633" s="11" t="s">
        <v>465</v>
      </c>
      <c r="M633" s="15">
        <v>3</v>
      </c>
      <c r="N633" s="35" t="s">
        <v>93</v>
      </c>
      <c r="O633" s="15">
        <v>1</v>
      </c>
      <c r="P633" s="35" t="s">
        <v>458</v>
      </c>
      <c r="Q633" s="15"/>
      <c r="R633" s="24" t="s">
        <v>932</v>
      </c>
      <c r="S633" s="62" t="s">
        <v>784</v>
      </c>
      <c r="T633" s="15"/>
      <c r="U633" s="15"/>
      <c r="V633" s="54">
        <v>10393000</v>
      </c>
      <c r="W633" s="54">
        <v>7903950</v>
      </c>
      <c r="X633" s="54">
        <v>2489050</v>
      </c>
    </row>
    <row r="634" spans="3:24" x14ac:dyDescent="0.25">
      <c r="C634" s="39">
        <v>2017</v>
      </c>
      <c r="D634" s="62" t="s">
        <v>868</v>
      </c>
      <c r="E634" s="63" t="s">
        <v>869</v>
      </c>
      <c r="F634" s="64">
        <v>42761</v>
      </c>
      <c r="G634" s="65" t="s">
        <v>34</v>
      </c>
      <c r="H634" s="94">
        <v>5100000</v>
      </c>
      <c r="I634" s="27">
        <v>4640176</v>
      </c>
      <c r="J634" s="27" t="s">
        <v>519</v>
      </c>
      <c r="K634" s="26">
        <v>-9.0161568627450978E-2</v>
      </c>
      <c r="L634" s="11" t="s">
        <v>464</v>
      </c>
      <c r="M634" s="15">
        <v>7</v>
      </c>
      <c r="N634" s="35" t="s">
        <v>93</v>
      </c>
      <c r="O634" s="15">
        <v>1</v>
      </c>
      <c r="P634" s="35" t="s">
        <v>458</v>
      </c>
      <c r="Q634" s="15"/>
      <c r="R634" s="24"/>
      <c r="S634" s="62" t="s">
        <v>784</v>
      </c>
      <c r="T634" s="15"/>
      <c r="U634" s="15"/>
      <c r="V634" s="54">
        <v>5100000</v>
      </c>
      <c r="W634" s="54">
        <v>4640176</v>
      </c>
      <c r="X634" s="54">
        <v>459824</v>
      </c>
    </row>
    <row r="635" spans="3:24" x14ac:dyDescent="0.25">
      <c r="C635" s="39"/>
      <c r="E635" s="85"/>
      <c r="F635" s="85"/>
      <c r="G635" s="85"/>
      <c r="H635" s="86">
        <f>SUM(H628:H634)</f>
        <v>43800000</v>
      </c>
      <c r="I635" s="86">
        <f>SUM(I628:I634)</f>
        <v>32957764</v>
      </c>
      <c r="J635" s="85"/>
      <c r="K635" s="87">
        <f>+I635/H635</f>
        <v>0.7524603652968036</v>
      </c>
      <c r="L635" s="85">
        <f>COUNTA(L628:L634)</f>
        <v>7</v>
      </c>
      <c r="M635" s="88">
        <f>SUM(M628:M634)/L635</f>
        <v>5.8571428571428568</v>
      </c>
      <c r="N635" s="89"/>
      <c r="O635" s="85"/>
      <c r="P635" s="119">
        <f>22/L635</f>
        <v>3.1428571428571428</v>
      </c>
      <c r="Q635" s="85"/>
    </row>
    <row r="636" spans="3:24" x14ac:dyDescent="0.25">
      <c r="C636" s="39"/>
    </row>
    <row r="637" spans="3:24" x14ac:dyDescent="0.25">
      <c r="C637" s="39"/>
      <c r="E637" s="150" t="s">
        <v>1181</v>
      </c>
      <c r="F637" s="70"/>
      <c r="G637" s="70"/>
      <c r="H637" s="121" t="str">
        <f>"'17 final"</f>
        <v>'17 final</v>
      </c>
      <c r="P637" s="11"/>
    </row>
    <row r="638" spans="3:24" x14ac:dyDescent="0.25">
      <c r="C638" s="39"/>
      <c r="E638" s="71" t="s">
        <v>800</v>
      </c>
      <c r="F638" s="11"/>
      <c r="G638" s="11"/>
      <c r="H638" s="104">
        <f>+L635</f>
        <v>7</v>
      </c>
      <c r="P638" s="11"/>
    </row>
    <row r="639" spans="3:24" x14ac:dyDescent="0.25">
      <c r="C639" s="39"/>
      <c r="E639" s="72" t="s">
        <v>801</v>
      </c>
      <c r="F639" s="11"/>
      <c r="G639" s="11"/>
      <c r="H639" s="104">
        <f>+H638-H640</f>
        <v>2</v>
      </c>
      <c r="P639" s="11"/>
    </row>
    <row r="640" spans="3:24" x14ac:dyDescent="0.25">
      <c r="C640" s="39"/>
      <c r="E640" s="72" t="s">
        <v>802</v>
      </c>
      <c r="F640" s="11"/>
      <c r="G640" s="11"/>
      <c r="H640" s="104">
        <v>5</v>
      </c>
      <c r="P640" s="11"/>
    </row>
    <row r="641" spans="3:24" x14ac:dyDescent="0.25">
      <c r="C641" s="39"/>
      <c r="E641" s="72"/>
      <c r="F641" s="11"/>
      <c r="G641" s="11"/>
      <c r="H641" s="104"/>
      <c r="P641" s="11"/>
    </row>
    <row r="642" spans="3:24" x14ac:dyDescent="0.25">
      <c r="C642" s="39"/>
      <c r="E642" s="72" t="s">
        <v>1144</v>
      </c>
      <c r="F642" s="78"/>
      <c r="G642" s="78"/>
      <c r="H642" s="122">
        <f>+I635/1000000</f>
        <v>32.957763999999997</v>
      </c>
      <c r="I642" s="52"/>
      <c r="P642" s="11"/>
    </row>
    <row r="643" spans="3:24" x14ac:dyDescent="0.25">
      <c r="C643" s="39"/>
      <c r="E643" s="72" t="s">
        <v>806</v>
      </c>
      <c r="F643" s="75"/>
      <c r="G643" s="75"/>
      <c r="H643" s="123">
        <f>+M635</f>
        <v>5.8571428571428568</v>
      </c>
      <c r="P643" s="11"/>
    </row>
    <row r="644" spans="3:24" x14ac:dyDescent="0.25">
      <c r="C644" s="39"/>
      <c r="E644" s="72" t="s">
        <v>807</v>
      </c>
      <c r="F644" s="74"/>
      <c r="G644" s="74"/>
      <c r="H644" s="124">
        <f>+I635/H635</f>
        <v>0.7524603652968036</v>
      </c>
      <c r="P644" s="11"/>
    </row>
    <row r="645" spans="3:24" x14ac:dyDescent="0.25">
      <c r="C645" s="39"/>
      <c r="E645" s="72"/>
      <c r="F645" s="11"/>
      <c r="G645" s="11"/>
      <c r="H645" s="104"/>
      <c r="P645" s="11"/>
    </row>
    <row r="646" spans="3:24" x14ac:dyDescent="0.25">
      <c r="C646" s="39"/>
      <c r="E646" s="72" t="s">
        <v>803</v>
      </c>
      <c r="F646" s="74"/>
      <c r="G646" s="74"/>
      <c r="H646" s="108">
        <f>3/H638</f>
        <v>0.42857142857142855</v>
      </c>
      <c r="P646" s="11"/>
    </row>
    <row r="647" spans="3:24" x14ac:dyDescent="0.25">
      <c r="C647" s="107"/>
      <c r="D647" s="52"/>
      <c r="E647" s="72" t="s">
        <v>804</v>
      </c>
      <c r="F647" s="74"/>
      <c r="G647" s="74"/>
      <c r="H647" s="108">
        <f>1/H639</f>
        <v>0.5</v>
      </c>
      <c r="P647" s="11"/>
    </row>
    <row r="648" spans="3:24" x14ac:dyDescent="0.25">
      <c r="C648" s="107"/>
      <c r="D648" s="52"/>
      <c r="E648" s="72" t="s">
        <v>805</v>
      </c>
      <c r="F648" s="74"/>
      <c r="G648" s="74"/>
      <c r="H648" s="108">
        <f>2/H640</f>
        <v>0.4</v>
      </c>
      <c r="P648" s="11"/>
    </row>
    <row r="649" spans="3:24" x14ac:dyDescent="0.25">
      <c r="C649" s="39"/>
      <c r="E649" s="72"/>
      <c r="F649" s="11"/>
      <c r="G649" s="11"/>
      <c r="H649" s="104"/>
      <c r="P649" s="11"/>
    </row>
    <row r="650" spans="3:24" x14ac:dyDescent="0.25">
      <c r="C650" s="39"/>
      <c r="E650" s="72" t="s">
        <v>1141</v>
      </c>
      <c r="F650" s="11"/>
      <c r="G650" s="11"/>
      <c r="H650" s="104">
        <v>2</v>
      </c>
    </row>
    <row r="651" spans="3:24" x14ac:dyDescent="0.25">
      <c r="E651" s="106" t="s">
        <v>1143</v>
      </c>
      <c r="F651" s="108"/>
      <c r="G651" s="108"/>
      <c r="H651" s="108">
        <f>+H650/H638</f>
        <v>0.2857142857142857</v>
      </c>
    </row>
    <row r="652" spans="3:24" x14ac:dyDescent="0.25">
      <c r="C652" s="39"/>
    </row>
    <row r="653" spans="3:24" x14ac:dyDescent="0.25">
      <c r="C653" s="38"/>
    </row>
    <row r="654" spans="3:24" x14ac:dyDescent="0.25">
      <c r="C654" s="39"/>
    </row>
    <row r="655" spans="3:24" x14ac:dyDescent="0.25">
      <c r="C655" s="39">
        <v>2017</v>
      </c>
      <c r="D655" s="102" t="s">
        <v>1150</v>
      </c>
      <c r="E655" s="63" t="s">
        <v>1151</v>
      </c>
      <c r="F655" s="64">
        <v>43083</v>
      </c>
      <c r="G655" s="65" t="s">
        <v>693</v>
      </c>
      <c r="H655" s="94">
        <v>979000</v>
      </c>
      <c r="I655" s="27">
        <v>1168000</v>
      </c>
      <c r="J655" s="27"/>
      <c r="K655" s="26">
        <v>0.1930541368743616</v>
      </c>
      <c r="L655" s="11" t="s">
        <v>465</v>
      </c>
      <c r="M655" s="15">
        <v>2</v>
      </c>
      <c r="N655" s="35" t="s">
        <v>25</v>
      </c>
      <c r="O655" s="15">
        <v>4</v>
      </c>
      <c r="P655" s="35" t="s">
        <v>458</v>
      </c>
      <c r="Q655" s="15"/>
      <c r="R655" s="24"/>
      <c r="S655" s="62" t="s">
        <v>784</v>
      </c>
      <c r="T655" s="15"/>
      <c r="U655" s="15"/>
      <c r="V655" s="54">
        <v>979000</v>
      </c>
      <c r="W655" s="54">
        <v>1168000</v>
      </c>
      <c r="X655" s="54">
        <v>-189000</v>
      </c>
    </row>
    <row r="656" spans="3:24" x14ac:dyDescent="0.25">
      <c r="C656" s="39">
        <v>2017</v>
      </c>
      <c r="D656" s="62" t="s">
        <v>986</v>
      </c>
      <c r="E656" s="63" t="s">
        <v>982</v>
      </c>
      <c r="F656" s="64">
        <v>42845</v>
      </c>
      <c r="G656" s="65" t="s">
        <v>190</v>
      </c>
      <c r="H656" s="94">
        <v>12630000</v>
      </c>
      <c r="I656" s="27">
        <v>10849023</v>
      </c>
      <c r="J656" s="27" t="s">
        <v>519</v>
      </c>
      <c r="K656" s="26">
        <v>-0.14101163895486934</v>
      </c>
      <c r="L656" s="11" t="s">
        <v>464</v>
      </c>
      <c r="M656" s="15">
        <v>2</v>
      </c>
      <c r="N656" s="35" t="s">
        <v>25</v>
      </c>
      <c r="O656" s="15">
        <v>2</v>
      </c>
      <c r="P656" s="35" t="s">
        <v>458</v>
      </c>
      <c r="Q656" s="15"/>
      <c r="R656" s="24"/>
      <c r="S656" s="62" t="s">
        <v>616</v>
      </c>
      <c r="T656" s="15"/>
      <c r="U656" s="15"/>
      <c r="V656" s="54">
        <v>12630000</v>
      </c>
      <c r="W656" s="54">
        <v>10849023</v>
      </c>
      <c r="X656" s="54">
        <v>1780977</v>
      </c>
    </row>
    <row r="657" spans="3:24" x14ac:dyDescent="0.25">
      <c r="C657" s="39">
        <v>2017</v>
      </c>
      <c r="D657" s="62" t="s">
        <v>916</v>
      </c>
      <c r="E657" s="63" t="s">
        <v>917</v>
      </c>
      <c r="F657" s="64">
        <v>42780</v>
      </c>
      <c r="G657" s="65" t="s">
        <v>34</v>
      </c>
      <c r="H657" s="94">
        <v>2580000</v>
      </c>
      <c r="I657" s="27">
        <v>1386000</v>
      </c>
      <c r="J657" s="27"/>
      <c r="K657" s="26">
        <v>-0.46279069767441861</v>
      </c>
      <c r="L657" s="11" t="s">
        <v>464</v>
      </c>
      <c r="M657" s="15">
        <v>16</v>
      </c>
      <c r="N657" s="35" t="s">
        <v>25</v>
      </c>
      <c r="O657" s="15">
        <v>1</v>
      </c>
      <c r="P657" s="35" t="s">
        <v>458</v>
      </c>
      <c r="Q657" s="15"/>
      <c r="R657" s="24" t="s">
        <v>1020</v>
      </c>
      <c r="S657" s="62" t="s">
        <v>616</v>
      </c>
      <c r="T657" s="15"/>
      <c r="U657" s="15"/>
      <c r="V657" s="54">
        <v>2580000</v>
      </c>
      <c r="W657" s="54">
        <v>1386000</v>
      </c>
      <c r="X657" s="54">
        <v>1194000</v>
      </c>
    </row>
    <row r="658" spans="3:24" x14ac:dyDescent="0.25">
      <c r="C658" s="39"/>
      <c r="E658" s="85"/>
      <c r="F658" s="85"/>
      <c r="G658" s="85"/>
      <c r="H658" s="86">
        <f>SUM(H655:H657)</f>
        <v>16189000</v>
      </c>
      <c r="I658" s="86">
        <f>SUM(I655:I657)</f>
        <v>13403023</v>
      </c>
      <c r="J658" s="85"/>
      <c r="K658" s="87">
        <f>+I658/H658</f>
        <v>0.82790925937364879</v>
      </c>
      <c r="L658" s="85">
        <f>COUNTA(L655:L657)</f>
        <v>3</v>
      </c>
      <c r="M658" s="88">
        <f>SUM(M655:M657)/L658</f>
        <v>6.666666666666667</v>
      </c>
      <c r="N658" s="89"/>
      <c r="O658" s="85"/>
      <c r="P658" s="119">
        <f>22/L658</f>
        <v>7.333333333333333</v>
      </c>
      <c r="Q658" s="85"/>
    </row>
    <row r="659" spans="3:24" x14ac:dyDescent="0.25">
      <c r="C659" s="39"/>
    </row>
    <row r="660" spans="3:24" x14ac:dyDescent="0.25">
      <c r="C660" s="39"/>
      <c r="E660" s="150" t="s">
        <v>1182</v>
      </c>
      <c r="F660" s="70"/>
      <c r="G660" s="70"/>
      <c r="H660" s="121" t="str">
        <f>"'17 final"</f>
        <v>'17 final</v>
      </c>
      <c r="P660" s="11"/>
    </row>
    <row r="661" spans="3:24" x14ac:dyDescent="0.25">
      <c r="C661" s="39"/>
      <c r="E661" s="71" t="s">
        <v>800</v>
      </c>
      <c r="F661" s="11"/>
      <c r="G661" s="11"/>
      <c r="H661" s="104">
        <f>+L658</f>
        <v>3</v>
      </c>
      <c r="P661" s="11"/>
    </row>
    <row r="662" spans="3:24" x14ac:dyDescent="0.25">
      <c r="C662" s="39"/>
      <c r="E662" s="72" t="s">
        <v>801</v>
      </c>
      <c r="F662" s="11"/>
      <c r="G662" s="11"/>
      <c r="H662" s="104">
        <f>+H661-H663</f>
        <v>2</v>
      </c>
      <c r="P662" s="11"/>
    </row>
    <row r="663" spans="3:24" x14ac:dyDescent="0.25">
      <c r="C663" s="39"/>
      <c r="E663" s="72" t="s">
        <v>802</v>
      </c>
      <c r="F663" s="11"/>
      <c r="G663" s="11"/>
      <c r="H663" s="104">
        <v>1</v>
      </c>
      <c r="P663" s="11"/>
    </row>
    <row r="664" spans="3:24" x14ac:dyDescent="0.25">
      <c r="C664" s="39"/>
      <c r="E664" s="72"/>
      <c r="F664" s="11"/>
      <c r="G664" s="11"/>
      <c r="H664" s="104"/>
      <c r="P664" s="11"/>
    </row>
    <row r="665" spans="3:24" x14ac:dyDescent="0.25">
      <c r="C665" s="39"/>
      <c r="E665" s="72" t="s">
        <v>1144</v>
      </c>
      <c r="F665" s="78"/>
      <c r="G665" s="78"/>
      <c r="H665" s="122">
        <f>+I658/1000000</f>
        <v>13.403022999999999</v>
      </c>
      <c r="I665" s="52"/>
      <c r="P665" s="11"/>
    </row>
    <row r="666" spans="3:24" x14ac:dyDescent="0.25">
      <c r="C666" s="39"/>
      <c r="E666" s="72" t="s">
        <v>806</v>
      </c>
      <c r="F666" s="75"/>
      <c r="G666" s="75"/>
      <c r="H666" s="123">
        <f>+M658</f>
        <v>6.666666666666667</v>
      </c>
      <c r="P666" s="11"/>
    </row>
    <row r="667" spans="3:24" x14ac:dyDescent="0.25">
      <c r="C667" s="39"/>
      <c r="E667" s="72" t="s">
        <v>807</v>
      </c>
      <c r="F667" s="74"/>
      <c r="G667" s="74"/>
      <c r="H667" s="124">
        <f>+I658/H658</f>
        <v>0.82790925937364879</v>
      </c>
      <c r="P667" s="11"/>
    </row>
    <row r="668" spans="3:24" x14ac:dyDescent="0.25">
      <c r="C668" s="39"/>
      <c r="E668" s="72"/>
      <c r="F668" s="11"/>
      <c r="G668" s="11"/>
      <c r="H668" s="104"/>
      <c r="P668" s="11"/>
    </row>
    <row r="669" spans="3:24" x14ac:dyDescent="0.25">
      <c r="C669" s="39"/>
      <c r="E669" s="72" t="s">
        <v>803</v>
      </c>
      <c r="F669" s="74"/>
      <c r="G669" s="74"/>
      <c r="H669" s="108">
        <f>2/3</f>
        <v>0.66666666666666663</v>
      </c>
      <c r="P669" s="11"/>
    </row>
    <row r="670" spans="3:24" x14ac:dyDescent="0.25">
      <c r="C670" s="107"/>
      <c r="D670" s="52"/>
      <c r="E670" s="72" t="s">
        <v>804</v>
      </c>
      <c r="F670" s="74"/>
      <c r="G670" s="74"/>
      <c r="H670" s="108">
        <f>1/2</f>
        <v>0.5</v>
      </c>
      <c r="P670" s="11"/>
    </row>
    <row r="671" spans="3:24" x14ac:dyDescent="0.25">
      <c r="C671" s="107"/>
      <c r="D671" s="52"/>
      <c r="E671" s="72" t="s">
        <v>805</v>
      </c>
      <c r="F671" s="74"/>
      <c r="G671" s="74"/>
      <c r="H671" s="108">
        <f>1/1</f>
        <v>1</v>
      </c>
      <c r="P671" s="11"/>
    </row>
    <row r="672" spans="3:24" x14ac:dyDescent="0.25">
      <c r="C672" s="39"/>
      <c r="E672" s="72"/>
      <c r="F672" s="11"/>
      <c r="G672" s="11"/>
      <c r="H672" s="104"/>
      <c r="P672" s="11"/>
    </row>
    <row r="673" spans="2:22" x14ac:dyDescent="0.25">
      <c r="C673" s="39"/>
      <c r="E673" s="72" t="s">
        <v>1141</v>
      </c>
      <c r="F673" s="11"/>
      <c r="G673" s="11"/>
      <c r="H673" s="104">
        <v>2</v>
      </c>
    </row>
    <row r="674" spans="2:22" x14ac:dyDescent="0.25">
      <c r="E674" s="106" t="s">
        <v>1143</v>
      </c>
      <c r="F674" s="108"/>
      <c r="G674" s="108"/>
      <c r="H674" s="108">
        <f>+H673/H661</f>
        <v>0.66666666666666663</v>
      </c>
    </row>
    <row r="675" spans="2:22" x14ac:dyDescent="0.25">
      <c r="C675" s="39"/>
    </row>
    <row r="676" spans="2:22" x14ac:dyDescent="0.25">
      <c r="C676" s="38"/>
    </row>
    <row r="677" spans="2:22" x14ac:dyDescent="0.25">
      <c r="C677" s="38"/>
    </row>
    <row r="678" spans="2:22" x14ac:dyDescent="0.25">
      <c r="C678" s="38"/>
    </row>
    <row r="679" spans="2:22" x14ac:dyDescent="0.25">
      <c r="B679" s="163"/>
      <c r="C679" s="164"/>
      <c r="D679" s="163"/>
      <c r="E679" s="163"/>
      <c r="F679" s="163"/>
      <c r="G679" s="163"/>
      <c r="H679" s="163"/>
      <c r="I679" s="163"/>
      <c r="J679" s="163"/>
      <c r="K679" s="163"/>
      <c r="L679" s="163"/>
      <c r="M679" s="163"/>
      <c r="N679" s="165"/>
      <c r="O679" s="163"/>
      <c r="P679" s="163"/>
      <c r="Q679" s="163"/>
      <c r="R679" s="163"/>
      <c r="S679" s="163"/>
      <c r="T679" s="163"/>
      <c r="U679" s="163"/>
      <c r="V679" s="163"/>
    </row>
    <row r="680" spans="2:22" x14ac:dyDescent="0.25">
      <c r="C680" s="38"/>
    </row>
    <row r="681" spans="2:22" x14ac:dyDescent="0.25">
      <c r="C681" s="38"/>
    </row>
    <row r="682" spans="2:22" x14ac:dyDescent="0.25">
      <c r="C682" s="38"/>
    </row>
    <row r="683" spans="2:22" x14ac:dyDescent="0.25">
      <c r="C683" s="38"/>
    </row>
    <row r="684" spans="2:22" x14ac:dyDescent="0.25">
      <c r="C684" s="38"/>
      <c r="E684" s="14" t="s">
        <v>1197</v>
      </c>
      <c r="F684">
        <v>1996</v>
      </c>
      <c r="G684">
        <v>70</v>
      </c>
      <c r="I684" s="7">
        <f>AVERAGE(G684:G705)/100</f>
        <v>0.71</v>
      </c>
      <c r="J684" s="1" t="s">
        <v>1222</v>
      </c>
    </row>
    <row r="685" spans="2:22" x14ac:dyDescent="0.25">
      <c r="C685" s="38"/>
      <c r="F685">
        <f>+F684+1</f>
        <v>1997</v>
      </c>
      <c r="G685">
        <v>68</v>
      </c>
    </row>
    <row r="686" spans="2:22" x14ac:dyDescent="0.25">
      <c r="C686" s="38"/>
      <c r="F686">
        <f t="shared" ref="F686:F705" si="77">+F685+1</f>
        <v>1998</v>
      </c>
      <c r="G686">
        <v>67</v>
      </c>
    </row>
    <row r="687" spans="2:22" x14ac:dyDescent="0.25">
      <c r="C687" s="38"/>
      <c r="F687">
        <f t="shared" si="77"/>
        <v>1999</v>
      </c>
      <c r="G687" s="30">
        <v>76</v>
      </c>
    </row>
    <row r="688" spans="2:22" x14ac:dyDescent="0.25">
      <c r="C688" s="38"/>
      <c r="F688">
        <f t="shared" si="77"/>
        <v>2000</v>
      </c>
      <c r="G688">
        <v>63</v>
      </c>
    </row>
    <row r="689" spans="3:7" x14ac:dyDescent="0.25">
      <c r="C689" s="38"/>
      <c r="F689">
        <f t="shared" si="77"/>
        <v>2001</v>
      </c>
      <c r="G689">
        <v>65</v>
      </c>
    </row>
    <row r="690" spans="3:7" x14ac:dyDescent="0.25">
      <c r="C690" s="38"/>
      <c r="F690">
        <f t="shared" si="77"/>
        <v>2002</v>
      </c>
      <c r="G690">
        <v>66</v>
      </c>
    </row>
    <row r="691" spans="3:7" x14ac:dyDescent="0.25">
      <c r="C691" s="38"/>
      <c r="F691">
        <f t="shared" si="77"/>
        <v>2003</v>
      </c>
      <c r="G691">
        <v>66</v>
      </c>
    </row>
    <row r="692" spans="3:7" x14ac:dyDescent="0.25">
      <c r="C692" s="38"/>
      <c r="F692">
        <f t="shared" si="77"/>
        <v>2004</v>
      </c>
      <c r="G692">
        <v>67</v>
      </c>
    </row>
    <row r="693" spans="3:7" x14ac:dyDescent="0.25">
      <c r="C693" s="38"/>
      <c r="F693">
        <f t="shared" si="77"/>
        <v>2005</v>
      </c>
      <c r="G693">
        <v>71</v>
      </c>
    </row>
    <row r="694" spans="3:7" x14ac:dyDescent="0.25">
      <c r="C694" s="38"/>
      <c r="F694">
        <f t="shared" si="77"/>
        <v>2006</v>
      </c>
      <c r="G694" s="30">
        <v>75</v>
      </c>
    </row>
    <row r="695" spans="3:7" x14ac:dyDescent="0.25">
      <c r="C695" s="38"/>
      <c r="F695">
        <f t="shared" si="77"/>
        <v>2007</v>
      </c>
      <c r="G695">
        <v>70</v>
      </c>
    </row>
    <row r="696" spans="3:7" x14ac:dyDescent="0.25">
      <c r="C696" s="38"/>
      <c r="F696">
        <f t="shared" si="77"/>
        <v>2008</v>
      </c>
      <c r="G696" s="30">
        <v>79</v>
      </c>
    </row>
    <row r="697" spans="3:7" x14ac:dyDescent="0.25">
      <c r="C697" s="38"/>
      <c r="F697">
        <f t="shared" si="77"/>
        <v>2009</v>
      </c>
      <c r="G697">
        <v>71</v>
      </c>
    </row>
    <row r="698" spans="3:7" x14ac:dyDescent="0.25">
      <c r="C698" s="38"/>
      <c r="F698">
        <f t="shared" si="77"/>
        <v>2010</v>
      </c>
      <c r="G698">
        <v>74</v>
      </c>
    </row>
    <row r="699" spans="3:7" x14ac:dyDescent="0.25">
      <c r="C699" s="38"/>
      <c r="F699">
        <f t="shared" si="77"/>
        <v>2011</v>
      </c>
      <c r="G699" s="30">
        <v>83</v>
      </c>
    </row>
    <row r="700" spans="3:7" x14ac:dyDescent="0.25">
      <c r="C700" s="38"/>
      <c r="F700">
        <f t="shared" si="77"/>
        <v>2012</v>
      </c>
      <c r="G700" s="30">
        <v>80</v>
      </c>
    </row>
    <row r="701" spans="3:7" x14ac:dyDescent="0.25">
      <c r="C701" s="38"/>
      <c r="F701">
        <f t="shared" si="77"/>
        <v>2013</v>
      </c>
      <c r="G701" s="30">
        <v>81</v>
      </c>
    </row>
    <row r="702" spans="3:7" x14ac:dyDescent="0.25">
      <c r="C702" s="38"/>
      <c r="F702">
        <f t="shared" si="77"/>
        <v>2014</v>
      </c>
      <c r="G702" s="30">
        <v>85</v>
      </c>
    </row>
    <row r="703" spans="3:7" x14ac:dyDescent="0.25">
      <c r="C703" s="38"/>
      <c r="F703">
        <f t="shared" si="77"/>
        <v>2015</v>
      </c>
      <c r="G703">
        <v>56</v>
      </c>
    </row>
    <row r="704" spans="3:7" x14ac:dyDescent="0.25">
      <c r="C704" s="38"/>
      <c r="F704">
        <f t="shared" si="77"/>
        <v>2016</v>
      </c>
      <c r="G704">
        <v>63</v>
      </c>
    </row>
    <row r="705" spans="3:8" x14ac:dyDescent="0.25">
      <c r="C705" s="38"/>
      <c r="F705">
        <f t="shared" si="77"/>
        <v>2017</v>
      </c>
      <c r="G705">
        <v>66</v>
      </c>
    </row>
    <row r="706" spans="3:8" x14ac:dyDescent="0.25">
      <c r="C706" s="38"/>
      <c r="F706">
        <v>2018</v>
      </c>
      <c r="G706">
        <v>59</v>
      </c>
    </row>
    <row r="707" spans="3:8" x14ac:dyDescent="0.25">
      <c r="C707" s="38"/>
    </row>
    <row r="708" spans="3:8" x14ac:dyDescent="0.25">
      <c r="C708" s="38"/>
    </row>
    <row r="709" spans="3:8" x14ac:dyDescent="0.25">
      <c r="C709" s="38"/>
    </row>
    <row r="710" spans="3:8" x14ac:dyDescent="0.25">
      <c r="C710" s="38"/>
    </row>
    <row r="711" spans="3:8" x14ac:dyDescent="0.25">
      <c r="C711" s="38"/>
      <c r="E711" s="2" t="s">
        <v>1198</v>
      </c>
      <c r="F711">
        <v>2014</v>
      </c>
      <c r="G711">
        <v>6.2</v>
      </c>
    </row>
    <row r="712" spans="3:8" x14ac:dyDescent="0.25">
      <c r="C712" s="38"/>
      <c r="F712">
        <v>2015</v>
      </c>
      <c r="G712">
        <v>6.4</v>
      </c>
    </row>
    <row r="713" spans="3:8" x14ac:dyDescent="0.25">
      <c r="C713" s="38"/>
      <c r="F713">
        <v>2016</v>
      </c>
      <c r="G713">
        <v>5.9</v>
      </c>
    </row>
    <row r="714" spans="3:8" x14ac:dyDescent="0.25">
      <c r="C714" s="38"/>
      <c r="F714">
        <v>2017</v>
      </c>
      <c r="G714">
        <v>5.3</v>
      </c>
    </row>
    <row r="715" spans="3:8" x14ac:dyDescent="0.25">
      <c r="C715" s="38"/>
      <c r="F715">
        <v>2018</v>
      </c>
      <c r="G715" s="84">
        <f>+I93</f>
        <v>4.6607142857142856</v>
      </c>
    </row>
    <row r="716" spans="3:8" x14ac:dyDescent="0.25">
      <c r="C716" s="38"/>
    </row>
    <row r="717" spans="3:8" x14ac:dyDescent="0.25">
      <c r="C717" s="38"/>
    </row>
    <row r="718" spans="3:8" x14ac:dyDescent="0.25">
      <c r="C718" s="38"/>
    </row>
    <row r="719" spans="3:8" x14ac:dyDescent="0.25">
      <c r="C719" s="38"/>
      <c r="H719" s="2" t="s">
        <v>1374</v>
      </c>
    </row>
    <row r="720" spans="3:8" x14ac:dyDescent="0.25">
      <c r="C720" s="38"/>
    </row>
    <row r="721" spans="2:41" x14ac:dyDescent="0.25">
      <c r="C721" s="38"/>
    </row>
    <row r="722" spans="2:41" x14ac:dyDescent="0.25">
      <c r="C722" s="38"/>
    </row>
    <row r="723" spans="2:41" x14ac:dyDescent="0.25">
      <c r="C723" s="38"/>
    </row>
    <row r="724" spans="2:41" x14ac:dyDescent="0.25">
      <c r="C724" s="38"/>
    </row>
    <row r="725" spans="2:41" x14ac:dyDescent="0.25">
      <c r="B725" s="254"/>
      <c r="C725" s="255"/>
      <c r="D725" s="254"/>
      <c r="E725" s="254"/>
      <c r="F725" s="254"/>
      <c r="G725" s="254"/>
      <c r="H725" s="254"/>
      <c r="I725" s="254"/>
      <c r="J725" s="254"/>
      <c r="K725" s="254"/>
      <c r="L725" s="254"/>
      <c r="M725" s="254"/>
      <c r="N725" s="256"/>
      <c r="O725" s="254"/>
      <c r="P725" s="254"/>
      <c r="Q725" s="254"/>
      <c r="R725" s="254"/>
      <c r="S725" s="254"/>
      <c r="T725" s="254"/>
      <c r="U725" s="254"/>
      <c r="V725" s="254"/>
    </row>
    <row r="726" spans="2:41" x14ac:dyDescent="0.25">
      <c r="C726" s="38"/>
    </row>
    <row r="727" spans="2:41" x14ac:dyDescent="0.25">
      <c r="C727" s="38"/>
    </row>
    <row r="728" spans="2:41" x14ac:dyDescent="0.25">
      <c r="C728" s="38"/>
    </row>
    <row r="729" spans="2:41" x14ac:dyDescent="0.25">
      <c r="C729" s="39">
        <v>2018</v>
      </c>
      <c r="D729" s="62" t="str">
        <f>+'[1]PAT-650'!$F$4</f>
        <v>PAT-650</v>
      </c>
      <c r="E729" s="63" t="str">
        <f>+'[1]PAT-650'!$F$5</f>
        <v>Tunnels E and F Infrastructure Repairs</v>
      </c>
      <c r="F729" s="64">
        <f>+'[1]PAT-650'!$F$6</f>
        <v>43110</v>
      </c>
      <c r="G729" s="65" t="str">
        <f>+'[1]PAT-650'!$G$7</f>
        <v>PQL</v>
      </c>
      <c r="H729" s="94">
        <f>+'[1]PAT-650'!$F$7</f>
        <v>200000000</v>
      </c>
      <c r="I729" s="94">
        <f>+'[1]PAT-650'!$F$8</f>
        <v>108511400</v>
      </c>
      <c r="J729" s="27"/>
      <c r="K729" s="26">
        <f>+'[1]PAT-650'!$G$9</f>
        <v>-0.45744299999999999</v>
      </c>
      <c r="L729" s="11" t="str">
        <f>+'[1]PAT-650'!$F$11</f>
        <v>FAIL</v>
      </c>
      <c r="M729" s="15">
        <f>+'[1]PAT-650'!$H$12</f>
        <v>5</v>
      </c>
      <c r="N729" s="35" t="s">
        <v>226</v>
      </c>
      <c r="O729" s="15">
        <v>1</v>
      </c>
      <c r="P729" s="35" t="s">
        <v>459</v>
      </c>
      <c r="Q729" s="35" t="s">
        <v>1246</v>
      </c>
      <c r="R729" s="15"/>
      <c r="S729" s="24" t="s">
        <v>932</v>
      </c>
      <c r="T729" s="62" t="str">
        <f>+'[1]PAT-650'!$J$4</f>
        <v>Nathan Demaisip</v>
      </c>
      <c r="U729" s="62"/>
      <c r="V729" s="94">
        <f>+'[1]PAT-650'!$F$12</f>
        <v>136419680</v>
      </c>
      <c r="W729" s="199">
        <f t="shared" ref="W729:W738" si="78">+I729/V729</f>
        <v>0.79542335827206168</v>
      </c>
      <c r="X729" s="15"/>
      <c r="Y729" s="200">
        <f t="shared" ref="Y729:Y738" si="79">+I729/H729</f>
        <v>0.54255699999999996</v>
      </c>
      <c r="Z729" s="11" t="str">
        <f t="shared" ref="Z729:Z738" si="80">(IF(Y729&lt;$Y$3,"FAIL",IF(Y729&gt;$Y$4,"FAIL","GOOD")))</f>
        <v>FAIL</v>
      </c>
      <c r="AA729" s="11"/>
      <c r="AB729" s="15"/>
      <c r="AC729" s="54">
        <f t="shared" ref="AC729:AC738" si="81">+H729</f>
        <v>200000000</v>
      </c>
      <c r="AD729" s="54">
        <f t="shared" ref="AD729:AD738" si="82">+I729</f>
        <v>108511400</v>
      </c>
      <c r="AE729" s="54">
        <f t="shared" ref="AE729:AE738" si="83">+AC729-AD729</f>
        <v>91488600</v>
      </c>
    </row>
    <row r="730" spans="2:41" x14ac:dyDescent="0.25">
      <c r="B730" s="224"/>
      <c r="C730" s="39">
        <v>2018</v>
      </c>
      <c r="D730" s="62" t="str">
        <f>+'[1]JFK-164.020'!$F$4</f>
        <v>JFK-164.020</v>
      </c>
      <c r="E730" s="63" t="str">
        <f>+'[1]JFK-164.020'!$F$5</f>
        <v>Reconstruct Runway 13L-31R and Associated Taxiways</v>
      </c>
      <c r="F730" s="64">
        <f>+'[1]JFK-164.020'!$F$6</f>
        <v>43413</v>
      </c>
      <c r="G730" s="65" t="str">
        <f>+'[1]JFK-164.020'!$G$7</f>
        <v>Public</v>
      </c>
      <c r="H730" s="94">
        <f>+'[1]JFK-164.020'!$F$7</f>
        <v>186355200</v>
      </c>
      <c r="I730" s="94">
        <f>+'[1]JFK-164.020'!$F$8</f>
        <v>152100000</v>
      </c>
      <c r="J730" s="94"/>
      <c r="K730" s="153">
        <f>+'[1]JFK-164.020'!$G$9</f>
        <v>-0.18381671131259014</v>
      </c>
      <c r="L730" s="11" t="str">
        <f>+'[1]JFK-164.020'!$F$11</f>
        <v>FAIL</v>
      </c>
      <c r="M730" s="15">
        <f>+'[1]JFK-164.020'!$H$12</f>
        <v>3</v>
      </c>
      <c r="N730" s="35" t="s">
        <v>93</v>
      </c>
      <c r="O730" s="15">
        <v>4</v>
      </c>
      <c r="P730" s="35" t="s">
        <v>458</v>
      </c>
      <c r="Q730" s="35"/>
      <c r="R730" s="15"/>
      <c r="S730" s="24"/>
      <c r="T730" s="62" t="str">
        <f>+'[1]JFK-164.020'!$J$4</f>
        <v>Wen Chang</v>
      </c>
      <c r="U730" s="62"/>
      <c r="V730" s="94">
        <f>+'[1]JFK-164.020'!$F$12</f>
        <v>157872084</v>
      </c>
      <c r="W730" s="199">
        <f t="shared" si="78"/>
        <v>0.96343822255491351</v>
      </c>
      <c r="X730" s="15"/>
      <c r="Y730" s="200">
        <f t="shared" si="79"/>
        <v>0.81618328868740986</v>
      </c>
      <c r="Z730" s="11" t="str">
        <f t="shared" si="80"/>
        <v>FAIL</v>
      </c>
      <c r="AA730" s="11"/>
      <c r="AB730" s="15"/>
      <c r="AC730" s="54">
        <f t="shared" si="81"/>
        <v>186355200</v>
      </c>
      <c r="AD730" s="54">
        <f t="shared" si="82"/>
        <v>152100000</v>
      </c>
      <c r="AE730" s="54">
        <f t="shared" si="83"/>
        <v>34255200</v>
      </c>
      <c r="AG730" s="4"/>
      <c r="AH730" s="4"/>
      <c r="AI730" s="225"/>
      <c r="AJ730" s="226"/>
      <c r="AK730" s="227"/>
      <c r="AL730" s="227"/>
      <c r="AM730" s="225"/>
      <c r="AN730" s="226"/>
      <c r="AO730" s="228"/>
    </row>
    <row r="731" spans="2:41" x14ac:dyDescent="0.25">
      <c r="C731" s="39">
        <v>2018</v>
      </c>
      <c r="D731" s="62" t="str">
        <f>+'[1]EWR-154.395'!$F$4</f>
        <v>EWR-154.395</v>
      </c>
      <c r="E731" s="63" t="str">
        <f>+'[1]EWR-154.395'!$F$5</f>
        <v>Bridges N61, 62, 63, At-Grade Roadways and Appurtenances</v>
      </c>
      <c r="F731" s="64">
        <f>+'[1]EWR-154.395'!$F$6</f>
        <v>43250</v>
      </c>
      <c r="G731" s="65" t="str">
        <f>+'[1]EWR-154.395'!$G$7</f>
        <v>Public</v>
      </c>
      <c r="H731" s="94">
        <f>+'[1]EWR-154.395'!$F$7</f>
        <v>153277500</v>
      </c>
      <c r="I731" s="94">
        <f>+'[1]EWR-154.395'!$F$8</f>
        <v>118434757</v>
      </c>
      <c r="J731" s="27"/>
      <c r="K731" s="26">
        <f>+'[1]EWR-154.395'!$G$9</f>
        <v>-0.22731805385656734</v>
      </c>
      <c r="L731" s="11" t="str">
        <f>+'[1]EWR-154.395'!$F$11</f>
        <v>FAIL</v>
      </c>
      <c r="M731" s="15">
        <f>+'[1]EWR-154.395'!$H$12</f>
        <v>13</v>
      </c>
      <c r="N731" s="35" t="s">
        <v>25</v>
      </c>
      <c r="O731" s="15">
        <v>2</v>
      </c>
      <c r="P731" s="35" t="s">
        <v>458</v>
      </c>
      <c r="Q731" s="35"/>
      <c r="R731" s="15"/>
      <c r="S731" s="24"/>
      <c r="T731" s="62" t="str">
        <f>+'[1]EWR-154.395'!$J$4</f>
        <v>Joe Lucin</v>
      </c>
      <c r="U731" s="62"/>
      <c r="V731" s="94">
        <f>+'[1]EWR-154.395'!$F$12</f>
        <v>138481360</v>
      </c>
      <c r="W731" s="199">
        <f t="shared" si="78"/>
        <v>0.85523970157427687</v>
      </c>
      <c r="X731" s="15"/>
      <c r="Y731" s="200">
        <f t="shared" si="79"/>
        <v>0.77268194614343266</v>
      </c>
      <c r="Z731" s="11" t="str">
        <f t="shared" si="80"/>
        <v>FAIL</v>
      </c>
      <c r="AA731" s="11"/>
      <c r="AB731" s="15"/>
      <c r="AC731" s="54">
        <f t="shared" si="81"/>
        <v>153277500</v>
      </c>
      <c r="AD731" s="54">
        <f t="shared" si="82"/>
        <v>118434757</v>
      </c>
      <c r="AE731" s="54">
        <f t="shared" si="83"/>
        <v>34842743</v>
      </c>
    </row>
    <row r="732" spans="2:41" x14ac:dyDescent="0.25">
      <c r="B732" s="224"/>
      <c r="C732" s="39">
        <v>2018</v>
      </c>
      <c r="D732" s="62" t="str">
        <f>+'[1]EWR-154.386'!$F$4</f>
        <v>EWR-154.386</v>
      </c>
      <c r="E732" s="63" t="str">
        <f>+'[1]EWR-154.386'!$F$5</f>
        <v>Term A Redev - Airside Utilities and Paving South phase 2</v>
      </c>
      <c r="F732" s="64">
        <f>+'[1]EWR-154.386'!$F$6</f>
        <v>43438</v>
      </c>
      <c r="G732" s="65" t="str">
        <f>+'[1]EWR-154.386'!$G$7</f>
        <v>Public</v>
      </c>
      <c r="H732" s="94">
        <f>+'[1]EWR-154.386'!$F$7</f>
        <v>122920000</v>
      </c>
      <c r="I732" s="94">
        <f>+'[1]EWR-154.386'!$F$8</f>
        <v>119769038</v>
      </c>
      <c r="J732" s="94" t="s">
        <v>519</v>
      </c>
      <c r="K732" s="153">
        <f>+'[1]EWR-154.386'!$G$9</f>
        <v>-2.5634249918646275E-2</v>
      </c>
      <c r="L732" s="11" t="str">
        <f>+'[1]EWR-154.386'!$F$11</f>
        <v>GOOD</v>
      </c>
      <c r="M732" s="15">
        <f>+'[1]EWR-154.386'!$H$12</f>
        <v>2</v>
      </c>
      <c r="N732" s="35" t="s">
        <v>25</v>
      </c>
      <c r="O732" s="15">
        <v>4</v>
      </c>
      <c r="P732" s="35" t="s">
        <v>458</v>
      </c>
      <c r="Q732" s="35"/>
      <c r="R732" s="15"/>
      <c r="S732" s="24"/>
      <c r="T732" s="62" t="str">
        <f>+'[1]EWR-154.386'!$J$4</f>
        <v>Joe Lucin</v>
      </c>
      <c r="U732" s="62"/>
      <c r="V732" s="94">
        <f>+'[1]EWR-154.386'!$F$12</f>
        <v>122138179</v>
      </c>
      <c r="W732" s="199">
        <f t="shared" si="78"/>
        <v>0.98060278105177912</v>
      </c>
      <c r="X732" s="15"/>
      <c r="Y732" s="200">
        <f t="shared" si="79"/>
        <v>0.97436575008135373</v>
      </c>
      <c r="Z732" s="11" t="str">
        <f t="shared" si="80"/>
        <v>FAIL</v>
      </c>
      <c r="AA732" s="11"/>
      <c r="AB732" s="15"/>
      <c r="AC732" s="54">
        <f t="shared" si="81"/>
        <v>122920000</v>
      </c>
      <c r="AD732" s="54">
        <f t="shared" si="82"/>
        <v>119769038</v>
      </c>
      <c r="AE732" s="54">
        <f t="shared" si="83"/>
        <v>3150962</v>
      </c>
      <c r="AG732" s="4"/>
      <c r="AH732" s="4"/>
      <c r="AI732" s="225"/>
      <c r="AJ732" s="226"/>
      <c r="AK732" s="227"/>
      <c r="AL732" s="227"/>
      <c r="AM732" s="225"/>
      <c r="AN732" s="226"/>
      <c r="AO732" s="228"/>
    </row>
    <row r="733" spans="2:41" x14ac:dyDescent="0.25">
      <c r="C733" s="39">
        <v>2018</v>
      </c>
      <c r="D733" s="62" t="str">
        <f>+'[1]GWB-244.204A'!$F$4</f>
        <v>GWB-244.204A</v>
      </c>
      <c r="E733" s="63" t="str">
        <f>+'[1]GWB-244.204A'!$F$5</f>
        <v>Rehab Center and Lemoine Avenue Bridges</v>
      </c>
      <c r="F733" s="64">
        <f>+'[1]GWB-244.204A'!$F$6</f>
        <v>43368</v>
      </c>
      <c r="G733" s="65" t="str">
        <f>+'[1]GWB-244.204A'!$G$7</f>
        <v>Public</v>
      </c>
      <c r="H733" s="94">
        <f>+'[1]GWB-244.204A'!$F$7</f>
        <v>64356250</v>
      </c>
      <c r="I733" s="94">
        <f>+'[1]GWB-244.204A'!$F$8</f>
        <v>51485000</v>
      </c>
      <c r="J733" s="27" t="s">
        <v>519</v>
      </c>
      <c r="K733" s="26">
        <f>+'[1]GWB-244.204A'!$G$9</f>
        <v>-0.2</v>
      </c>
      <c r="L733" s="11" t="str">
        <f>+'[1]GWB-244.204A'!$F$11</f>
        <v>GOOD</v>
      </c>
      <c r="M733" s="15">
        <f>+'[1]GWB-244.204A'!$H$12</f>
        <v>8</v>
      </c>
      <c r="N733" s="35" t="s">
        <v>25</v>
      </c>
      <c r="O733" s="15">
        <v>3</v>
      </c>
      <c r="P733" s="35" t="s">
        <v>457</v>
      </c>
      <c r="Q733" s="35"/>
      <c r="R733" s="15"/>
      <c r="S733" s="24"/>
      <c r="T733" s="62" t="str">
        <f>+'[1]GWB-244.204A'!$J$4</f>
        <v>Boris Lenderman</v>
      </c>
      <c r="U733" s="62"/>
      <c r="V733" s="94">
        <f>+'[1]GWB-244.204A'!$F$12</f>
        <v>75310398.875</v>
      </c>
      <c r="W733" s="199">
        <f t="shared" si="78"/>
        <v>0.68363732989191395</v>
      </c>
      <c r="X733" s="15"/>
      <c r="Y733" s="200">
        <f t="shared" si="79"/>
        <v>0.8</v>
      </c>
      <c r="Z733" s="11" t="str">
        <f t="shared" si="80"/>
        <v>FAIL</v>
      </c>
      <c r="AA733" s="11"/>
      <c r="AB733" s="15"/>
      <c r="AC733" s="54">
        <f t="shared" si="81"/>
        <v>64356250</v>
      </c>
      <c r="AD733" s="54">
        <f t="shared" si="82"/>
        <v>51485000</v>
      </c>
      <c r="AE733" s="54">
        <f t="shared" si="83"/>
        <v>12871250</v>
      </c>
    </row>
    <row r="734" spans="2:41" x14ac:dyDescent="0.25">
      <c r="C734" s="39">
        <v>2018</v>
      </c>
      <c r="D734" s="62" t="str">
        <f>+'[1]GWB-244.049'!$F$4</f>
        <v>GWB-244.049</v>
      </c>
      <c r="E734" s="63" t="str">
        <f>+'[1]GWB-244.049'!$F$5</f>
        <v>Trans-Manhattan Expressway Median Barriers and Water Mains</v>
      </c>
      <c r="F734" s="64">
        <f>+'[1]GWB-244.049'!$F$6</f>
        <v>43319</v>
      </c>
      <c r="G734" s="65" t="str">
        <f>+'[1]GWB-244.049'!$G$7</f>
        <v>Public</v>
      </c>
      <c r="H734" s="94">
        <f>+'[1]GWB-244.049'!$F$7</f>
        <v>54744000</v>
      </c>
      <c r="I734" s="94">
        <f>+'[1]GWB-244.049'!$F$8</f>
        <v>34776250</v>
      </c>
      <c r="J734" s="27" t="s">
        <v>519</v>
      </c>
      <c r="K734" s="26">
        <f>+'[1]GWB-244.049'!$G$9</f>
        <v>-0.36474773491158846</v>
      </c>
      <c r="L734" s="11" t="str">
        <f>+'[1]GWB-244.049'!$F$11</f>
        <v>GOOD</v>
      </c>
      <c r="M734" s="15">
        <f>+'[1]GWB-244.049'!$H$12</f>
        <v>4</v>
      </c>
      <c r="N734" s="35" t="s">
        <v>93</v>
      </c>
      <c r="O734" s="15">
        <v>3</v>
      </c>
      <c r="P734" s="35" t="s">
        <v>457</v>
      </c>
      <c r="Q734" s="35"/>
      <c r="R734" s="15"/>
      <c r="S734" s="24" t="s">
        <v>932</v>
      </c>
      <c r="T734" s="62" t="str">
        <f>+'[1]GWB-244.049'!$J$4</f>
        <v>Boris Lenderman</v>
      </c>
      <c r="U734" s="62"/>
      <c r="V734" s="94">
        <f>+'[1]GWB-244.049'!$F$12</f>
        <v>49859526.25</v>
      </c>
      <c r="W734" s="199">
        <f t="shared" si="78"/>
        <v>0.69748456544951631</v>
      </c>
      <c r="X734" s="15"/>
      <c r="Y734" s="200">
        <f t="shared" si="79"/>
        <v>0.63525226508841148</v>
      </c>
      <c r="Z734" s="11" t="str">
        <f t="shared" si="80"/>
        <v>FAIL</v>
      </c>
      <c r="AA734" s="11"/>
      <c r="AB734" s="15"/>
      <c r="AC734" s="54">
        <f t="shared" si="81"/>
        <v>54744000</v>
      </c>
      <c r="AD734" s="54">
        <f t="shared" si="82"/>
        <v>34776250</v>
      </c>
      <c r="AE734" s="54">
        <f t="shared" si="83"/>
        <v>19967750</v>
      </c>
    </row>
    <row r="735" spans="2:41" x14ac:dyDescent="0.25">
      <c r="C735" s="39">
        <v>2018</v>
      </c>
      <c r="D735" s="62" t="str">
        <f>+'[1]PAT-774.170'!$F$4</f>
        <v>PAT-774.170</v>
      </c>
      <c r="E735" s="63" t="str">
        <f>+'[1]PAT-774.170'!$F$5</f>
        <v>Repl Exchange Place and Newport Escalators and Elevators</v>
      </c>
      <c r="F735" s="64">
        <f>+'[1]PAT-774.170'!$F$6</f>
        <v>43264</v>
      </c>
      <c r="G735" s="65" t="str">
        <f>+'[1]PAT-774.170'!$G$7</f>
        <v>Public</v>
      </c>
      <c r="H735" s="94">
        <f>+'[1]PAT-774.170'!$F$7</f>
        <v>38600000</v>
      </c>
      <c r="I735" s="94">
        <f>+'[1]PAT-774.170'!$F$8</f>
        <v>35950000</v>
      </c>
      <c r="J735" s="27" t="s">
        <v>519</v>
      </c>
      <c r="K735" s="26">
        <f>+'[1]PAT-774.170'!$G$9</f>
        <v>-6.8652849740932637E-2</v>
      </c>
      <c r="L735" s="11" t="str">
        <f>+'[1]PAT-774.170'!$F$11</f>
        <v>GOOD</v>
      </c>
      <c r="M735" s="15">
        <f>+'[1]PAT-774.170'!$H$12</f>
        <v>2</v>
      </c>
      <c r="N735" s="35" t="s">
        <v>25</v>
      </c>
      <c r="O735" s="15">
        <v>2</v>
      </c>
      <c r="P735" s="35" t="s">
        <v>459</v>
      </c>
      <c r="Q735" s="35"/>
      <c r="R735" s="15"/>
      <c r="S735" s="24"/>
      <c r="T735" s="62" t="str">
        <f>+'[1]PAT-774.170'!$J$4</f>
        <v>Nathan Demaisip</v>
      </c>
      <c r="U735" s="62"/>
      <c r="V735" s="94">
        <f>+'[1]PAT-774.170'!$F$12</f>
        <v>39922000</v>
      </c>
      <c r="W735" s="199">
        <f t="shared" si="78"/>
        <v>0.90050598667401438</v>
      </c>
      <c r="X735" s="15"/>
      <c r="Y735" s="200">
        <f t="shared" si="79"/>
        <v>0.93134715025906734</v>
      </c>
      <c r="Z735" s="11" t="str">
        <f t="shared" si="80"/>
        <v>FAIL</v>
      </c>
      <c r="AA735" s="11"/>
      <c r="AB735" s="15"/>
      <c r="AC735" s="54">
        <f t="shared" si="81"/>
        <v>38600000</v>
      </c>
      <c r="AD735" s="54">
        <f t="shared" si="82"/>
        <v>35950000</v>
      </c>
      <c r="AE735" s="54">
        <f t="shared" si="83"/>
        <v>2650000</v>
      </c>
    </row>
    <row r="736" spans="2:41" x14ac:dyDescent="0.25">
      <c r="C736" s="39">
        <v>2018</v>
      </c>
      <c r="D736" s="62" t="str">
        <f>+'[1]LGA-124.260'!$F$4</f>
        <v>LGA-124.260</v>
      </c>
      <c r="E736" s="63" t="str">
        <f>+'[1]LGA-124.260'!$F$5</f>
        <v>Rehab of Runway 4-22 and Associated Taxiways</v>
      </c>
      <c r="F736" s="64">
        <f>+'[1]LGA-124.260'!$F$6</f>
        <v>43299</v>
      </c>
      <c r="G736" s="65" t="str">
        <f>+'[1]LGA-124.260'!$G$7</f>
        <v>PQL</v>
      </c>
      <c r="H736" s="94">
        <f>+'[1]LGA-124.260'!$F$7</f>
        <v>34796400</v>
      </c>
      <c r="I736" s="94">
        <f>+'[1]LGA-124.260'!$F$8</f>
        <v>34483510</v>
      </c>
      <c r="J736" s="27" t="s">
        <v>519</v>
      </c>
      <c r="K736" s="26">
        <f>+'[1]LGA-124.260'!$G$9</f>
        <v>-8.9920221632122863E-3</v>
      </c>
      <c r="L736" s="11" t="str">
        <f>+'[1]LGA-124.260'!$F$11</f>
        <v>GOOD</v>
      </c>
      <c r="M736" s="15">
        <f>+'[1]LGA-124.260'!$H$12</f>
        <v>2</v>
      </c>
      <c r="N736" s="35" t="s">
        <v>93</v>
      </c>
      <c r="O736" s="15">
        <v>3</v>
      </c>
      <c r="P736" s="35" t="s">
        <v>458</v>
      </c>
      <c r="Q736" s="35"/>
      <c r="R736" s="15"/>
      <c r="S736" s="24"/>
      <c r="T736" s="62" t="str">
        <f>+'[1]LGA-124.260'!$J$4</f>
        <v>Joe Lucin</v>
      </c>
      <c r="U736" s="62"/>
      <c r="V736" s="94">
        <f>+'[1]LGA-124.260'!$F$12</f>
        <v>35471255</v>
      </c>
      <c r="W736" s="199">
        <f t="shared" si="78"/>
        <v>0.97215364948322236</v>
      </c>
      <c r="X736" s="15"/>
      <c r="Y736" s="200">
        <f t="shared" si="79"/>
        <v>0.99100797783678773</v>
      </c>
      <c r="Z736" s="11" t="str">
        <f t="shared" si="80"/>
        <v>FAIL</v>
      </c>
      <c r="AA736" s="11"/>
      <c r="AB736" s="15"/>
      <c r="AC736" s="54">
        <f t="shared" si="81"/>
        <v>34796400</v>
      </c>
      <c r="AD736" s="54">
        <f t="shared" si="82"/>
        <v>34483510</v>
      </c>
      <c r="AE736" s="54">
        <f t="shared" si="83"/>
        <v>312890</v>
      </c>
    </row>
    <row r="737" spans="2:41" x14ac:dyDescent="0.25">
      <c r="C737" s="39">
        <v>2018</v>
      </c>
      <c r="D737" s="62" t="str">
        <f>+'[1]AKO-284.051'!$F$4</f>
        <v>AKO-284.051</v>
      </c>
      <c r="E737" s="63" t="str">
        <f>+'[1]AKO-284.051'!$F$5</f>
        <v>Main Spain Pier and Fender Upgrades</v>
      </c>
      <c r="F737" s="64">
        <f>+'[1]AKO-284.051'!$F$6</f>
        <v>43179</v>
      </c>
      <c r="G737" s="65" t="str">
        <f>+'[1]AKO-284.051'!$G$7</f>
        <v>Public</v>
      </c>
      <c r="H737" s="94">
        <f>+'[1]AKO-284.051'!$F$7</f>
        <v>27125000</v>
      </c>
      <c r="I737" s="94">
        <f>+'[1]AKO-284.051'!$F$8</f>
        <v>22964560</v>
      </c>
      <c r="J737" s="27" t="s">
        <v>519</v>
      </c>
      <c r="K737" s="26">
        <f>+'[1]AKO-284.051'!$G$9</f>
        <v>-0.15338027649769584</v>
      </c>
      <c r="L737" s="11" t="str">
        <f>+'[1]AKO-284.051'!$F$11</f>
        <v>GOOD</v>
      </c>
      <c r="M737" s="15">
        <f>+'[1]AKO-284.051'!$H$12</f>
        <v>10</v>
      </c>
      <c r="N737" s="35" t="s">
        <v>226</v>
      </c>
      <c r="O737" s="15">
        <v>1</v>
      </c>
      <c r="P737" s="35" t="s">
        <v>457</v>
      </c>
      <c r="Q737" s="35" t="s">
        <v>1238</v>
      </c>
      <c r="R737" s="15"/>
      <c r="S737" s="24"/>
      <c r="T737" s="62" t="str">
        <f>+'[1]AKO-284.051'!$J$4</f>
        <v>Ed Minall</v>
      </c>
      <c r="U737" s="62"/>
      <c r="V737" s="94">
        <f>+'[1]AKO-284.051'!$F$12</f>
        <v>31632465.399999999</v>
      </c>
      <c r="W737" s="199">
        <f t="shared" si="78"/>
        <v>0.72598071979555534</v>
      </c>
      <c r="X737" s="15"/>
      <c r="Y737" s="200">
        <f t="shared" si="79"/>
        <v>0.84661972350230419</v>
      </c>
      <c r="Z737" s="11" t="str">
        <f t="shared" si="80"/>
        <v>FAIL</v>
      </c>
      <c r="AA737" s="11"/>
      <c r="AB737" s="15"/>
      <c r="AC737" s="54">
        <f t="shared" si="81"/>
        <v>27125000</v>
      </c>
      <c r="AD737" s="54">
        <f t="shared" si="82"/>
        <v>22964560</v>
      </c>
      <c r="AE737" s="54">
        <f t="shared" si="83"/>
        <v>4160440</v>
      </c>
    </row>
    <row r="738" spans="2:41" x14ac:dyDescent="0.25">
      <c r="C738" s="39">
        <v>2018</v>
      </c>
      <c r="D738" s="62" t="str">
        <f>+'[1]PAT-924.802'!$F$4</f>
        <v>PAT-924.802</v>
      </c>
      <c r="E738" s="63" t="str">
        <f>+'[1]PAT-924.802'!$F$5</f>
        <v>Fire Alarm System Upgrade</v>
      </c>
      <c r="F738" s="64">
        <f>+'[1]PAT-924.802'!$F$6</f>
        <v>43118</v>
      </c>
      <c r="G738" s="65" t="str">
        <f>+'[1]PAT-924.802'!$G$7</f>
        <v>VVP</v>
      </c>
      <c r="H738" s="94">
        <f>+'[1]PAT-924.802'!$F$7</f>
        <v>26900000</v>
      </c>
      <c r="I738" s="94">
        <f>+'[1]PAT-924.802'!$F$8</f>
        <v>24990000</v>
      </c>
      <c r="J738" s="27" t="s">
        <v>519</v>
      </c>
      <c r="K738" s="26">
        <f>+'[1]PAT-924.802'!$G$9</f>
        <v>-7.1003717472118963E-2</v>
      </c>
      <c r="L738" s="11" t="str">
        <f>+'[1]PAT-924.802'!$F$11</f>
        <v>GOOD</v>
      </c>
      <c r="M738" s="15">
        <f>+'[1]PAT-924.802'!$H$12</f>
        <v>2</v>
      </c>
      <c r="N738" s="35" t="s">
        <v>226</v>
      </c>
      <c r="O738" s="15">
        <v>1</v>
      </c>
      <c r="P738" s="35" t="s">
        <v>459</v>
      </c>
      <c r="Q738" s="35" t="s">
        <v>1246</v>
      </c>
      <c r="R738" s="15"/>
      <c r="S738" s="24"/>
      <c r="T738" s="62" t="str">
        <f>+'[1]PAT-924.802'!$J$4</f>
        <v>Nathan Demaisip</v>
      </c>
      <c r="U738" s="62"/>
      <c r="V738" s="94">
        <f>+'[1]PAT-924.802'!$F$12</f>
        <v>35017000</v>
      </c>
      <c r="W738" s="199">
        <f t="shared" si="78"/>
        <v>0.71365336836393756</v>
      </c>
      <c r="X738" s="15"/>
      <c r="Y738" s="200">
        <f t="shared" si="79"/>
        <v>0.92899628252788102</v>
      </c>
      <c r="Z738" s="11" t="str">
        <f t="shared" si="80"/>
        <v>FAIL</v>
      </c>
      <c r="AA738" s="11"/>
      <c r="AB738" s="15"/>
      <c r="AC738" s="54">
        <f t="shared" si="81"/>
        <v>26900000</v>
      </c>
      <c r="AD738" s="54">
        <f t="shared" si="82"/>
        <v>24990000</v>
      </c>
      <c r="AE738" s="54">
        <f t="shared" si="83"/>
        <v>1910000</v>
      </c>
    </row>
    <row r="739" spans="2:41" x14ac:dyDescent="0.25">
      <c r="C739" s="38"/>
    </row>
    <row r="740" spans="2:41" x14ac:dyDescent="0.25">
      <c r="C740" s="38"/>
      <c r="E740" s="83" t="s">
        <v>1372</v>
      </c>
      <c r="F740" s="15"/>
      <c r="G740" s="15" t="s">
        <v>1370</v>
      </c>
      <c r="H740" s="27">
        <f>SUM(H729:H731)</f>
        <v>539632700</v>
      </c>
      <c r="I740" s="27">
        <f>SUM(I729:I731)</f>
        <v>379046157</v>
      </c>
      <c r="J740" s="27">
        <f>+H740-I740</f>
        <v>160586543</v>
      </c>
      <c r="K740" s="15"/>
      <c r="M740">
        <f>AVERAGE(M729:M731)</f>
        <v>7</v>
      </c>
    </row>
    <row r="741" spans="2:41" x14ac:dyDescent="0.25">
      <c r="C741" s="38"/>
      <c r="E741" s="15"/>
      <c r="F741" s="15"/>
      <c r="G741" s="15" t="s">
        <v>1371</v>
      </c>
      <c r="H741" s="27">
        <f>SUM(H729:H738)</f>
        <v>909074350</v>
      </c>
      <c r="I741" s="27">
        <f>SUM(I729:I738)</f>
        <v>703464515</v>
      </c>
      <c r="J741" s="27">
        <f>+H741-I741</f>
        <v>205609835</v>
      </c>
      <c r="K741" s="15"/>
      <c r="M741">
        <f>AVERAGE(M729:M738)</f>
        <v>5.0999999999999996</v>
      </c>
    </row>
    <row r="742" spans="2:41" x14ac:dyDescent="0.25">
      <c r="C742" s="38"/>
    </row>
    <row r="743" spans="2:41" x14ac:dyDescent="0.25">
      <c r="C743" s="38"/>
    </row>
    <row r="744" spans="2:41" x14ac:dyDescent="0.25">
      <c r="C744" s="38"/>
    </row>
    <row r="745" spans="2:41" x14ac:dyDescent="0.25">
      <c r="B745" s="163"/>
      <c r="C745" s="164"/>
      <c r="D745" s="163"/>
      <c r="E745" s="163"/>
      <c r="F745" s="163"/>
      <c r="G745" s="163"/>
      <c r="H745" s="163"/>
      <c r="I745" s="163"/>
      <c r="J745" s="163"/>
      <c r="K745" s="163"/>
      <c r="L745" s="163"/>
      <c r="M745" s="163"/>
      <c r="N745" s="165"/>
      <c r="O745" s="163"/>
      <c r="P745" s="163"/>
      <c r="Q745" s="163"/>
      <c r="R745" s="163"/>
      <c r="S745" s="163"/>
      <c r="T745" s="163"/>
      <c r="U745" s="163"/>
    </row>
    <row r="746" spans="2:41" x14ac:dyDescent="0.25">
      <c r="C746" s="38"/>
    </row>
    <row r="747" spans="2:41" x14ac:dyDescent="0.25">
      <c r="C747" s="38"/>
    </row>
    <row r="748" spans="2:41" x14ac:dyDescent="0.25">
      <c r="C748" s="38"/>
      <c r="D748" s="83" t="s">
        <v>1375</v>
      </c>
    </row>
    <row r="749" spans="2:41" x14ac:dyDescent="0.25">
      <c r="B749" s="224"/>
      <c r="C749" s="39">
        <v>2018</v>
      </c>
      <c r="D749" s="62" t="s">
        <v>1316</v>
      </c>
      <c r="E749" s="63" t="s">
        <v>1317</v>
      </c>
      <c r="F749" s="64">
        <v>43411</v>
      </c>
      <c r="G749" s="65" t="s">
        <v>1225</v>
      </c>
      <c r="H749" s="94" t="s">
        <v>1387</v>
      </c>
      <c r="I749" s="94"/>
      <c r="J749" s="27"/>
      <c r="K749" s="26"/>
      <c r="L749" s="11"/>
      <c r="M749" s="257"/>
      <c r="N749" s="35"/>
      <c r="O749" s="15"/>
      <c r="P749" s="35"/>
      <c r="Q749" s="35"/>
      <c r="R749" s="15"/>
      <c r="S749" s="24" t="s">
        <v>227</v>
      </c>
      <c r="T749" s="62"/>
      <c r="U749" s="62"/>
      <c r="V749" s="94"/>
      <c r="W749" s="199"/>
      <c r="X749" s="15"/>
      <c r="Y749" s="200"/>
      <c r="Z749" s="11"/>
      <c r="AA749" s="11"/>
      <c r="AB749" s="15"/>
      <c r="AC749" s="54"/>
      <c r="AD749" s="54"/>
      <c r="AE749" s="54"/>
      <c r="AH749" s="4"/>
      <c r="AI749" s="225"/>
      <c r="AJ749" s="226"/>
      <c r="AK749" s="227"/>
      <c r="AL749" s="227"/>
      <c r="AM749" s="225"/>
      <c r="AN749" s="226"/>
      <c r="AO749" s="228"/>
    </row>
    <row r="750" spans="2:41" x14ac:dyDescent="0.25">
      <c r="B750" s="224"/>
      <c r="C750" s="39">
        <v>2018</v>
      </c>
      <c r="D750" s="62" t="s">
        <v>1376</v>
      </c>
      <c r="E750" s="63" t="s">
        <v>1377</v>
      </c>
      <c r="F750" s="64">
        <v>43398</v>
      </c>
      <c r="G750" s="65" t="s">
        <v>190</v>
      </c>
      <c r="H750" s="94" t="s">
        <v>1386</v>
      </c>
      <c r="I750" s="94"/>
      <c r="J750" s="27"/>
      <c r="K750" s="26"/>
      <c r="L750" s="11"/>
      <c r="M750" s="257"/>
      <c r="N750" s="35"/>
      <c r="O750" s="15"/>
      <c r="P750" s="35"/>
      <c r="Q750" s="35"/>
      <c r="R750" s="15"/>
      <c r="S750" s="24" t="s">
        <v>227</v>
      </c>
      <c r="T750" s="62"/>
      <c r="U750" s="62"/>
      <c r="V750" s="94"/>
      <c r="W750" s="199"/>
      <c r="X750" s="15"/>
      <c r="Y750" s="200"/>
      <c r="Z750" s="11"/>
      <c r="AA750" s="11"/>
      <c r="AB750" s="15"/>
      <c r="AC750" s="54"/>
      <c r="AD750" s="54"/>
      <c r="AE750" s="54"/>
      <c r="AM750" s="225"/>
      <c r="AN750" s="226"/>
      <c r="AO750" s="228"/>
    </row>
    <row r="751" spans="2:41" x14ac:dyDescent="0.25">
      <c r="B751" s="224"/>
      <c r="C751" s="39">
        <v>2018</v>
      </c>
      <c r="D751" s="62" t="s">
        <v>1320</v>
      </c>
      <c r="E751" s="63" t="s">
        <v>717</v>
      </c>
      <c r="F751" s="64">
        <v>43383</v>
      </c>
      <c r="G751" s="65" t="s">
        <v>1225</v>
      </c>
      <c r="H751" s="94" t="s">
        <v>1388</v>
      </c>
      <c r="I751" s="94"/>
      <c r="J751" s="27"/>
      <c r="K751" s="26"/>
      <c r="L751" s="11"/>
      <c r="M751" s="257"/>
      <c r="N751" s="35"/>
      <c r="O751" s="15"/>
      <c r="P751" s="35"/>
      <c r="Q751" s="35"/>
      <c r="R751" s="15"/>
      <c r="S751" s="24" t="s">
        <v>227</v>
      </c>
      <c r="T751" s="62"/>
      <c r="U751" s="62"/>
      <c r="V751" s="94"/>
      <c r="W751" s="199"/>
      <c r="X751" s="15"/>
      <c r="Y751" s="200"/>
      <c r="Z751" s="11"/>
      <c r="AA751" s="11"/>
      <c r="AB751" s="15"/>
      <c r="AC751" s="54"/>
      <c r="AD751" s="54"/>
      <c r="AE751" s="54"/>
      <c r="AH751" s="4"/>
      <c r="AI751" s="225"/>
      <c r="AJ751" s="226"/>
      <c r="AK751" s="227"/>
      <c r="AL751" s="227"/>
      <c r="AM751" s="225"/>
      <c r="AN751" s="226"/>
      <c r="AO751" s="228"/>
    </row>
    <row r="752" spans="2:41" x14ac:dyDescent="0.25">
      <c r="B752" s="224"/>
      <c r="C752" s="39">
        <v>2018</v>
      </c>
      <c r="D752" s="62" t="s">
        <v>1321</v>
      </c>
      <c r="E752" s="63" t="s">
        <v>1322</v>
      </c>
      <c r="F752" s="64">
        <v>43382</v>
      </c>
      <c r="G752" s="65" t="s">
        <v>1225</v>
      </c>
      <c r="H752" s="94" t="s">
        <v>1384</v>
      </c>
      <c r="I752" s="94"/>
      <c r="J752" s="94"/>
      <c r="K752" s="153"/>
      <c r="L752" s="11"/>
      <c r="M752" s="257"/>
      <c r="N752" s="35"/>
      <c r="O752" s="15"/>
      <c r="P752" s="35"/>
      <c r="Q752" s="35"/>
      <c r="R752" s="15"/>
      <c r="S752" s="24" t="s">
        <v>227</v>
      </c>
      <c r="T752" s="62"/>
      <c r="U752" s="62"/>
      <c r="V752" s="94"/>
      <c r="W752" s="199"/>
      <c r="X752" s="15"/>
      <c r="Y752" s="200"/>
      <c r="Z752" s="11"/>
      <c r="AA752" s="11"/>
      <c r="AB752" s="15"/>
      <c r="AC752" s="54"/>
      <c r="AD752" s="54"/>
      <c r="AE752" s="54"/>
      <c r="AG752" s="4"/>
      <c r="AH752" s="4"/>
      <c r="AI752" s="225"/>
      <c r="AJ752" s="226"/>
      <c r="AK752" s="227"/>
      <c r="AL752" s="227"/>
      <c r="AM752" s="225"/>
      <c r="AN752" s="226"/>
      <c r="AO752" s="228"/>
    </row>
    <row r="753" spans="3:31" x14ac:dyDescent="0.25">
      <c r="C753" s="39">
        <v>2018</v>
      </c>
      <c r="D753" s="62" t="s">
        <v>1378</v>
      </c>
      <c r="E753" s="63" t="s">
        <v>1257</v>
      </c>
      <c r="F753" s="64">
        <v>43242</v>
      </c>
      <c r="G753" s="65" t="s">
        <v>34</v>
      </c>
      <c r="H753" s="94" t="s">
        <v>1385</v>
      </c>
      <c r="I753" s="94"/>
      <c r="J753" s="27"/>
      <c r="K753" s="26"/>
      <c r="L753" s="11"/>
      <c r="M753" s="257"/>
      <c r="N753" s="35"/>
      <c r="O753" s="15"/>
      <c r="P753" s="35"/>
      <c r="Q753" s="35"/>
      <c r="R753" s="15"/>
      <c r="S753" s="24" t="s">
        <v>227</v>
      </c>
      <c r="T753" s="62"/>
      <c r="U753" s="62"/>
      <c r="V753" s="94"/>
      <c r="W753" s="199"/>
      <c r="X753" s="15"/>
      <c r="Y753" s="200"/>
      <c r="Z753" s="11"/>
      <c r="AA753" s="11"/>
      <c r="AB753" s="15"/>
      <c r="AC753" s="54"/>
      <c r="AD753" s="54"/>
      <c r="AE753" s="54"/>
    </row>
    <row r="754" spans="3:31" x14ac:dyDescent="0.25">
      <c r="C754" s="39">
        <v>2018</v>
      </c>
      <c r="D754" s="62" t="s">
        <v>1379</v>
      </c>
      <c r="E754" s="63" t="s">
        <v>1278</v>
      </c>
      <c r="F754" s="64">
        <v>43207</v>
      </c>
      <c r="G754" s="65" t="s">
        <v>190</v>
      </c>
      <c r="H754" s="94" t="s">
        <v>1382</v>
      </c>
      <c r="I754" s="94"/>
      <c r="J754" s="27"/>
      <c r="K754" s="26"/>
      <c r="L754" s="11"/>
      <c r="M754" s="257"/>
      <c r="N754" s="35"/>
      <c r="O754" s="15"/>
      <c r="P754" s="35"/>
      <c r="Q754" s="35"/>
      <c r="R754" s="15"/>
      <c r="S754" s="24" t="s">
        <v>227</v>
      </c>
      <c r="T754" s="62"/>
      <c r="U754" s="62"/>
      <c r="V754" s="94"/>
      <c r="W754" s="199"/>
      <c r="X754" s="15"/>
      <c r="Y754" s="200"/>
      <c r="Z754" s="11"/>
      <c r="AA754" s="11"/>
      <c r="AB754" s="15"/>
      <c r="AC754" s="54"/>
      <c r="AD754" s="54"/>
      <c r="AE754" s="54"/>
    </row>
    <row r="755" spans="3:31" x14ac:dyDescent="0.25">
      <c r="C755" s="39">
        <v>2018</v>
      </c>
      <c r="D755" s="62" t="s">
        <v>1380</v>
      </c>
      <c r="E755" s="63" t="s">
        <v>1381</v>
      </c>
      <c r="F755" s="64">
        <v>43117</v>
      </c>
      <c r="G755" s="65" t="s">
        <v>190</v>
      </c>
      <c r="H755" s="94" t="s">
        <v>1383</v>
      </c>
      <c r="I755" s="94"/>
      <c r="J755" s="27"/>
      <c r="K755" s="26"/>
      <c r="L755" s="11"/>
      <c r="M755" s="257"/>
      <c r="N755" s="35"/>
      <c r="O755" s="15"/>
      <c r="P755" s="35"/>
      <c r="Q755" s="35"/>
      <c r="R755" s="15"/>
      <c r="S755" s="24" t="s">
        <v>227</v>
      </c>
      <c r="T755" s="62"/>
      <c r="U755" s="62"/>
      <c r="V755" s="94"/>
      <c r="W755" s="199"/>
      <c r="X755" s="15"/>
      <c r="Y755" s="200"/>
      <c r="Z755" s="11"/>
      <c r="AA755" s="11"/>
      <c r="AB755" s="15"/>
      <c r="AC755" s="54"/>
      <c r="AD755" s="54"/>
      <c r="AE755" s="54"/>
    </row>
    <row r="767" spans="3:31" x14ac:dyDescent="0.25">
      <c r="C767" s="38"/>
    </row>
    <row r="768" spans="3:31" x14ac:dyDescent="0.25">
      <c r="C768" s="38"/>
    </row>
  </sheetData>
  <mergeCells count="4">
    <mergeCell ref="K542:L542"/>
    <mergeCell ref="F458:H458"/>
    <mergeCell ref="I458:K458"/>
    <mergeCell ref="I2:J2"/>
  </mergeCells>
  <conditionalFormatting sqref="L73:L75 L600:L607 L628:L634 L655:L657 L565:L579 L408:L409 L428:L429 L438:L439 L441:L442 L446:L447 L449:L450">
    <cfRule type="containsText" dxfId="4491" priority="1401" operator="containsText" text="FAIL">
      <formula>NOT(ISERROR(SEARCH("FAIL",L73)))</formula>
    </cfRule>
  </conditionalFormatting>
  <conditionalFormatting sqref="L73:L75 L600:L607 L628:L634 L655:L657 L565:L579 L408:L409 L428:L429 L438:L439 L441:L442 L446:L447 L449:L450">
    <cfRule type="containsText" dxfId="4490" priority="1400" operator="containsText" text="GOOD">
      <formula>NOT(ISERROR(SEARCH("GOOD",L73)))</formula>
    </cfRule>
  </conditionalFormatting>
  <conditionalFormatting sqref="L377">
    <cfRule type="containsText" dxfId="4489" priority="1357" operator="containsText" text="FAIL">
      <formula>NOT(ISERROR(SEARCH("FAIL",L377)))</formula>
    </cfRule>
  </conditionalFormatting>
  <conditionalFormatting sqref="L377">
    <cfRule type="containsText" dxfId="4488" priority="1356" operator="containsText" text="GOOD">
      <formula>NOT(ISERROR(SEARCH("GOOD",L377)))</formula>
    </cfRule>
  </conditionalFormatting>
  <conditionalFormatting sqref="Z19:AA20">
    <cfRule type="containsText" dxfId="4487" priority="1294" operator="containsText" text="FAIL">
      <formula>NOT(ISERROR(SEARCH("FAIL",Z19)))</formula>
    </cfRule>
  </conditionalFormatting>
  <conditionalFormatting sqref="Z19:AA20">
    <cfRule type="containsText" dxfId="4486" priority="1293" operator="containsText" text="GOOD">
      <formula>NOT(ISERROR(SEARCH("GOOD",Z19)))</formula>
    </cfRule>
  </conditionalFormatting>
  <conditionalFormatting sqref="L599">
    <cfRule type="containsText" dxfId="4485" priority="1332" operator="containsText" text="FAIL">
      <formula>NOT(ISERROR(SEARCH("FAIL",L599)))</formula>
    </cfRule>
  </conditionalFormatting>
  <conditionalFormatting sqref="L599">
    <cfRule type="containsText" dxfId="4484" priority="1331" operator="containsText" text="GOOD">
      <formula>NOT(ISERROR(SEARCH("GOOD",L599)))</formula>
    </cfRule>
  </conditionalFormatting>
  <conditionalFormatting sqref="L419:L420">
    <cfRule type="containsText" dxfId="4483" priority="1348" operator="containsText" text="FAIL">
      <formula>NOT(ISERROR(SEARCH("FAIL",L419)))</formula>
    </cfRule>
  </conditionalFormatting>
  <conditionalFormatting sqref="L419:L420">
    <cfRule type="containsText" dxfId="4482" priority="1347" operator="containsText" text="GOOD">
      <formula>NOT(ISERROR(SEARCH("GOOD",L419)))</formula>
    </cfRule>
  </conditionalFormatting>
  <conditionalFormatting sqref="K457">
    <cfRule type="containsText" dxfId="4481" priority="1346" operator="containsText" text="FAIL">
      <formula>NOT(ISERROR(SEARCH("FAIL",K457)))</formula>
    </cfRule>
  </conditionalFormatting>
  <conditionalFormatting sqref="K457">
    <cfRule type="containsText" dxfId="4480" priority="1345" operator="containsText" text="GOOD">
      <formula>NOT(ISERROR(SEARCH("GOOD",K457)))</formula>
    </cfRule>
  </conditionalFormatting>
  <conditionalFormatting sqref="L10:L11">
    <cfRule type="containsText" dxfId="4479" priority="1258" operator="containsText" text="FAIL">
      <formula>NOT(ISERROR(SEARCH("FAIL",L10)))</formula>
    </cfRule>
  </conditionalFormatting>
  <conditionalFormatting sqref="L10:L11">
    <cfRule type="containsText" dxfId="4478" priority="1257" operator="containsText" text="GOOD">
      <formula>NOT(ISERROR(SEARCH("GOOD",L10)))</formula>
    </cfRule>
  </conditionalFormatting>
  <conditionalFormatting sqref="L17">
    <cfRule type="containsText" dxfId="4477" priority="1236" operator="containsText" text="FAIL">
      <formula>NOT(ISERROR(SEARCH("FAIL",L17)))</formula>
    </cfRule>
  </conditionalFormatting>
  <conditionalFormatting sqref="L17">
    <cfRule type="containsText" dxfId="4476" priority="1235" operator="containsText" text="GOOD">
      <formula>NOT(ISERROR(SEARCH("GOOD",L17)))</formula>
    </cfRule>
  </conditionalFormatting>
  <conditionalFormatting sqref="Z17:AA17">
    <cfRule type="containsText" dxfId="4475" priority="1234" operator="containsText" text="FAIL">
      <formula>NOT(ISERROR(SEARCH("FAIL",Z17)))</formula>
    </cfRule>
  </conditionalFormatting>
  <conditionalFormatting sqref="Z17:AA17">
    <cfRule type="containsText" dxfId="4474" priority="1233" operator="containsText" text="GOOD">
      <formula>NOT(ISERROR(SEARCH("GOOD",Z17)))</formula>
    </cfRule>
  </conditionalFormatting>
  <conditionalFormatting sqref="Z10:AA11">
    <cfRule type="containsText" dxfId="4473" priority="1255" operator="containsText" text="GOOD">
      <formula>NOT(ISERROR(SEARCH("GOOD",Z10)))</formula>
    </cfRule>
  </conditionalFormatting>
  <conditionalFormatting sqref="Z21:AA21">
    <cfRule type="containsText" dxfId="4472" priority="1250" operator="containsText" text="FAIL">
      <formula>NOT(ISERROR(SEARCH("FAIL",Z21)))</formula>
    </cfRule>
  </conditionalFormatting>
  <conditionalFormatting sqref="Z21:AA21">
    <cfRule type="containsText" dxfId="4471" priority="1249" operator="containsText" text="GOOD">
      <formula>NOT(ISERROR(SEARCH("GOOD",Z21)))</formula>
    </cfRule>
  </conditionalFormatting>
  <conditionalFormatting sqref="Z10:AA11">
    <cfRule type="containsText" dxfId="4470" priority="1256" operator="containsText" text="FAIL">
      <formula>NOT(ISERROR(SEARCH("FAIL",Z10)))</formula>
    </cfRule>
  </conditionalFormatting>
  <conditionalFormatting sqref="Z36:AA36">
    <cfRule type="containsText" dxfId="4469" priority="1195" operator="containsText" text="GOOD">
      <formula>NOT(ISERROR(SEARCH("GOOD",Z36)))</formula>
    </cfRule>
  </conditionalFormatting>
  <conditionalFormatting sqref="Z36:AA36">
    <cfRule type="containsText" dxfId="4468" priority="1196" operator="containsText" text="FAIL">
      <formula>NOT(ISERROR(SEARCH("FAIL",Z36)))</formula>
    </cfRule>
  </conditionalFormatting>
  <conditionalFormatting sqref="B7">
    <cfRule type="containsText" dxfId="4467" priority="1223" operator="containsText" text="GOOD">
      <formula>NOT(ISERROR(SEARCH("GOOD",B7)))</formula>
    </cfRule>
  </conditionalFormatting>
  <conditionalFormatting sqref="L28">
    <cfRule type="containsText" dxfId="4466" priority="1328" operator="containsText" text="FAIL">
      <formula>NOT(ISERROR(SEARCH("FAIL",L28)))</formula>
    </cfRule>
  </conditionalFormatting>
  <conditionalFormatting sqref="L28">
    <cfRule type="containsText" dxfId="4465" priority="1327" operator="containsText" text="GOOD">
      <formula>NOT(ISERROR(SEARCH("GOOD",L28)))</formula>
    </cfRule>
  </conditionalFormatting>
  <conditionalFormatting sqref="Z28:AA28">
    <cfRule type="containsText" dxfId="4464" priority="1326" operator="containsText" text="FAIL">
      <formula>NOT(ISERROR(SEARCH("FAIL",Z28)))</formula>
    </cfRule>
  </conditionalFormatting>
  <conditionalFormatting sqref="Z28:AA28">
    <cfRule type="containsText" dxfId="4463" priority="1325" operator="containsText" text="GOOD">
      <formula>NOT(ISERROR(SEARCH("GOOD",Z28)))</formula>
    </cfRule>
  </conditionalFormatting>
  <conditionalFormatting sqref="B28">
    <cfRule type="containsText" dxfId="4462" priority="1324" operator="containsText" text="FAIL">
      <formula>NOT(ISERROR(SEARCH("FAIL",B28)))</formula>
    </cfRule>
  </conditionalFormatting>
  <conditionalFormatting sqref="B28">
    <cfRule type="containsText" dxfId="4461" priority="1323" operator="containsText" text="GOOD">
      <formula>NOT(ISERROR(SEARCH("GOOD",B28)))</formula>
    </cfRule>
  </conditionalFormatting>
  <conditionalFormatting sqref="L27">
    <cfRule type="containsText" dxfId="4460" priority="1322" operator="containsText" text="FAIL">
      <formula>NOT(ISERROR(SEARCH("FAIL",L27)))</formula>
    </cfRule>
  </conditionalFormatting>
  <conditionalFormatting sqref="L27">
    <cfRule type="containsText" dxfId="4459" priority="1321" operator="containsText" text="GOOD">
      <formula>NOT(ISERROR(SEARCH("GOOD",L27)))</formula>
    </cfRule>
  </conditionalFormatting>
  <conditionalFormatting sqref="Z27:AA27">
    <cfRule type="containsText" dxfId="4458" priority="1320" operator="containsText" text="FAIL">
      <formula>NOT(ISERROR(SEARCH("FAIL",Z27)))</formula>
    </cfRule>
  </conditionalFormatting>
  <conditionalFormatting sqref="Z27:AA27">
    <cfRule type="containsText" dxfId="4457" priority="1319" operator="containsText" text="GOOD">
      <formula>NOT(ISERROR(SEARCH("GOOD",Z27)))</formula>
    </cfRule>
  </conditionalFormatting>
  <conditionalFormatting sqref="B27">
    <cfRule type="containsText" dxfId="4456" priority="1318" operator="containsText" text="FAIL">
      <formula>NOT(ISERROR(SEARCH("FAIL",B27)))</formula>
    </cfRule>
  </conditionalFormatting>
  <conditionalFormatting sqref="B27">
    <cfRule type="containsText" dxfId="4455" priority="1317" operator="containsText" text="GOOD">
      <formula>NOT(ISERROR(SEARCH("GOOD",B27)))</formula>
    </cfRule>
  </conditionalFormatting>
  <conditionalFormatting sqref="L24 L26">
    <cfRule type="containsText" dxfId="4454" priority="1316" operator="containsText" text="FAIL">
      <formula>NOT(ISERROR(SEARCH("FAIL",L24)))</formula>
    </cfRule>
  </conditionalFormatting>
  <conditionalFormatting sqref="L24 L26">
    <cfRule type="containsText" dxfId="4453" priority="1315" operator="containsText" text="GOOD">
      <formula>NOT(ISERROR(SEARCH("GOOD",L24)))</formula>
    </cfRule>
  </conditionalFormatting>
  <conditionalFormatting sqref="Z24:AA24 Z26:AA26">
    <cfRule type="containsText" dxfId="4452" priority="1314" operator="containsText" text="FAIL">
      <formula>NOT(ISERROR(SEARCH("FAIL",Z24)))</formula>
    </cfRule>
  </conditionalFormatting>
  <conditionalFormatting sqref="Z24:AA24 Z26:AA26">
    <cfRule type="containsText" dxfId="4451" priority="1313" operator="containsText" text="GOOD">
      <formula>NOT(ISERROR(SEARCH("GOOD",Z24)))</formula>
    </cfRule>
  </conditionalFormatting>
  <conditionalFormatting sqref="B24:B26">
    <cfRule type="containsText" dxfId="4450" priority="1312" operator="containsText" text="FAIL">
      <formula>NOT(ISERROR(SEARCH("FAIL",B24)))</formula>
    </cfRule>
  </conditionalFormatting>
  <conditionalFormatting sqref="B24:B26">
    <cfRule type="containsText" dxfId="4449" priority="1311" operator="containsText" text="GOOD">
      <formula>NOT(ISERROR(SEARCH("GOOD",B24)))</formula>
    </cfRule>
  </conditionalFormatting>
  <conditionalFormatting sqref="AQ28">
    <cfRule type="containsText" dxfId="4448" priority="1310" operator="containsText" text="FAIL">
      <formula>NOT(ISERROR(SEARCH("FAIL",AQ28)))</formula>
    </cfRule>
  </conditionalFormatting>
  <conditionalFormatting sqref="AQ28">
    <cfRule type="containsText" dxfId="4447" priority="1309" operator="containsText" text="GOOD">
      <formula>NOT(ISERROR(SEARCH("GOOD",AQ28)))</formula>
    </cfRule>
  </conditionalFormatting>
  <conditionalFormatting sqref="L23">
    <cfRule type="containsText" dxfId="4446" priority="1308" operator="containsText" text="FAIL">
      <formula>NOT(ISERROR(SEARCH("FAIL",L23)))</formula>
    </cfRule>
  </conditionalFormatting>
  <conditionalFormatting sqref="L23">
    <cfRule type="containsText" dxfId="4445" priority="1307" operator="containsText" text="GOOD">
      <formula>NOT(ISERROR(SEARCH("GOOD",L23)))</formula>
    </cfRule>
  </conditionalFormatting>
  <conditionalFormatting sqref="Z23:AA23">
    <cfRule type="containsText" dxfId="4444" priority="1306" operator="containsText" text="FAIL">
      <formula>NOT(ISERROR(SEARCH("FAIL",Z23)))</formula>
    </cfRule>
  </conditionalFormatting>
  <conditionalFormatting sqref="Z23:AA23">
    <cfRule type="containsText" dxfId="4443" priority="1305" operator="containsText" text="GOOD">
      <formula>NOT(ISERROR(SEARCH("GOOD",Z23)))</formula>
    </cfRule>
  </conditionalFormatting>
  <conditionalFormatting sqref="B23">
    <cfRule type="containsText" dxfId="4442" priority="1304" operator="containsText" text="FAIL">
      <formula>NOT(ISERROR(SEARCH("FAIL",B23)))</formula>
    </cfRule>
  </conditionalFormatting>
  <conditionalFormatting sqref="B23">
    <cfRule type="containsText" dxfId="4441" priority="1303" operator="containsText" text="GOOD">
      <formula>NOT(ISERROR(SEARCH("GOOD",B23)))</formula>
    </cfRule>
  </conditionalFormatting>
  <conditionalFormatting sqref="L22">
    <cfRule type="containsText" dxfId="4440" priority="1302" operator="containsText" text="FAIL">
      <formula>NOT(ISERROR(SEARCH("FAIL",L22)))</formula>
    </cfRule>
  </conditionalFormatting>
  <conditionalFormatting sqref="L22">
    <cfRule type="containsText" dxfId="4439" priority="1301" operator="containsText" text="GOOD">
      <formula>NOT(ISERROR(SEARCH("GOOD",L22)))</formula>
    </cfRule>
  </conditionalFormatting>
  <conditionalFormatting sqref="Z22:AA22">
    <cfRule type="containsText" dxfId="4438" priority="1300" operator="containsText" text="FAIL">
      <formula>NOT(ISERROR(SEARCH("FAIL",Z22)))</formula>
    </cfRule>
  </conditionalFormatting>
  <conditionalFormatting sqref="Z22:AA22">
    <cfRule type="containsText" dxfId="4437" priority="1299" operator="containsText" text="GOOD">
      <formula>NOT(ISERROR(SEARCH("GOOD",Z22)))</formula>
    </cfRule>
  </conditionalFormatting>
  <conditionalFormatting sqref="B21:B22">
    <cfRule type="containsText" dxfId="4436" priority="1298" operator="containsText" text="FAIL">
      <formula>NOT(ISERROR(SEARCH("FAIL",B21)))</formula>
    </cfRule>
  </conditionalFormatting>
  <conditionalFormatting sqref="B21:B22">
    <cfRule type="containsText" dxfId="4435" priority="1297" operator="containsText" text="GOOD">
      <formula>NOT(ISERROR(SEARCH("GOOD",B21)))</formula>
    </cfRule>
  </conditionalFormatting>
  <conditionalFormatting sqref="L19:L20">
    <cfRule type="containsText" dxfId="4434" priority="1296" operator="containsText" text="FAIL">
      <formula>NOT(ISERROR(SEARCH("FAIL",L19)))</formula>
    </cfRule>
  </conditionalFormatting>
  <conditionalFormatting sqref="L19:L20">
    <cfRule type="containsText" dxfId="4433" priority="1295" operator="containsText" text="GOOD">
      <formula>NOT(ISERROR(SEARCH("GOOD",L19)))</formula>
    </cfRule>
  </conditionalFormatting>
  <conditionalFormatting sqref="B19:B20">
    <cfRule type="containsText" dxfId="4432" priority="1292" operator="containsText" text="FAIL">
      <formula>NOT(ISERROR(SEARCH("FAIL",B19)))</formula>
    </cfRule>
  </conditionalFormatting>
  <conditionalFormatting sqref="B19:B20">
    <cfRule type="containsText" dxfId="4431" priority="1291" operator="containsText" text="GOOD">
      <formula>NOT(ISERROR(SEARCH("GOOD",B19)))</formula>
    </cfRule>
  </conditionalFormatting>
  <conditionalFormatting sqref="L18">
    <cfRule type="containsText" dxfId="4430" priority="1290" operator="containsText" text="FAIL">
      <formula>NOT(ISERROR(SEARCH("FAIL",L18)))</formula>
    </cfRule>
  </conditionalFormatting>
  <conditionalFormatting sqref="L18">
    <cfRule type="containsText" dxfId="4429" priority="1289" operator="containsText" text="GOOD">
      <formula>NOT(ISERROR(SEARCH("GOOD",L18)))</formula>
    </cfRule>
  </conditionalFormatting>
  <conditionalFormatting sqref="Z18:AA18">
    <cfRule type="containsText" dxfId="4428" priority="1288" operator="containsText" text="FAIL">
      <formula>NOT(ISERROR(SEARCH("FAIL",Z18)))</formula>
    </cfRule>
  </conditionalFormatting>
  <conditionalFormatting sqref="Z18:AA18">
    <cfRule type="containsText" dxfId="4427" priority="1287" operator="containsText" text="GOOD">
      <formula>NOT(ISERROR(SEARCH("GOOD",Z18)))</formula>
    </cfRule>
  </conditionalFormatting>
  <conditionalFormatting sqref="B18">
    <cfRule type="containsText" dxfId="4426" priority="1286" operator="containsText" text="FAIL">
      <formula>NOT(ISERROR(SEARCH("FAIL",B18)))</formula>
    </cfRule>
  </conditionalFormatting>
  <conditionalFormatting sqref="B18">
    <cfRule type="containsText" dxfId="4425" priority="1285" operator="containsText" text="GOOD">
      <formula>NOT(ISERROR(SEARCH("GOOD",B18)))</formula>
    </cfRule>
  </conditionalFormatting>
  <conditionalFormatting sqref="B17">
    <cfRule type="containsText" dxfId="4424" priority="1284" operator="containsText" text="FAIL">
      <formula>NOT(ISERROR(SEARCH("FAIL",B17)))</formula>
    </cfRule>
  </conditionalFormatting>
  <conditionalFormatting sqref="B17">
    <cfRule type="containsText" dxfId="4423" priority="1283" operator="containsText" text="GOOD">
      <formula>NOT(ISERROR(SEARCH("GOOD",B17)))</formula>
    </cfRule>
  </conditionalFormatting>
  <conditionalFormatting sqref="L15:L16">
    <cfRule type="containsText" dxfId="4422" priority="1282" operator="containsText" text="FAIL">
      <formula>NOT(ISERROR(SEARCH("FAIL",L15)))</formula>
    </cfRule>
  </conditionalFormatting>
  <conditionalFormatting sqref="L15:L16">
    <cfRule type="containsText" dxfId="4421" priority="1281" operator="containsText" text="GOOD">
      <formula>NOT(ISERROR(SEARCH("GOOD",L15)))</formula>
    </cfRule>
  </conditionalFormatting>
  <conditionalFormatting sqref="Z15:AA16">
    <cfRule type="containsText" dxfId="4420" priority="1280" operator="containsText" text="FAIL">
      <formula>NOT(ISERROR(SEARCH("FAIL",Z15)))</formula>
    </cfRule>
  </conditionalFormatting>
  <conditionalFormatting sqref="Z15:AA16">
    <cfRule type="containsText" dxfId="4419" priority="1279" operator="containsText" text="GOOD">
      <formula>NOT(ISERROR(SEARCH("GOOD",Z15)))</formula>
    </cfRule>
  </conditionalFormatting>
  <conditionalFormatting sqref="B15:B16">
    <cfRule type="containsText" dxfId="4418" priority="1278" operator="containsText" text="FAIL">
      <formula>NOT(ISERROR(SEARCH("FAIL",B15)))</formula>
    </cfRule>
  </conditionalFormatting>
  <conditionalFormatting sqref="B15:B16">
    <cfRule type="containsText" dxfId="4417" priority="1277" operator="containsText" text="GOOD">
      <formula>NOT(ISERROR(SEARCH("GOOD",B15)))</formula>
    </cfRule>
  </conditionalFormatting>
  <conditionalFormatting sqref="L14">
    <cfRule type="containsText" dxfId="4416" priority="1276" operator="containsText" text="FAIL">
      <formula>NOT(ISERROR(SEARCH("FAIL",L14)))</formula>
    </cfRule>
  </conditionalFormatting>
  <conditionalFormatting sqref="L14">
    <cfRule type="containsText" dxfId="4415" priority="1275" operator="containsText" text="GOOD">
      <formula>NOT(ISERROR(SEARCH("GOOD",L14)))</formula>
    </cfRule>
  </conditionalFormatting>
  <conditionalFormatting sqref="Z14:AA14">
    <cfRule type="containsText" dxfId="4414" priority="1274" operator="containsText" text="FAIL">
      <formula>NOT(ISERROR(SEARCH("FAIL",Z14)))</formula>
    </cfRule>
  </conditionalFormatting>
  <conditionalFormatting sqref="Z14:AA14">
    <cfRule type="containsText" dxfId="4413" priority="1273" operator="containsText" text="GOOD">
      <formula>NOT(ISERROR(SEARCH("GOOD",Z14)))</formula>
    </cfRule>
  </conditionalFormatting>
  <conditionalFormatting sqref="B14">
    <cfRule type="containsText" dxfId="4412" priority="1272" operator="containsText" text="FAIL">
      <formula>NOT(ISERROR(SEARCH("FAIL",B14)))</formula>
    </cfRule>
  </conditionalFormatting>
  <conditionalFormatting sqref="B14">
    <cfRule type="containsText" dxfId="4411" priority="1271" operator="containsText" text="GOOD">
      <formula>NOT(ISERROR(SEARCH("GOOD",B14)))</formula>
    </cfRule>
  </conditionalFormatting>
  <conditionalFormatting sqref="L13">
    <cfRule type="containsText" dxfId="4410" priority="1270" operator="containsText" text="FAIL">
      <formula>NOT(ISERROR(SEARCH("FAIL",L13)))</formula>
    </cfRule>
  </conditionalFormatting>
  <conditionalFormatting sqref="L13">
    <cfRule type="containsText" dxfId="4409" priority="1269" operator="containsText" text="GOOD">
      <formula>NOT(ISERROR(SEARCH("GOOD",L13)))</formula>
    </cfRule>
  </conditionalFormatting>
  <conditionalFormatting sqref="Z13:AA13">
    <cfRule type="containsText" dxfId="4408" priority="1268" operator="containsText" text="FAIL">
      <formula>NOT(ISERROR(SEARCH("FAIL",Z13)))</formula>
    </cfRule>
  </conditionalFormatting>
  <conditionalFormatting sqref="Z13:AA13">
    <cfRule type="containsText" dxfId="4407" priority="1267" operator="containsText" text="GOOD">
      <formula>NOT(ISERROR(SEARCH("GOOD",Z13)))</formula>
    </cfRule>
  </conditionalFormatting>
  <conditionalFormatting sqref="B13">
    <cfRule type="containsText" dxfId="4406" priority="1266" operator="containsText" text="FAIL">
      <formula>NOT(ISERROR(SEARCH("FAIL",B13)))</formula>
    </cfRule>
  </conditionalFormatting>
  <conditionalFormatting sqref="B13">
    <cfRule type="containsText" dxfId="4405" priority="1265" operator="containsText" text="GOOD">
      <formula>NOT(ISERROR(SEARCH("GOOD",B13)))</formula>
    </cfRule>
  </conditionalFormatting>
  <conditionalFormatting sqref="L12">
    <cfRule type="containsText" dxfId="4404" priority="1264" operator="containsText" text="FAIL">
      <formula>NOT(ISERROR(SEARCH("FAIL",L12)))</formula>
    </cfRule>
  </conditionalFormatting>
  <conditionalFormatting sqref="L12">
    <cfRule type="containsText" dxfId="4403" priority="1263" operator="containsText" text="GOOD">
      <formula>NOT(ISERROR(SEARCH("GOOD",L12)))</formula>
    </cfRule>
  </conditionalFormatting>
  <conditionalFormatting sqref="Z12:AA12">
    <cfRule type="containsText" dxfId="4402" priority="1262" operator="containsText" text="FAIL">
      <formula>NOT(ISERROR(SEARCH("FAIL",Z12)))</formula>
    </cfRule>
  </conditionalFormatting>
  <conditionalFormatting sqref="Z12:AA12">
    <cfRule type="containsText" dxfId="4401" priority="1261" operator="containsText" text="GOOD">
      <formula>NOT(ISERROR(SEARCH("GOOD",Z12)))</formula>
    </cfRule>
  </conditionalFormatting>
  <conditionalFormatting sqref="B12">
    <cfRule type="containsText" dxfId="4400" priority="1260" operator="containsText" text="FAIL">
      <formula>NOT(ISERROR(SEARCH("FAIL",B12)))</formula>
    </cfRule>
  </conditionalFormatting>
  <conditionalFormatting sqref="B12">
    <cfRule type="containsText" dxfId="4399" priority="1259" operator="containsText" text="GOOD">
      <formula>NOT(ISERROR(SEARCH("GOOD",B12)))</formula>
    </cfRule>
  </conditionalFormatting>
  <conditionalFormatting sqref="B10:B11">
    <cfRule type="containsText" dxfId="4398" priority="1254" operator="containsText" text="FAIL">
      <formula>NOT(ISERROR(SEARCH("FAIL",B10)))</formula>
    </cfRule>
  </conditionalFormatting>
  <conditionalFormatting sqref="B10:B11">
    <cfRule type="containsText" dxfId="4397" priority="1253" operator="containsText" text="GOOD">
      <formula>NOT(ISERROR(SEARCH("GOOD",B10)))</formula>
    </cfRule>
  </conditionalFormatting>
  <conditionalFormatting sqref="L21">
    <cfRule type="containsText" dxfId="4396" priority="1252" operator="containsText" text="FAIL">
      <formula>NOT(ISERROR(SEARCH("FAIL",L21)))</formula>
    </cfRule>
  </conditionalFormatting>
  <conditionalFormatting sqref="L21">
    <cfRule type="containsText" dxfId="4395" priority="1251" operator="containsText" text="GOOD">
      <formula>NOT(ISERROR(SEARCH("GOOD",L21)))</formula>
    </cfRule>
  </conditionalFormatting>
  <conditionalFormatting sqref="L9">
    <cfRule type="containsText" dxfId="4394" priority="1248" operator="containsText" text="FAIL">
      <formula>NOT(ISERROR(SEARCH("FAIL",L9)))</formula>
    </cfRule>
  </conditionalFormatting>
  <conditionalFormatting sqref="L9">
    <cfRule type="containsText" dxfId="4393" priority="1247" operator="containsText" text="GOOD">
      <formula>NOT(ISERROR(SEARCH("GOOD",L9)))</formula>
    </cfRule>
  </conditionalFormatting>
  <conditionalFormatting sqref="Z9:AA9">
    <cfRule type="containsText" dxfId="4392" priority="1246" operator="containsText" text="FAIL">
      <formula>NOT(ISERROR(SEARCH("FAIL",Z9)))</formula>
    </cfRule>
  </conditionalFormatting>
  <conditionalFormatting sqref="Z9:AA9">
    <cfRule type="containsText" dxfId="4391" priority="1245" operator="containsText" text="GOOD">
      <formula>NOT(ISERROR(SEARCH("GOOD",Z9)))</formula>
    </cfRule>
  </conditionalFormatting>
  <conditionalFormatting sqref="B9">
    <cfRule type="containsText" dxfId="4390" priority="1244" operator="containsText" text="FAIL">
      <formula>NOT(ISERROR(SEARCH("FAIL",B9)))</formula>
    </cfRule>
  </conditionalFormatting>
  <conditionalFormatting sqref="B9">
    <cfRule type="containsText" dxfId="4389" priority="1243" operator="containsText" text="GOOD">
      <formula>NOT(ISERROR(SEARCH("GOOD",B9)))</formula>
    </cfRule>
  </conditionalFormatting>
  <conditionalFormatting sqref="L8">
    <cfRule type="containsText" dxfId="4388" priority="1242" operator="containsText" text="FAIL">
      <formula>NOT(ISERROR(SEARCH("FAIL",L8)))</formula>
    </cfRule>
  </conditionalFormatting>
  <conditionalFormatting sqref="L8">
    <cfRule type="containsText" dxfId="4387" priority="1241" operator="containsText" text="GOOD">
      <formula>NOT(ISERROR(SEARCH("GOOD",L8)))</formula>
    </cfRule>
  </conditionalFormatting>
  <conditionalFormatting sqref="Z8:AA8">
    <cfRule type="containsText" dxfId="4386" priority="1240" operator="containsText" text="FAIL">
      <formula>NOT(ISERROR(SEARCH("FAIL",Z8)))</formula>
    </cfRule>
  </conditionalFormatting>
  <conditionalFormatting sqref="Z8:AA8">
    <cfRule type="containsText" dxfId="4385" priority="1239" operator="containsText" text="GOOD">
      <formula>NOT(ISERROR(SEARCH("GOOD",Z8)))</formula>
    </cfRule>
  </conditionalFormatting>
  <conditionalFormatting sqref="B8">
    <cfRule type="containsText" dxfId="4384" priority="1238" operator="containsText" text="FAIL">
      <formula>NOT(ISERROR(SEARCH("FAIL",B8)))</formula>
    </cfRule>
  </conditionalFormatting>
  <conditionalFormatting sqref="B8">
    <cfRule type="containsText" dxfId="4383" priority="1237" operator="containsText" text="GOOD">
      <formula>NOT(ISERROR(SEARCH("GOOD",B8)))</formula>
    </cfRule>
  </conditionalFormatting>
  <conditionalFormatting sqref="L25">
    <cfRule type="containsText" dxfId="4382" priority="1232" operator="containsText" text="FAIL">
      <formula>NOT(ISERROR(SEARCH("FAIL",L25)))</formula>
    </cfRule>
  </conditionalFormatting>
  <conditionalFormatting sqref="L25">
    <cfRule type="containsText" dxfId="4381" priority="1231" operator="containsText" text="GOOD">
      <formula>NOT(ISERROR(SEARCH("GOOD",L25)))</formula>
    </cfRule>
  </conditionalFormatting>
  <conditionalFormatting sqref="Z25:AA25">
    <cfRule type="containsText" dxfId="4380" priority="1230" operator="containsText" text="FAIL">
      <formula>NOT(ISERROR(SEARCH("FAIL",Z25)))</formula>
    </cfRule>
  </conditionalFormatting>
  <conditionalFormatting sqref="Z25:AA25">
    <cfRule type="containsText" dxfId="4379" priority="1229" operator="containsText" text="GOOD">
      <formula>NOT(ISERROR(SEARCH("GOOD",Z25)))</formula>
    </cfRule>
  </conditionalFormatting>
  <conditionalFormatting sqref="L7">
    <cfRule type="containsText" dxfId="4378" priority="1228" operator="containsText" text="FAIL">
      <formula>NOT(ISERROR(SEARCH("FAIL",L7)))</formula>
    </cfRule>
  </conditionalFormatting>
  <conditionalFormatting sqref="L7">
    <cfRule type="containsText" dxfId="4377" priority="1227" operator="containsText" text="GOOD">
      <formula>NOT(ISERROR(SEARCH("GOOD",L7)))</formula>
    </cfRule>
  </conditionalFormatting>
  <conditionalFormatting sqref="Z7:AA7">
    <cfRule type="containsText" dxfId="4376" priority="1226" operator="containsText" text="FAIL">
      <formula>NOT(ISERROR(SEARCH("FAIL",Z7)))</formula>
    </cfRule>
  </conditionalFormatting>
  <conditionalFormatting sqref="Z7:AA7">
    <cfRule type="containsText" dxfId="4375" priority="1225" operator="containsText" text="GOOD">
      <formula>NOT(ISERROR(SEARCH("GOOD",Z7)))</formula>
    </cfRule>
  </conditionalFormatting>
  <conditionalFormatting sqref="B7">
    <cfRule type="containsText" dxfId="4374" priority="1224" operator="containsText" text="FAIL">
      <formula>NOT(ISERROR(SEARCH("FAIL",B7)))</formula>
    </cfRule>
  </conditionalFormatting>
  <conditionalFormatting sqref="L43">
    <cfRule type="containsText" dxfId="4373" priority="1220" operator="containsText" text="FAIL">
      <formula>NOT(ISERROR(SEARCH("FAIL",L43)))</formula>
    </cfRule>
  </conditionalFormatting>
  <conditionalFormatting sqref="L43">
    <cfRule type="containsText" dxfId="4372" priority="1219" operator="containsText" text="GOOD">
      <formula>NOT(ISERROR(SEARCH("GOOD",L43)))</formula>
    </cfRule>
  </conditionalFormatting>
  <conditionalFormatting sqref="Z43:AA43">
    <cfRule type="containsText" dxfId="4371" priority="1218" operator="containsText" text="FAIL">
      <formula>NOT(ISERROR(SEARCH("FAIL",Z43)))</formula>
    </cfRule>
  </conditionalFormatting>
  <conditionalFormatting sqref="Z43:AA43">
    <cfRule type="containsText" dxfId="4370" priority="1217" operator="containsText" text="GOOD">
      <formula>NOT(ISERROR(SEARCH("GOOD",Z43)))</formula>
    </cfRule>
  </conditionalFormatting>
  <conditionalFormatting sqref="B43">
    <cfRule type="containsText" dxfId="4369" priority="1216" operator="containsText" text="FAIL">
      <formula>NOT(ISERROR(SEARCH("FAIL",B43)))</formula>
    </cfRule>
  </conditionalFormatting>
  <conditionalFormatting sqref="B43">
    <cfRule type="containsText" dxfId="4368" priority="1215" operator="containsText" text="GOOD">
      <formula>NOT(ISERROR(SEARCH("GOOD",B43)))</formula>
    </cfRule>
  </conditionalFormatting>
  <conditionalFormatting sqref="L42">
    <cfRule type="containsText" dxfId="4367" priority="1214" operator="containsText" text="FAIL">
      <formula>NOT(ISERROR(SEARCH("FAIL",L42)))</formula>
    </cfRule>
  </conditionalFormatting>
  <conditionalFormatting sqref="L42">
    <cfRule type="containsText" dxfId="4366" priority="1213" operator="containsText" text="GOOD">
      <formula>NOT(ISERROR(SEARCH("GOOD",L42)))</formula>
    </cfRule>
  </conditionalFormatting>
  <conditionalFormatting sqref="Z42:AA42">
    <cfRule type="containsText" dxfId="4365" priority="1212" operator="containsText" text="FAIL">
      <formula>NOT(ISERROR(SEARCH("FAIL",Z42)))</formula>
    </cfRule>
  </conditionalFormatting>
  <conditionalFormatting sqref="Z42:AA42">
    <cfRule type="containsText" dxfId="4364" priority="1211" operator="containsText" text="GOOD">
      <formula>NOT(ISERROR(SEARCH("GOOD",Z42)))</formula>
    </cfRule>
  </conditionalFormatting>
  <conditionalFormatting sqref="L41">
    <cfRule type="containsText" dxfId="4363" priority="1210" operator="containsText" text="FAIL">
      <formula>NOT(ISERROR(SEARCH("FAIL",L41)))</formula>
    </cfRule>
  </conditionalFormatting>
  <conditionalFormatting sqref="L41">
    <cfRule type="containsText" dxfId="4362" priority="1209" operator="containsText" text="GOOD">
      <formula>NOT(ISERROR(SEARCH("GOOD",L41)))</formula>
    </cfRule>
  </conditionalFormatting>
  <conditionalFormatting sqref="Z41:AA41">
    <cfRule type="containsText" dxfId="4361" priority="1208" operator="containsText" text="FAIL">
      <formula>NOT(ISERROR(SEARCH("FAIL",Z41)))</formula>
    </cfRule>
  </conditionalFormatting>
  <conditionalFormatting sqref="Z41:AA41">
    <cfRule type="containsText" dxfId="4360" priority="1207" operator="containsText" text="GOOD">
      <formula>NOT(ISERROR(SEARCH("GOOD",Z41)))</formula>
    </cfRule>
  </conditionalFormatting>
  <conditionalFormatting sqref="L38:L39">
    <cfRule type="containsText" dxfId="4359" priority="1206" operator="containsText" text="FAIL">
      <formula>NOT(ISERROR(SEARCH("FAIL",L38)))</formula>
    </cfRule>
  </conditionalFormatting>
  <conditionalFormatting sqref="L38:L39">
    <cfRule type="containsText" dxfId="4358" priority="1205" operator="containsText" text="GOOD">
      <formula>NOT(ISERROR(SEARCH("GOOD",L38)))</formula>
    </cfRule>
  </conditionalFormatting>
  <conditionalFormatting sqref="Z38:AA39">
    <cfRule type="containsText" dxfId="4357" priority="1204" operator="containsText" text="FAIL">
      <formula>NOT(ISERROR(SEARCH("FAIL",Z38)))</formula>
    </cfRule>
  </conditionalFormatting>
  <conditionalFormatting sqref="Z38:AA39">
    <cfRule type="containsText" dxfId="4356" priority="1203" operator="containsText" text="GOOD">
      <formula>NOT(ISERROR(SEARCH("GOOD",Z38)))</formula>
    </cfRule>
  </conditionalFormatting>
  <conditionalFormatting sqref="L37">
    <cfRule type="containsText" dxfId="4355" priority="1202" operator="containsText" text="FAIL">
      <formula>NOT(ISERROR(SEARCH("FAIL",L37)))</formula>
    </cfRule>
  </conditionalFormatting>
  <conditionalFormatting sqref="L37">
    <cfRule type="containsText" dxfId="4354" priority="1201" operator="containsText" text="GOOD">
      <formula>NOT(ISERROR(SEARCH("GOOD",L37)))</formula>
    </cfRule>
  </conditionalFormatting>
  <conditionalFormatting sqref="Z37:AA37">
    <cfRule type="containsText" dxfId="4353" priority="1200" operator="containsText" text="FAIL">
      <formula>NOT(ISERROR(SEARCH("FAIL",Z37)))</formula>
    </cfRule>
  </conditionalFormatting>
  <conditionalFormatting sqref="Z37:AA37">
    <cfRule type="containsText" dxfId="4352" priority="1199" operator="containsText" text="GOOD">
      <formula>NOT(ISERROR(SEARCH("GOOD",Z37)))</formula>
    </cfRule>
  </conditionalFormatting>
  <conditionalFormatting sqref="L36">
    <cfRule type="containsText" dxfId="4351" priority="1198" operator="containsText" text="FAIL">
      <formula>NOT(ISERROR(SEARCH("FAIL",L36)))</formula>
    </cfRule>
  </conditionalFormatting>
  <conditionalFormatting sqref="L36">
    <cfRule type="containsText" dxfId="4350" priority="1197" operator="containsText" text="GOOD">
      <formula>NOT(ISERROR(SEARCH("GOOD",L36)))</formula>
    </cfRule>
  </conditionalFormatting>
  <conditionalFormatting sqref="L35">
    <cfRule type="containsText" dxfId="4349" priority="1194" operator="containsText" text="FAIL">
      <formula>NOT(ISERROR(SEARCH("FAIL",L35)))</formula>
    </cfRule>
  </conditionalFormatting>
  <conditionalFormatting sqref="L35">
    <cfRule type="containsText" dxfId="4348" priority="1193" operator="containsText" text="GOOD">
      <formula>NOT(ISERROR(SEARCH("GOOD",L35)))</formula>
    </cfRule>
  </conditionalFormatting>
  <conditionalFormatting sqref="Z35:AA35">
    <cfRule type="containsText" dxfId="4347" priority="1192" operator="containsText" text="FAIL">
      <formula>NOT(ISERROR(SEARCH("FAIL",Z35)))</formula>
    </cfRule>
  </conditionalFormatting>
  <conditionalFormatting sqref="Z35:AA35">
    <cfRule type="containsText" dxfId="4346" priority="1191" operator="containsText" text="GOOD">
      <formula>NOT(ISERROR(SEARCH("GOOD",Z35)))</formula>
    </cfRule>
  </conditionalFormatting>
  <conditionalFormatting sqref="L40">
    <cfRule type="containsText" dxfId="4345" priority="1190" operator="containsText" text="FAIL">
      <formula>NOT(ISERROR(SEARCH("FAIL",L40)))</formula>
    </cfRule>
  </conditionalFormatting>
  <conditionalFormatting sqref="L40">
    <cfRule type="containsText" dxfId="4344" priority="1189" operator="containsText" text="GOOD">
      <formula>NOT(ISERROR(SEARCH("GOOD",L40)))</formula>
    </cfRule>
  </conditionalFormatting>
  <conditionalFormatting sqref="Z40:AA40">
    <cfRule type="containsText" dxfId="4343" priority="1188" operator="containsText" text="FAIL">
      <formula>NOT(ISERROR(SEARCH("FAIL",Z40)))</formula>
    </cfRule>
  </conditionalFormatting>
  <conditionalFormatting sqref="Z40:AA40">
    <cfRule type="containsText" dxfId="4342" priority="1187" operator="containsText" text="GOOD">
      <formula>NOT(ISERROR(SEARCH("GOOD",Z40)))</formula>
    </cfRule>
  </conditionalFormatting>
  <conditionalFormatting sqref="L34">
    <cfRule type="containsText" dxfId="4341" priority="1186" operator="containsText" text="FAIL">
      <formula>NOT(ISERROR(SEARCH("FAIL",L34)))</formula>
    </cfRule>
  </conditionalFormatting>
  <conditionalFormatting sqref="L34">
    <cfRule type="containsText" dxfId="4340" priority="1185" operator="containsText" text="GOOD">
      <formula>NOT(ISERROR(SEARCH("GOOD",L34)))</formula>
    </cfRule>
  </conditionalFormatting>
  <conditionalFormatting sqref="Z34:AA34">
    <cfRule type="containsText" dxfId="4339" priority="1184" operator="containsText" text="FAIL">
      <formula>NOT(ISERROR(SEARCH("FAIL",Z34)))</formula>
    </cfRule>
  </conditionalFormatting>
  <conditionalFormatting sqref="Z34:AA34">
    <cfRule type="containsText" dxfId="4338" priority="1183" operator="containsText" text="GOOD">
      <formula>NOT(ISERROR(SEARCH("GOOD",Z34)))</formula>
    </cfRule>
  </conditionalFormatting>
  <conditionalFormatting sqref="L33">
    <cfRule type="containsText" dxfId="4337" priority="1182" operator="containsText" text="FAIL">
      <formula>NOT(ISERROR(SEARCH("FAIL",L33)))</formula>
    </cfRule>
  </conditionalFormatting>
  <conditionalFormatting sqref="L33">
    <cfRule type="containsText" dxfId="4336" priority="1181" operator="containsText" text="GOOD">
      <formula>NOT(ISERROR(SEARCH("GOOD",L33)))</formula>
    </cfRule>
  </conditionalFormatting>
  <conditionalFormatting sqref="Z33:AA33">
    <cfRule type="containsText" dxfId="4335" priority="1180" operator="containsText" text="FAIL">
      <formula>NOT(ISERROR(SEARCH("FAIL",Z33)))</formula>
    </cfRule>
  </conditionalFormatting>
  <conditionalFormatting sqref="Z33:AA33">
    <cfRule type="containsText" dxfId="4334" priority="1179" operator="containsText" text="GOOD">
      <formula>NOT(ISERROR(SEARCH("GOOD",Z33)))</formula>
    </cfRule>
  </conditionalFormatting>
  <conditionalFormatting sqref="L32">
    <cfRule type="containsText" dxfId="4333" priority="1178" operator="containsText" text="FAIL">
      <formula>NOT(ISERROR(SEARCH("FAIL",L32)))</formula>
    </cfRule>
  </conditionalFormatting>
  <conditionalFormatting sqref="L32">
    <cfRule type="containsText" dxfId="4332" priority="1177" operator="containsText" text="GOOD">
      <formula>NOT(ISERROR(SEARCH("GOOD",L32)))</formula>
    </cfRule>
  </conditionalFormatting>
  <conditionalFormatting sqref="Z32:AA32">
    <cfRule type="containsText" dxfId="4331" priority="1176" operator="containsText" text="FAIL">
      <formula>NOT(ISERROR(SEARCH("FAIL",Z32)))</formula>
    </cfRule>
  </conditionalFormatting>
  <conditionalFormatting sqref="Z32:AA32">
    <cfRule type="containsText" dxfId="4330" priority="1175" operator="containsText" text="GOOD">
      <formula>NOT(ISERROR(SEARCH("GOOD",Z32)))</formula>
    </cfRule>
  </conditionalFormatting>
  <conditionalFormatting sqref="L30:L31">
    <cfRule type="containsText" dxfId="4329" priority="1174" operator="containsText" text="FAIL">
      <formula>NOT(ISERROR(SEARCH("FAIL",L30)))</formula>
    </cfRule>
  </conditionalFormatting>
  <conditionalFormatting sqref="L30:L31">
    <cfRule type="containsText" dxfId="4328" priority="1173" operator="containsText" text="GOOD">
      <formula>NOT(ISERROR(SEARCH("GOOD",L30)))</formula>
    </cfRule>
  </conditionalFormatting>
  <conditionalFormatting sqref="Z30:AA31">
    <cfRule type="containsText" dxfId="4327" priority="1172" operator="containsText" text="FAIL">
      <formula>NOT(ISERROR(SEARCH("FAIL",Z30)))</formula>
    </cfRule>
  </conditionalFormatting>
  <conditionalFormatting sqref="Z30:AA31">
    <cfRule type="containsText" dxfId="4326" priority="1171" operator="containsText" text="GOOD">
      <formula>NOT(ISERROR(SEARCH("GOOD",Z30)))</formula>
    </cfRule>
  </conditionalFormatting>
  <conditionalFormatting sqref="Z45:AA45">
    <cfRule type="containsText" dxfId="4325" priority="1125" operator="containsText" text="GOOD">
      <formula>NOT(ISERROR(SEARCH("GOOD",Z45)))</formula>
    </cfRule>
  </conditionalFormatting>
  <conditionalFormatting sqref="L55">
    <cfRule type="containsText" dxfId="4324" priority="1170" operator="containsText" text="FAIL">
      <formula>NOT(ISERROR(SEARCH("FAIL",L55)))</formula>
    </cfRule>
  </conditionalFormatting>
  <conditionalFormatting sqref="L55">
    <cfRule type="containsText" dxfId="4323" priority="1169" operator="containsText" text="GOOD">
      <formula>NOT(ISERROR(SEARCH("GOOD",L55)))</formula>
    </cfRule>
  </conditionalFormatting>
  <conditionalFormatting sqref="Z55:AA55">
    <cfRule type="containsText" dxfId="4322" priority="1168" operator="containsText" text="FAIL">
      <formula>NOT(ISERROR(SEARCH("FAIL",Z55)))</formula>
    </cfRule>
  </conditionalFormatting>
  <conditionalFormatting sqref="Z55:AA55">
    <cfRule type="containsText" dxfId="4321" priority="1167" operator="containsText" text="GOOD">
      <formula>NOT(ISERROR(SEARCH("GOOD",Z55)))</formula>
    </cfRule>
  </conditionalFormatting>
  <conditionalFormatting sqref="B55">
    <cfRule type="containsText" dxfId="4320" priority="1166" operator="containsText" text="FAIL">
      <formula>NOT(ISERROR(SEARCH("FAIL",B55)))</formula>
    </cfRule>
  </conditionalFormatting>
  <conditionalFormatting sqref="B55">
    <cfRule type="containsText" dxfId="4319" priority="1165" operator="containsText" text="GOOD">
      <formula>NOT(ISERROR(SEARCH("GOOD",B55)))</formula>
    </cfRule>
  </conditionalFormatting>
  <conditionalFormatting sqref="L54">
    <cfRule type="containsText" dxfId="4318" priority="1164" operator="containsText" text="FAIL">
      <formula>NOT(ISERROR(SEARCH("FAIL",L54)))</formula>
    </cfRule>
  </conditionalFormatting>
  <conditionalFormatting sqref="L54">
    <cfRule type="containsText" dxfId="4317" priority="1163" operator="containsText" text="GOOD">
      <formula>NOT(ISERROR(SEARCH("GOOD",L54)))</formula>
    </cfRule>
  </conditionalFormatting>
  <conditionalFormatting sqref="Z54:AA54">
    <cfRule type="containsText" dxfId="4316" priority="1162" operator="containsText" text="FAIL">
      <formula>NOT(ISERROR(SEARCH("FAIL",Z54)))</formula>
    </cfRule>
  </conditionalFormatting>
  <conditionalFormatting sqref="Z54:AA54">
    <cfRule type="containsText" dxfId="4315" priority="1161" operator="containsText" text="GOOD">
      <formula>NOT(ISERROR(SEARCH("GOOD",Z54)))</formula>
    </cfRule>
  </conditionalFormatting>
  <conditionalFormatting sqref="L53">
    <cfRule type="containsText" dxfId="4314" priority="1160" operator="containsText" text="FAIL">
      <formula>NOT(ISERROR(SEARCH("FAIL",L53)))</formula>
    </cfRule>
  </conditionalFormatting>
  <conditionalFormatting sqref="L53">
    <cfRule type="containsText" dxfId="4313" priority="1159" operator="containsText" text="GOOD">
      <formula>NOT(ISERROR(SEARCH("GOOD",L53)))</formula>
    </cfRule>
  </conditionalFormatting>
  <conditionalFormatting sqref="Z53:AA53">
    <cfRule type="containsText" dxfId="4312" priority="1158" operator="containsText" text="FAIL">
      <formula>NOT(ISERROR(SEARCH("FAIL",Z53)))</formula>
    </cfRule>
  </conditionalFormatting>
  <conditionalFormatting sqref="Z53:AA53">
    <cfRule type="containsText" dxfId="4311" priority="1157" operator="containsText" text="GOOD">
      <formula>NOT(ISERROR(SEARCH("GOOD",Z53)))</formula>
    </cfRule>
  </conditionalFormatting>
  <conditionalFormatting sqref="L52">
    <cfRule type="containsText" dxfId="4310" priority="1156" operator="containsText" text="FAIL">
      <formula>NOT(ISERROR(SEARCH("FAIL",L52)))</formula>
    </cfRule>
  </conditionalFormatting>
  <conditionalFormatting sqref="L52">
    <cfRule type="containsText" dxfId="4309" priority="1155" operator="containsText" text="GOOD">
      <formula>NOT(ISERROR(SEARCH("GOOD",L52)))</formula>
    </cfRule>
  </conditionalFormatting>
  <conditionalFormatting sqref="Z52:AA52">
    <cfRule type="containsText" dxfId="4308" priority="1154" operator="containsText" text="FAIL">
      <formula>NOT(ISERROR(SEARCH("FAIL",Z52)))</formula>
    </cfRule>
  </conditionalFormatting>
  <conditionalFormatting sqref="Z52:AA52">
    <cfRule type="containsText" dxfId="4307" priority="1153" operator="containsText" text="GOOD">
      <formula>NOT(ISERROR(SEARCH("GOOD",Z52)))</formula>
    </cfRule>
  </conditionalFormatting>
  <conditionalFormatting sqref="L51">
    <cfRule type="containsText" dxfId="4306" priority="1152" operator="containsText" text="FAIL">
      <formula>NOT(ISERROR(SEARCH("FAIL",L51)))</formula>
    </cfRule>
  </conditionalFormatting>
  <conditionalFormatting sqref="L51">
    <cfRule type="containsText" dxfId="4305" priority="1151" operator="containsText" text="GOOD">
      <formula>NOT(ISERROR(SEARCH("GOOD",L51)))</formula>
    </cfRule>
  </conditionalFormatting>
  <conditionalFormatting sqref="Z51:AA51">
    <cfRule type="containsText" dxfId="4304" priority="1150" operator="containsText" text="FAIL">
      <formula>NOT(ISERROR(SEARCH("FAIL",Z51)))</formula>
    </cfRule>
  </conditionalFormatting>
  <conditionalFormatting sqref="Z51:AA51">
    <cfRule type="containsText" dxfId="4303" priority="1149" operator="containsText" text="GOOD">
      <formula>NOT(ISERROR(SEARCH("GOOD",Z51)))</formula>
    </cfRule>
  </conditionalFormatting>
  <conditionalFormatting sqref="L50">
    <cfRule type="containsText" dxfId="4302" priority="1148" operator="containsText" text="FAIL">
      <formula>NOT(ISERROR(SEARCH("FAIL",L50)))</formula>
    </cfRule>
  </conditionalFormatting>
  <conditionalFormatting sqref="L50">
    <cfRule type="containsText" dxfId="4301" priority="1147" operator="containsText" text="GOOD">
      <formula>NOT(ISERROR(SEARCH("GOOD",L50)))</formula>
    </cfRule>
  </conditionalFormatting>
  <conditionalFormatting sqref="Z50:AA50">
    <cfRule type="containsText" dxfId="4300" priority="1146" operator="containsText" text="FAIL">
      <formula>NOT(ISERROR(SEARCH("FAIL",Z50)))</formula>
    </cfRule>
  </conditionalFormatting>
  <conditionalFormatting sqref="Z50:AA50">
    <cfRule type="containsText" dxfId="4299" priority="1145" operator="containsText" text="GOOD">
      <formula>NOT(ISERROR(SEARCH("GOOD",Z50)))</formula>
    </cfRule>
  </conditionalFormatting>
  <conditionalFormatting sqref="L48">
    <cfRule type="containsText" dxfId="4298" priority="1144" operator="containsText" text="FAIL">
      <formula>NOT(ISERROR(SEARCH("FAIL",L48)))</formula>
    </cfRule>
  </conditionalFormatting>
  <conditionalFormatting sqref="L48">
    <cfRule type="containsText" dxfId="4297" priority="1143" operator="containsText" text="GOOD">
      <formula>NOT(ISERROR(SEARCH("GOOD",L48)))</formula>
    </cfRule>
  </conditionalFormatting>
  <conditionalFormatting sqref="Z48:AA48">
    <cfRule type="containsText" dxfId="4296" priority="1142" operator="containsText" text="FAIL">
      <formula>NOT(ISERROR(SEARCH("FAIL",Z48)))</formula>
    </cfRule>
  </conditionalFormatting>
  <conditionalFormatting sqref="Z48:AA48">
    <cfRule type="containsText" dxfId="4295" priority="1141" operator="containsText" text="GOOD">
      <formula>NOT(ISERROR(SEARCH("GOOD",Z48)))</formula>
    </cfRule>
  </conditionalFormatting>
  <conditionalFormatting sqref="L47">
    <cfRule type="containsText" dxfId="4294" priority="1140" operator="containsText" text="FAIL">
      <formula>NOT(ISERROR(SEARCH("FAIL",L47)))</formula>
    </cfRule>
  </conditionalFormatting>
  <conditionalFormatting sqref="L47">
    <cfRule type="containsText" dxfId="4293" priority="1139" operator="containsText" text="GOOD">
      <formula>NOT(ISERROR(SEARCH("GOOD",L47)))</formula>
    </cfRule>
  </conditionalFormatting>
  <conditionalFormatting sqref="Z47:AA47">
    <cfRule type="containsText" dxfId="4292" priority="1138" operator="containsText" text="FAIL">
      <formula>NOT(ISERROR(SEARCH("FAIL",Z47)))</formula>
    </cfRule>
  </conditionalFormatting>
  <conditionalFormatting sqref="Z47:AA47">
    <cfRule type="containsText" dxfId="4291" priority="1137" operator="containsText" text="GOOD">
      <formula>NOT(ISERROR(SEARCH("GOOD",Z47)))</formula>
    </cfRule>
  </conditionalFormatting>
  <conditionalFormatting sqref="L49">
    <cfRule type="containsText" dxfId="4290" priority="1136" operator="containsText" text="FAIL">
      <formula>NOT(ISERROR(SEARCH("FAIL",L49)))</formula>
    </cfRule>
  </conditionalFormatting>
  <conditionalFormatting sqref="L49">
    <cfRule type="containsText" dxfId="4289" priority="1135" operator="containsText" text="GOOD">
      <formula>NOT(ISERROR(SEARCH("GOOD",L49)))</formula>
    </cfRule>
  </conditionalFormatting>
  <conditionalFormatting sqref="Z49:AA49">
    <cfRule type="containsText" dxfId="4288" priority="1134" operator="containsText" text="FAIL">
      <formula>NOT(ISERROR(SEARCH("FAIL",Z49)))</formula>
    </cfRule>
  </conditionalFormatting>
  <conditionalFormatting sqref="Z49:AA49">
    <cfRule type="containsText" dxfId="4287" priority="1133" operator="containsText" text="GOOD">
      <formula>NOT(ISERROR(SEARCH("GOOD",Z49)))</formula>
    </cfRule>
  </conditionalFormatting>
  <conditionalFormatting sqref="L46">
    <cfRule type="containsText" dxfId="4286" priority="1132" operator="containsText" text="FAIL">
      <formula>NOT(ISERROR(SEARCH("FAIL",L46)))</formula>
    </cfRule>
  </conditionalFormatting>
  <conditionalFormatting sqref="L46">
    <cfRule type="containsText" dxfId="4285" priority="1131" operator="containsText" text="GOOD">
      <formula>NOT(ISERROR(SEARCH("GOOD",L46)))</formula>
    </cfRule>
  </conditionalFormatting>
  <conditionalFormatting sqref="Z46:AA46">
    <cfRule type="containsText" dxfId="4284" priority="1130" operator="containsText" text="FAIL">
      <formula>NOT(ISERROR(SEARCH("FAIL",Z46)))</formula>
    </cfRule>
  </conditionalFormatting>
  <conditionalFormatting sqref="Z46:AA46">
    <cfRule type="containsText" dxfId="4283" priority="1129" operator="containsText" text="GOOD">
      <formula>NOT(ISERROR(SEARCH("GOOD",Z46)))</formula>
    </cfRule>
  </conditionalFormatting>
  <conditionalFormatting sqref="L45">
    <cfRule type="containsText" dxfId="4282" priority="1128" operator="containsText" text="FAIL">
      <formula>NOT(ISERROR(SEARCH("FAIL",L45)))</formula>
    </cfRule>
  </conditionalFormatting>
  <conditionalFormatting sqref="L45">
    <cfRule type="containsText" dxfId="4281" priority="1127" operator="containsText" text="GOOD">
      <formula>NOT(ISERROR(SEARCH("GOOD",L45)))</formula>
    </cfRule>
  </conditionalFormatting>
  <conditionalFormatting sqref="Z45:AA45">
    <cfRule type="containsText" dxfId="4280" priority="1126" operator="containsText" text="FAIL">
      <formula>NOT(ISERROR(SEARCH("FAIL",Z45)))</formula>
    </cfRule>
  </conditionalFormatting>
  <conditionalFormatting sqref="L72">
    <cfRule type="containsText" dxfId="4279" priority="1124" operator="containsText" text="FAIL">
      <formula>NOT(ISERROR(SEARCH("FAIL",L72)))</formula>
    </cfRule>
  </conditionalFormatting>
  <conditionalFormatting sqref="L72">
    <cfRule type="containsText" dxfId="4278" priority="1123" operator="containsText" text="GOOD">
      <formula>NOT(ISERROR(SEARCH("GOOD",L72)))</formula>
    </cfRule>
  </conditionalFormatting>
  <conditionalFormatting sqref="L71">
    <cfRule type="containsText" dxfId="4277" priority="1122" operator="containsText" text="FAIL">
      <formula>NOT(ISERROR(SEARCH("FAIL",L71)))</formula>
    </cfRule>
  </conditionalFormatting>
  <conditionalFormatting sqref="L71">
    <cfRule type="containsText" dxfId="4276" priority="1121" operator="containsText" text="GOOD">
      <formula>NOT(ISERROR(SEARCH("GOOD",L71)))</formula>
    </cfRule>
  </conditionalFormatting>
  <conditionalFormatting sqref="L70">
    <cfRule type="containsText" dxfId="4275" priority="1120" operator="containsText" text="FAIL">
      <formula>NOT(ISERROR(SEARCH("FAIL",L70)))</formula>
    </cfRule>
  </conditionalFormatting>
  <conditionalFormatting sqref="L70">
    <cfRule type="containsText" dxfId="4274" priority="1119" operator="containsText" text="GOOD">
      <formula>NOT(ISERROR(SEARCH("GOOD",L70)))</formula>
    </cfRule>
  </conditionalFormatting>
  <conditionalFormatting sqref="L69">
    <cfRule type="containsText" dxfId="4273" priority="1118" operator="containsText" text="FAIL">
      <formula>NOT(ISERROR(SEARCH("FAIL",L69)))</formula>
    </cfRule>
  </conditionalFormatting>
  <conditionalFormatting sqref="L69">
    <cfRule type="containsText" dxfId="4272" priority="1117" operator="containsText" text="GOOD">
      <formula>NOT(ISERROR(SEARCH("GOOD",L69)))</formula>
    </cfRule>
  </conditionalFormatting>
  <conditionalFormatting sqref="L68">
    <cfRule type="containsText" dxfId="4271" priority="1116" operator="containsText" text="FAIL">
      <formula>NOT(ISERROR(SEARCH("FAIL",L68)))</formula>
    </cfRule>
  </conditionalFormatting>
  <conditionalFormatting sqref="L68">
    <cfRule type="containsText" dxfId="4270" priority="1115" operator="containsText" text="GOOD">
      <formula>NOT(ISERROR(SEARCH("GOOD",L68)))</formula>
    </cfRule>
  </conditionalFormatting>
  <conditionalFormatting sqref="L67">
    <cfRule type="containsText" dxfId="4269" priority="1114" operator="containsText" text="FAIL">
      <formula>NOT(ISERROR(SEARCH("FAIL",L67)))</formula>
    </cfRule>
  </conditionalFormatting>
  <conditionalFormatting sqref="L67">
    <cfRule type="containsText" dxfId="4268" priority="1113" operator="containsText" text="GOOD">
      <formula>NOT(ISERROR(SEARCH("GOOD",L67)))</formula>
    </cfRule>
  </conditionalFormatting>
  <conditionalFormatting sqref="L65:L66">
    <cfRule type="containsText" dxfId="4267" priority="1112" operator="containsText" text="FAIL">
      <formula>NOT(ISERROR(SEARCH("FAIL",L65)))</formula>
    </cfRule>
  </conditionalFormatting>
  <conditionalFormatting sqref="L65:L66">
    <cfRule type="containsText" dxfId="4266" priority="1111" operator="containsText" text="GOOD">
      <formula>NOT(ISERROR(SEARCH("GOOD",L65)))</formula>
    </cfRule>
  </conditionalFormatting>
  <conditionalFormatting sqref="L64">
    <cfRule type="containsText" dxfId="4265" priority="1110" operator="containsText" text="FAIL">
      <formula>NOT(ISERROR(SEARCH("FAIL",L64)))</formula>
    </cfRule>
  </conditionalFormatting>
  <conditionalFormatting sqref="L64">
    <cfRule type="containsText" dxfId="4264" priority="1109" operator="containsText" text="GOOD">
      <formula>NOT(ISERROR(SEARCH("GOOD",L64)))</formula>
    </cfRule>
  </conditionalFormatting>
  <conditionalFormatting sqref="Z64:AA72">
    <cfRule type="containsText" dxfId="4263" priority="1108" operator="containsText" text="FAIL">
      <formula>NOT(ISERROR(SEARCH("FAIL",Z64)))</formula>
    </cfRule>
  </conditionalFormatting>
  <conditionalFormatting sqref="Z64:AA72">
    <cfRule type="containsText" dxfId="4262" priority="1107" operator="containsText" text="GOOD">
      <formula>NOT(ISERROR(SEARCH("GOOD",Z64)))</formula>
    </cfRule>
  </conditionalFormatting>
  <conditionalFormatting sqref="B72">
    <cfRule type="containsText" dxfId="4261" priority="1106" operator="containsText" text="FAIL">
      <formula>NOT(ISERROR(SEARCH("FAIL",B72)))</formula>
    </cfRule>
  </conditionalFormatting>
  <conditionalFormatting sqref="B72">
    <cfRule type="containsText" dxfId="4260" priority="1105" operator="containsText" text="GOOD">
      <formula>NOT(ISERROR(SEARCH("GOOD",B72)))</formula>
    </cfRule>
  </conditionalFormatting>
  <conditionalFormatting sqref="L63">
    <cfRule type="containsText" dxfId="4259" priority="1104" operator="containsText" text="FAIL">
      <formula>NOT(ISERROR(SEARCH("FAIL",L63)))</formula>
    </cfRule>
  </conditionalFormatting>
  <conditionalFormatting sqref="L63">
    <cfRule type="containsText" dxfId="4258" priority="1103" operator="containsText" text="GOOD">
      <formula>NOT(ISERROR(SEARCH("GOOD",L63)))</formula>
    </cfRule>
  </conditionalFormatting>
  <conditionalFormatting sqref="Z63:AA63">
    <cfRule type="containsText" dxfId="4257" priority="1102" operator="containsText" text="FAIL">
      <formula>NOT(ISERROR(SEARCH("FAIL",Z63)))</formula>
    </cfRule>
  </conditionalFormatting>
  <conditionalFormatting sqref="Z63:AA63">
    <cfRule type="containsText" dxfId="4256" priority="1101" operator="containsText" text="GOOD">
      <formula>NOT(ISERROR(SEARCH("GOOD",Z63)))</formula>
    </cfRule>
  </conditionalFormatting>
  <conditionalFormatting sqref="L62">
    <cfRule type="containsText" dxfId="4255" priority="1100" operator="containsText" text="FAIL">
      <formula>NOT(ISERROR(SEARCH("FAIL",L62)))</formula>
    </cfRule>
  </conditionalFormatting>
  <conditionalFormatting sqref="L62">
    <cfRule type="containsText" dxfId="4254" priority="1099" operator="containsText" text="GOOD">
      <formula>NOT(ISERROR(SEARCH("GOOD",L62)))</formula>
    </cfRule>
  </conditionalFormatting>
  <conditionalFormatting sqref="Z62:AA62">
    <cfRule type="containsText" dxfId="4253" priority="1098" operator="containsText" text="FAIL">
      <formula>NOT(ISERROR(SEARCH("FAIL",Z62)))</formula>
    </cfRule>
  </conditionalFormatting>
  <conditionalFormatting sqref="Z62:AA62">
    <cfRule type="containsText" dxfId="4252" priority="1097" operator="containsText" text="GOOD">
      <formula>NOT(ISERROR(SEARCH("GOOD",Z62)))</formula>
    </cfRule>
  </conditionalFormatting>
  <conditionalFormatting sqref="L61">
    <cfRule type="containsText" dxfId="4251" priority="1096" operator="containsText" text="FAIL">
      <formula>NOT(ISERROR(SEARCH("FAIL",L61)))</formula>
    </cfRule>
  </conditionalFormatting>
  <conditionalFormatting sqref="L61">
    <cfRule type="containsText" dxfId="4250" priority="1095" operator="containsText" text="GOOD">
      <formula>NOT(ISERROR(SEARCH("GOOD",L61)))</formula>
    </cfRule>
  </conditionalFormatting>
  <conditionalFormatting sqref="Z61:AA61">
    <cfRule type="containsText" dxfId="4249" priority="1094" operator="containsText" text="FAIL">
      <formula>NOT(ISERROR(SEARCH("FAIL",Z61)))</formula>
    </cfRule>
  </conditionalFormatting>
  <conditionalFormatting sqref="Z61:AA61">
    <cfRule type="containsText" dxfId="4248" priority="1093" operator="containsText" text="GOOD">
      <formula>NOT(ISERROR(SEARCH("GOOD",Z61)))</formula>
    </cfRule>
  </conditionalFormatting>
  <conditionalFormatting sqref="L60">
    <cfRule type="containsText" dxfId="4247" priority="1092" operator="containsText" text="FAIL">
      <formula>NOT(ISERROR(SEARCH("FAIL",L60)))</formula>
    </cfRule>
  </conditionalFormatting>
  <conditionalFormatting sqref="L60">
    <cfRule type="containsText" dxfId="4246" priority="1091" operator="containsText" text="GOOD">
      <formula>NOT(ISERROR(SEARCH("GOOD",L60)))</formula>
    </cfRule>
  </conditionalFormatting>
  <conditionalFormatting sqref="Z60:AA60">
    <cfRule type="containsText" dxfId="4245" priority="1090" operator="containsText" text="FAIL">
      <formula>NOT(ISERROR(SEARCH("FAIL",Z60)))</formula>
    </cfRule>
  </conditionalFormatting>
  <conditionalFormatting sqref="Z60:AA60">
    <cfRule type="containsText" dxfId="4244" priority="1089" operator="containsText" text="GOOD">
      <formula>NOT(ISERROR(SEARCH("GOOD",Z60)))</formula>
    </cfRule>
  </conditionalFormatting>
  <conditionalFormatting sqref="L59">
    <cfRule type="containsText" dxfId="4243" priority="1088" operator="containsText" text="FAIL">
      <formula>NOT(ISERROR(SEARCH("FAIL",L59)))</formula>
    </cfRule>
  </conditionalFormatting>
  <conditionalFormatting sqref="L59">
    <cfRule type="containsText" dxfId="4242" priority="1087" operator="containsText" text="GOOD">
      <formula>NOT(ISERROR(SEARCH("GOOD",L59)))</formula>
    </cfRule>
  </conditionalFormatting>
  <conditionalFormatting sqref="Z59:AA59">
    <cfRule type="containsText" dxfId="4241" priority="1086" operator="containsText" text="FAIL">
      <formula>NOT(ISERROR(SEARCH("FAIL",Z59)))</formula>
    </cfRule>
  </conditionalFormatting>
  <conditionalFormatting sqref="Z59:AA59">
    <cfRule type="containsText" dxfId="4240" priority="1085" operator="containsText" text="GOOD">
      <formula>NOT(ISERROR(SEARCH("GOOD",Z59)))</formula>
    </cfRule>
  </conditionalFormatting>
  <conditionalFormatting sqref="L57:L58">
    <cfRule type="containsText" dxfId="4239" priority="1084" operator="containsText" text="FAIL">
      <formula>NOT(ISERROR(SEARCH("FAIL",L57)))</formula>
    </cfRule>
  </conditionalFormatting>
  <conditionalFormatting sqref="L57:L58">
    <cfRule type="containsText" dxfId="4238" priority="1083" operator="containsText" text="GOOD">
      <formula>NOT(ISERROR(SEARCH("GOOD",L57)))</formula>
    </cfRule>
  </conditionalFormatting>
  <conditionalFormatting sqref="Z57:AA58">
    <cfRule type="containsText" dxfId="4237" priority="1082" operator="containsText" text="FAIL">
      <formula>NOT(ISERROR(SEARCH("FAIL",Z57)))</formula>
    </cfRule>
  </conditionalFormatting>
  <conditionalFormatting sqref="Z57:AA58">
    <cfRule type="containsText" dxfId="4236" priority="1081" operator="containsText" text="GOOD">
      <formula>NOT(ISERROR(SEARCH("GOOD",Z57)))</formula>
    </cfRule>
  </conditionalFormatting>
  <conditionalFormatting sqref="B110">
    <cfRule type="containsText" dxfId="4235" priority="1057" operator="containsText" text="GOOD">
      <formula>NOT(ISERROR(SEARCH("GOOD",B110)))</formula>
    </cfRule>
  </conditionalFormatting>
  <conditionalFormatting sqref="L113">
    <cfRule type="containsText" dxfId="4234" priority="1080" operator="containsText" text="FAIL">
      <formula>NOT(ISERROR(SEARCH("FAIL",L113)))</formula>
    </cfRule>
  </conditionalFormatting>
  <conditionalFormatting sqref="L113">
    <cfRule type="containsText" dxfId="4233" priority="1079" operator="containsText" text="GOOD">
      <formula>NOT(ISERROR(SEARCH("GOOD",L113)))</formula>
    </cfRule>
  </conditionalFormatting>
  <conditionalFormatting sqref="Z113:AA113">
    <cfRule type="containsText" dxfId="4232" priority="1078" operator="containsText" text="FAIL">
      <formula>NOT(ISERROR(SEARCH("FAIL",Z113)))</formula>
    </cfRule>
  </conditionalFormatting>
  <conditionalFormatting sqref="Z113:AA113">
    <cfRule type="containsText" dxfId="4231" priority="1077" operator="containsText" text="GOOD">
      <formula>NOT(ISERROR(SEARCH("GOOD",Z113)))</formula>
    </cfRule>
  </conditionalFormatting>
  <conditionalFormatting sqref="B113">
    <cfRule type="containsText" dxfId="4230" priority="1076" operator="containsText" text="FAIL">
      <formula>NOT(ISERROR(SEARCH("FAIL",B113)))</formula>
    </cfRule>
  </conditionalFormatting>
  <conditionalFormatting sqref="B113">
    <cfRule type="containsText" dxfId="4229" priority="1075" operator="containsText" text="GOOD">
      <formula>NOT(ISERROR(SEARCH("GOOD",B113)))</formula>
    </cfRule>
  </conditionalFormatting>
  <conditionalFormatting sqref="L112">
    <cfRule type="containsText" dxfId="4228" priority="1074" operator="containsText" text="FAIL">
      <formula>NOT(ISERROR(SEARCH("FAIL",L112)))</formula>
    </cfRule>
  </conditionalFormatting>
  <conditionalFormatting sqref="L112">
    <cfRule type="containsText" dxfId="4227" priority="1073" operator="containsText" text="GOOD">
      <formula>NOT(ISERROR(SEARCH("GOOD",L112)))</formula>
    </cfRule>
  </conditionalFormatting>
  <conditionalFormatting sqref="Z112:AA112">
    <cfRule type="containsText" dxfId="4226" priority="1072" operator="containsText" text="FAIL">
      <formula>NOT(ISERROR(SEARCH("FAIL",Z112)))</formula>
    </cfRule>
  </conditionalFormatting>
  <conditionalFormatting sqref="Z112:AA112">
    <cfRule type="containsText" dxfId="4225" priority="1071" operator="containsText" text="GOOD">
      <formula>NOT(ISERROR(SEARCH("GOOD",Z112)))</formula>
    </cfRule>
  </conditionalFormatting>
  <conditionalFormatting sqref="B112">
    <cfRule type="containsText" dxfId="4224" priority="1070" operator="containsText" text="FAIL">
      <formula>NOT(ISERROR(SEARCH("FAIL",B112)))</formula>
    </cfRule>
  </conditionalFormatting>
  <conditionalFormatting sqref="B112">
    <cfRule type="containsText" dxfId="4223" priority="1069" operator="containsText" text="GOOD">
      <formula>NOT(ISERROR(SEARCH("GOOD",B112)))</formula>
    </cfRule>
  </conditionalFormatting>
  <conditionalFormatting sqref="L111">
    <cfRule type="containsText" dxfId="4222" priority="1068" operator="containsText" text="FAIL">
      <formula>NOT(ISERROR(SEARCH("FAIL",L111)))</formula>
    </cfRule>
  </conditionalFormatting>
  <conditionalFormatting sqref="L111">
    <cfRule type="containsText" dxfId="4221" priority="1067" operator="containsText" text="GOOD">
      <formula>NOT(ISERROR(SEARCH("GOOD",L111)))</formula>
    </cfRule>
  </conditionalFormatting>
  <conditionalFormatting sqref="Z111:AA111">
    <cfRule type="containsText" dxfId="4220" priority="1066" operator="containsText" text="FAIL">
      <formula>NOT(ISERROR(SEARCH("FAIL",Z111)))</formula>
    </cfRule>
  </conditionalFormatting>
  <conditionalFormatting sqref="Z111:AA111">
    <cfRule type="containsText" dxfId="4219" priority="1065" operator="containsText" text="GOOD">
      <formula>NOT(ISERROR(SEARCH("GOOD",Z111)))</formula>
    </cfRule>
  </conditionalFormatting>
  <conditionalFormatting sqref="B111">
    <cfRule type="containsText" dxfId="4218" priority="1064" operator="containsText" text="FAIL">
      <formula>NOT(ISERROR(SEARCH("FAIL",B111)))</formula>
    </cfRule>
  </conditionalFormatting>
  <conditionalFormatting sqref="B111">
    <cfRule type="containsText" dxfId="4217" priority="1063" operator="containsText" text="GOOD">
      <formula>NOT(ISERROR(SEARCH("GOOD",B111)))</formula>
    </cfRule>
  </conditionalFormatting>
  <conditionalFormatting sqref="L110">
    <cfRule type="containsText" dxfId="4216" priority="1062" operator="containsText" text="FAIL">
      <formula>NOT(ISERROR(SEARCH("FAIL",L110)))</formula>
    </cfRule>
  </conditionalFormatting>
  <conditionalFormatting sqref="L110">
    <cfRule type="containsText" dxfId="4215" priority="1061" operator="containsText" text="GOOD">
      <formula>NOT(ISERROR(SEARCH("GOOD",L110)))</formula>
    </cfRule>
  </conditionalFormatting>
  <conditionalFormatting sqref="Z110:AA110">
    <cfRule type="containsText" dxfId="4214" priority="1060" operator="containsText" text="FAIL">
      <formula>NOT(ISERROR(SEARCH("FAIL",Z110)))</formula>
    </cfRule>
  </conditionalFormatting>
  <conditionalFormatting sqref="Z110:AA110">
    <cfRule type="containsText" dxfId="4213" priority="1059" operator="containsText" text="GOOD">
      <formula>NOT(ISERROR(SEARCH("GOOD",Z110)))</formula>
    </cfRule>
  </conditionalFormatting>
  <conditionalFormatting sqref="B110">
    <cfRule type="containsText" dxfId="4212" priority="1058" operator="containsText" text="FAIL">
      <formula>NOT(ISERROR(SEARCH("FAIL",B110)))</formula>
    </cfRule>
  </conditionalFormatting>
  <conditionalFormatting sqref="L114">
    <cfRule type="containsText" dxfId="4211" priority="1056" operator="containsText" text="FAIL">
      <formula>NOT(ISERROR(SEARCH("FAIL",L114)))</formula>
    </cfRule>
  </conditionalFormatting>
  <conditionalFormatting sqref="L114">
    <cfRule type="containsText" dxfId="4210" priority="1055" operator="containsText" text="GOOD">
      <formula>NOT(ISERROR(SEARCH("GOOD",L114)))</formula>
    </cfRule>
  </conditionalFormatting>
  <conditionalFormatting sqref="Z114:AA114">
    <cfRule type="containsText" dxfId="4209" priority="1054" operator="containsText" text="FAIL">
      <formula>NOT(ISERROR(SEARCH("FAIL",Z114)))</formula>
    </cfRule>
  </conditionalFormatting>
  <conditionalFormatting sqref="Z114:AA114">
    <cfRule type="containsText" dxfId="4208" priority="1053" operator="containsText" text="GOOD">
      <formula>NOT(ISERROR(SEARCH("GOOD",Z114)))</formula>
    </cfRule>
  </conditionalFormatting>
  <conditionalFormatting sqref="B114">
    <cfRule type="containsText" dxfId="4207" priority="1052" operator="containsText" text="FAIL">
      <formula>NOT(ISERROR(SEARCH("FAIL",B114)))</formula>
    </cfRule>
  </conditionalFormatting>
  <conditionalFormatting sqref="B114">
    <cfRule type="containsText" dxfId="4206" priority="1051" operator="containsText" text="GOOD">
      <formula>NOT(ISERROR(SEARCH("GOOD",B114)))</formula>
    </cfRule>
  </conditionalFormatting>
  <conditionalFormatting sqref="L115:L116">
    <cfRule type="containsText" dxfId="4205" priority="1050" operator="containsText" text="FAIL">
      <formula>NOT(ISERROR(SEARCH("FAIL",L115)))</formula>
    </cfRule>
  </conditionalFormatting>
  <conditionalFormatting sqref="L115:L116">
    <cfRule type="containsText" dxfId="4204" priority="1049" operator="containsText" text="GOOD">
      <formula>NOT(ISERROR(SEARCH("GOOD",L115)))</formula>
    </cfRule>
  </conditionalFormatting>
  <conditionalFormatting sqref="Z115:AA116">
    <cfRule type="containsText" dxfId="4203" priority="1048" operator="containsText" text="FAIL">
      <formula>NOT(ISERROR(SEARCH("FAIL",Z115)))</formula>
    </cfRule>
  </conditionalFormatting>
  <conditionalFormatting sqref="Z115:AA116">
    <cfRule type="containsText" dxfId="4202" priority="1047" operator="containsText" text="GOOD">
      <formula>NOT(ISERROR(SEARCH("GOOD",Z115)))</formula>
    </cfRule>
  </conditionalFormatting>
  <conditionalFormatting sqref="B115:B116">
    <cfRule type="containsText" dxfId="4201" priority="1046" operator="containsText" text="FAIL">
      <formula>NOT(ISERROR(SEARCH("FAIL",B115)))</formula>
    </cfRule>
  </conditionalFormatting>
  <conditionalFormatting sqref="B115:B116">
    <cfRule type="containsText" dxfId="4200" priority="1045" operator="containsText" text="GOOD">
      <formula>NOT(ISERROR(SEARCH("GOOD",B115)))</formula>
    </cfRule>
  </conditionalFormatting>
  <conditionalFormatting sqref="L117">
    <cfRule type="containsText" dxfId="4199" priority="1044" operator="containsText" text="FAIL">
      <formula>NOT(ISERROR(SEARCH("FAIL",L117)))</formula>
    </cfRule>
  </conditionalFormatting>
  <conditionalFormatting sqref="L117">
    <cfRule type="containsText" dxfId="4198" priority="1043" operator="containsText" text="GOOD">
      <formula>NOT(ISERROR(SEARCH("GOOD",L117)))</formula>
    </cfRule>
  </conditionalFormatting>
  <conditionalFormatting sqref="Z117:AA117">
    <cfRule type="containsText" dxfId="4197" priority="1042" operator="containsText" text="FAIL">
      <formula>NOT(ISERROR(SEARCH("FAIL",Z117)))</formula>
    </cfRule>
  </conditionalFormatting>
  <conditionalFormatting sqref="Z117:AA117">
    <cfRule type="containsText" dxfId="4196" priority="1041" operator="containsText" text="GOOD">
      <formula>NOT(ISERROR(SEARCH("GOOD",Z117)))</formula>
    </cfRule>
  </conditionalFormatting>
  <conditionalFormatting sqref="B117">
    <cfRule type="containsText" dxfId="4195" priority="1040" operator="containsText" text="FAIL">
      <formula>NOT(ISERROR(SEARCH("FAIL",B117)))</formula>
    </cfRule>
  </conditionalFormatting>
  <conditionalFormatting sqref="B117">
    <cfRule type="containsText" dxfId="4194" priority="1039" operator="containsText" text="GOOD">
      <formula>NOT(ISERROR(SEARCH("GOOD",B117)))</formula>
    </cfRule>
  </conditionalFormatting>
  <conditionalFormatting sqref="L118">
    <cfRule type="containsText" dxfId="4193" priority="1038" operator="containsText" text="FAIL">
      <formula>NOT(ISERROR(SEARCH("FAIL",L118)))</formula>
    </cfRule>
  </conditionalFormatting>
  <conditionalFormatting sqref="L118">
    <cfRule type="containsText" dxfId="4192" priority="1037" operator="containsText" text="GOOD">
      <formula>NOT(ISERROR(SEARCH("GOOD",L118)))</formula>
    </cfRule>
  </conditionalFormatting>
  <conditionalFormatting sqref="Z118:AA118">
    <cfRule type="containsText" dxfId="4191" priority="1036" operator="containsText" text="FAIL">
      <formula>NOT(ISERROR(SEARCH("FAIL",Z118)))</formula>
    </cfRule>
  </conditionalFormatting>
  <conditionalFormatting sqref="Z118:AA118">
    <cfRule type="containsText" dxfId="4190" priority="1035" operator="containsText" text="GOOD">
      <formula>NOT(ISERROR(SEARCH("GOOD",Z118)))</formula>
    </cfRule>
  </conditionalFormatting>
  <conditionalFormatting sqref="B118">
    <cfRule type="containsText" dxfId="4189" priority="1034" operator="containsText" text="FAIL">
      <formula>NOT(ISERROR(SEARCH("FAIL",B118)))</formula>
    </cfRule>
  </conditionalFormatting>
  <conditionalFormatting sqref="B118">
    <cfRule type="containsText" dxfId="4188" priority="1033" operator="containsText" text="GOOD">
      <formula>NOT(ISERROR(SEARCH("GOOD",B118)))</formula>
    </cfRule>
  </conditionalFormatting>
  <conditionalFormatting sqref="L119">
    <cfRule type="containsText" dxfId="4187" priority="1032" operator="containsText" text="FAIL">
      <formula>NOT(ISERROR(SEARCH("FAIL",L119)))</formula>
    </cfRule>
  </conditionalFormatting>
  <conditionalFormatting sqref="L119">
    <cfRule type="containsText" dxfId="4186" priority="1031" operator="containsText" text="GOOD">
      <formula>NOT(ISERROR(SEARCH("GOOD",L119)))</formula>
    </cfRule>
  </conditionalFormatting>
  <conditionalFormatting sqref="Z119:AA119">
    <cfRule type="containsText" dxfId="4185" priority="1030" operator="containsText" text="FAIL">
      <formula>NOT(ISERROR(SEARCH("FAIL",Z119)))</formula>
    </cfRule>
  </conditionalFormatting>
  <conditionalFormatting sqref="Z119:AA119">
    <cfRule type="containsText" dxfId="4184" priority="1029" operator="containsText" text="GOOD">
      <formula>NOT(ISERROR(SEARCH("GOOD",Z119)))</formula>
    </cfRule>
  </conditionalFormatting>
  <conditionalFormatting sqref="B119">
    <cfRule type="containsText" dxfId="4183" priority="1028" operator="containsText" text="FAIL">
      <formula>NOT(ISERROR(SEARCH("FAIL",B119)))</formula>
    </cfRule>
  </conditionalFormatting>
  <conditionalFormatting sqref="B119">
    <cfRule type="containsText" dxfId="4182" priority="1027" operator="containsText" text="GOOD">
      <formula>NOT(ISERROR(SEARCH("GOOD",B119)))</formula>
    </cfRule>
  </conditionalFormatting>
  <conditionalFormatting sqref="AQ119">
    <cfRule type="containsText" dxfId="4181" priority="1026" operator="containsText" text="FAIL">
      <formula>NOT(ISERROR(SEARCH("FAIL",AQ119)))</formula>
    </cfRule>
  </conditionalFormatting>
  <conditionalFormatting sqref="AQ119">
    <cfRule type="containsText" dxfId="4180" priority="1025" operator="containsText" text="GOOD">
      <formula>NOT(ISERROR(SEARCH("GOOD",AQ119)))</formula>
    </cfRule>
  </conditionalFormatting>
  <conditionalFormatting sqref="L120:L121">
    <cfRule type="containsText" dxfId="4179" priority="1024" operator="containsText" text="FAIL">
      <formula>NOT(ISERROR(SEARCH("FAIL",L120)))</formula>
    </cfRule>
  </conditionalFormatting>
  <conditionalFormatting sqref="L120:L121">
    <cfRule type="containsText" dxfId="4178" priority="1023" operator="containsText" text="GOOD">
      <formula>NOT(ISERROR(SEARCH("GOOD",L120)))</formula>
    </cfRule>
  </conditionalFormatting>
  <conditionalFormatting sqref="Z120:AA121">
    <cfRule type="containsText" dxfId="4177" priority="1022" operator="containsText" text="FAIL">
      <formula>NOT(ISERROR(SEARCH("FAIL",Z120)))</formula>
    </cfRule>
  </conditionalFormatting>
  <conditionalFormatting sqref="Z120:AA121">
    <cfRule type="containsText" dxfId="4176" priority="1021" operator="containsText" text="GOOD">
      <formula>NOT(ISERROR(SEARCH("GOOD",Z120)))</formula>
    </cfRule>
  </conditionalFormatting>
  <conditionalFormatting sqref="L123">
    <cfRule type="containsText" dxfId="4175" priority="1020" operator="containsText" text="FAIL">
      <formula>NOT(ISERROR(SEARCH("FAIL",L123)))</formula>
    </cfRule>
  </conditionalFormatting>
  <conditionalFormatting sqref="L123">
    <cfRule type="containsText" dxfId="4174" priority="1019" operator="containsText" text="GOOD">
      <formula>NOT(ISERROR(SEARCH("GOOD",L123)))</formula>
    </cfRule>
  </conditionalFormatting>
  <conditionalFormatting sqref="Z123:AA123">
    <cfRule type="containsText" dxfId="4173" priority="1018" operator="containsText" text="FAIL">
      <formula>NOT(ISERROR(SEARCH("FAIL",Z123)))</formula>
    </cfRule>
  </conditionalFormatting>
  <conditionalFormatting sqref="Z123:AA123">
    <cfRule type="containsText" dxfId="4172" priority="1017" operator="containsText" text="GOOD">
      <formula>NOT(ISERROR(SEARCH("GOOD",Z123)))</formula>
    </cfRule>
  </conditionalFormatting>
  <conditionalFormatting sqref="L122">
    <cfRule type="containsText" dxfId="4171" priority="1016" operator="containsText" text="FAIL">
      <formula>NOT(ISERROR(SEARCH("FAIL",L122)))</formula>
    </cfRule>
  </conditionalFormatting>
  <conditionalFormatting sqref="L122">
    <cfRule type="containsText" dxfId="4170" priority="1015" operator="containsText" text="GOOD">
      <formula>NOT(ISERROR(SEARCH("GOOD",L122)))</formula>
    </cfRule>
  </conditionalFormatting>
  <conditionalFormatting sqref="Z122:AA122">
    <cfRule type="containsText" dxfId="4169" priority="1014" operator="containsText" text="FAIL">
      <formula>NOT(ISERROR(SEARCH("FAIL",Z122)))</formula>
    </cfRule>
  </conditionalFormatting>
  <conditionalFormatting sqref="Z122:AA122">
    <cfRule type="containsText" dxfId="4168" priority="1013" operator="containsText" text="GOOD">
      <formula>NOT(ISERROR(SEARCH("GOOD",Z122)))</formula>
    </cfRule>
  </conditionalFormatting>
  <conditionalFormatting sqref="L124">
    <cfRule type="containsText" dxfId="4167" priority="1012" operator="containsText" text="FAIL">
      <formula>NOT(ISERROR(SEARCH("FAIL",L124)))</formula>
    </cfRule>
  </conditionalFormatting>
  <conditionalFormatting sqref="L124">
    <cfRule type="containsText" dxfId="4166" priority="1011" operator="containsText" text="GOOD">
      <formula>NOT(ISERROR(SEARCH("GOOD",L124)))</formula>
    </cfRule>
  </conditionalFormatting>
  <conditionalFormatting sqref="Z124:AA124">
    <cfRule type="containsText" dxfId="4165" priority="1010" operator="containsText" text="FAIL">
      <formula>NOT(ISERROR(SEARCH("FAIL",Z124)))</formula>
    </cfRule>
  </conditionalFormatting>
  <conditionalFormatting sqref="Z124:AA124">
    <cfRule type="containsText" dxfId="4164" priority="1009" operator="containsText" text="GOOD">
      <formula>NOT(ISERROR(SEARCH("GOOD",Z124)))</formula>
    </cfRule>
  </conditionalFormatting>
  <conditionalFormatting sqref="L125">
    <cfRule type="containsText" dxfId="4163" priority="1008" operator="containsText" text="FAIL">
      <formula>NOT(ISERROR(SEARCH("FAIL",L125)))</formula>
    </cfRule>
  </conditionalFormatting>
  <conditionalFormatting sqref="L125">
    <cfRule type="containsText" dxfId="4162" priority="1007" operator="containsText" text="GOOD">
      <formula>NOT(ISERROR(SEARCH("GOOD",L125)))</formula>
    </cfRule>
  </conditionalFormatting>
  <conditionalFormatting sqref="Z125:AA125">
    <cfRule type="containsText" dxfId="4161" priority="1006" operator="containsText" text="FAIL">
      <formula>NOT(ISERROR(SEARCH("FAIL",Z125)))</formula>
    </cfRule>
  </conditionalFormatting>
  <conditionalFormatting sqref="Z125:AA125">
    <cfRule type="containsText" dxfId="4160" priority="1005" operator="containsText" text="GOOD">
      <formula>NOT(ISERROR(SEARCH("GOOD",Z125)))</formula>
    </cfRule>
  </conditionalFormatting>
  <conditionalFormatting sqref="L126">
    <cfRule type="containsText" dxfId="4159" priority="1004" operator="containsText" text="FAIL">
      <formula>NOT(ISERROR(SEARCH("FAIL",L126)))</formula>
    </cfRule>
  </conditionalFormatting>
  <conditionalFormatting sqref="L126">
    <cfRule type="containsText" dxfId="4158" priority="1003" operator="containsText" text="GOOD">
      <formula>NOT(ISERROR(SEARCH("GOOD",L126)))</formula>
    </cfRule>
  </conditionalFormatting>
  <conditionalFormatting sqref="Z126:AA126">
    <cfRule type="containsText" dxfId="4157" priority="1002" operator="containsText" text="FAIL">
      <formula>NOT(ISERROR(SEARCH("FAIL",Z126)))</formula>
    </cfRule>
  </conditionalFormatting>
  <conditionalFormatting sqref="Z126:AA126">
    <cfRule type="containsText" dxfId="4156" priority="1001" operator="containsText" text="GOOD">
      <formula>NOT(ISERROR(SEARCH("GOOD",Z126)))</formula>
    </cfRule>
  </conditionalFormatting>
  <conditionalFormatting sqref="L127">
    <cfRule type="containsText" dxfId="4155" priority="1000" operator="containsText" text="FAIL">
      <formula>NOT(ISERROR(SEARCH("FAIL",L127)))</formula>
    </cfRule>
  </conditionalFormatting>
  <conditionalFormatting sqref="L127">
    <cfRule type="containsText" dxfId="4154" priority="999" operator="containsText" text="GOOD">
      <formula>NOT(ISERROR(SEARCH("GOOD",L127)))</formula>
    </cfRule>
  </conditionalFormatting>
  <conditionalFormatting sqref="Z127:AA127">
    <cfRule type="containsText" dxfId="4153" priority="998" operator="containsText" text="FAIL">
      <formula>NOT(ISERROR(SEARCH("FAIL",Z127)))</formula>
    </cfRule>
  </conditionalFormatting>
  <conditionalFormatting sqref="Z127:AA127">
    <cfRule type="containsText" dxfId="4152" priority="997" operator="containsText" text="GOOD">
      <formula>NOT(ISERROR(SEARCH("GOOD",Z127)))</formula>
    </cfRule>
  </conditionalFormatting>
  <conditionalFormatting sqref="B127">
    <cfRule type="containsText" dxfId="4151" priority="996" operator="containsText" text="FAIL">
      <formula>NOT(ISERROR(SEARCH("FAIL",B127)))</formula>
    </cfRule>
  </conditionalFormatting>
  <conditionalFormatting sqref="B127">
    <cfRule type="containsText" dxfId="4150" priority="995" operator="containsText" text="GOOD">
      <formula>NOT(ISERROR(SEARCH("GOOD",B127)))</formula>
    </cfRule>
  </conditionalFormatting>
  <conditionalFormatting sqref="Z128:AA128">
    <cfRule type="containsText" dxfId="4149" priority="991" operator="containsText" text="GOOD">
      <formula>NOT(ISERROR(SEARCH("GOOD",Z128)))</formula>
    </cfRule>
  </conditionalFormatting>
  <conditionalFormatting sqref="L128">
    <cfRule type="containsText" dxfId="4148" priority="994" operator="containsText" text="FAIL">
      <formula>NOT(ISERROR(SEARCH("FAIL",L128)))</formula>
    </cfRule>
  </conditionalFormatting>
  <conditionalFormatting sqref="L128">
    <cfRule type="containsText" dxfId="4147" priority="993" operator="containsText" text="GOOD">
      <formula>NOT(ISERROR(SEARCH("GOOD",L128)))</formula>
    </cfRule>
  </conditionalFormatting>
  <conditionalFormatting sqref="Z128:AA128">
    <cfRule type="containsText" dxfId="4146" priority="992" operator="containsText" text="FAIL">
      <formula>NOT(ISERROR(SEARCH("FAIL",Z128)))</formula>
    </cfRule>
  </conditionalFormatting>
  <conditionalFormatting sqref="L129">
    <cfRule type="containsText" dxfId="4145" priority="990" operator="containsText" text="FAIL">
      <formula>NOT(ISERROR(SEARCH("FAIL",L129)))</formula>
    </cfRule>
  </conditionalFormatting>
  <conditionalFormatting sqref="L129">
    <cfRule type="containsText" dxfId="4144" priority="989" operator="containsText" text="GOOD">
      <formula>NOT(ISERROR(SEARCH("GOOD",L129)))</formula>
    </cfRule>
  </conditionalFormatting>
  <conditionalFormatting sqref="Z129:AA129">
    <cfRule type="containsText" dxfId="4143" priority="988" operator="containsText" text="FAIL">
      <formula>NOT(ISERROR(SEARCH("FAIL",Z129)))</formula>
    </cfRule>
  </conditionalFormatting>
  <conditionalFormatting sqref="Z129:AA129">
    <cfRule type="containsText" dxfId="4142" priority="987" operator="containsText" text="GOOD">
      <formula>NOT(ISERROR(SEARCH("GOOD",Z129)))</formula>
    </cfRule>
  </conditionalFormatting>
  <conditionalFormatting sqref="L130">
    <cfRule type="containsText" dxfId="4141" priority="986" operator="containsText" text="FAIL">
      <formula>NOT(ISERROR(SEARCH("FAIL",L130)))</formula>
    </cfRule>
  </conditionalFormatting>
  <conditionalFormatting sqref="L130">
    <cfRule type="containsText" dxfId="4140" priority="985" operator="containsText" text="GOOD">
      <formula>NOT(ISERROR(SEARCH("GOOD",L130)))</formula>
    </cfRule>
  </conditionalFormatting>
  <conditionalFormatting sqref="Z130:AA130">
    <cfRule type="containsText" dxfId="4139" priority="984" operator="containsText" text="FAIL">
      <formula>NOT(ISERROR(SEARCH("FAIL",Z130)))</formula>
    </cfRule>
  </conditionalFormatting>
  <conditionalFormatting sqref="Z130:AA130">
    <cfRule type="containsText" dxfId="4138" priority="983" operator="containsText" text="GOOD">
      <formula>NOT(ISERROR(SEARCH("GOOD",Z130)))</formula>
    </cfRule>
  </conditionalFormatting>
  <conditionalFormatting sqref="L131">
    <cfRule type="containsText" dxfId="4137" priority="982" operator="containsText" text="FAIL">
      <formula>NOT(ISERROR(SEARCH("FAIL",L131)))</formula>
    </cfRule>
  </conditionalFormatting>
  <conditionalFormatting sqref="L131">
    <cfRule type="containsText" dxfId="4136" priority="981" operator="containsText" text="GOOD">
      <formula>NOT(ISERROR(SEARCH("GOOD",L131)))</formula>
    </cfRule>
  </conditionalFormatting>
  <conditionalFormatting sqref="Z131:AA131">
    <cfRule type="containsText" dxfId="4135" priority="980" operator="containsText" text="FAIL">
      <formula>NOT(ISERROR(SEARCH("FAIL",Z131)))</formula>
    </cfRule>
  </conditionalFormatting>
  <conditionalFormatting sqref="Z131:AA131">
    <cfRule type="containsText" dxfId="4134" priority="979" operator="containsText" text="GOOD">
      <formula>NOT(ISERROR(SEARCH("GOOD",Z131)))</formula>
    </cfRule>
  </conditionalFormatting>
  <conditionalFormatting sqref="L132">
    <cfRule type="containsText" dxfId="4133" priority="978" operator="containsText" text="FAIL">
      <formula>NOT(ISERROR(SEARCH("FAIL",L132)))</formula>
    </cfRule>
  </conditionalFormatting>
  <conditionalFormatting sqref="L132">
    <cfRule type="containsText" dxfId="4132" priority="977" operator="containsText" text="GOOD">
      <formula>NOT(ISERROR(SEARCH("GOOD",L132)))</formula>
    </cfRule>
  </conditionalFormatting>
  <conditionalFormatting sqref="Z132:AA132">
    <cfRule type="containsText" dxfId="4131" priority="976" operator="containsText" text="FAIL">
      <formula>NOT(ISERROR(SEARCH("FAIL",Z132)))</formula>
    </cfRule>
  </conditionalFormatting>
  <conditionalFormatting sqref="Z132:AA132">
    <cfRule type="containsText" dxfId="4130" priority="975" operator="containsText" text="GOOD">
      <formula>NOT(ISERROR(SEARCH("GOOD",Z132)))</formula>
    </cfRule>
  </conditionalFormatting>
  <conditionalFormatting sqref="B132">
    <cfRule type="containsText" dxfId="4129" priority="974" operator="containsText" text="FAIL">
      <formula>NOT(ISERROR(SEARCH("FAIL",B132)))</formula>
    </cfRule>
  </conditionalFormatting>
  <conditionalFormatting sqref="B132">
    <cfRule type="containsText" dxfId="4128" priority="973" operator="containsText" text="GOOD">
      <formula>NOT(ISERROR(SEARCH("GOOD",B132)))</formula>
    </cfRule>
  </conditionalFormatting>
  <conditionalFormatting sqref="L133">
    <cfRule type="containsText" dxfId="4127" priority="972" operator="containsText" text="FAIL">
      <formula>NOT(ISERROR(SEARCH("FAIL",L133)))</formula>
    </cfRule>
  </conditionalFormatting>
  <conditionalFormatting sqref="L133">
    <cfRule type="containsText" dxfId="4126" priority="971" operator="containsText" text="GOOD">
      <formula>NOT(ISERROR(SEARCH("GOOD",L133)))</formula>
    </cfRule>
  </conditionalFormatting>
  <conditionalFormatting sqref="Z133:AA133">
    <cfRule type="containsText" dxfId="4125" priority="970" operator="containsText" text="FAIL">
      <formula>NOT(ISERROR(SEARCH("FAIL",Z133)))</formula>
    </cfRule>
  </conditionalFormatting>
  <conditionalFormatting sqref="Z133:AA133">
    <cfRule type="containsText" dxfId="4124" priority="969" operator="containsText" text="GOOD">
      <formula>NOT(ISERROR(SEARCH("GOOD",Z133)))</formula>
    </cfRule>
  </conditionalFormatting>
  <conditionalFormatting sqref="L136">
    <cfRule type="containsText" dxfId="4123" priority="968" operator="containsText" text="FAIL">
      <formula>NOT(ISERROR(SEARCH("FAIL",L136)))</formula>
    </cfRule>
  </conditionalFormatting>
  <conditionalFormatting sqref="L136">
    <cfRule type="containsText" dxfId="4122" priority="967" operator="containsText" text="GOOD">
      <formula>NOT(ISERROR(SEARCH("GOOD",L136)))</formula>
    </cfRule>
  </conditionalFormatting>
  <conditionalFormatting sqref="Z136:AA136">
    <cfRule type="containsText" dxfId="4121" priority="966" operator="containsText" text="FAIL">
      <formula>NOT(ISERROR(SEARCH("FAIL",Z136)))</formula>
    </cfRule>
  </conditionalFormatting>
  <conditionalFormatting sqref="Z136:AA136">
    <cfRule type="containsText" dxfId="4120" priority="965" operator="containsText" text="GOOD">
      <formula>NOT(ISERROR(SEARCH("GOOD",Z136)))</formula>
    </cfRule>
  </conditionalFormatting>
  <conditionalFormatting sqref="L135">
    <cfRule type="containsText" dxfId="4119" priority="964" operator="containsText" text="FAIL">
      <formula>NOT(ISERROR(SEARCH("FAIL",L135)))</formula>
    </cfRule>
  </conditionalFormatting>
  <conditionalFormatting sqref="L135">
    <cfRule type="containsText" dxfId="4118" priority="963" operator="containsText" text="GOOD">
      <formula>NOT(ISERROR(SEARCH("GOOD",L135)))</formula>
    </cfRule>
  </conditionalFormatting>
  <conditionalFormatting sqref="Z135:AA135">
    <cfRule type="containsText" dxfId="4117" priority="962" operator="containsText" text="FAIL">
      <formula>NOT(ISERROR(SEARCH("FAIL",Z135)))</formula>
    </cfRule>
  </conditionalFormatting>
  <conditionalFormatting sqref="Z135:AA135">
    <cfRule type="containsText" dxfId="4116" priority="961" operator="containsText" text="GOOD">
      <formula>NOT(ISERROR(SEARCH("GOOD",Z135)))</formula>
    </cfRule>
  </conditionalFormatting>
  <conditionalFormatting sqref="L134">
    <cfRule type="containsText" dxfId="4115" priority="960" operator="containsText" text="FAIL">
      <formula>NOT(ISERROR(SEARCH("FAIL",L134)))</formula>
    </cfRule>
  </conditionalFormatting>
  <conditionalFormatting sqref="L134">
    <cfRule type="containsText" dxfId="4114" priority="959" operator="containsText" text="GOOD">
      <formula>NOT(ISERROR(SEARCH("GOOD",L134)))</formula>
    </cfRule>
  </conditionalFormatting>
  <conditionalFormatting sqref="Z134:AA134">
    <cfRule type="containsText" dxfId="4113" priority="958" operator="containsText" text="FAIL">
      <formula>NOT(ISERROR(SEARCH("FAIL",Z134)))</formula>
    </cfRule>
  </conditionalFormatting>
  <conditionalFormatting sqref="Z134:AA134">
    <cfRule type="containsText" dxfId="4112" priority="957" operator="containsText" text="GOOD">
      <formula>NOT(ISERROR(SEARCH("GOOD",Z134)))</formula>
    </cfRule>
  </conditionalFormatting>
  <conditionalFormatting sqref="L137">
    <cfRule type="containsText" dxfId="4111" priority="956" operator="containsText" text="FAIL">
      <formula>NOT(ISERROR(SEARCH("FAIL",L137)))</formula>
    </cfRule>
  </conditionalFormatting>
  <conditionalFormatting sqref="L137">
    <cfRule type="containsText" dxfId="4110" priority="955" operator="containsText" text="GOOD">
      <formula>NOT(ISERROR(SEARCH("GOOD",L137)))</formula>
    </cfRule>
  </conditionalFormatting>
  <conditionalFormatting sqref="Z137:AA137">
    <cfRule type="containsText" dxfId="4109" priority="954" operator="containsText" text="FAIL">
      <formula>NOT(ISERROR(SEARCH("FAIL",Z137)))</formula>
    </cfRule>
  </conditionalFormatting>
  <conditionalFormatting sqref="Z137:AA137">
    <cfRule type="containsText" dxfId="4108" priority="953" operator="containsText" text="GOOD">
      <formula>NOT(ISERROR(SEARCH("GOOD",Z137)))</formula>
    </cfRule>
  </conditionalFormatting>
  <conditionalFormatting sqref="L141">
    <cfRule type="containsText" dxfId="4107" priority="952" operator="containsText" text="FAIL">
      <formula>NOT(ISERROR(SEARCH("FAIL",L141)))</formula>
    </cfRule>
  </conditionalFormatting>
  <conditionalFormatting sqref="L141">
    <cfRule type="containsText" dxfId="4106" priority="951" operator="containsText" text="GOOD">
      <formula>NOT(ISERROR(SEARCH("GOOD",L141)))</formula>
    </cfRule>
  </conditionalFormatting>
  <conditionalFormatting sqref="Z141:AA141">
    <cfRule type="containsText" dxfId="4105" priority="950" operator="containsText" text="FAIL">
      <formula>NOT(ISERROR(SEARCH("FAIL",Z141)))</formula>
    </cfRule>
  </conditionalFormatting>
  <conditionalFormatting sqref="Z141:AA141">
    <cfRule type="containsText" dxfId="4104" priority="949" operator="containsText" text="GOOD">
      <formula>NOT(ISERROR(SEARCH("GOOD",Z141)))</formula>
    </cfRule>
  </conditionalFormatting>
  <conditionalFormatting sqref="B141">
    <cfRule type="containsText" dxfId="4103" priority="948" operator="containsText" text="FAIL">
      <formula>NOT(ISERROR(SEARCH("FAIL",B141)))</formula>
    </cfRule>
  </conditionalFormatting>
  <conditionalFormatting sqref="B141">
    <cfRule type="containsText" dxfId="4102" priority="947" operator="containsText" text="GOOD">
      <formula>NOT(ISERROR(SEARCH("GOOD",B141)))</formula>
    </cfRule>
  </conditionalFormatting>
  <conditionalFormatting sqref="L142">
    <cfRule type="containsText" dxfId="4101" priority="946" operator="containsText" text="FAIL">
      <formula>NOT(ISERROR(SEARCH("FAIL",L142)))</formula>
    </cfRule>
  </conditionalFormatting>
  <conditionalFormatting sqref="L142">
    <cfRule type="containsText" dxfId="4100" priority="945" operator="containsText" text="GOOD">
      <formula>NOT(ISERROR(SEARCH("GOOD",L142)))</formula>
    </cfRule>
  </conditionalFormatting>
  <conditionalFormatting sqref="Z142:AA142">
    <cfRule type="containsText" dxfId="4099" priority="944" operator="containsText" text="FAIL">
      <formula>NOT(ISERROR(SEARCH("FAIL",Z142)))</formula>
    </cfRule>
  </conditionalFormatting>
  <conditionalFormatting sqref="Z142:AA142">
    <cfRule type="containsText" dxfId="4098" priority="943" operator="containsText" text="GOOD">
      <formula>NOT(ISERROR(SEARCH("GOOD",Z142)))</formula>
    </cfRule>
  </conditionalFormatting>
  <conditionalFormatting sqref="B142">
    <cfRule type="containsText" dxfId="4097" priority="942" operator="containsText" text="FAIL">
      <formula>NOT(ISERROR(SEARCH("FAIL",B142)))</formula>
    </cfRule>
  </conditionalFormatting>
  <conditionalFormatting sqref="B142">
    <cfRule type="containsText" dxfId="4096" priority="941" operator="containsText" text="GOOD">
      <formula>NOT(ISERROR(SEARCH("GOOD",B142)))</formula>
    </cfRule>
  </conditionalFormatting>
  <conditionalFormatting sqref="L143">
    <cfRule type="containsText" dxfId="4095" priority="940" operator="containsText" text="FAIL">
      <formula>NOT(ISERROR(SEARCH("FAIL",L143)))</formula>
    </cfRule>
  </conditionalFormatting>
  <conditionalFormatting sqref="L143">
    <cfRule type="containsText" dxfId="4094" priority="939" operator="containsText" text="GOOD">
      <formula>NOT(ISERROR(SEARCH("GOOD",L143)))</formula>
    </cfRule>
  </conditionalFormatting>
  <conditionalFormatting sqref="Z143:AA143">
    <cfRule type="containsText" dxfId="4093" priority="938" operator="containsText" text="FAIL">
      <formula>NOT(ISERROR(SEARCH("FAIL",Z143)))</formula>
    </cfRule>
  </conditionalFormatting>
  <conditionalFormatting sqref="Z143:AA143">
    <cfRule type="containsText" dxfId="4092" priority="937" operator="containsText" text="GOOD">
      <formula>NOT(ISERROR(SEARCH("GOOD",Z143)))</formula>
    </cfRule>
  </conditionalFormatting>
  <conditionalFormatting sqref="B143">
    <cfRule type="containsText" dxfId="4091" priority="936" operator="containsText" text="FAIL">
      <formula>NOT(ISERROR(SEARCH("FAIL",B143)))</formula>
    </cfRule>
  </conditionalFormatting>
  <conditionalFormatting sqref="B143">
    <cfRule type="containsText" dxfId="4090" priority="935" operator="containsText" text="GOOD">
      <formula>NOT(ISERROR(SEARCH("GOOD",B143)))</formula>
    </cfRule>
  </conditionalFormatting>
  <conditionalFormatting sqref="L144">
    <cfRule type="containsText" dxfId="4089" priority="934" operator="containsText" text="FAIL">
      <formula>NOT(ISERROR(SEARCH("FAIL",L144)))</formula>
    </cfRule>
  </conditionalFormatting>
  <conditionalFormatting sqref="L144">
    <cfRule type="containsText" dxfId="4088" priority="933" operator="containsText" text="GOOD">
      <formula>NOT(ISERROR(SEARCH("GOOD",L144)))</formula>
    </cfRule>
  </conditionalFormatting>
  <conditionalFormatting sqref="Z144:AA144">
    <cfRule type="containsText" dxfId="4087" priority="932" operator="containsText" text="FAIL">
      <formula>NOT(ISERROR(SEARCH("FAIL",Z144)))</formula>
    </cfRule>
  </conditionalFormatting>
  <conditionalFormatting sqref="Z144:AA144">
    <cfRule type="containsText" dxfId="4086" priority="931" operator="containsText" text="GOOD">
      <formula>NOT(ISERROR(SEARCH("GOOD",Z144)))</formula>
    </cfRule>
  </conditionalFormatting>
  <conditionalFormatting sqref="B144">
    <cfRule type="containsText" dxfId="4085" priority="930" operator="containsText" text="FAIL">
      <formula>NOT(ISERROR(SEARCH("FAIL",B144)))</formula>
    </cfRule>
  </conditionalFormatting>
  <conditionalFormatting sqref="B144">
    <cfRule type="containsText" dxfId="4084" priority="929" operator="containsText" text="GOOD">
      <formula>NOT(ISERROR(SEARCH("GOOD",B144)))</formula>
    </cfRule>
  </conditionalFormatting>
  <conditionalFormatting sqref="L145">
    <cfRule type="containsText" dxfId="4083" priority="928" operator="containsText" text="FAIL">
      <formula>NOT(ISERROR(SEARCH("FAIL",L145)))</formula>
    </cfRule>
  </conditionalFormatting>
  <conditionalFormatting sqref="L145">
    <cfRule type="containsText" dxfId="4082" priority="927" operator="containsText" text="GOOD">
      <formula>NOT(ISERROR(SEARCH("GOOD",L145)))</formula>
    </cfRule>
  </conditionalFormatting>
  <conditionalFormatting sqref="Z145:AA145">
    <cfRule type="containsText" dxfId="4081" priority="926" operator="containsText" text="FAIL">
      <formula>NOT(ISERROR(SEARCH("FAIL",Z145)))</formula>
    </cfRule>
  </conditionalFormatting>
  <conditionalFormatting sqref="Z145:AA145">
    <cfRule type="containsText" dxfId="4080" priority="925" operator="containsText" text="GOOD">
      <formula>NOT(ISERROR(SEARCH("GOOD",Z145)))</formula>
    </cfRule>
  </conditionalFormatting>
  <conditionalFormatting sqref="B145">
    <cfRule type="containsText" dxfId="4079" priority="924" operator="containsText" text="FAIL">
      <formula>NOT(ISERROR(SEARCH("FAIL",B145)))</formula>
    </cfRule>
  </conditionalFormatting>
  <conditionalFormatting sqref="B145">
    <cfRule type="containsText" dxfId="4078" priority="923" operator="containsText" text="GOOD">
      <formula>NOT(ISERROR(SEARCH("GOOD",B145)))</formula>
    </cfRule>
  </conditionalFormatting>
  <conditionalFormatting sqref="L146">
    <cfRule type="containsText" dxfId="4077" priority="922" operator="containsText" text="FAIL">
      <formula>NOT(ISERROR(SEARCH("FAIL",L146)))</formula>
    </cfRule>
  </conditionalFormatting>
  <conditionalFormatting sqref="L146">
    <cfRule type="containsText" dxfId="4076" priority="921" operator="containsText" text="GOOD">
      <formula>NOT(ISERROR(SEARCH("GOOD",L146)))</formula>
    </cfRule>
  </conditionalFormatting>
  <conditionalFormatting sqref="Z146:AA146">
    <cfRule type="containsText" dxfId="4075" priority="920" operator="containsText" text="FAIL">
      <formula>NOT(ISERROR(SEARCH("FAIL",Z146)))</formula>
    </cfRule>
  </conditionalFormatting>
  <conditionalFormatting sqref="Z146:AA146">
    <cfRule type="containsText" dxfId="4074" priority="919" operator="containsText" text="GOOD">
      <formula>NOT(ISERROR(SEARCH("GOOD",Z146)))</formula>
    </cfRule>
  </conditionalFormatting>
  <conditionalFormatting sqref="B146">
    <cfRule type="containsText" dxfId="4073" priority="918" operator="containsText" text="FAIL">
      <formula>NOT(ISERROR(SEARCH("FAIL",B146)))</formula>
    </cfRule>
  </conditionalFormatting>
  <conditionalFormatting sqref="B146">
    <cfRule type="containsText" dxfId="4072" priority="917" operator="containsText" text="GOOD">
      <formula>NOT(ISERROR(SEARCH("GOOD",B146)))</formula>
    </cfRule>
  </conditionalFormatting>
  <conditionalFormatting sqref="L147">
    <cfRule type="containsText" dxfId="4071" priority="916" operator="containsText" text="FAIL">
      <formula>NOT(ISERROR(SEARCH("FAIL",L147)))</formula>
    </cfRule>
  </conditionalFormatting>
  <conditionalFormatting sqref="L147">
    <cfRule type="containsText" dxfId="4070" priority="915" operator="containsText" text="GOOD">
      <formula>NOT(ISERROR(SEARCH("GOOD",L147)))</formula>
    </cfRule>
  </conditionalFormatting>
  <conditionalFormatting sqref="Z147:AA147">
    <cfRule type="containsText" dxfId="4069" priority="914" operator="containsText" text="FAIL">
      <formula>NOT(ISERROR(SEARCH("FAIL",Z147)))</formula>
    </cfRule>
  </conditionalFormatting>
  <conditionalFormatting sqref="Z147:AA147">
    <cfRule type="containsText" dxfId="4068" priority="913" operator="containsText" text="GOOD">
      <formula>NOT(ISERROR(SEARCH("GOOD",Z147)))</formula>
    </cfRule>
  </conditionalFormatting>
  <conditionalFormatting sqref="B147">
    <cfRule type="containsText" dxfId="4067" priority="912" operator="containsText" text="FAIL">
      <formula>NOT(ISERROR(SEARCH("FAIL",B147)))</formula>
    </cfRule>
  </conditionalFormatting>
  <conditionalFormatting sqref="B147">
    <cfRule type="containsText" dxfId="4066" priority="911" operator="containsText" text="GOOD">
      <formula>NOT(ISERROR(SEARCH("GOOD",B147)))</formula>
    </cfRule>
  </conditionalFormatting>
  <conditionalFormatting sqref="L148">
    <cfRule type="containsText" dxfId="4065" priority="910" operator="containsText" text="FAIL">
      <formula>NOT(ISERROR(SEARCH("FAIL",L148)))</formula>
    </cfRule>
  </conditionalFormatting>
  <conditionalFormatting sqref="L148">
    <cfRule type="containsText" dxfId="4064" priority="909" operator="containsText" text="GOOD">
      <formula>NOT(ISERROR(SEARCH("GOOD",L148)))</formula>
    </cfRule>
  </conditionalFormatting>
  <conditionalFormatting sqref="Z148:AA148">
    <cfRule type="containsText" dxfId="4063" priority="908" operator="containsText" text="FAIL">
      <formula>NOT(ISERROR(SEARCH("FAIL",Z148)))</formula>
    </cfRule>
  </conditionalFormatting>
  <conditionalFormatting sqref="Z148:AA148">
    <cfRule type="containsText" dxfId="4062" priority="907" operator="containsText" text="GOOD">
      <formula>NOT(ISERROR(SEARCH("GOOD",Z148)))</formula>
    </cfRule>
  </conditionalFormatting>
  <conditionalFormatting sqref="L149">
    <cfRule type="containsText" dxfId="4061" priority="906" operator="containsText" text="FAIL">
      <formula>NOT(ISERROR(SEARCH("FAIL",L149)))</formula>
    </cfRule>
  </conditionalFormatting>
  <conditionalFormatting sqref="L149">
    <cfRule type="containsText" dxfId="4060" priority="905" operator="containsText" text="GOOD">
      <formula>NOT(ISERROR(SEARCH("GOOD",L149)))</formula>
    </cfRule>
  </conditionalFormatting>
  <conditionalFormatting sqref="Z149:AA149">
    <cfRule type="containsText" dxfId="4059" priority="904" operator="containsText" text="FAIL">
      <formula>NOT(ISERROR(SEARCH("FAIL",Z149)))</formula>
    </cfRule>
  </conditionalFormatting>
  <conditionalFormatting sqref="Z149:AA149">
    <cfRule type="containsText" dxfId="4058" priority="903" operator="containsText" text="GOOD">
      <formula>NOT(ISERROR(SEARCH("GOOD",Z149)))</formula>
    </cfRule>
  </conditionalFormatting>
  <conditionalFormatting sqref="L150">
    <cfRule type="containsText" dxfId="4057" priority="902" operator="containsText" text="FAIL">
      <formula>NOT(ISERROR(SEARCH("FAIL",L150)))</formula>
    </cfRule>
  </conditionalFormatting>
  <conditionalFormatting sqref="L150">
    <cfRule type="containsText" dxfId="4056" priority="901" operator="containsText" text="GOOD">
      <formula>NOT(ISERROR(SEARCH("GOOD",L150)))</formula>
    </cfRule>
  </conditionalFormatting>
  <conditionalFormatting sqref="Z150:AA150">
    <cfRule type="containsText" dxfId="4055" priority="900" operator="containsText" text="FAIL">
      <formula>NOT(ISERROR(SEARCH("FAIL",Z150)))</formula>
    </cfRule>
  </conditionalFormatting>
  <conditionalFormatting sqref="Z150:AA150">
    <cfRule type="containsText" dxfId="4054" priority="899" operator="containsText" text="GOOD">
      <formula>NOT(ISERROR(SEARCH("GOOD",Z150)))</formula>
    </cfRule>
  </conditionalFormatting>
  <conditionalFormatting sqref="L151">
    <cfRule type="containsText" dxfId="4053" priority="898" operator="containsText" text="FAIL">
      <formula>NOT(ISERROR(SEARCH("FAIL",L151)))</formula>
    </cfRule>
  </conditionalFormatting>
  <conditionalFormatting sqref="L151">
    <cfRule type="containsText" dxfId="4052" priority="897" operator="containsText" text="GOOD">
      <formula>NOT(ISERROR(SEARCH("GOOD",L151)))</formula>
    </cfRule>
  </conditionalFormatting>
  <conditionalFormatting sqref="Z151:AA151">
    <cfRule type="containsText" dxfId="4051" priority="896" operator="containsText" text="FAIL">
      <formula>NOT(ISERROR(SEARCH("FAIL",Z151)))</formula>
    </cfRule>
  </conditionalFormatting>
  <conditionalFormatting sqref="Z151:AA151">
    <cfRule type="containsText" dxfId="4050" priority="895" operator="containsText" text="GOOD">
      <formula>NOT(ISERROR(SEARCH("GOOD",Z151)))</formula>
    </cfRule>
  </conditionalFormatting>
  <conditionalFormatting sqref="L152">
    <cfRule type="containsText" dxfId="4049" priority="894" operator="containsText" text="FAIL">
      <formula>NOT(ISERROR(SEARCH("FAIL",L152)))</formula>
    </cfRule>
  </conditionalFormatting>
  <conditionalFormatting sqref="L152">
    <cfRule type="containsText" dxfId="4048" priority="893" operator="containsText" text="GOOD">
      <formula>NOT(ISERROR(SEARCH("GOOD",L152)))</formula>
    </cfRule>
  </conditionalFormatting>
  <conditionalFormatting sqref="Z152:AA152">
    <cfRule type="containsText" dxfId="4047" priority="892" operator="containsText" text="FAIL">
      <formula>NOT(ISERROR(SEARCH("FAIL",Z152)))</formula>
    </cfRule>
  </conditionalFormatting>
  <conditionalFormatting sqref="Z152:AA152">
    <cfRule type="containsText" dxfId="4046" priority="891" operator="containsText" text="GOOD">
      <formula>NOT(ISERROR(SEARCH("GOOD",Z152)))</formula>
    </cfRule>
  </conditionalFormatting>
  <conditionalFormatting sqref="L153">
    <cfRule type="containsText" dxfId="4045" priority="890" operator="containsText" text="FAIL">
      <formula>NOT(ISERROR(SEARCH("FAIL",L153)))</formula>
    </cfRule>
  </conditionalFormatting>
  <conditionalFormatting sqref="L153">
    <cfRule type="containsText" dxfId="4044" priority="889" operator="containsText" text="GOOD">
      <formula>NOT(ISERROR(SEARCH("GOOD",L153)))</formula>
    </cfRule>
  </conditionalFormatting>
  <conditionalFormatting sqref="Z153:AA153">
    <cfRule type="containsText" dxfId="4043" priority="888" operator="containsText" text="FAIL">
      <formula>NOT(ISERROR(SEARCH("FAIL",Z153)))</formula>
    </cfRule>
  </conditionalFormatting>
  <conditionalFormatting sqref="Z153:AA153">
    <cfRule type="containsText" dxfId="4042" priority="887" operator="containsText" text="GOOD">
      <formula>NOT(ISERROR(SEARCH("GOOD",Z153)))</formula>
    </cfRule>
  </conditionalFormatting>
  <conditionalFormatting sqref="L154">
    <cfRule type="containsText" dxfId="4041" priority="886" operator="containsText" text="FAIL">
      <formula>NOT(ISERROR(SEARCH("FAIL",L154)))</formula>
    </cfRule>
  </conditionalFormatting>
  <conditionalFormatting sqref="L154">
    <cfRule type="containsText" dxfId="4040" priority="885" operator="containsText" text="GOOD">
      <formula>NOT(ISERROR(SEARCH("GOOD",L154)))</formula>
    </cfRule>
  </conditionalFormatting>
  <conditionalFormatting sqref="Z154:AA154">
    <cfRule type="containsText" dxfId="4039" priority="884" operator="containsText" text="FAIL">
      <formula>NOT(ISERROR(SEARCH("FAIL",Z154)))</formula>
    </cfRule>
  </conditionalFormatting>
  <conditionalFormatting sqref="Z154:AA154">
    <cfRule type="containsText" dxfId="4038" priority="883" operator="containsText" text="GOOD">
      <formula>NOT(ISERROR(SEARCH("GOOD",Z154)))</formula>
    </cfRule>
  </conditionalFormatting>
  <conditionalFormatting sqref="L155">
    <cfRule type="containsText" dxfId="4037" priority="882" operator="containsText" text="FAIL">
      <formula>NOT(ISERROR(SEARCH("FAIL",L155)))</formula>
    </cfRule>
  </conditionalFormatting>
  <conditionalFormatting sqref="L155">
    <cfRule type="containsText" dxfId="4036" priority="881" operator="containsText" text="GOOD">
      <formula>NOT(ISERROR(SEARCH("GOOD",L155)))</formula>
    </cfRule>
  </conditionalFormatting>
  <conditionalFormatting sqref="Z155:AA155">
    <cfRule type="containsText" dxfId="4035" priority="880" operator="containsText" text="FAIL">
      <formula>NOT(ISERROR(SEARCH("FAIL",Z155)))</formula>
    </cfRule>
  </conditionalFormatting>
  <conditionalFormatting sqref="Z155:AA155">
    <cfRule type="containsText" dxfId="4034" priority="879" operator="containsText" text="GOOD">
      <formula>NOT(ISERROR(SEARCH("GOOD",Z155)))</formula>
    </cfRule>
  </conditionalFormatting>
  <conditionalFormatting sqref="L156">
    <cfRule type="containsText" dxfId="4033" priority="878" operator="containsText" text="FAIL">
      <formula>NOT(ISERROR(SEARCH("FAIL",L156)))</formula>
    </cfRule>
  </conditionalFormatting>
  <conditionalFormatting sqref="L156">
    <cfRule type="containsText" dxfId="4032" priority="877" operator="containsText" text="GOOD">
      <formula>NOT(ISERROR(SEARCH("GOOD",L156)))</formula>
    </cfRule>
  </conditionalFormatting>
  <conditionalFormatting sqref="Z156:AA156">
    <cfRule type="containsText" dxfId="4031" priority="876" operator="containsText" text="FAIL">
      <formula>NOT(ISERROR(SEARCH("FAIL",Z156)))</formula>
    </cfRule>
  </conditionalFormatting>
  <conditionalFormatting sqref="Z156:AA156">
    <cfRule type="containsText" dxfId="4030" priority="875" operator="containsText" text="GOOD">
      <formula>NOT(ISERROR(SEARCH("GOOD",Z156)))</formula>
    </cfRule>
  </conditionalFormatting>
  <conditionalFormatting sqref="L157">
    <cfRule type="containsText" dxfId="4029" priority="874" operator="containsText" text="FAIL">
      <formula>NOT(ISERROR(SEARCH("FAIL",L157)))</formula>
    </cfRule>
  </conditionalFormatting>
  <conditionalFormatting sqref="L157">
    <cfRule type="containsText" dxfId="4028" priority="873" operator="containsText" text="GOOD">
      <formula>NOT(ISERROR(SEARCH("GOOD",L157)))</formula>
    </cfRule>
  </conditionalFormatting>
  <conditionalFormatting sqref="Z157:AA161">
    <cfRule type="containsText" dxfId="4027" priority="872" operator="containsText" text="FAIL">
      <formula>NOT(ISERROR(SEARCH("FAIL",Z157)))</formula>
    </cfRule>
  </conditionalFormatting>
  <conditionalFormatting sqref="Z157:AA161">
    <cfRule type="containsText" dxfId="4026" priority="871" operator="containsText" text="GOOD">
      <formula>NOT(ISERROR(SEARCH("GOOD",Z157)))</formula>
    </cfRule>
  </conditionalFormatting>
  <conditionalFormatting sqref="L158">
    <cfRule type="containsText" dxfId="4025" priority="870" operator="containsText" text="FAIL">
      <formula>NOT(ISERROR(SEARCH("FAIL",L158)))</formula>
    </cfRule>
  </conditionalFormatting>
  <conditionalFormatting sqref="L158">
    <cfRule type="containsText" dxfId="4024" priority="869" operator="containsText" text="GOOD">
      <formula>NOT(ISERROR(SEARCH("GOOD",L158)))</formula>
    </cfRule>
  </conditionalFormatting>
  <conditionalFormatting sqref="L159">
    <cfRule type="containsText" dxfId="4023" priority="868" operator="containsText" text="FAIL">
      <formula>NOT(ISERROR(SEARCH("FAIL",L159)))</formula>
    </cfRule>
  </conditionalFormatting>
  <conditionalFormatting sqref="L159">
    <cfRule type="containsText" dxfId="4022" priority="867" operator="containsText" text="GOOD">
      <formula>NOT(ISERROR(SEARCH("GOOD",L159)))</formula>
    </cfRule>
  </conditionalFormatting>
  <conditionalFormatting sqref="L160">
    <cfRule type="containsText" dxfId="4021" priority="866" operator="containsText" text="FAIL">
      <formula>NOT(ISERROR(SEARCH("FAIL",L160)))</formula>
    </cfRule>
  </conditionalFormatting>
  <conditionalFormatting sqref="L160">
    <cfRule type="containsText" dxfId="4020" priority="865" operator="containsText" text="GOOD">
      <formula>NOT(ISERROR(SEARCH("GOOD",L160)))</formula>
    </cfRule>
  </conditionalFormatting>
  <conditionalFormatting sqref="L161">
    <cfRule type="containsText" dxfId="4019" priority="864" operator="containsText" text="FAIL">
      <formula>NOT(ISERROR(SEARCH("FAIL",L161)))</formula>
    </cfRule>
  </conditionalFormatting>
  <conditionalFormatting sqref="L161">
    <cfRule type="containsText" dxfId="4018" priority="863" operator="containsText" text="GOOD">
      <formula>NOT(ISERROR(SEARCH("GOOD",L161)))</formula>
    </cfRule>
  </conditionalFormatting>
  <conditionalFormatting sqref="B161">
    <cfRule type="containsText" dxfId="4017" priority="862" operator="containsText" text="FAIL">
      <formula>NOT(ISERROR(SEARCH("FAIL",B161)))</formula>
    </cfRule>
  </conditionalFormatting>
  <conditionalFormatting sqref="B161">
    <cfRule type="containsText" dxfId="4016" priority="861" operator="containsText" text="GOOD">
      <formula>NOT(ISERROR(SEARCH("GOOD",B161)))</formula>
    </cfRule>
  </conditionalFormatting>
  <conditionalFormatting sqref="L165">
    <cfRule type="containsText" dxfId="4015" priority="860" operator="containsText" text="FAIL">
      <formula>NOT(ISERROR(SEARCH("FAIL",L165)))</formula>
    </cfRule>
  </conditionalFormatting>
  <conditionalFormatting sqref="L165">
    <cfRule type="containsText" dxfId="4014" priority="859" operator="containsText" text="GOOD">
      <formula>NOT(ISERROR(SEARCH("GOOD",L165)))</formula>
    </cfRule>
  </conditionalFormatting>
  <conditionalFormatting sqref="Z165:AA165">
    <cfRule type="containsText" dxfId="4013" priority="858" operator="containsText" text="FAIL">
      <formula>NOT(ISERROR(SEARCH("FAIL",Z165)))</formula>
    </cfRule>
  </conditionalFormatting>
  <conditionalFormatting sqref="Z165:AA165">
    <cfRule type="containsText" dxfId="4012" priority="857" operator="containsText" text="GOOD">
      <formula>NOT(ISERROR(SEARCH("GOOD",Z165)))</formula>
    </cfRule>
  </conditionalFormatting>
  <conditionalFormatting sqref="B165">
    <cfRule type="containsText" dxfId="4011" priority="856" operator="containsText" text="FAIL">
      <formula>NOT(ISERROR(SEARCH("FAIL",B165)))</formula>
    </cfRule>
  </conditionalFormatting>
  <conditionalFormatting sqref="B165">
    <cfRule type="containsText" dxfId="4010" priority="855" operator="containsText" text="GOOD">
      <formula>NOT(ISERROR(SEARCH("GOOD",B165)))</formula>
    </cfRule>
  </conditionalFormatting>
  <conditionalFormatting sqref="L166">
    <cfRule type="containsText" dxfId="4009" priority="854" operator="containsText" text="FAIL">
      <formula>NOT(ISERROR(SEARCH("FAIL",L166)))</formula>
    </cfRule>
  </conditionalFormatting>
  <conditionalFormatting sqref="L166">
    <cfRule type="containsText" dxfId="4008" priority="853" operator="containsText" text="GOOD">
      <formula>NOT(ISERROR(SEARCH("GOOD",L166)))</formula>
    </cfRule>
  </conditionalFormatting>
  <conditionalFormatting sqref="Z166:AA166">
    <cfRule type="containsText" dxfId="4007" priority="852" operator="containsText" text="FAIL">
      <formula>NOT(ISERROR(SEARCH("FAIL",Z166)))</formula>
    </cfRule>
  </conditionalFormatting>
  <conditionalFormatting sqref="Z166:AA166">
    <cfRule type="containsText" dxfId="4006" priority="851" operator="containsText" text="GOOD">
      <formula>NOT(ISERROR(SEARCH("GOOD",Z166)))</formula>
    </cfRule>
  </conditionalFormatting>
  <conditionalFormatting sqref="L167">
    <cfRule type="containsText" dxfId="4005" priority="850" operator="containsText" text="FAIL">
      <formula>NOT(ISERROR(SEARCH("FAIL",L167)))</formula>
    </cfRule>
  </conditionalFormatting>
  <conditionalFormatting sqref="L167">
    <cfRule type="containsText" dxfId="4004" priority="849" operator="containsText" text="GOOD">
      <formula>NOT(ISERROR(SEARCH("GOOD",L167)))</formula>
    </cfRule>
  </conditionalFormatting>
  <conditionalFormatting sqref="Z167:AA167">
    <cfRule type="containsText" dxfId="4003" priority="848" operator="containsText" text="FAIL">
      <formula>NOT(ISERROR(SEARCH("FAIL",Z167)))</formula>
    </cfRule>
  </conditionalFormatting>
  <conditionalFormatting sqref="Z167:AA167">
    <cfRule type="containsText" dxfId="4002" priority="847" operator="containsText" text="GOOD">
      <formula>NOT(ISERROR(SEARCH("GOOD",Z167)))</formula>
    </cfRule>
  </conditionalFormatting>
  <conditionalFormatting sqref="L168">
    <cfRule type="containsText" dxfId="4001" priority="846" operator="containsText" text="FAIL">
      <formula>NOT(ISERROR(SEARCH("FAIL",L168)))</formula>
    </cfRule>
  </conditionalFormatting>
  <conditionalFormatting sqref="L168">
    <cfRule type="containsText" dxfId="4000" priority="845" operator="containsText" text="GOOD">
      <formula>NOT(ISERROR(SEARCH("GOOD",L168)))</formula>
    </cfRule>
  </conditionalFormatting>
  <conditionalFormatting sqref="Z168:AA168">
    <cfRule type="containsText" dxfId="3999" priority="844" operator="containsText" text="FAIL">
      <formula>NOT(ISERROR(SEARCH("FAIL",Z168)))</formula>
    </cfRule>
  </conditionalFormatting>
  <conditionalFormatting sqref="Z168:AA168">
    <cfRule type="containsText" dxfId="3998" priority="843" operator="containsText" text="GOOD">
      <formula>NOT(ISERROR(SEARCH("GOOD",Z168)))</formula>
    </cfRule>
  </conditionalFormatting>
  <conditionalFormatting sqref="L169">
    <cfRule type="containsText" dxfId="3997" priority="842" operator="containsText" text="FAIL">
      <formula>NOT(ISERROR(SEARCH("FAIL",L169)))</formula>
    </cfRule>
  </conditionalFormatting>
  <conditionalFormatting sqref="L169">
    <cfRule type="containsText" dxfId="3996" priority="841" operator="containsText" text="GOOD">
      <formula>NOT(ISERROR(SEARCH("GOOD",L169)))</formula>
    </cfRule>
  </conditionalFormatting>
  <conditionalFormatting sqref="Z169:AA169">
    <cfRule type="containsText" dxfId="3995" priority="840" operator="containsText" text="FAIL">
      <formula>NOT(ISERROR(SEARCH("FAIL",Z169)))</formula>
    </cfRule>
  </conditionalFormatting>
  <conditionalFormatting sqref="Z169:AA169">
    <cfRule type="containsText" dxfId="3994" priority="839" operator="containsText" text="GOOD">
      <formula>NOT(ISERROR(SEARCH("GOOD",Z169)))</formula>
    </cfRule>
  </conditionalFormatting>
  <conditionalFormatting sqref="L170">
    <cfRule type="containsText" dxfId="3993" priority="838" operator="containsText" text="FAIL">
      <formula>NOT(ISERROR(SEARCH("FAIL",L170)))</formula>
    </cfRule>
  </conditionalFormatting>
  <conditionalFormatting sqref="L170">
    <cfRule type="containsText" dxfId="3992" priority="837" operator="containsText" text="GOOD">
      <formula>NOT(ISERROR(SEARCH("GOOD",L170)))</formula>
    </cfRule>
  </conditionalFormatting>
  <conditionalFormatting sqref="Z170:AA171">
    <cfRule type="containsText" dxfId="3991" priority="836" operator="containsText" text="FAIL">
      <formula>NOT(ISERROR(SEARCH("FAIL",Z170)))</formula>
    </cfRule>
  </conditionalFormatting>
  <conditionalFormatting sqref="Z170:AA171">
    <cfRule type="containsText" dxfId="3990" priority="835" operator="containsText" text="GOOD">
      <formula>NOT(ISERROR(SEARCH("GOOD",Z170)))</formula>
    </cfRule>
  </conditionalFormatting>
  <conditionalFormatting sqref="L171">
    <cfRule type="containsText" dxfId="3989" priority="834" operator="containsText" text="FAIL">
      <formula>NOT(ISERROR(SEARCH("FAIL",L171)))</formula>
    </cfRule>
  </conditionalFormatting>
  <conditionalFormatting sqref="L171">
    <cfRule type="containsText" dxfId="3988" priority="833" operator="containsText" text="GOOD">
      <formula>NOT(ISERROR(SEARCH("GOOD",L171)))</formula>
    </cfRule>
  </conditionalFormatting>
  <conditionalFormatting sqref="L199">
    <cfRule type="containsText" dxfId="3987" priority="832" operator="containsText" text="FAIL">
      <formula>NOT(ISERROR(SEARCH("FAIL",L199)))</formula>
    </cfRule>
  </conditionalFormatting>
  <conditionalFormatting sqref="L199">
    <cfRule type="containsText" dxfId="3986" priority="831" operator="containsText" text="GOOD">
      <formula>NOT(ISERROR(SEARCH("GOOD",L199)))</formula>
    </cfRule>
  </conditionalFormatting>
  <conditionalFormatting sqref="Z199:AA199">
    <cfRule type="containsText" dxfId="3985" priority="830" operator="containsText" text="FAIL">
      <formula>NOT(ISERROR(SEARCH("FAIL",Z199)))</formula>
    </cfRule>
  </conditionalFormatting>
  <conditionalFormatting sqref="Z199:AA199">
    <cfRule type="containsText" dxfId="3984" priority="829" operator="containsText" text="GOOD">
      <formula>NOT(ISERROR(SEARCH("GOOD",Z199)))</formula>
    </cfRule>
  </conditionalFormatting>
  <conditionalFormatting sqref="B199">
    <cfRule type="containsText" dxfId="3983" priority="828" operator="containsText" text="FAIL">
      <formula>NOT(ISERROR(SEARCH("FAIL",B199)))</formula>
    </cfRule>
  </conditionalFormatting>
  <conditionalFormatting sqref="B199">
    <cfRule type="containsText" dxfId="3982" priority="827" operator="containsText" text="GOOD">
      <formula>NOT(ISERROR(SEARCH("GOOD",B199)))</formula>
    </cfRule>
  </conditionalFormatting>
  <conditionalFormatting sqref="L200">
    <cfRule type="containsText" dxfId="3981" priority="826" operator="containsText" text="FAIL">
      <formula>NOT(ISERROR(SEARCH("FAIL",L200)))</formula>
    </cfRule>
  </conditionalFormatting>
  <conditionalFormatting sqref="L200">
    <cfRule type="containsText" dxfId="3980" priority="825" operator="containsText" text="GOOD">
      <formula>NOT(ISERROR(SEARCH("GOOD",L200)))</formula>
    </cfRule>
  </conditionalFormatting>
  <conditionalFormatting sqref="Z200:AA200">
    <cfRule type="containsText" dxfId="3979" priority="824" operator="containsText" text="FAIL">
      <formula>NOT(ISERROR(SEARCH("FAIL",Z200)))</formula>
    </cfRule>
  </conditionalFormatting>
  <conditionalFormatting sqref="Z200:AA200">
    <cfRule type="containsText" dxfId="3978" priority="823" operator="containsText" text="GOOD">
      <formula>NOT(ISERROR(SEARCH("GOOD",Z200)))</formula>
    </cfRule>
  </conditionalFormatting>
  <conditionalFormatting sqref="B200">
    <cfRule type="containsText" dxfId="3977" priority="822" operator="containsText" text="FAIL">
      <formula>NOT(ISERROR(SEARCH("FAIL",B200)))</formula>
    </cfRule>
  </conditionalFormatting>
  <conditionalFormatting sqref="B200">
    <cfRule type="containsText" dxfId="3976" priority="821" operator="containsText" text="GOOD">
      <formula>NOT(ISERROR(SEARCH("GOOD",B200)))</formula>
    </cfRule>
  </conditionalFormatting>
  <conditionalFormatting sqref="L201">
    <cfRule type="containsText" dxfId="3975" priority="820" operator="containsText" text="FAIL">
      <formula>NOT(ISERROR(SEARCH("FAIL",L201)))</formula>
    </cfRule>
  </conditionalFormatting>
  <conditionalFormatting sqref="L201">
    <cfRule type="containsText" dxfId="3974" priority="819" operator="containsText" text="GOOD">
      <formula>NOT(ISERROR(SEARCH("GOOD",L201)))</formula>
    </cfRule>
  </conditionalFormatting>
  <conditionalFormatting sqref="Z201:AA201">
    <cfRule type="containsText" dxfId="3973" priority="818" operator="containsText" text="FAIL">
      <formula>NOT(ISERROR(SEARCH("FAIL",Z201)))</formula>
    </cfRule>
  </conditionalFormatting>
  <conditionalFormatting sqref="Z201:AA201">
    <cfRule type="containsText" dxfId="3972" priority="817" operator="containsText" text="GOOD">
      <formula>NOT(ISERROR(SEARCH("GOOD",Z201)))</formula>
    </cfRule>
  </conditionalFormatting>
  <conditionalFormatting sqref="B201">
    <cfRule type="containsText" dxfId="3971" priority="816" operator="containsText" text="FAIL">
      <formula>NOT(ISERROR(SEARCH("FAIL",B201)))</formula>
    </cfRule>
  </conditionalFormatting>
  <conditionalFormatting sqref="B201">
    <cfRule type="containsText" dxfId="3970" priority="815" operator="containsText" text="GOOD">
      <formula>NOT(ISERROR(SEARCH("GOOD",B201)))</formula>
    </cfRule>
  </conditionalFormatting>
  <conditionalFormatting sqref="L202">
    <cfRule type="containsText" dxfId="3969" priority="814" operator="containsText" text="FAIL">
      <formula>NOT(ISERROR(SEARCH("FAIL",L202)))</formula>
    </cfRule>
  </conditionalFormatting>
  <conditionalFormatting sqref="L202">
    <cfRule type="containsText" dxfId="3968" priority="813" operator="containsText" text="GOOD">
      <formula>NOT(ISERROR(SEARCH("GOOD",L202)))</formula>
    </cfRule>
  </conditionalFormatting>
  <conditionalFormatting sqref="Z202:AA202">
    <cfRule type="containsText" dxfId="3967" priority="812" operator="containsText" text="FAIL">
      <formula>NOT(ISERROR(SEARCH("FAIL",Z202)))</formula>
    </cfRule>
  </conditionalFormatting>
  <conditionalFormatting sqref="Z202:AA202">
    <cfRule type="containsText" dxfId="3966" priority="811" operator="containsText" text="GOOD">
      <formula>NOT(ISERROR(SEARCH("GOOD",Z202)))</formula>
    </cfRule>
  </conditionalFormatting>
  <conditionalFormatting sqref="L206">
    <cfRule type="containsText" dxfId="3965" priority="810" operator="containsText" text="FAIL">
      <formula>NOT(ISERROR(SEARCH("FAIL",L206)))</formula>
    </cfRule>
  </conditionalFormatting>
  <conditionalFormatting sqref="L206">
    <cfRule type="containsText" dxfId="3964" priority="809" operator="containsText" text="GOOD">
      <formula>NOT(ISERROR(SEARCH("GOOD",L206)))</formula>
    </cfRule>
  </conditionalFormatting>
  <conditionalFormatting sqref="Z206:AA206">
    <cfRule type="containsText" dxfId="3963" priority="808" operator="containsText" text="FAIL">
      <formula>NOT(ISERROR(SEARCH("FAIL",Z206)))</formula>
    </cfRule>
  </conditionalFormatting>
  <conditionalFormatting sqref="Z206:AA206">
    <cfRule type="containsText" dxfId="3962" priority="807" operator="containsText" text="GOOD">
      <formula>NOT(ISERROR(SEARCH("GOOD",Z206)))</formula>
    </cfRule>
  </conditionalFormatting>
  <conditionalFormatting sqref="L205">
    <cfRule type="containsText" dxfId="3961" priority="806" operator="containsText" text="FAIL">
      <formula>NOT(ISERROR(SEARCH("FAIL",L205)))</formula>
    </cfRule>
  </conditionalFormatting>
  <conditionalFormatting sqref="L205">
    <cfRule type="containsText" dxfId="3960" priority="805" operator="containsText" text="GOOD">
      <formula>NOT(ISERROR(SEARCH("GOOD",L205)))</formula>
    </cfRule>
  </conditionalFormatting>
  <conditionalFormatting sqref="Z205:AA205">
    <cfRule type="containsText" dxfId="3959" priority="804" operator="containsText" text="FAIL">
      <formula>NOT(ISERROR(SEARCH("FAIL",Z205)))</formula>
    </cfRule>
  </conditionalFormatting>
  <conditionalFormatting sqref="Z205:AA205">
    <cfRule type="containsText" dxfId="3958" priority="803" operator="containsText" text="GOOD">
      <formula>NOT(ISERROR(SEARCH("GOOD",Z205)))</formula>
    </cfRule>
  </conditionalFormatting>
  <conditionalFormatting sqref="L204">
    <cfRule type="containsText" dxfId="3957" priority="802" operator="containsText" text="FAIL">
      <formula>NOT(ISERROR(SEARCH("FAIL",L204)))</formula>
    </cfRule>
  </conditionalFormatting>
  <conditionalFormatting sqref="L204">
    <cfRule type="containsText" dxfId="3956" priority="801" operator="containsText" text="GOOD">
      <formula>NOT(ISERROR(SEARCH("GOOD",L204)))</formula>
    </cfRule>
  </conditionalFormatting>
  <conditionalFormatting sqref="Z204:AA204">
    <cfRule type="containsText" dxfId="3955" priority="800" operator="containsText" text="FAIL">
      <formula>NOT(ISERROR(SEARCH("FAIL",Z204)))</formula>
    </cfRule>
  </conditionalFormatting>
  <conditionalFormatting sqref="Z204:AA204">
    <cfRule type="containsText" dxfId="3954" priority="799" operator="containsText" text="GOOD">
      <formula>NOT(ISERROR(SEARCH("GOOD",Z204)))</formula>
    </cfRule>
  </conditionalFormatting>
  <conditionalFormatting sqref="L203">
    <cfRule type="containsText" dxfId="3953" priority="798" operator="containsText" text="FAIL">
      <formula>NOT(ISERROR(SEARCH("FAIL",L203)))</formula>
    </cfRule>
  </conditionalFormatting>
  <conditionalFormatting sqref="L203">
    <cfRule type="containsText" dxfId="3952" priority="797" operator="containsText" text="GOOD">
      <formula>NOT(ISERROR(SEARCH("GOOD",L203)))</formula>
    </cfRule>
  </conditionalFormatting>
  <conditionalFormatting sqref="Z203:AA203">
    <cfRule type="containsText" dxfId="3951" priority="796" operator="containsText" text="FAIL">
      <formula>NOT(ISERROR(SEARCH("FAIL",Z203)))</formula>
    </cfRule>
  </conditionalFormatting>
  <conditionalFormatting sqref="Z203:AA203">
    <cfRule type="containsText" dxfId="3950" priority="795" operator="containsText" text="GOOD">
      <formula>NOT(ISERROR(SEARCH("GOOD",Z203)))</formula>
    </cfRule>
  </conditionalFormatting>
  <conditionalFormatting sqref="L207">
    <cfRule type="containsText" dxfId="3949" priority="794" operator="containsText" text="FAIL">
      <formula>NOT(ISERROR(SEARCH("FAIL",L207)))</formula>
    </cfRule>
  </conditionalFormatting>
  <conditionalFormatting sqref="L207">
    <cfRule type="containsText" dxfId="3948" priority="793" operator="containsText" text="GOOD">
      <formula>NOT(ISERROR(SEARCH("GOOD",L207)))</formula>
    </cfRule>
  </conditionalFormatting>
  <conditionalFormatting sqref="Z207:AA207">
    <cfRule type="containsText" dxfId="3947" priority="792" operator="containsText" text="FAIL">
      <formula>NOT(ISERROR(SEARCH("FAIL",Z207)))</formula>
    </cfRule>
  </conditionalFormatting>
  <conditionalFormatting sqref="Z207:AA207">
    <cfRule type="containsText" dxfId="3946" priority="791" operator="containsText" text="GOOD">
      <formula>NOT(ISERROR(SEARCH("GOOD",Z207)))</formula>
    </cfRule>
  </conditionalFormatting>
  <conditionalFormatting sqref="L208">
    <cfRule type="containsText" dxfId="3945" priority="790" operator="containsText" text="FAIL">
      <formula>NOT(ISERROR(SEARCH("FAIL",L208)))</formula>
    </cfRule>
  </conditionalFormatting>
  <conditionalFormatting sqref="L208">
    <cfRule type="containsText" dxfId="3944" priority="789" operator="containsText" text="GOOD">
      <formula>NOT(ISERROR(SEARCH("GOOD",L208)))</formula>
    </cfRule>
  </conditionalFormatting>
  <conditionalFormatting sqref="Z208:AA208">
    <cfRule type="containsText" dxfId="3943" priority="788" operator="containsText" text="FAIL">
      <formula>NOT(ISERROR(SEARCH("FAIL",Z208)))</formula>
    </cfRule>
  </conditionalFormatting>
  <conditionalFormatting sqref="Z208:AA208">
    <cfRule type="containsText" dxfId="3942" priority="787" operator="containsText" text="GOOD">
      <formula>NOT(ISERROR(SEARCH("GOOD",Z208)))</formula>
    </cfRule>
  </conditionalFormatting>
  <conditionalFormatting sqref="L209">
    <cfRule type="containsText" dxfId="3941" priority="786" operator="containsText" text="FAIL">
      <formula>NOT(ISERROR(SEARCH("FAIL",L209)))</formula>
    </cfRule>
  </conditionalFormatting>
  <conditionalFormatting sqref="L209">
    <cfRule type="containsText" dxfId="3940" priority="785" operator="containsText" text="GOOD">
      <formula>NOT(ISERROR(SEARCH("GOOD",L209)))</formula>
    </cfRule>
  </conditionalFormatting>
  <conditionalFormatting sqref="Z209:AA209">
    <cfRule type="containsText" dxfId="3939" priority="784" operator="containsText" text="FAIL">
      <formula>NOT(ISERROR(SEARCH("FAIL",Z209)))</formula>
    </cfRule>
  </conditionalFormatting>
  <conditionalFormatting sqref="Z209:AA209">
    <cfRule type="containsText" dxfId="3938" priority="783" operator="containsText" text="GOOD">
      <formula>NOT(ISERROR(SEARCH("GOOD",Z209)))</formula>
    </cfRule>
  </conditionalFormatting>
  <conditionalFormatting sqref="L210">
    <cfRule type="containsText" dxfId="3937" priority="782" operator="containsText" text="FAIL">
      <formula>NOT(ISERROR(SEARCH("FAIL",L210)))</formula>
    </cfRule>
  </conditionalFormatting>
  <conditionalFormatting sqref="L210">
    <cfRule type="containsText" dxfId="3936" priority="781" operator="containsText" text="GOOD">
      <formula>NOT(ISERROR(SEARCH("GOOD",L210)))</formula>
    </cfRule>
  </conditionalFormatting>
  <conditionalFormatting sqref="Z210:AA210">
    <cfRule type="containsText" dxfId="3935" priority="780" operator="containsText" text="FAIL">
      <formula>NOT(ISERROR(SEARCH("FAIL",Z210)))</formula>
    </cfRule>
  </conditionalFormatting>
  <conditionalFormatting sqref="Z210:AA210">
    <cfRule type="containsText" dxfId="3934" priority="779" operator="containsText" text="GOOD">
      <formula>NOT(ISERROR(SEARCH("GOOD",Z210)))</formula>
    </cfRule>
  </conditionalFormatting>
  <conditionalFormatting sqref="L211">
    <cfRule type="containsText" dxfId="3933" priority="778" operator="containsText" text="FAIL">
      <formula>NOT(ISERROR(SEARCH("FAIL",L211)))</formula>
    </cfRule>
  </conditionalFormatting>
  <conditionalFormatting sqref="L211">
    <cfRule type="containsText" dxfId="3932" priority="777" operator="containsText" text="GOOD">
      <formula>NOT(ISERROR(SEARCH("GOOD",L211)))</formula>
    </cfRule>
  </conditionalFormatting>
  <conditionalFormatting sqref="Z211:AA211">
    <cfRule type="containsText" dxfId="3931" priority="776" operator="containsText" text="FAIL">
      <formula>NOT(ISERROR(SEARCH("FAIL",Z211)))</formula>
    </cfRule>
  </conditionalFormatting>
  <conditionalFormatting sqref="Z211:AA211">
    <cfRule type="containsText" dxfId="3930" priority="775" operator="containsText" text="GOOD">
      <formula>NOT(ISERROR(SEARCH("GOOD",Z211)))</formula>
    </cfRule>
  </conditionalFormatting>
  <conditionalFormatting sqref="L212">
    <cfRule type="containsText" dxfId="3929" priority="774" operator="containsText" text="FAIL">
      <formula>NOT(ISERROR(SEARCH("FAIL",L212)))</formula>
    </cfRule>
  </conditionalFormatting>
  <conditionalFormatting sqref="L212">
    <cfRule type="containsText" dxfId="3928" priority="773" operator="containsText" text="GOOD">
      <formula>NOT(ISERROR(SEARCH("GOOD",L212)))</formula>
    </cfRule>
  </conditionalFormatting>
  <conditionalFormatting sqref="Z212:AA213">
    <cfRule type="containsText" dxfId="3927" priority="772" operator="containsText" text="FAIL">
      <formula>NOT(ISERROR(SEARCH("FAIL",Z212)))</formula>
    </cfRule>
  </conditionalFormatting>
  <conditionalFormatting sqref="Z212:AA213">
    <cfRule type="containsText" dxfId="3926" priority="771" operator="containsText" text="GOOD">
      <formula>NOT(ISERROR(SEARCH("GOOD",Z212)))</formula>
    </cfRule>
  </conditionalFormatting>
  <conditionalFormatting sqref="L213">
    <cfRule type="containsText" dxfId="3925" priority="770" operator="containsText" text="FAIL">
      <formula>NOT(ISERROR(SEARCH("FAIL",L213)))</formula>
    </cfRule>
  </conditionalFormatting>
  <conditionalFormatting sqref="L213">
    <cfRule type="containsText" dxfId="3924" priority="769" operator="containsText" text="GOOD">
      <formula>NOT(ISERROR(SEARCH("GOOD",L213)))</formula>
    </cfRule>
  </conditionalFormatting>
  <conditionalFormatting sqref="B213">
    <cfRule type="containsText" dxfId="3923" priority="768" operator="containsText" text="FAIL">
      <formula>NOT(ISERROR(SEARCH("FAIL",B213)))</formula>
    </cfRule>
  </conditionalFormatting>
  <conditionalFormatting sqref="B213">
    <cfRule type="containsText" dxfId="3922" priority="767" operator="containsText" text="GOOD">
      <formula>NOT(ISERROR(SEARCH("GOOD",B213)))</formula>
    </cfRule>
  </conditionalFormatting>
  <conditionalFormatting sqref="B236">
    <cfRule type="containsText" dxfId="3921" priority="761" operator="containsText" text="GOOD">
      <formula>NOT(ISERROR(SEARCH("GOOD",B236)))</formula>
    </cfRule>
  </conditionalFormatting>
  <conditionalFormatting sqref="L236">
    <cfRule type="containsText" dxfId="3920" priority="766" operator="containsText" text="FAIL">
      <formula>NOT(ISERROR(SEARCH("FAIL",L236)))</formula>
    </cfRule>
  </conditionalFormatting>
  <conditionalFormatting sqref="L236">
    <cfRule type="containsText" dxfId="3919" priority="765" operator="containsText" text="GOOD">
      <formula>NOT(ISERROR(SEARCH("GOOD",L236)))</formula>
    </cfRule>
  </conditionalFormatting>
  <conditionalFormatting sqref="Z236:AA236">
    <cfRule type="containsText" dxfId="3918" priority="764" operator="containsText" text="FAIL">
      <formula>NOT(ISERROR(SEARCH("FAIL",Z236)))</formula>
    </cfRule>
  </conditionalFormatting>
  <conditionalFormatting sqref="Z236:AA236">
    <cfRule type="containsText" dxfId="3917" priority="763" operator="containsText" text="GOOD">
      <formula>NOT(ISERROR(SEARCH("GOOD",Z236)))</formula>
    </cfRule>
  </conditionalFormatting>
  <conditionalFormatting sqref="B236">
    <cfRule type="containsText" dxfId="3916" priority="762" operator="containsText" text="FAIL">
      <formula>NOT(ISERROR(SEARCH("FAIL",B236)))</formula>
    </cfRule>
  </conditionalFormatting>
  <conditionalFormatting sqref="L237:L238">
    <cfRule type="containsText" dxfId="3915" priority="736" operator="containsText" text="FAIL">
      <formula>NOT(ISERROR(SEARCH("FAIL",L237)))</formula>
    </cfRule>
  </conditionalFormatting>
  <conditionalFormatting sqref="L237:L238">
    <cfRule type="containsText" dxfId="3914" priority="735" operator="containsText" text="GOOD">
      <formula>NOT(ISERROR(SEARCH("GOOD",L237)))</formula>
    </cfRule>
  </conditionalFormatting>
  <conditionalFormatting sqref="L242">
    <cfRule type="containsText" dxfId="3913" priority="760" operator="containsText" text="FAIL">
      <formula>NOT(ISERROR(SEARCH("FAIL",L242)))</formula>
    </cfRule>
  </conditionalFormatting>
  <conditionalFormatting sqref="L242">
    <cfRule type="containsText" dxfId="3912" priority="759" operator="containsText" text="GOOD">
      <formula>NOT(ISERROR(SEARCH("GOOD",L242)))</formula>
    </cfRule>
  </conditionalFormatting>
  <conditionalFormatting sqref="Z242:AA242">
    <cfRule type="containsText" dxfId="3911" priority="758" operator="containsText" text="FAIL">
      <formula>NOT(ISERROR(SEARCH("FAIL",Z242)))</formula>
    </cfRule>
  </conditionalFormatting>
  <conditionalFormatting sqref="Z242:AA242">
    <cfRule type="containsText" dxfId="3910" priority="757" operator="containsText" text="GOOD">
      <formula>NOT(ISERROR(SEARCH("GOOD",Z242)))</formula>
    </cfRule>
  </conditionalFormatting>
  <conditionalFormatting sqref="B242">
    <cfRule type="containsText" dxfId="3909" priority="756" operator="containsText" text="FAIL">
      <formula>NOT(ISERROR(SEARCH("FAIL",B242)))</formula>
    </cfRule>
  </conditionalFormatting>
  <conditionalFormatting sqref="B242">
    <cfRule type="containsText" dxfId="3908" priority="755" operator="containsText" text="GOOD">
      <formula>NOT(ISERROR(SEARCH("GOOD",B242)))</formula>
    </cfRule>
  </conditionalFormatting>
  <conditionalFormatting sqref="L241">
    <cfRule type="containsText" dxfId="3907" priority="754" operator="containsText" text="FAIL">
      <formula>NOT(ISERROR(SEARCH("FAIL",L241)))</formula>
    </cfRule>
  </conditionalFormatting>
  <conditionalFormatting sqref="L241">
    <cfRule type="containsText" dxfId="3906" priority="753" operator="containsText" text="GOOD">
      <formula>NOT(ISERROR(SEARCH("GOOD",L241)))</formula>
    </cfRule>
  </conditionalFormatting>
  <conditionalFormatting sqref="Z241:AA241">
    <cfRule type="containsText" dxfId="3905" priority="752" operator="containsText" text="FAIL">
      <formula>NOT(ISERROR(SEARCH("FAIL",Z241)))</formula>
    </cfRule>
  </conditionalFormatting>
  <conditionalFormatting sqref="Z241:AA241">
    <cfRule type="containsText" dxfId="3904" priority="751" operator="containsText" text="GOOD">
      <formula>NOT(ISERROR(SEARCH("GOOD",Z241)))</formula>
    </cfRule>
  </conditionalFormatting>
  <conditionalFormatting sqref="B241">
    <cfRule type="containsText" dxfId="3903" priority="750" operator="containsText" text="FAIL">
      <formula>NOT(ISERROR(SEARCH("FAIL",B241)))</formula>
    </cfRule>
  </conditionalFormatting>
  <conditionalFormatting sqref="B241">
    <cfRule type="containsText" dxfId="3902" priority="749" operator="containsText" text="GOOD">
      <formula>NOT(ISERROR(SEARCH("GOOD",B241)))</formula>
    </cfRule>
  </conditionalFormatting>
  <conditionalFormatting sqref="L240">
    <cfRule type="containsText" dxfId="3901" priority="748" operator="containsText" text="FAIL">
      <formula>NOT(ISERROR(SEARCH("FAIL",L240)))</formula>
    </cfRule>
  </conditionalFormatting>
  <conditionalFormatting sqref="L240">
    <cfRule type="containsText" dxfId="3900" priority="747" operator="containsText" text="GOOD">
      <formula>NOT(ISERROR(SEARCH("GOOD",L240)))</formula>
    </cfRule>
  </conditionalFormatting>
  <conditionalFormatting sqref="Z240:AA240">
    <cfRule type="containsText" dxfId="3899" priority="746" operator="containsText" text="FAIL">
      <formula>NOT(ISERROR(SEARCH("FAIL",Z240)))</formula>
    </cfRule>
  </conditionalFormatting>
  <conditionalFormatting sqref="Z240:AA240">
    <cfRule type="containsText" dxfId="3898" priority="745" operator="containsText" text="GOOD">
      <formula>NOT(ISERROR(SEARCH("GOOD",Z240)))</formula>
    </cfRule>
  </conditionalFormatting>
  <conditionalFormatting sqref="B240">
    <cfRule type="containsText" dxfId="3897" priority="744" operator="containsText" text="FAIL">
      <formula>NOT(ISERROR(SEARCH("FAIL",B240)))</formula>
    </cfRule>
  </conditionalFormatting>
  <conditionalFormatting sqref="B240">
    <cfRule type="containsText" dxfId="3896" priority="743" operator="containsText" text="GOOD">
      <formula>NOT(ISERROR(SEARCH("GOOD",B240)))</formula>
    </cfRule>
  </conditionalFormatting>
  <conditionalFormatting sqref="L239">
    <cfRule type="containsText" dxfId="3895" priority="742" operator="containsText" text="FAIL">
      <formula>NOT(ISERROR(SEARCH("FAIL",L239)))</formula>
    </cfRule>
  </conditionalFormatting>
  <conditionalFormatting sqref="L239">
    <cfRule type="containsText" dxfId="3894" priority="741" operator="containsText" text="GOOD">
      <formula>NOT(ISERROR(SEARCH("GOOD",L239)))</formula>
    </cfRule>
  </conditionalFormatting>
  <conditionalFormatting sqref="Z239:AA239">
    <cfRule type="containsText" dxfId="3893" priority="740" operator="containsText" text="FAIL">
      <formula>NOT(ISERROR(SEARCH("FAIL",Z239)))</formula>
    </cfRule>
  </conditionalFormatting>
  <conditionalFormatting sqref="Z239:AA239">
    <cfRule type="containsText" dxfId="3892" priority="739" operator="containsText" text="GOOD">
      <formula>NOT(ISERROR(SEARCH("GOOD",Z239)))</formula>
    </cfRule>
  </conditionalFormatting>
  <conditionalFormatting sqref="B239">
    <cfRule type="containsText" dxfId="3891" priority="738" operator="containsText" text="FAIL">
      <formula>NOT(ISERROR(SEARCH("FAIL",B239)))</formula>
    </cfRule>
  </conditionalFormatting>
  <conditionalFormatting sqref="B239">
    <cfRule type="containsText" dxfId="3890" priority="737" operator="containsText" text="GOOD">
      <formula>NOT(ISERROR(SEARCH("GOOD",B239)))</formula>
    </cfRule>
  </conditionalFormatting>
  <conditionalFormatting sqref="Z237:AA238">
    <cfRule type="containsText" dxfId="3889" priority="734" operator="containsText" text="FAIL">
      <formula>NOT(ISERROR(SEARCH("FAIL",Z237)))</formula>
    </cfRule>
  </conditionalFormatting>
  <conditionalFormatting sqref="Z237:AA238">
    <cfRule type="containsText" dxfId="3888" priority="733" operator="containsText" text="GOOD">
      <formula>NOT(ISERROR(SEARCH("GOOD",Z237)))</formula>
    </cfRule>
  </conditionalFormatting>
  <conditionalFormatting sqref="B237:B238">
    <cfRule type="containsText" dxfId="3887" priority="732" operator="containsText" text="FAIL">
      <formula>NOT(ISERROR(SEARCH("FAIL",B237)))</formula>
    </cfRule>
  </conditionalFormatting>
  <conditionalFormatting sqref="B237:B238">
    <cfRule type="containsText" dxfId="3886" priority="731" operator="containsText" text="GOOD">
      <formula>NOT(ISERROR(SEARCH("GOOD",B237)))</formula>
    </cfRule>
  </conditionalFormatting>
  <conditionalFormatting sqref="L243">
    <cfRule type="containsText" dxfId="3885" priority="730" operator="containsText" text="FAIL">
      <formula>NOT(ISERROR(SEARCH("FAIL",L243)))</formula>
    </cfRule>
  </conditionalFormatting>
  <conditionalFormatting sqref="L243">
    <cfRule type="containsText" dxfId="3884" priority="729" operator="containsText" text="GOOD">
      <formula>NOT(ISERROR(SEARCH("GOOD",L243)))</formula>
    </cfRule>
  </conditionalFormatting>
  <conditionalFormatting sqref="Z243:AA243">
    <cfRule type="containsText" dxfId="3883" priority="728" operator="containsText" text="FAIL">
      <formula>NOT(ISERROR(SEARCH("FAIL",Z243)))</formula>
    </cfRule>
  </conditionalFormatting>
  <conditionalFormatting sqref="Z243:AA243">
    <cfRule type="containsText" dxfId="3882" priority="727" operator="containsText" text="GOOD">
      <formula>NOT(ISERROR(SEARCH("GOOD",Z243)))</formula>
    </cfRule>
  </conditionalFormatting>
  <conditionalFormatting sqref="B243">
    <cfRule type="containsText" dxfId="3881" priority="726" operator="containsText" text="FAIL">
      <formula>NOT(ISERROR(SEARCH("FAIL",B243)))</formula>
    </cfRule>
  </conditionalFormatting>
  <conditionalFormatting sqref="B243">
    <cfRule type="containsText" dxfId="3880" priority="725" operator="containsText" text="GOOD">
      <formula>NOT(ISERROR(SEARCH("GOOD",B243)))</formula>
    </cfRule>
  </conditionalFormatting>
  <conditionalFormatting sqref="L244">
    <cfRule type="containsText" dxfId="3879" priority="724" operator="containsText" text="FAIL">
      <formula>NOT(ISERROR(SEARCH("FAIL",L244)))</formula>
    </cfRule>
  </conditionalFormatting>
  <conditionalFormatting sqref="L244">
    <cfRule type="containsText" dxfId="3878" priority="723" operator="containsText" text="GOOD">
      <formula>NOT(ISERROR(SEARCH("GOOD",L244)))</formula>
    </cfRule>
  </conditionalFormatting>
  <conditionalFormatting sqref="Z244:AA244">
    <cfRule type="containsText" dxfId="3877" priority="722" operator="containsText" text="FAIL">
      <formula>NOT(ISERROR(SEARCH("FAIL",Z244)))</formula>
    </cfRule>
  </conditionalFormatting>
  <conditionalFormatting sqref="Z244:AA244">
    <cfRule type="containsText" dxfId="3876" priority="721" operator="containsText" text="GOOD">
      <formula>NOT(ISERROR(SEARCH("GOOD",Z244)))</formula>
    </cfRule>
  </conditionalFormatting>
  <conditionalFormatting sqref="L245">
    <cfRule type="containsText" dxfId="3875" priority="720" operator="containsText" text="FAIL">
      <formula>NOT(ISERROR(SEARCH("FAIL",L245)))</formula>
    </cfRule>
  </conditionalFormatting>
  <conditionalFormatting sqref="L245">
    <cfRule type="containsText" dxfId="3874" priority="719" operator="containsText" text="GOOD">
      <formula>NOT(ISERROR(SEARCH("GOOD",L245)))</formula>
    </cfRule>
  </conditionalFormatting>
  <conditionalFormatting sqref="Z245:AA245">
    <cfRule type="containsText" dxfId="3873" priority="718" operator="containsText" text="FAIL">
      <formula>NOT(ISERROR(SEARCH("FAIL",Z245)))</formula>
    </cfRule>
  </conditionalFormatting>
  <conditionalFormatting sqref="Z245:AA245">
    <cfRule type="containsText" dxfId="3872" priority="717" operator="containsText" text="GOOD">
      <formula>NOT(ISERROR(SEARCH("GOOD",Z245)))</formula>
    </cfRule>
  </conditionalFormatting>
  <conditionalFormatting sqref="L246">
    <cfRule type="containsText" dxfId="3871" priority="716" operator="containsText" text="FAIL">
      <formula>NOT(ISERROR(SEARCH("FAIL",L246)))</formula>
    </cfRule>
  </conditionalFormatting>
  <conditionalFormatting sqref="L246">
    <cfRule type="containsText" dxfId="3870" priority="715" operator="containsText" text="GOOD">
      <formula>NOT(ISERROR(SEARCH("GOOD",L246)))</formula>
    </cfRule>
  </conditionalFormatting>
  <conditionalFormatting sqref="Z246:AA246">
    <cfRule type="containsText" dxfId="3869" priority="714" operator="containsText" text="FAIL">
      <formula>NOT(ISERROR(SEARCH("FAIL",Z246)))</formula>
    </cfRule>
  </conditionalFormatting>
  <conditionalFormatting sqref="Z246:AA246">
    <cfRule type="containsText" dxfId="3868" priority="713" operator="containsText" text="GOOD">
      <formula>NOT(ISERROR(SEARCH("GOOD",Z246)))</formula>
    </cfRule>
  </conditionalFormatting>
  <conditionalFormatting sqref="L247">
    <cfRule type="containsText" dxfId="3867" priority="712" operator="containsText" text="FAIL">
      <formula>NOT(ISERROR(SEARCH("FAIL",L247)))</formula>
    </cfRule>
  </conditionalFormatting>
  <conditionalFormatting sqref="L247">
    <cfRule type="containsText" dxfId="3866" priority="711" operator="containsText" text="GOOD">
      <formula>NOT(ISERROR(SEARCH("GOOD",L247)))</formula>
    </cfRule>
  </conditionalFormatting>
  <conditionalFormatting sqref="Z247:AA247">
    <cfRule type="containsText" dxfId="3865" priority="710" operator="containsText" text="FAIL">
      <formula>NOT(ISERROR(SEARCH("FAIL",Z247)))</formula>
    </cfRule>
  </conditionalFormatting>
  <conditionalFormatting sqref="Z247:AA247">
    <cfRule type="containsText" dxfId="3864" priority="709" operator="containsText" text="GOOD">
      <formula>NOT(ISERROR(SEARCH("GOOD",Z247)))</formula>
    </cfRule>
  </conditionalFormatting>
  <conditionalFormatting sqref="L248">
    <cfRule type="containsText" dxfId="3863" priority="708" operator="containsText" text="FAIL">
      <formula>NOT(ISERROR(SEARCH("FAIL",L248)))</formula>
    </cfRule>
  </conditionalFormatting>
  <conditionalFormatting sqref="L248">
    <cfRule type="containsText" dxfId="3862" priority="707" operator="containsText" text="GOOD">
      <formula>NOT(ISERROR(SEARCH("GOOD",L248)))</formula>
    </cfRule>
  </conditionalFormatting>
  <conditionalFormatting sqref="Z248:AA248">
    <cfRule type="containsText" dxfId="3861" priority="706" operator="containsText" text="FAIL">
      <formula>NOT(ISERROR(SEARCH("FAIL",Z248)))</formula>
    </cfRule>
  </conditionalFormatting>
  <conditionalFormatting sqref="Z248:AA248">
    <cfRule type="containsText" dxfId="3860" priority="705" operator="containsText" text="GOOD">
      <formula>NOT(ISERROR(SEARCH("GOOD",Z248)))</formula>
    </cfRule>
  </conditionalFormatting>
  <conditionalFormatting sqref="B248">
    <cfRule type="containsText" dxfId="3859" priority="704" operator="containsText" text="FAIL">
      <formula>NOT(ISERROR(SEARCH("FAIL",B248)))</formula>
    </cfRule>
  </conditionalFormatting>
  <conditionalFormatting sqref="B248">
    <cfRule type="containsText" dxfId="3858" priority="703" operator="containsText" text="GOOD">
      <formula>NOT(ISERROR(SEARCH("GOOD",B248)))</formula>
    </cfRule>
  </conditionalFormatting>
  <conditionalFormatting sqref="L249">
    <cfRule type="containsText" dxfId="3857" priority="702" operator="containsText" text="FAIL">
      <formula>NOT(ISERROR(SEARCH("FAIL",L249)))</formula>
    </cfRule>
  </conditionalFormatting>
  <conditionalFormatting sqref="L249">
    <cfRule type="containsText" dxfId="3856" priority="701" operator="containsText" text="GOOD">
      <formula>NOT(ISERROR(SEARCH("GOOD",L249)))</formula>
    </cfRule>
  </conditionalFormatting>
  <conditionalFormatting sqref="Z249:AA249">
    <cfRule type="containsText" dxfId="3855" priority="700" operator="containsText" text="FAIL">
      <formula>NOT(ISERROR(SEARCH("FAIL",Z249)))</formula>
    </cfRule>
  </conditionalFormatting>
  <conditionalFormatting sqref="Z249:AA249">
    <cfRule type="containsText" dxfId="3854" priority="699" operator="containsText" text="GOOD">
      <formula>NOT(ISERROR(SEARCH("GOOD",Z249)))</formula>
    </cfRule>
  </conditionalFormatting>
  <conditionalFormatting sqref="L250">
    <cfRule type="containsText" dxfId="3853" priority="698" operator="containsText" text="FAIL">
      <formula>NOT(ISERROR(SEARCH("FAIL",L250)))</formula>
    </cfRule>
  </conditionalFormatting>
  <conditionalFormatting sqref="L250">
    <cfRule type="containsText" dxfId="3852" priority="697" operator="containsText" text="GOOD">
      <formula>NOT(ISERROR(SEARCH("GOOD",L250)))</formula>
    </cfRule>
  </conditionalFormatting>
  <conditionalFormatting sqref="Z250:AA250">
    <cfRule type="containsText" dxfId="3851" priority="696" operator="containsText" text="FAIL">
      <formula>NOT(ISERROR(SEARCH("FAIL",Z250)))</formula>
    </cfRule>
  </conditionalFormatting>
  <conditionalFormatting sqref="Z250:AA250">
    <cfRule type="containsText" dxfId="3850" priority="695" operator="containsText" text="GOOD">
      <formula>NOT(ISERROR(SEARCH("GOOD",Z250)))</formula>
    </cfRule>
  </conditionalFormatting>
  <conditionalFormatting sqref="B250">
    <cfRule type="containsText" dxfId="3849" priority="694" operator="containsText" text="FAIL">
      <formula>NOT(ISERROR(SEARCH("FAIL",B250)))</formula>
    </cfRule>
  </conditionalFormatting>
  <conditionalFormatting sqref="B250">
    <cfRule type="containsText" dxfId="3848" priority="693" operator="containsText" text="GOOD">
      <formula>NOT(ISERROR(SEARCH("GOOD",B250)))</formula>
    </cfRule>
  </conditionalFormatting>
  <conditionalFormatting sqref="L251">
    <cfRule type="containsText" dxfId="3847" priority="692" operator="containsText" text="FAIL">
      <formula>NOT(ISERROR(SEARCH("FAIL",L251)))</formula>
    </cfRule>
  </conditionalFormatting>
  <conditionalFormatting sqref="L251">
    <cfRule type="containsText" dxfId="3846" priority="691" operator="containsText" text="GOOD">
      <formula>NOT(ISERROR(SEARCH("GOOD",L251)))</formula>
    </cfRule>
  </conditionalFormatting>
  <conditionalFormatting sqref="Z251:AA251">
    <cfRule type="containsText" dxfId="3845" priority="690" operator="containsText" text="FAIL">
      <formula>NOT(ISERROR(SEARCH("FAIL",Z251)))</formula>
    </cfRule>
  </conditionalFormatting>
  <conditionalFormatting sqref="Z251:AA251">
    <cfRule type="containsText" dxfId="3844" priority="689" operator="containsText" text="GOOD">
      <formula>NOT(ISERROR(SEARCH("GOOD",Z251)))</formula>
    </cfRule>
  </conditionalFormatting>
  <conditionalFormatting sqref="L252">
    <cfRule type="containsText" dxfId="3843" priority="688" operator="containsText" text="FAIL">
      <formula>NOT(ISERROR(SEARCH("FAIL",L252)))</formula>
    </cfRule>
  </conditionalFormatting>
  <conditionalFormatting sqref="L252">
    <cfRule type="containsText" dxfId="3842" priority="687" operator="containsText" text="GOOD">
      <formula>NOT(ISERROR(SEARCH("GOOD",L252)))</formula>
    </cfRule>
  </conditionalFormatting>
  <conditionalFormatting sqref="Z252:AA252">
    <cfRule type="containsText" dxfId="3841" priority="686" operator="containsText" text="FAIL">
      <formula>NOT(ISERROR(SEARCH("FAIL",Z252)))</formula>
    </cfRule>
  </conditionalFormatting>
  <conditionalFormatting sqref="Z252:AA252">
    <cfRule type="containsText" dxfId="3840" priority="685" operator="containsText" text="GOOD">
      <formula>NOT(ISERROR(SEARCH("GOOD",Z252)))</formula>
    </cfRule>
  </conditionalFormatting>
  <conditionalFormatting sqref="L253">
    <cfRule type="containsText" dxfId="3839" priority="684" operator="containsText" text="FAIL">
      <formula>NOT(ISERROR(SEARCH("FAIL",L253)))</formula>
    </cfRule>
  </conditionalFormatting>
  <conditionalFormatting sqref="L253">
    <cfRule type="containsText" dxfId="3838" priority="683" operator="containsText" text="GOOD">
      <formula>NOT(ISERROR(SEARCH("GOOD",L253)))</formula>
    </cfRule>
  </conditionalFormatting>
  <conditionalFormatting sqref="Z253:AA253">
    <cfRule type="containsText" dxfId="3837" priority="682" operator="containsText" text="FAIL">
      <formula>NOT(ISERROR(SEARCH("FAIL",Z253)))</formula>
    </cfRule>
  </conditionalFormatting>
  <conditionalFormatting sqref="Z253:AA253">
    <cfRule type="containsText" dxfId="3836" priority="681" operator="containsText" text="GOOD">
      <formula>NOT(ISERROR(SEARCH("GOOD",Z253)))</formula>
    </cfRule>
  </conditionalFormatting>
  <conditionalFormatting sqref="L254">
    <cfRule type="containsText" dxfId="3835" priority="680" operator="containsText" text="FAIL">
      <formula>NOT(ISERROR(SEARCH("FAIL",L254)))</formula>
    </cfRule>
  </conditionalFormatting>
  <conditionalFormatting sqref="L254">
    <cfRule type="containsText" dxfId="3834" priority="679" operator="containsText" text="GOOD">
      <formula>NOT(ISERROR(SEARCH("GOOD",L254)))</formula>
    </cfRule>
  </conditionalFormatting>
  <conditionalFormatting sqref="Z254:AA256">
    <cfRule type="containsText" dxfId="3833" priority="678" operator="containsText" text="FAIL">
      <formula>NOT(ISERROR(SEARCH("FAIL",Z254)))</formula>
    </cfRule>
  </conditionalFormatting>
  <conditionalFormatting sqref="Z254:AA256">
    <cfRule type="containsText" dxfId="3832" priority="677" operator="containsText" text="GOOD">
      <formula>NOT(ISERROR(SEARCH("GOOD",Z254)))</formula>
    </cfRule>
  </conditionalFormatting>
  <conditionalFormatting sqref="L255">
    <cfRule type="containsText" dxfId="3831" priority="676" operator="containsText" text="FAIL">
      <formula>NOT(ISERROR(SEARCH("FAIL",L255)))</formula>
    </cfRule>
  </conditionalFormatting>
  <conditionalFormatting sqref="L255">
    <cfRule type="containsText" dxfId="3830" priority="675" operator="containsText" text="GOOD">
      <formula>NOT(ISERROR(SEARCH("GOOD",L255)))</formula>
    </cfRule>
  </conditionalFormatting>
  <conditionalFormatting sqref="L256">
    <cfRule type="containsText" dxfId="3829" priority="674" operator="containsText" text="FAIL">
      <formula>NOT(ISERROR(SEARCH("FAIL",L256)))</formula>
    </cfRule>
  </conditionalFormatting>
  <conditionalFormatting sqref="L256">
    <cfRule type="containsText" dxfId="3828" priority="673" operator="containsText" text="GOOD">
      <formula>NOT(ISERROR(SEARCH("GOOD",L256)))</formula>
    </cfRule>
  </conditionalFormatting>
  <conditionalFormatting sqref="L279">
    <cfRule type="containsText" dxfId="3827" priority="672" operator="containsText" text="FAIL">
      <formula>NOT(ISERROR(SEARCH("FAIL",L279)))</formula>
    </cfRule>
  </conditionalFormatting>
  <conditionalFormatting sqref="L279">
    <cfRule type="containsText" dxfId="3826" priority="671" operator="containsText" text="GOOD">
      <formula>NOT(ISERROR(SEARCH("GOOD",L279)))</formula>
    </cfRule>
  </conditionalFormatting>
  <conditionalFormatting sqref="Z279:AA279">
    <cfRule type="containsText" dxfId="3825" priority="670" operator="containsText" text="FAIL">
      <formula>NOT(ISERROR(SEARCH("FAIL",Z279)))</formula>
    </cfRule>
  </conditionalFormatting>
  <conditionalFormatting sqref="Z279:AA279">
    <cfRule type="containsText" dxfId="3824" priority="669" operator="containsText" text="GOOD">
      <formula>NOT(ISERROR(SEARCH("GOOD",Z279)))</formula>
    </cfRule>
  </conditionalFormatting>
  <conditionalFormatting sqref="L280">
    <cfRule type="containsText" dxfId="3823" priority="668" operator="containsText" text="FAIL">
      <formula>NOT(ISERROR(SEARCH("FAIL",L280)))</formula>
    </cfRule>
  </conditionalFormatting>
  <conditionalFormatting sqref="L280">
    <cfRule type="containsText" dxfId="3822" priority="667" operator="containsText" text="GOOD">
      <formula>NOT(ISERROR(SEARCH("GOOD",L280)))</formula>
    </cfRule>
  </conditionalFormatting>
  <conditionalFormatting sqref="Z280:AA280">
    <cfRule type="containsText" dxfId="3821" priority="666" operator="containsText" text="FAIL">
      <formula>NOT(ISERROR(SEARCH("FAIL",Z280)))</formula>
    </cfRule>
  </conditionalFormatting>
  <conditionalFormatting sqref="Z280:AA280">
    <cfRule type="containsText" dxfId="3820" priority="665" operator="containsText" text="GOOD">
      <formula>NOT(ISERROR(SEARCH("GOOD",Z280)))</formula>
    </cfRule>
  </conditionalFormatting>
  <conditionalFormatting sqref="L281">
    <cfRule type="containsText" dxfId="3819" priority="664" operator="containsText" text="FAIL">
      <formula>NOT(ISERROR(SEARCH("FAIL",L281)))</formula>
    </cfRule>
  </conditionalFormatting>
  <conditionalFormatting sqref="L281">
    <cfRule type="containsText" dxfId="3818" priority="663" operator="containsText" text="GOOD">
      <formula>NOT(ISERROR(SEARCH("GOOD",L281)))</formula>
    </cfRule>
  </conditionalFormatting>
  <conditionalFormatting sqref="Z281:AA281">
    <cfRule type="containsText" dxfId="3817" priority="662" operator="containsText" text="FAIL">
      <formula>NOT(ISERROR(SEARCH("FAIL",Z281)))</formula>
    </cfRule>
  </conditionalFormatting>
  <conditionalFormatting sqref="Z281:AA281">
    <cfRule type="containsText" dxfId="3816" priority="661" operator="containsText" text="GOOD">
      <formula>NOT(ISERROR(SEARCH("GOOD",Z281)))</formula>
    </cfRule>
  </conditionalFormatting>
  <conditionalFormatting sqref="L282">
    <cfRule type="containsText" dxfId="3815" priority="660" operator="containsText" text="FAIL">
      <formula>NOT(ISERROR(SEARCH("FAIL",L282)))</formula>
    </cfRule>
  </conditionalFormatting>
  <conditionalFormatting sqref="L282">
    <cfRule type="containsText" dxfId="3814" priority="659" operator="containsText" text="GOOD">
      <formula>NOT(ISERROR(SEARCH("GOOD",L282)))</formula>
    </cfRule>
  </conditionalFormatting>
  <conditionalFormatting sqref="Z282:AA282">
    <cfRule type="containsText" dxfId="3813" priority="658" operator="containsText" text="FAIL">
      <formula>NOT(ISERROR(SEARCH("FAIL",Z282)))</formula>
    </cfRule>
  </conditionalFormatting>
  <conditionalFormatting sqref="Z282:AA282">
    <cfRule type="containsText" dxfId="3812" priority="657" operator="containsText" text="GOOD">
      <formula>NOT(ISERROR(SEARCH("GOOD",Z282)))</formula>
    </cfRule>
  </conditionalFormatting>
  <conditionalFormatting sqref="L283">
    <cfRule type="containsText" dxfId="3811" priority="656" operator="containsText" text="FAIL">
      <formula>NOT(ISERROR(SEARCH("FAIL",L283)))</formula>
    </cfRule>
  </conditionalFormatting>
  <conditionalFormatting sqref="L283">
    <cfRule type="containsText" dxfId="3810" priority="655" operator="containsText" text="GOOD">
      <formula>NOT(ISERROR(SEARCH("GOOD",L283)))</formula>
    </cfRule>
  </conditionalFormatting>
  <conditionalFormatting sqref="Z283:AA283">
    <cfRule type="containsText" dxfId="3809" priority="654" operator="containsText" text="FAIL">
      <formula>NOT(ISERROR(SEARCH("FAIL",Z283)))</formula>
    </cfRule>
  </conditionalFormatting>
  <conditionalFormatting sqref="Z283:AA283">
    <cfRule type="containsText" dxfId="3808" priority="653" operator="containsText" text="GOOD">
      <formula>NOT(ISERROR(SEARCH("GOOD",Z283)))</formula>
    </cfRule>
  </conditionalFormatting>
  <conditionalFormatting sqref="L306">
    <cfRule type="containsText" dxfId="3807" priority="652" operator="containsText" text="FAIL">
      <formula>NOT(ISERROR(SEARCH("FAIL",L306)))</formula>
    </cfRule>
  </conditionalFormatting>
  <conditionalFormatting sqref="L306">
    <cfRule type="containsText" dxfId="3806" priority="651" operator="containsText" text="GOOD">
      <formula>NOT(ISERROR(SEARCH("GOOD",L306)))</formula>
    </cfRule>
  </conditionalFormatting>
  <conditionalFormatting sqref="Z306:AA306">
    <cfRule type="containsText" dxfId="3805" priority="650" operator="containsText" text="FAIL">
      <formula>NOT(ISERROR(SEARCH("FAIL",Z306)))</formula>
    </cfRule>
  </conditionalFormatting>
  <conditionalFormatting sqref="Z306:AA306">
    <cfRule type="containsText" dxfId="3804" priority="649" operator="containsText" text="GOOD">
      <formula>NOT(ISERROR(SEARCH("GOOD",Z306)))</formula>
    </cfRule>
  </conditionalFormatting>
  <conditionalFormatting sqref="B306">
    <cfRule type="containsText" dxfId="3803" priority="648" operator="containsText" text="FAIL">
      <formula>NOT(ISERROR(SEARCH("FAIL",B306)))</formula>
    </cfRule>
  </conditionalFormatting>
  <conditionalFormatting sqref="B306">
    <cfRule type="containsText" dxfId="3802" priority="647" operator="containsText" text="GOOD">
      <formula>NOT(ISERROR(SEARCH("GOOD",B306)))</formula>
    </cfRule>
  </conditionalFormatting>
  <conditionalFormatting sqref="L307">
    <cfRule type="containsText" dxfId="3801" priority="646" operator="containsText" text="FAIL">
      <formula>NOT(ISERROR(SEARCH("FAIL",L307)))</formula>
    </cfRule>
  </conditionalFormatting>
  <conditionalFormatting sqref="L307">
    <cfRule type="containsText" dxfId="3800" priority="645" operator="containsText" text="GOOD">
      <formula>NOT(ISERROR(SEARCH("GOOD",L307)))</formula>
    </cfRule>
  </conditionalFormatting>
  <conditionalFormatting sqref="Z307:AA307">
    <cfRule type="containsText" dxfId="3799" priority="644" operator="containsText" text="FAIL">
      <formula>NOT(ISERROR(SEARCH("FAIL",Z307)))</formula>
    </cfRule>
  </conditionalFormatting>
  <conditionalFormatting sqref="Z307:AA307">
    <cfRule type="containsText" dxfId="3798" priority="643" operator="containsText" text="GOOD">
      <formula>NOT(ISERROR(SEARCH("GOOD",Z307)))</formula>
    </cfRule>
  </conditionalFormatting>
  <conditionalFormatting sqref="B307">
    <cfRule type="containsText" dxfId="3797" priority="642" operator="containsText" text="FAIL">
      <formula>NOT(ISERROR(SEARCH("FAIL",B307)))</formula>
    </cfRule>
  </conditionalFormatting>
  <conditionalFormatting sqref="B307">
    <cfRule type="containsText" dxfId="3796" priority="641" operator="containsText" text="GOOD">
      <formula>NOT(ISERROR(SEARCH("GOOD",B307)))</formula>
    </cfRule>
  </conditionalFormatting>
  <conditionalFormatting sqref="L308">
    <cfRule type="containsText" dxfId="3795" priority="640" operator="containsText" text="FAIL">
      <formula>NOT(ISERROR(SEARCH("FAIL",L308)))</formula>
    </cfRule>
  </conditionalFormatting>
  <conditionalFormatting sqref="L308">
    <cfRule type="containsText" dxfId="3794" priority="639" operator="containsText" text="GOOD">
      <formula>NOT(ISERROR(SEARCH("GOOD",L308)))</formula>
    </cfRule>
  </conditionalFormatting>
  <conditionalFormatting sqref="Z308:AA308">
    <cfRule type="containsText" dxfId="3793" priority="638" operator="containsText" text="FAIL">
      <formula>NOT(ISERROR(SEARCH("FAIL",Z308)))</formula>
    </cfRule>
  </conditionalFormatting>
  <conditionalFormatting sqref="Z308:AA308">
    <cfRule type="containsText" dxfId="3792" priority="637" operator="containsText" text="GOOD">
      <formula>NOT(ISERROR(SEARCH("GOOD",Z308)))</formula>
    </cfRule>
  </conditionalFormatting>
  <conditionalFormatting sqref="B308">
    <cfRule type="containsText" dxfId="3791" priority="636" operator="containsText" text="FAIL">
      <formula>NOT(ISERROR(SEARCH("FAIL",B308)))</formula>
    </cfRule>
  </conditionalFormatting>
  <conditionalFormatting sqref="B308">
    <cfRule type="containsText" dxfId="3790" priority="635" operator="containsText" text="GOOD">
      <formula>NOT(ISERROR(SEARCH("GOOD",B308)))</formula>
    </cfRule>
  </conditionalFormatting>
  <conditionalFormatting sqref="L309:L310">
    <cfRule type="containsText" dxfId="3789" priority="634" operator="containsText" text="FAIL">
      <formula>NOT(ISERROR(SEARCH("FAIL",L309)))</formula>
    </cfRule>
  </conditionalFormatting>
  <conditionalFormatting sqref="L309:L310">
    <cfRule type="containsText" dxfId="3788" priority="633" operator="containsText" text="GOOD">
      <formula>NOT(ISERROR(SEARCH("GOOD",L309)))</formula>
    </cfRule>
  </conditionalFormatting>
  <conditionalFormatting sqref="Z309:AA310">
    <cfRule type="containsText" dxfId="3787" priority="632" operator="containsText" text="FAIL">
      <formula>NOT(ISERROR(SEARCH("FAIL",Z309)))</formula>
    </cfRule>
  </conditionalFormatting>
  <conditionalFormatting sqref="Z309:AA310">
    <cfRule type="containsText" dxfId="3786" priority="631" operator="containsText" text="GOOD">
      <formula>NOT(ISERROR(SEARCH("GOOD",Z309)))</formula>
    </cfRule>
  </conditionalFormatting>
  <conditionalFormatting sqref="B309:B310">
    <cfRule type="containsText" dxfId="3785" priority="630" operator="containsText" text="FAIL">
      <formula>NOT(ISERROR(SEARCH("FAIL",B309)))</formula>
    </cfRule>
  </conditionalFormatting>
  <conditionalFormatting sqref="B309:B310">
    <cfRule type="containsText" dxfId="3784" priority="629" operator="containsText" text="GOOD">
      <formula>NOT(ISERROR(SEARCH("GOOD",B309)))</formula>
    </cfRule>
  </conditionalFormatting>
  <conditionalFormatting sqref="L311">
    <cfRule type="containsText" dxfId="3783" priority="628" operator="containsText" text="FAIL">
      <formula>NOT(ISERROR(SEARCH("FAIL",L311)))</formula>
    </cfRule>
  </conditionalFormatting>
  <conditionalFormatting sqref="L311">
    <cfRule type="containsText" dxfId="3782" priority="627" operator="containsText" text="GOOD">
      <formula>NOT(ISERROR(SEARCH("GOOD",L311)))</formula>
    </cfRule>
  </conditionalFormatting>
  <conditionalFormatting sqref="Z311:AA311">
    <cfRule type="containsText" dxfId="3781" priority="626" operator="containsText" text="FAIL">
      <formula>NOT(ISERROR(SEARCH("FAIL",Z311)))</formula>
    </cfRule>
  </conditionalFormatting>
  <conditionalFormatting sqref="Z311:AA311">
    <cfRule type="containsText" dxfId="3780" priority="625" operator="containsText" text="GOOD">
      <formula>NOT(ISERROR(SEARCH("GOOD",Z311)))</formula>
    </cfRule>
  </conditionalFormatting>
  <conditionalFormatting sqref="B311">
    <cfRule type="containsText" dxfId="3779" priority="624" operator="containsText" text="FAIL">
      <formula>NOT(ISERROR(SEARCH("FAIL",B311)))</formula>
    </cfRule>
  </conditionalFormatting>
  <conditionalFormatting sqref="B311">
    <cfRule type="containsText" dxfId="3778" priority="623" operator="containsText" text="GOOD">
      <formula>NOT(ISERROR(SEARCH("GOOD",B311)))</formula>
    </cfRule>
  </conditionalFormatting>
  <conditionalFormatting sqref="L312">
    <cfRule type="containsText" dxfId="3777" priority="622" operator="containsText" text="FAIL">
      <formula>NOT(ISERROR(SEARCH("FAIL",L312)))</formula>
    </cfRule>
  </conditionalFormatting>
  <conditionalFormatting sqref="L312">
    <cfRule type="containsText" dxfId="3776" priority="621" operator="containsText" text="GOOD">
      <formula>NOT(ISERROR(SEARCH("GOOD",L312)))</formula>
    </cfRule>
  </conditionalFormatting>
  <conditionalFormatting sqref="Z312:AA312">
    <cfRule type="containsText" dxfId="3775" priority="620" operator="containsText" text="FAIL">
      <formula>NOT(ISERROR(SEARCH("FAIL",Z312)))</formula>
    </cfRule>
  </conditionalFormatting>
  <conditionalFormatting sqref="Z312:AA312">
    <cfRule type="containsText" dxfId="3774" priority="619" operator="containsText" text="GOOD">
      <formula>NOT(ISERROR(SEARCH("GOOD",Z312)))</formula>
    </cfRule>
  </conditionalFormatting>
  <conditionalFormatting sqref="B312">
    <cfRule type="containsText" dxfId="3773" priority="618" operator="containsText" text="FAIL">
      <formula>NOT(ISERROR(SEARCH("FAIL",B312)))</formula>
    </cfRule>
  </conditionalFormatting>
  <conditionalFormatting sqref="B312">
    <cfRule type="containsText" dxfId="3772" priority="617" operator="containsText" text="GOOD">
      <formula>NOT(ISERROR(SEARCH("GOOD",B312)))</formula>
    </cfRule>
  </conditionalFormatting>
  <conditionalFormatting sqref="AQ312">
    <cfRule type="containsText" dxfId="3771" priority="616" operator="containsText" text="FAIL">
      <formula>NOT(ISERROR(SEARCH("FAIL",AQ312)))</formula>
    </cfRule>
  </conditionalFormatting>
  <conditionalFormatting sqref="AQ312">
    <cfRule type="containsText" dxfId="3770" priority="615" operator="containsText" text="GOOD">
      <formula>NOT(ISERROR(SEARCH("GOOD",AQ312)))</formula>
    </cfRule>
  </conditionalFormatting>
  <conditionalFormatting sqref="L313">
    <cfRule type="containsText" dxfId="3769" priority="614" operator="containsText" text="FAIL">
      <formula>NOT(ISERROR(SEARCH("FAIL",L313)))</formula>
    </cfRule>
  </conditionalFormatting>
  <conditionalFormatting sqref="L313">
    <cfRule type="containsText" dxfId="3768" priority="613" operator="containsText" text="GOOD">
      <formula>NOT(ISERROR(SEARCH("GOOD",L313)))</formula>
    </cfRule>
  </conditionalFormatting>
  <conditionalFormatting sqref="Z313:AA313">
    <cfRule type="containsText" dxfId="3767" priority="612" operator="containsText" text="FAIL">
      <formula>NOT(ISERROR(SEARCH("FAIL",Z313)))</formula>
    </cfRule>
  </conditionalFormatting>
  <conditionalFormatting sqref="Z313:AA313">
    <cfRule type="containsText" dxfId="3766" priority="611" operator="containsText" text="GOOD">
      <formula>NOT(ISERROR(SEARCH("GOOD",Z313)))</formula>
    </cfRule>
  </conditionalFormatting>
  <conditionalFormatting sqref="L314">
    <cfRule type="containsText" dxfId="3765" priority="610" operator="containsText" text="FAIL">
      <formula>NOT(ISERROR(SEARCH("FAIL",L314)))</formula>
    </cfRule>
  </conditionalFormatting>
  <conditionalFormatting sqref="L314">
    <cfRule type="containsText" dxfId="3764" priority="609" operator="containsText" text="GOOD">
      <formula>NOT(ISERROR(SEARCH("GOOD",L314)))</formula>
    </cfRule>
  </conditionalFormatting>
  <conditionalFormatting sqref="Z314:AA314">
    <cfRule type="containsText" dxfId="3763" priority="608" operator="containsText" text="FAIL">
      <formula>NOT(ISERROR(SEARCH("FAIL",Z314)))</formula>
    </cfRule>
  </conditionalFormatting>
  <conditionalFormatting sqref="Z314:AA314">
    <cfRule type="containsText" dxfId="3762" priority="607" operator="containsText" text="GOOD">
      <formula>NOT(ISERROR(SEARCH("GOOD",Z314)))</formula>
    </cfRule>
  </conditionalFormatting>
  <conditionalFormatting sqref="Z315:AA315">
    <cfRule type="containsText" dxfId="3761" priority="603" operator="containsText" text="GOOD">
      <formula>NOT(ISERROR(SEARCH("GOOD",Z315)))</formula>
    </cfRule>
  </conditionalFormatting>
  <conditionalFormatting sqref="L315">
    <cfRule type="containsText" dxfId="3760" priority="606" operator="containsText" text="FAIL">
      <formula>NOT(ISERROR(SEARCH("FAIL",L315)))</formula>
    </cfRule>
  </conditionalFormatting>
  <conditionalFormatting sqref="L315">
    <cfRule type="containsText" dxfId="3759" priority="605" operator="containsText" text="GOOD">
      <formula>NOT(ISERROR(SEARCH("GOOD",L315)))</formula>
    </cfRule>
  </conditionalFormatting>
  <conditionalFormatting sqref="Z315:AA315">
    <cfRule type="containsText" dxfId="3758" priority="604" operator="containsText" text="FAIL">
      <formula>NOT(ISERROR(SEARCH("FAIL",Z315)))</formula>
    </cfRule>
  </conditionalFormatting>
  <conditionalFormatting sqref="L316">
    <cfRule type="containsText" dxfId="3757" priority="602" operator="containsText" text="FAIL">
      <formula>NOT(ISERROR(SEARCH("FAIL",L316)))</formula>
    </cfRule>
  </conditionalFormatting>
  <conditionalFormatting sqref="L316">
    <cfRule type="containsText" dxfId="3756" priority="601" operator="containsText" text="GOOD">
      <formula>NOT(ISERROR(SEARCH("GOOD",L316)))</formula>
    </cfRule>
  </conditionalFormatting>
  <conditionalFormatting sqref="Z316:AA316">
    <cfRule type="containsText" dxfId="3755" priority="600" operator="containsText" text="FAIL">
      <formula>NOT(ISERROR(SEARCH("FAIL",Z316)))</formula>
    </cfRule>
  </conditionalFormatting>
  <conditionalFormatting sqref="Z316:AA316">
    <cfRule type="containsText" dxfId="3754" priority="599" operator="containsText" text="GOOD">
      <formula>NOT(ISERROR(SEARCH("GOOD",Z316)))</formula>
    </cfRule>
  </conditionalFormatting>
  <conditionalFormatting sqref="L317">
    <cfRule type="containsText" dxfId="3753" priority="598" operator="containsText" text="FAIL">
      <formula>NOT(ISERROR(SEARCH("FAIL",L317)))</formula>
    </cfRule>
  </conditionalFormatting>
  <conditionalFormatting sqref="L317">
    <cfRule type="containsText" dxfId="3752" priority="597" operator="containsText" text="GOOD">
      <formula>NOT(ISERROR(SEARCH("GOOD",L317)))</formula>
    </cfRule>
  </conditionalFormatting>
  <conditionalFormatting sqref="Z317:AA317">
    <cfRule type="containsText" dxfId="3751" priority="596" operator="containsText" text="FAIL">
      <formula>NOT(ISERROR(SEARCH("FAIL",Z317)))</formula>
    </cfRule>
  </conditionalFormatting>
  <conditionalFormatting sqref="Z317:AA317">
    <cfRule type="containsText" dxfId="3750" priority="595" operator="containsText" text="GOOD">
      <formula>NOT(ISERROR(SEARCH("GOOD",Z317)))</formula>
    </cfRule>
  </conditionalFormatting>
  <conditionalFormatting sqref="L318">
    <cfRule type="containsText" dxfId="3749" priority="594" operator="containsText" text="FAIL">
      <formula>NOT(ISERROR(SEARCH("FAIL",L318)))</formula>
    </cfRule>
  </conditionalFormatting>
  <conditionalFormatting sqref="L318">
    <cfRule type="containsText" dxfId="3748" priority="593" operator="containsText" text="GOOD">
      <formula>NOT(ISERROR(SEARCH("GOOD",L318)))</formula>
    </cfRule>
  </conditionalFormatting>
  <conditionalFormatting sqref="Z318:AA318">
    <cfRule type="containsText" dxfId="3747" priority="592" operator="containsText" text="FAIL">
      <formula>NOT(ISERROR(SEARCH("FAIL",Z318)))</formula>
    </cfRule>
  </conditionalFormatting>
  <conditionalFormatting sqref="Z318:AA318">
    <cfRule type="containsText" dxfId="3746" priority="591" operator="containsText" text="GOOD">
      <formula>NOT(ISERROR(SEARCH("GOOD",Z318)))</formula>
    </cfRule>
  </conditionalFormatting>
  <conditionalFormatting sqref="L319">
    <cfRule type="containsText" dxfId="3745" priority="590" operator="containsText" text="FAIL">
      <formula>NOT(ISERROR(SEARCH("FAIL",L319)))</formula>
    </cfRule>
  </conditionalFormatting>
  <conditionalFormatting sqref="L319">
    <cfRule type="containsText" dxfId="3744" priority="589" operator="containsText" text="GOOD">
      <formula>NOT(ISERROR(SEARCH("GOOD",L319)))</formula>
    </cfRule>
  </conditionalFormatting>
  <conditionalFormatting sqref="Z319:AA320">
    <cfRule type="containsText" dxfId="3743" priority="588" operator="containsText" text="FAIL">
      <formula>NOT(ISERROR(SEARCH("FAIL",Z319)))</formula>
    </cfRule>
  </conditionalFormatting>
  <conditionalFormatting sqref="Z319:AA320">
    <cfRule type="containsText" dxfId="3742" priority="587" operator="containsText" text="GOOD">
      <formula>NOT(ISERROR(SEARCH("GOOD",Z319)))</formula>
    </cfRule>
  </conditionalFormatting>
  <conditionalFormatting sqref="L320">
    <cfRule type="containsText" dxfId="3741" priority="586" operator="containsText" text="FAIL">
      <formula>NOT(ISERROR(SEARCH("FAIL",L320)))</formula>
    </cfRule>
  </conditionalFormatting>
  <conditionalFormatting sqref="L320">
    <cfRule type="containsText" dxfId="3740" priority="585" operator="containsText" text="GOOD">
      <formula>NOT(ISERROR(SEARCH("GOOD",L320)))</formula>
    </cfRule>
  </conditionalFormatting>
  <conditionalFormatting sqref="L381">
    <cfRule type="containsText" dxfId="3739" priority="582" operator="containsText" text="FAIL">
      <formula>NOT(ISERROR(SEARCH("FAIL",L381)))</formula>
    </cfRule>
  </conditionalFormatting>
  <conditionalFormatting sqref="L381">
    <cfRule type="containsText" dxfId="3738" priority="581" operator="containsText" text="GOOD">
      <formula>NOT(ISERROR(SEARCH("GOOD",L381)))</formula>
    </cfRule>
  </conditionalFormatting>
  <conditionalFormatting sqref="Z381:AA381">
    <cfRule type="containsText" dxfId="3737" priority="580" operator="containsText" text="FAIL">
      <formula>NOT(ISERROR(SEARCH("FAIL",Z381)))</formula>
    </cfRule>
  </conditionalFormatting>
  <conditionalFormatting sqref="Z381:AA381">
    <cfRule type="containsText" dxfId="3736" priority="579" operator="containsText" text="GOOD">
      <formula>NOT(ISERROR(SEARCH("GOOD",Z381)))</formula>
    </cfRule>
  </conditionalFormatting>
  <conditionalFormatting sqref="B381">
    <cfRule type="containsText" dxfId="3735" priority="578" operator="containsText" text="FAIL">
      <formula>NOT(ISERROR(SEARCH("FAIL",B381)))</formula>
    </cfRule>
  </conditionalFormatting>
  <conditionalFormatting sqref="B381">
    <cfRule type="containsText" dxfId="3734" priority="577" operator="containsText" text="GOOD">
      <formula>NOT(ISERROR(SEARCH("GOOD",B381)))</formula>
    </cfRule>
  </conditionalFormatting>
  <conditionalFormatting sqref="L384">
    <cfRule type="containsText" dxfId="3733" priority="576" operator="containsText" text="FAIL">
      <formula>NOT(ISERROR(SEARCH("FAIL",L384)))</formula>
    </cfRule>
  </conditionalFormatting>
  <conditionalFormatting sqref="L384">
    <cfRule type="containsText" dxfId="3732" priority="575" operator="containsText" text="GOOD">
      <formula>NOT(ISERROR(SEARCH("GOOD",L384)))</formula>
    </cfRule>
  </conditionalFormatting>
  <conditionalFormatting sqref="Z384:AA384">
    <cfRule type="containsText" dxfId="3731" priority="574" operator="containsText" text="FAIL">
      <formula>NOT(ISERROR(SEARCH("FAIL",Z384)))</formula>
    </cfRule>
  </conditionalFormatting>
  <conditionalFormatting sqref="Z384:AA384">
    <cfRule type="containsText" dxfId="3730" priority="573" operator="containsText" text="GOOD">
      <formula>NOT(ISERROR(SEARCH("GOOD",Z384)))</formula>
    </cfRule>
  </conditionalFormatting>
  <conditionalFormatting sqref="B384">
    <cfRule type="containsText" dxfId="3729" priority="572" operator="containsText" text="FAIL">
      <formula>NOT(ISERROR(SEARCH("FAIL",B384)))</formula>
    </cfRule>
  </conditionalFormatting>
  <conditionalFormatting sqref="B384">
    <cfRule type="containsText" dxfId="3728" priority="571" operator="containsText" text="GOOD">
      <formula>NOT(ISERROR(SEARCH("GOOD",B384)))</formula>
    </cfRule>
  </conditionalFormatting>
  <conditionalFormatting sqref="L385">
    <cfRule type="containsText" dxfId="3727" priority="570" operator="containsText" text="FAIL">
      <formula>NOT(ISERROR(SEARCH("FAIL",L385)))</formula>
    </cfRule>
  </conditionalFormatting>
  <conditionalFormatting sqref="L385">
    <cfRule type="containsText" dxfId="3726" priority="569" operator="containsText" text="GOOD">
      <formula>NOT(ISERROR(SEARCH("GOOD",L385)))</formula>
    </cfRule>
  </conditionalFormatting>
  <conditionalFormatting sqref="Z385:AA385">
    <cfRule type="containsText" dxfId="3725" priority="568" operator="containsText" text="FAIL">
      <formula>NOT(ISERROR(SEARCH("FAIL",Z385)))</formula>
    </cfRule>
  </conditionalFormatting>
  <conditionalFormatting sqref="Z385:AA385">
    <cfRule type="containsText" dxfId="3724" priority="567" operator="containsText" text="GOOD">
      <formula>NOT(ISERROR(SEARCH("GOOD",Z385)))</formula>
    </cfRule>
  </conditionalFormatting>
  <conditionalFormatting sqref="B385">
    <cfRule type="containsText" dxfId="3723" priority="566" operator="containsText" text="FAIL">
      <formula>NOT(ISERROR(SEARCH("FAIL",B385)))</formula>
    </cfRule>
  </conditionalFormatting>
  <conditionalFormatting sqref="B385">
    <cfRule type="containsText" dxfId="3722" priority="565" operator="containsText" text="GOOD">
      <formula>NOT(ISERROR(SEARCH("GOOD",B385)))</formula>
    </cfRule>
  </conditionalFormatting>
  <conditionalFormatting sqref="L386">
    <cfRule type="containsText" dxfId="3721" priority="564" operator="containsText" text="FAIL">
      <formula>NOT(ISERROR(SEARCH("FAIL",L386)))</formula>
    </cfRule>
  </conditionalFormatting>
  <conditionalFormatting sqref="L386">
    <cfRule type="containsText" dxfId="3720" priority="563" operator="containsText" text="GOOD">
      <formula>NOT(ISERROR(SEARCH("GOOD",L386)))</formula>
    </cfRule>
  </conditionalFormatting>
  <conditionalFormatting sqref="Z386:AA386">
    <cfRule type="containsText" dxfId="3719" priority="562" operator="containsText" text="FAIL">
      <formula>NOT(ISERROR(SEARCH("FAIL",Z386)))</formula>
    </cfRule>
  </conditionalFormatting>
  <conditionalFormatting sqref="Z386:AA386">
    <cfRule type="containsText" dxfId="3718" priority="561" operator="containsText" text="GOOD">
      <formula>NOT(ISERROR(SEARCH("GOOD",Z386)))</formula>
    </cfRule>
  </conditionalFormatting>
  <conditionalFormatting sqref="B386">
    <cfRule type="containsText" dxfId="3717" priority="560" operator="containsText" text="FAIL">
      <formula>NOT(ISERROR(SEARCH("FAIL",B386)))</formula>
    </cfRule>
  </conditionalFormatting>
  <conditionalFormatting sqref="B386">
    <cfRule type="containsText" dxfId="3716" priority="559" operator="containsText" text="GOOD">
      <formula>NOT(ISERROR(SEARCH("GOOD",B386)))</formula>
    </cfRule>
  </conditionalFormatting>
  <conditionalFormatting sqref="L387">
    <cfRule type="containsText" dxfId="3715" priority="558" operator="containsText" text="FAIL">
      <formula>NOT(ISERROR(SEARCH("FAIL",L387)))</formula>
    </cfRule>
  </conditionalFormatting>
  <conditionalFormatting sqref="L387">
    <cfRule type="containsText" dxfId="3714" priority="557" operator="containsText" text="GOOD">
      <formula>NOT(ISERROR(SEARCH("GOOD",L387)))</formula>
    </cfRule>
  </conditionalFormatting>
  <conditionalFormatting sqref="Z387:AA387">
    <cfRule type="containsText" dxfId="3713" priority="556" operator="containsText" text="FAIL">
      <formula>NOT(ISERROR(SEARCH("FAIL",Z387)))</formula>
    </cfRule>
  </conditionalFormatting>
  <conditionalFormatting sqref="Z387:AA387">
    <cfRule type="containsText" dxfId="3712" priority="555" operator="containsText" text="GOOD">
      <formula>NOT(ISERROR(SEARCH("GOOD",Z387)))</formula>
    </cfRule>
  </conditionalFormatting>
  <conditionalFormatting sqref="L388">
    <cfRule type="containsText" dxfId="3711" priority="554" operator="containsText" text="FAIL">
      <formula>NOT(ISERROR(SEARCH("FAIL",L388)))</formula>
    </cfRule>
  </conditionalFormatting>
  <conditionalFormatting sqref="L388">
    <cfRule type="containsText" dxfId="3710" priority="553" operator="containsText" text="GOOD">
      <formula>NOT(ISERROR(SEARCH("GOOD",L388)))</formula>
    </cfRule>
  </conditionalFormatting>
  <conditionalFormatting sqref="Z388:AA388">
    <cfRule type="containsText" dxfId="3709" priority="552" operator="containsText" text="FAIL">
      <formula>NOT(ISERROR(SEARCH("FAIL",Z388)))</formula>
    </cfRule>
  </conditionalFormatting>
  <conditionalFormatting sqref="Z388:AA388">
    <cfRule type="containsText" dxfId="3708" priority="551" operator="containsText" text="GOOD">
      <formula>NOT(ISERROR(SEARCH("GOOD",Z388)))</formula>
    </cfRule>
  </conditionalFormatting>
  <conditionalFormatting sqref="L389">
    <cfRule type="containsText" dxfId="3707" priority="550" operator="containsText" text="FAIL">
      <formula>NOT(ISERROR(SEARCH("FAIL",L389)))</formula>
    </cfRule>
  </conditionalFormatting>
  <conditionalFormatting sqref="L389">
    <cfRule type="containsText" dxfId="3706" priority="549" operator="containsText" text="GOOD">
      <formula>NOT(ISERROR(SEARCH("GOOD",L389)))</formula>
    </cfRule>
  </conditionalFormatting>
  <conditionalFormatting sqref="Z389:AA389">
    <cfRule type="containsText" dxfId="3705" priority="548" operator="containsText" text="FAIL">
      <formula>NOT(ISERROR(SEARCH("FAIL",Z389)))</formula>
    </cfRule>
  </conditionalFormatting>
  <conditionalFormatting sqref="Z389:AA389">
    <cfRule type="containsText" dxfId="3704" priority="547" operator="containsText" text="GOOD">
      <formula>NOT(ISERROR(SEARCH("GOOD",Z389)))</formula>
    </cfRule>
  </conditionalFormatting>
  <conditionalFormatting sqref="L390">
    <cfRule type="containsText" dxfId="3703" priority="546" operator="containsText" text="FAIL">
      <formula>NOT(ISERROR(SEARCH("FAIL",L390)))</formula>
    </cfRule>
  </conditionalFormatting>
  <conditionalFormatting sqref="L390">
    <cfRule type="containsText" dxfId="3702" priority="545" operator="containsText" text="GOOD">
      <formula>NOT(ISERROR(SEARCH("GOOD",L390)))</formula>
    </cfRule>
  </conditionalFormatting>
  <conditionalFormatting sqref="Z390:AA390">
    <cfRule type="containsText" dxfId="3701" priority="544" operator="containsText" text="FAIL">
      <formula>NOT(ISERROR(SEARCH("FAIL",Z390)))</formula>
    </cfRule>
  </conditionalFormatting>
  <conditionalFormatting sqref="Z390:AA390">
    <cfRule type="containsText" dxfId="3700" priority="543" operator="containsText" text="GOOD">
      <formula>NOT(ISERROR(SEARCH("GOOD",Z390)))</formula>
    </cfRule>
  </conditionalFormatting>
  <conditionalFormatting sqref="L391">
    <cfRule type="containsText" dxfId="3699" priority="542" operator="containsText" text="FAIL">
      <formula>NOT(ISERROR(SEARCH("FAIL",L391)))</formula>
    </cfRule>
  </conditionalFormatting>
  <conditionalFormatting sqref="L391">
    <cfRule type="containsText" dxfId="3698" priority="541" operator="containsText" text="GOOD">
      <formula>NOT(ISERROR(SEARCH("GOOD",L391)))</formula>
    </cfRule>
  </conditionalFormatting>
  <conditionalFormatting sqref="Z391:AA391">
    <cfRule type="containsText" dxfId="3697" priority="540" operator="containsText" text="FAIL">
      <formula>NOT(ISERROR(SEARCH("FAIL",Z391)))</formula>
    </cfRule>
  </conditionalFormatting>
  <conditionalFormatting sqref="Z391:AA391">
    <cfRule type="containsText" dxfId="3696" priority="539" operator="containsText" text="GOOD">
      <formula>NOT(ISERROR(SEARCH("GOOD",Z391)))</formula>
    </cfRule>
  </conditionalFormatting>
  <conditionalFormatting sqref="Z392:AA392">
    <cfRule type="containsText" dxfId="3695" priority="535" operator="containsText" text="GOOD">
      <formula>NOT(ISERROR(SEARCH("GOOD",Z392)))</formula>
    </cfRule>
  </conditionalFormatting>
  <conditionalFormatting sqref="L392">
    <cfRule type="containsText" dxfId="3694" priority="538" operator="containsText" text="FAIL">
      <formula>NOT(ISERROR(SEARCH("FAIL",L392)))</formula>
    </cfRule>
  </conditionalFormatting>
  <conditionalFormatting sqref="L392">
    <cfRule type="containsText" dxfId="3693" priority="537" operator="containsText" text="GOOD">
      <formula>NOT(ISERROR(SEARCH("GOOD",L392)))</formula>
    </cfRule>
  </conditionalFormatting>
  <conditionalFormatting sqref="Z392:AA392">
    <cfRule type="containsText" dxfId="3692" priority="536" operator="containsText" text="FAIL">
      <formula>NOT(ISERROR(SEARCH("FAIL",Z392)))</formula>
    </cfRule>
  </conditionalFormatting>
  <conditionalFormatting sqref="L393">
    <cfRule type="containsText" dxfId="3691" priority="534" operator="containsText" text="FAIL">
      <formula>NOT(ISERROR(SEARCH("FAIL",L393)))</formula>
    </cfRule>
  </conditionalFormatting>
  <conditionalFormatting sqref="L393">
    <cfRule type="containsText" dxfId="3690" priority="533" operator="containsText" text="GOOD">
      <formula>NOT(ISERROR(SEARCH("GOOD",L393)))</formula>
    </cfRule>
  </conditionalFormatting>
  <conditionalFormatting sqref="Z393:AA393">
    <cfRule type="containsText" dxfId="3689" priority="532" operator="containsText" text="FAIL">
      <formula>NOT(ISERROR(SEARCH("FAIL",Z393)))</formula>
    </cfRule>
  </conditionalFormatting>
  <conditionalFormatting sqref="Z393:AA393">
    <cfRule type="containsText" dxfId="3688" priority="531" operator="containsText" text="GOOD">
      <formula>NOT(ISERROR(SEARCH("GOOD",Z393)))</formula>
    </cfRule>
  </conditionalFormatting>
  <conditionalFormatting sqref="L394">
    <cfRule type="containsText" dxfId="3687" priority="530" operator="containsText" text="FAIL">
      <formula>NOT(ISERROR(SEARCH("FAIL",L394)))</formula>
    </cfRule>
  </conditionalFormatting>
  <conditionalFormatting sqref="L394">
    <cfRule type="containsText" dxfId="3686" priority="529" operator="containsText" text="GOOD">
      <formula>NOT(ISERROR(SEARCH("GOOD",L394)))</formula>
    </cfRule>
  </conditionalFormatting>
  <conditionalFormatting sqref="Z394:AA395">
    <cfRule type="containsText" dxfId="3685" priority="528" operator="containsText" text="FAIL">
      <formula>NOT(ISERROR(SEARCH("FAIL",Z394)))</formula>
    </cfRule>
  </conditionalFormatting>
  <conditionalFormatting sqref="Z394:AA395">
    <cfRule type="containsText" dxfId="3684" priority="527" operator="containsText" text="GOOD">
      <formula>NOT(ISERROR(SEARCH("GOOD",Z394)))</formula>
    </cfRule>
  </conditionalFormatting>
  <conditionalFormatting sqref="L395">
    <cfRule type="containsText" dxfId="3683" priority="526" operator="containsText" text="FAIL">
      <formula>NOT(ISERROR(SEARCH("FAIL",L395)))</formula>
    </cfRule>
  </conditionalFormatting>
  <conditionalFormatting sqref="L395">
    <cfRule type="containsText" dxfId="3682" priority="525" operator="containsText" text="GOOD">
      <formula>NOT(ISERROR(SEARCH("GOOD",L395)))</formula>
    </cfRule>
  </conditionalFormatting>
  <conditionalFormatting sqref="B398">
    <cfRule type="containsText" dxfId="3681" priority="519" operator="containsText" text="GOOD">
      <formula>NOT(ISERROR(SEARCH("GOOD",B398)))</formula>
    </cfRule>
  </conditionalFormatting>
  <conditionalFormatting sqref="L398">
    <cfRule type="containsText" dxfId="3680" priority="524" operator="containsText" text="FAIL">
      <formula>NOT(ISERROR(SEARCH("FAIL",L398)))</formula>
    </cfRule>
  </conditionalFormatting>
  <conditionalFormatting sqref="L398">
    <cfRule type="containsText" dxfId="3679" priority="523" operator="containsText" text="GOOD">
      <formula>NOT(ISERROR(SEARCH("GOOD",L398)))</formula>
    </cfRule>
  </conditionalFormatting>
  <conditionalFormatting sqref="Z398:AA398">
    <cfRule type="containsText" dxfId="3678" priority="522" operator="containsText" text="FAIL">
      <formula>NOT(ISERROR(SEARCH("FAIL",Z398)))</formula>
    </cfRule>
  </conditionalFormatting>
  <conditionalFormatting sqref="Z398:AA398">
    <cfRule type="containsText" dxfId="3677" priority="521" operator="containsText" text="GOOD">
      <formula>NOT(ISERROR(SEARCH("GOOD",Z398)))</formula>
    </cfRule>
  </conditionalFormatting>
  <conditionalFormatting sqref="B398">
    <cfRule type="containsText" dxfId="3676" priority="520" operator="containsText" text="FAIL">
      <formula>NOT(ISERROR(SEARCH("FAIL",B398)))</formula>
    </cfRule>
  </conditionalFormatting>
  <conditionalFormatting sqref="L399">
    <cfRule type="containsText" dxfId="3675" priority="518" operator="containsText" text="FAIL">
      <formula>NOT(ISERROR(SEARCH("FAIL",L399)))</formula>
    </cfRule>
  </conditionalFormatting>
  <conditionalFormatting sqref="L399">
    <cfRule type="containsText" dxfId="3674" priority="517" operator="containsText" text="GOOD">
      <formula>NOT(ISERROR(SEARCH("GOOD",L399)))</formula>
    </cfRule>
  </conditionalFormatting>
  <conditionalFormatting sqref="Z399:AA399">
    <cfRule type="containsText" dxfId="3673" priority="516" operator="containsText" text="FAIL">
      <formula>NOT(ISERROR(SEARCH("FAIL",Z399)))</formula>
    </cfRule>
  </conditionalFormatting>
  <conditionalFormatting sqref="Z399:AA399">
    <cfRule type="containsText" dxfId="3672" priority="515" operator="containsText" text="GOOD">
      <formula>NOT(ISERROR(SEARCH("GOOD",Z399)))</formula>
    </cfRule>
  </conditionalFormatting>
  <conditionalFormatting sqref="B399">
    <cfRule type="containsText" dxfId="3671" priority="514" operator="containsText" text="FAIL">
      <formula>NOT(ISERROR(SEARCH("FAIL",B399)))</formula>
    </cfRule>
  </conditionalFormatting>
  <conditionalFormatting sqref="B399">
    <cfRule type="containsText" dxfId="3670" priority="513" operator="containsText" text="GOOD">
      <formula>NOT(ISERROR(SEARCH("GOOD",B399)))</formula>
    </cfRule>
  </conditionalFormatting>
  <conditionalFormatting sqref="L400">
    <cfRule type="containsText" dxfId="3669" priority="512" operator="containsText" text="FAIL">
      <formula>NOT(ISERROR(SEARCH("FAIL",L400)))</formula>
    </cfRule>
  </conditionalFormatting>
  <conditionalFormatting sqref="L400">
    <cfRule type="containsText" dxfId="3668" priority="511" operator="containsText" text="GOOD">
      <formula>NOT(ISERROR(SEARCH("GOOD",L400)))</formula>
    </cfRule>
  </conditionalFormatting>
  <conditionalFormatting sqref="Z400:AA400">
    <cfRule type="containsText" dxfId="3667" priority="510" operator="containsText" text="FAIL">
      <formula>NOT(ISERROR(SEARCH("FAIL",Z400)))</formula>
    </cfRule>
  </conditionalFormatting>
  <conditionalFormatting sqref="Z400:AA400">
    <cfRule type="containsText" dxfId="3666" priority="509" operator="containsText" text="GOOD">
      <formula>NOT(ISERROR(SEARCH("GOOD",Z400)))</formula>
    </cfRule>
  </conditionalFormatting>
  <conditionalFormatting sqref="B400">
    <cfRule type="containsText" dxfId="3665" priority="508" operator="containsText" text="FAIL">
      <formula>NOT(ISERROR(SEARCH("FAIL",B400)))</formula>
    </cfRule>
  </conditionalFormatting>
  <conditionalFormatting sqref="B400">
    <cfRule type="containsText" dxfId="3664" priority="507" operator="containsText" text="GOOD">
      <formula>NOT(ISERROR(SEARCH("GOOD",B400)))</formula>
    </cfRule>
  </conditionalFormatting>
  <conditionalFormatting sqref="L401">
    <cfRule type="containsText" dxfId="3663" priority="506" operator="containsText" text="FAIL">
      <formula>NOT(ISERROR(SEARCH("FAIL",L401)))</formula>
    </cfRule>
  </conditionalFormatting>
  <conditionalFormatting sqref="L401">
    <cfRule type="containsText" dxfId="3662" priority="505" operator="containsText" text="GOOD">
      <formula>NOT(ISERROR(SEARCH("GOOD",L401)))</formula>
    </cfRule>
  </conditionalFormatting>
  <conditionalFormatting sqref="Z401:AA401">
    <cfRule type="containsText" dxfId="3661" priority="504" operator="containsText" text="FAIL">
      <formula>NOT(ISERROR(SEARCH("FAIL",Z401)))</formula>
    </cfRule>
  </conditionalFormatting>
  <conditionalFormatting sqref="Z401:AA401">
    <cfRule type="containsText" dxfId="3660" priority="503" operator="containsText" text="GOOD">
      <formula>NOT(ISERROR(SEARCH("GOOD",Z401)))</formula>
    </cfRule>
  </conditionalFormatting>
  <conditionalFormatting sqref="B401">
    <cfRule type="containsText" dxfId="3659" priority="502" operator="containsText" text="FAIL">
      <formula>NOT(ISERROR(SEARCH("FAIL",B401)))</formula>
    </cfRule>
  </conditionalFormatting>
  <conditionalFormatting sqref="B401">
    <cfRule type="containsText" dxfId="3658" priority="501" operator="containsText" text="GOOD">
      <formula>NOT(ISERROR(SEARCH("GOOD",B401)))</formula>
    </cfRule>
  </conditionalFormatting>
  <conditionalFormatting sqref="L402">
    <cfRule type="containsText" dxfId="3657" priority="500" operator="containsText" text="FAIL">
      <formula>NOT(ISERROR(SEARCH("FAIL",L402)))</formula>
    </cfRule>
  </conditionalFormatting>
  <conditionalFormatting sqref="L402">
    <cfRule type="containsText" dxfId="3656" priority="499" operator="containsText" text="GOOD">
      <formula>NOT(ISERROR(SEARCH("GOOD",L402)))</formula>
    </cfRule>
  </conditionalFormatting>
  <conditionalFormatting sqref="Z402:AA402">
    <cfRule type="containsText" dxfId="3655" priority="498" operator="containsText" text="FAIL">
      <formula>NOT(ISERROR(SEARCH("FAIL",Z402)))</formula>
    </cfRule>
  </conditionalFormatting>
  <conditionalFormatting sqref="Z402:AA402">
    <cfRule type="containsText" dxfId="3654" priority="497" operator="containsText" text="GOOD">
      <formula>NOT(ISERROR(SEARCH("GOOD",Z402)))</formula>
    </cfRule>
  </conditionalFormatting>
  <conditionalFormatting sqref="L403">
    <cfRule type="containsText" dxfId="3653" priority="496" operator="containsText" text="FAIL">
      <formula>NOT(ISERROR(SEARCH("FAIL",L403)))</formula>
    </cfRule>
  </conditionalFormatting>
  <conditionalFormatting sqref="L403">
    <cfRule type="containsText" dxfId="3652" priority="495" operator="containsText" text="GOOD">
      <formula>NOT(ISERROR(SEARCH("GOOD",L403)))</formula>
    </cfRule>
  </conditionalFormatting>
  <conditionalFormatting sqref="Z403:AA403">
    <cfRule type="containsText" dxfId="3651" priority="494" operator="containsText" text="FAIL">
      <formula>NOT(ISERROR(SEARCH("FAIL",Z403)))</formula>
    </cfRule>
  </conditionalFormatting>
  <conditionalFormatting sqref="Z403:AA403">
    <cfRule type="containsText" dxfId="3650" priority="493" operator="containsText" text="GOOD">
      <formula>NOT(ISERROR(SEARCH("GOOD",Z403)))</formula>
    </cfRule>
  </conditionalFormatting>
  <conditionalFormatting sqref="L404">
    <cfRule type="containsText" dxfId="3649" priority="492" operator="containsText" text="FAIL">
      <formula>NOT(ISERROR(SEARCH("FAIL",L404)))</formula>
    </cfRule>
  </conditionalFormatting>
  <conditionalFormatting sqref="L404">
    <cfRule type="containsText" dxfId="3648" priority="491" operator="containsText" text="GOOD">
      <formula>NOT(ISERROR(SEARCH("GOOD",L404)))</formula>
    </cfRule>
  </conditionalFormatting>
  <conditionalFormatting sqref="Z404:AA404">
    <cfRule type="containsText" dxfId="3647" priority="490" operator="containsText" text="FAIL">
      <formula>NOT(ISERROR(SEARCH("FAIL",Z404)))</formula>
    </cfRule>
  </conditionalFormatting>
  <conditionalFormatting sqref="Z404:AA404">
    <cfRule type="containsText" dxfId="3646" priority="489" operator="containsText" text="GOOD">
      <formula>NOT(ISERROR(SEARCH("GOOD",Z404)))</formula>
    </cfRule>
  </conditionalFormatting>
  <conditionalFormatting sqref="L405">
    <cfRule type="containsText" dxfId="3645" priority="488" operator="containsText" text="FAIL">
      <formula>NOT(ISERROR(SEARCH("FAIL",L405)))</formula>
    </cfRule>
  </conditionalFormatting>
  <conditionalFormatting sqref="L405">
    <cfRule type="containsText" dxfId="3644" priority="487" operator="containsText" text="GOOD">
      <formula>NOT(ISERROR(SEARCH("GOOD",L405)))</formula>
    </cfRule>
  </conditionalFormatting>
  <conditionalFormatting sqref="Z405:AA405">
    <cfRule type="containsText" dxfId="3643" priority="486" operator="containsText" text="FAIL">
      <formula>NOT(ISERROR(SEARCH("FAIL",Z405)))</formula>
    </cfRule>
  </conditionalFormatting>
  <conditionalFormatting sqref="Z405:AA405">
    <cfRule type="containsText" dxfId="3642" priority="485" operator="containsText" text="GOOD">
      <formula>NOT(ISERROR(SEARCH("GOOD",Z405)))</formula>
    </cfRule>
  </conditionalFormatting>
  <conditionalFormatting sqref="B405">
    <cfRule type="containsText" dxfId="3641" priority="484" operator="containsText" text="FAIL">
      <formula>NOT(ISERROR(SEARCH("FAIL",B405)))</formula>
    </cfRule>
  </conditionalFormatting>
  <conditionalFormatting sqref="B405">
    <cfRule type="containsText" dxfId="3640" priority="483" operator="containsText" text="GOOD">
      <formula>NOT(ISERROR(SEARCH("GOOD",B405)))</formula>
    </cfRule>
  </conditionalFormatting>
  <conditionalFormatting sqref="L406">
    <cfRule type="containsText" dxfId="3639" priority="482" operator="containsText" text="FAIL">
      <formula>NOT(ISERROR(SEARCH("FAIL",L406)))</formula>
    </cfRule>
  </conditionalFormatting>
  <conditionalFormatting sqref="L406">
    <cfRule type="containsText" dxfId="3638" priority="481" operator="containsText" text="GOOD">
      <formula>NOT(ISERROR(SEARCH("GOOD",L406)))</formula>
    </cfRule>
  </conditionalFormatting>
  <conditionalFormatting sqref="Z406:AA406">
    <cfRule type="containsText" dxfId="3637" priority="480" operator="containsText" text="FAIL">
      <formula>NOT(ISERROR(SEARCH("FAIL",Z406)))</formula>
    </cfRule>
  </conditionalFormatting>
  <conditionalFormatting sqref="Z406:AA406">
    <cfRule type="containsText" dxfId="3636" priority="479" operator="containsText" text="GOOD">
      <formula>NOT(ISERROR(SEARCH("GOOD",Z406)))</formula>
    </cfRule>
  </conditionalFormatting>
  <conditionalFormatting sqref="B406">
    <cfRule type="containsText" dxfId="3635" priority="478" operator="containsText" text="FAIL">
      <formula>NOT(ISERROR(SEARCH("FAIL",B406)))</formula>
    </cfRule>
  </conditionalFormatting>
  <conditionalFormatting sqref="B406">
    <cfRule type="containsText" dxfId="3634" priority="477" operator="containsText" text="GOOD">
      <formula>NOT(ISERROR(SEARCH("GOOD",B406)))</formula>
    </cfRule>
  </conditionalFormatting>
  <conditionalFormatting sqref="L407">
    <cfRule type="containsText" dxfId="3633" priority="476" operator="containsText" text="FAIL">
      <formula>NOT(ISERROR(SEARCH("FAIL",L407)))</formula>
    </cfRule>
  </conditionalFormatting>
  <conditionalFormatting sqref="L407">
    <cfRule type="containsText" dxfId="3632" priority="475" operator="containsText" text="GOOD">
      <formula>NOT(ISERROR(SEARCH("GOOD",L407)))</formula>
    </cfRule>
  </conditionalFormatting>
  <conditionalFormatting sqref="Z407:AA407">
    <cfRule type="containsText" dxfId="3631" priority="474" operator="containsText" text="FAIL">
      <formula>NOT(ISERROR(SEARCH("FAIL",Z407)))</formula>
    </cfRule>
  </conditionalFormatting>
  <conditionalFormatting sqref="Z407:AA407">
    <cfRule type="containsText" dxfId="3630" priority="473" operator="containsText" text="GOOD">
      <formula>NOT(ISERROR(SEARCH("GOOD",Z407)))</formula>
    </cfRule>
  </conditionalFormatting>
  <conditionalFormatting sqref="L410">
    <cfRule type="containsText" dxfId="3629" priority="472" operator="containsText" text="FAIL">
      <formula>NOT(ISERROR(SEARCH("FAIL",L410)))</formula>
    </cfRule>
  </conditionalFormatting>
  <conditionalFormatting sqref="L410">
    <cfRule type="containsText" dxfId="3628" priority="471" operator="containsText" text="GOOD">
      <formula>NOT(ISERROR(SEARCH("GOOD",L410)))</formula>
    </cfRule>
  </conditionalFormatting>
  <conditionalFormatting sqref="Z410:AA410">
    <cfRule type="containsText" dxfId="3627" priority="470" operator="containsText" text="FAIL">
      <formula>NOT(ISERROR(SEARCH("FAIL",Z410)))</formula>
    </cfRule>
  </conditionalFormatting>
  <conditionalFormatting sqref="Z410:AA410">
    <cfRule type="containsText" dxfId="3626" priority="469" operator="containsText" text="GOOD">
      <formula>NOT(ISERROR(SEARCH("GOOD",Z410)))</formula>
    </cfRule>
  </conditionalFormatting>
  <conditionalFormatting sqref="B410">
    <cfRule type="containsText" dxfId="3625" priority="468" operator="containsText" text="FAIL">
      <formula>NOT(ISERROR(SEARCH("FAIL",B410)))</formula>
    </cfRule>
  </conditionalFormatting>
  <conditionalFormatting sqref="B410">
    <cfRule type="containsText" dxfId="3624" priority="467" operator="containsText" text="GOOD">
      <formula>NOT(ISERROR(SEARCH("GOOD",B410)))</formula>
    </cfRule>
  </conditionalFormatting>
  <conditionalFormatting sqref="L411">
    <cfRule type="containsText" dxfId="3623" priority="466" operator="containsText" text="FAIL">
      <formula>NOT(ISERROR(SEARCH("FAIL",L411)))</formula>
    </cfRule>
  </conditionalFormatting>
  <conditionalFormatting sqref="L411">
    <cfRule type="containsText" dxfId="3622" priority="465" operator="containsText" text="GOOD">
      <formula>NOT(ISERROR(SEARCH("GOOD",L411)))</formula>
    </cfRule>
  </conditionalFormatting>
  <conditionalFormatting sqref="Z411:AA411">
    <cfRule type="containsText" dxfId="3621" priority="464" operator="containsText" text="FAIL">
      <formula>NOT(ISERROR(SEARCH("FAIL",Z411)))</formula>
    </cfRule>
  </conditionalFormatting>
  <conditionalFormatting sqref="Z411:AA411">
    <cfRule type="containsText" dxfId="3620" priority="463" operator="containsText" text="GOOD">
      <formula>NOT(ISERROR(SEARCH("GOOD",Z411)))</formula>
    </cfRule>
  </conditionalFormatting>
  <conditionalFormatting sqref="B411">
    <cfRule type="containsText" dxfId="3619" priority="462" operator="containsText" text="FAIL">
      <formula>NOT(ISERROR(SEARCH("FAIL",B411)))</formula>
    </cfRule>
  </conditionalFormatting>
  <conditionalFormatting sqref="B411">
    <cfRule type="containsText" dxfId="3618" priority="461" operator="containsText" text="GOOD">
      <formula>NOT(ISERROR(SEARCH("GOOD",B411)))</formula>
    </cfRule>
  </conditionalFormatting>
  <conditionalFormatting sqref="L412">
    <cfRule type="containsText" dxfId="3617" priority="460" operator="containsText" text="FAIL">
      <formula>NOT(ISERROR(SEARCH("FAIL",L412)))</formula>
    </cfRule>
  </conditionalFormatting>
  <conditionalFormatting sqref="L412">
    <cfRule type="containsText" dxfId="3616" priority="459" operator="containsText" text="GOOD">
      <formula>NOT(ISERROR(SEARCH("GOOD",L412)))</formula>
    </cfRule>
  </conditionalFormatting>
  <conditionalFormatting sqref="Z412:AA412">
    <cfRule type="containsText" dxfId="3615" priority="458" operator="containsText" text="FAIL">
      <formula>NOT(ISERROR(SEARCH("FAIL",Z412)))</formula>
    </cfRule>
  </conditionalFormatting>
  <conditionalFormatting sqref="Z412:AA412">
    <cfRule type="containsText" dxfId="3614" priority="457" operator="containsText" text="GOOD">
      <formula>NOT(ISERROR(SEARCH("GOOD",Z412)))</formula>
    </cfRule>
  </conditionalFormatting>
  <conditionalFormatting sqref="B412">
    <cfRule type="containsText" dxfId="3613" priority="456" operator="containsText" text="FAIL">
      <formula>NOT(ISERROR(SEARCH("FAIL",B412)))</formula>
    </cfRule>
  </conditionalFormatting>
  <conditionalFormatting sqref="B412">
    <cfRule type="containsText" dxfId="3612" priority="455" operator="containsText" text="GOOD">
      <formula>NOT(ISERROR(SEARCH("GOOD",B412)))</formula>
    </cfRule>
  </conditionalFormatting>
  <conditionalFormatting sqref="L413">
    <cfRule type="containsText" dxfId="3611" priority="454" operator="containsText" text="FAIL">
      <formula>NOT(ISERROR(SEARCH("FAIL",L413)))</formula>
    </cfRule>
  </conditionalFormatting>
  <conditionalFormatting sqref="L413">
    <cfRule type="containsText" dxfId="3610" priority="453" operator="containsText" text="GOOD">
      <formula>NOT(ISERROR(SEARCH("GOOD",L413)))</formula>
    </cfRule>
  </conditionalFormatting>
  <conditionalFormatting sqref="Z413:AA413">
    <cfRule type="containsText" dxfId="3609" priority="452" operator="containsText" text="FAIL">
      <formula>NOT(ISERROR(SEARCH("FAIL",Z413)))</formula>
    </cfRule>
  </conditionalFormatting>
  <conditionalFormatting sqref="Z413:AA413">
    <cfRule type="containsText" dxfId="3608" priority="451" operator="containsText" text="GOOD">
      <formula>NOT(ISERROR(SEARCH("GOOD",Z413)))</formula>
    </cfRule>
  </conditionalFormatting>
  <conditionalFormatting sqref="B413">
    <cfRule type="containsText" dxfId="3607" priority="450" operator="containsText" text="FAIL">
      <formula>NOT(ISERROR(SEARCH("FAIL",B413)))</formula>
    </cfRule>
  </conditionalFormatting>
  <conditionalFormatting sqref="B413">
    <cfRule type="containsText" dxfId="3606" priority="449" operator="containsText" text="GOOD">
      <formula>NOT(ISERROR(SEARCH("GOOD",B413)))</formula>
    </cfRule>
  </conditionalFormatting>
  <conditionalFormatting sqref="L414">
    <cfRule type="containsText" dxfId="3605" priority="448" operator="containsText" text="FAIL">
      <formula>NOT(ISERROR(SEARCH("FAIL",L414)))</formula>
    </cfRule>
  </conditionalFormatting>
  <conditionalFormatting sqref="L414">
    <cfRule type="containsText" dxfId="3604" priority="447" operator="containsText" text="GOOD">
      <formula>NOT(ISERROR(SEARCH("GOOD",L414)))</formula>
    </cfRule>
  </conditionalFormatting>
  <conditionalFormatting sqref="Z414:AA414">
    <cfRule type="containsText" dxfId="3603" priority="446" operator="containsText" text="FAIL">
      <formula>NOT(ISERROR(SEARCH("FAIL",Z414)))</formula>
    </cfRule>
  </conditionalFormatting>
  <conditionalFormatting sqref="Z414:AA414">
    <cfRule type="containsText" dxfId="3602" priority="445" operator="containsText" text="GOOD">
      <formula>NOT(ISERROR(SEARCH("GOOD",Z414)))</formula>
    </cfRule>
  </conditionalFormatting>
  <conditionalFormatting sqref="B414">
    <cfRule type="containsText" dxfId="3601" priority="444" operator="containsText" text="FAIL">
      <formula>NOT(ISERROR(SEARCH("FAIL",B414)))</formula>
    </cfRule>
  </conditionalFormatting>
  <conditionalFormatting sqref="B414">
    <cfRule type="containsText" dxfId="3600" priority="443" operator="containsText" text="GOOD">
      <formula>NOT(ISERROR(SEARCH("GOOD",B414)))</formula>
    </cfRule>
  </conditionalFormatting>
  <conditionalFormatting sqref="L415">
    <cfRule type="containsText" dxfId="3599" priority="442" operator="containsText" text="FAIL">
      <formula>NOT(ISERROR(SEARCH("FAIL",L415)))</formula>
    </cfRule>
  </conditionalFormatting>
  <conditionalFormatting sqref="L415">
    <cfRule type="containsText" dxfId="3598" priority="441" operator="containsText" text="GOOD">
      <formula>NOT(ISERROR(SEARCH("GOOD",L415)))</formula>
    </cfRule>
  </conditionalFormatting>
  <conditionalFormatting sqref="Z415:AA415">
    <cfRule type="containsText" dxfId="3597" priority="440" operator="containsText" text="FAIL">
      <formula>NOT(ISERROR(SEARCH("FAIL",Z415)))</formula>
    </cfRule>
  </conditionalFormatting>
  <conditionalFormatting sqref="Z415:AA415">
    <cfRule type="containsText" dxfId="3596" priority="439" operator="containsText" text="GOOD">
      <formula>NOT(ISERROR(SEARCH("GOOD",Z415)))</formula>
    </cfRule>
  </conditionalFormatting>
  <conditionalFormatting sqref="L416">
    <cfRule type="containsText" dxfId="3595" priority="438" operator="containsText" text="FAIL">
      <formula>NOT(ISERROR(SEARCH("FAIL",L416)))</formula>
    </cfRule>
  </conditionalFormatting>
  <conditionalFormatting sqref="L416">
    <cfRule type="containsText" dxfId="3594" priority="437" operator="containsText" text="GOOD">
      <formula>NOT(ISERROR(SEARCH("GOOD",L416)))</formula>
    </cfRule>
  </conditionalFormatting>
  <conditionalFormatting sqref="Z416:AA416">
    <cfRule type="containsText" dxfId="3593" priority="436" operator="containsText" text="FAIL">
      <formula>NOT(ISERROR(SEARCH("FAIL",Z416)))</formula>
    </cfRule>
  </conditionalFormatting>
  <conditionalFormatting sqref="Z416:AA416">
    <cfRule type="containsText" dxfId="3592" priority="435" operator="containsText" text="GOOD">
      <formula>NOT(ISERROR(SEARCH("GOOD",Z416)))</formula>
    </cfRule>
  </conditionalFormatting>
  <conditionalFormatting sqref="L417">
    <cfRule type="containsText" dxfId="3591" priority="434" operator="containsText" text="FAIL">
      <formula>NOT(ISERROR(SEARCH("FAIL",L417)))</formula>
    </cfRule>
  </conditionalFormatting>
  <conditionalFormatting sqref="L417">
    <cfRule type="containsText" dxfId="3590" priority="433" operator="containsText" text="GOOD">
      <formula>NOT(ISERROR(SEARCH("GOOD",L417)))</formula>
    </cfRule>
  </conditionalFormatting>
  <conditionalFormatting sqref="Z417:AA417">
    <cfRule type="containsText" dxfId="3589" priority="432" operator="containsText" text="FAIL">
      <formula>NOT(ISERROR(SEARCH("FAIL",Z417)))</formula>
    </cfRule>
  </conditionalFormatting>
  <conditionalFormatting sqref="Z417:AA417">
    <cfRule type="containsText" dxfId="3588" priority="431" operator="containsText" text="GOOD">
      <formula>NOT(ISERROR(SEARCH("GOOD",Z417)))</formula>
    </cfRule>
  </conditionalFormatting>
  <conditionalFormatting sqref="L418">
    <cfRule type="containsText" dxfId="3587" priority="430" operator="containsText" text="FAIL">
      <formula>NOT(ISERROR(SEARCH("FAIL",L418)))</formula>
    </cfRule>
  </conditionalFormatting>
  <conditionalFormatting sqref="L418">
    <cfRule type="containsText" dxfId="3586" priority="429" operator="containsText" text="GOOD">
      <formula>NOT(ISERROR(SEARCH("GOOD",L418)))</formula>
    </cfRule>
  </conditionalFormatting>
  <conditionalFormatting sqref="Z418:AA418">
    <cfRule type="containsText" dxfId="3585" priority="428" operator="containsText" text="FAIL">
      <formula>NOT(ISERROR(SEARCH("FAIL",Z418)))</formula>
    </cfRule>
  </conditionalFormatting>
  <conditionalFormatting sqref="Z418:AA418">
    <cfRule type="containsText" dxfId="3584" priority="427" operator="containsText" text="GOOD">
      <formula>NOT(ISERROR(SEARCH("GOOD",Z418)))</formula>
    </cfRule>
  </conditionalFormatting>
  <conditionalFormatting sqref="L421">
    <cfRule type="containsText" dxfId="3583" priority="426" operator="containsText" text="FAIL">
      <formula>NOT(ISERROR(SEARCH("FAIL",L421)))</formula>
    </cfRule>
  </conditionalFormatting>
  <conditionalFormatting sqref="L421">
    <cfRule type="containsText" dxfId="3582" priority="425" operator="containsText" text="GOOD">
      <formula>NOT(ISERROR(SEARCH("GOOD",L421)))</formula>
    </cfRule>
  </conditionalFormatting>
  <conditionalFormatting sqref="Z421:AA421">
    <cfRule type="containsText" dxfId="3581" priority="424" operator="containsText" text="FAIL">
      <formula>NOT(ISERROR(SEARCH("FAIL",Z421)))</formula>
    </cfRule>
  </conditionalFormatting>
  <conditionalFormatting sqref="Z421:AA421">
    <cfRule type="containsText" dxfId="3580" priority="423" operator="containsText" text="GOOD">
      <formula>NOT(ISERROR(SEARCH("GOOD",Z421)))</formula>
    </cfRule>
  </conditionalFormatting>
  <conditionalFormatting sqref="B421">
    <cfRule type="containsText" dxfId="3579" priority="422" operator="containsText" text="FAIL">
      <formula>NOT(ISERROR(SEARCH("FAIL",B421)))</formula>
    </cfRule>
  </conditionalFormatting>
  <conditionalFormatting sqref="B421">
    <cfRule type="containsText" dxfId="3578" priority="421" operator="containsText" text="GOOD">
      <formula>NOT(ISERROR(SEARCH("GOOD",B421)))</formula>
    </cfRule>
  </conditionalFormatting>
  <conditionalFormatting sqref="L422">
    <cfRule type="containsText" dxfId="3577" priority="420" operator="containsText" text="FAIL">
      <formula>NOT(ISERROR(SEARCH("FAIL",L422)))</formula>
    </cfRule>
  </conditionalFormatting>
  <conditionalFormatting sqref="L422">
    <cfRule type="containsText" dxfId="3576" priority="419" operator="containsText" text="GOOD">
      <formula>NOT(ISERROR(SEARCH("GOOD",L422)))</formula>
    </cfRule>
  </conditionalFormatting>
  <conditionalFormatting sqref="Z422:AA422">
    <cfRule type="containsText" dxfId="3575" priority="418" operator="containsText" text="FAIL">
      <formula>NOT(ISERROR(SEARCH("FAIL",Z422)))</formula>
    </cfRule>
  </conditionalFormatting>
  <conditionalFormatting sqref="Z422:AA422">
    <cfRule type="containsText" dxfId="3574" priority="417" operator="containsText" text="GOOD">
      <formula>NOT(ISERROR(SEARCH("GOOD",Z422)))</formula>
    </cfRule>
  </conditionalFormatting>
  <conditionalFormatting sqref="B422">
    <cfRule type="containsText" dxfId="3573" priority="416" operator="containsText" text="FAIL">
      <formula>NOT(ISERROR(SEARCH("FAIL",B422)))</formula>
    </cfRule>
  </conditionalFormatting>
  <conditionalFormatting sqref="B422">
    <cfRule type="containsText" dxfId="3572" priority="415" operator="containsText" text="GOOD">
      <formula>NOT(ISERROR(SEARCH("GOOD",B422)))</formula>
    </cfRule>
  </conditionalFormatting>
  <conditionalFormatting sqref="AQ422">
    <cfRule type="containsText" dxfId="3571" priority="414" operator="containsText" text="FAIL">
      <formula>NOT(ISERROR(SEARCH("FAIL",AQ422)))</formula>
    </cfRule>
  </conditionalFormatting>
  <conditionalFormatting sqref="AQ422">
    <cfRule type="containsText" dxfId="3570" priority="413" operator="containsText" text="GOOD">
      <formula>NOT(ISERROR(SEARCH("GOOD",AQ422)))</formula>
    </cfRule>
  </conditionalFormatting>
  <conditionalFormatting sqref="L423">
    <cfRule type="containsText" dxfId="3569" priority="412" operator="containsText" text="FAIL">
      <formula>NOT(ISERROR(SEARCH("FAIL",L423)))</formula>
    </cfRule>
  </conditionalFormatting>
  <conditionalFormatting sqref="L423">
    <cfRule type="containsText" dxfId="3568" priority="411" operator="containsText" text="GOOD">
      <formula>NOT(ISERROR(SEARCH("GOOD",L423)))</formula>
    </cfRule>
  </conditionalFormatting>
  <conditionalFormatting sqref="Z423:AA423">
    <cfRule type="containsText" dxfId="3567" priority="410" operator="containsText" text="FAIL">
      <formula>NOT(ISERROR(SEARCH("FAIL",Z423)))</formula>
    </cfRule>
  </conditionalFormatting>
  <conditionalFormatting sqref="Z423:AA423">
    <cfRule type="containsText" dxfId="3566" priority="409" operator="containsText" text="GOOD">
      <formula>NOT(ISERROR(SEARCH("GOOD",Z423)))</formula>
    </cfRule>
  </conditionalFormatting>
  <conditionalFormatting sqref="L424">
    <cfRule type="containsText" dxfId="3565" priority="408" operator="containsText" text="FAIL">
      <formula>NOT(ISERROR(SEARCH("FAIL",L424)))</formula>
    </cfRule>
  </conditionalFormatting>
  <conditionalFormatting sqref="L424">
    <cfRule type="containsText" dxfId="3564" priority="407" operator="containsText" text="GOOD">
      <formula>NOT(ISERROR(SEARCH("GOOD",L424)))</formula>
    </cfRule>
  </conditionalFormatting>
  <conditionalFormatting sqref="Z424:AA424">
    <cfRule type="containsText" dxfId="3563" priority="406" operator="containsText" text="FAIL">
      <formula>NOT(ISERROR(SEARCH("FAIL",Z424)))</formula>
    </cfRule>
  </conditionalFormatting>
  <conditionalFormatting sqref="Z424:AA424">
    <cfRule type="containsText" dxfId="3562" priority="405" operator="containsText" text="GOOD">
      <formula>NOT(ISERROR(SEARCH("GOOD",Z424)))</formula>
    </cfRule>
  </conditionalFormatting>
  <conditionalFormatting sqref="L425">
    <cfRule type="containsText" dxfId="3561" priority="404" operator="containsText" text="FAIL">
      <formula>NOT(ISERROR(SEARCH("FAIL",L425)))</formula>
    </cfRule>
  </conditionalFormatting>
  <conditionalFormatting sqref="L425">
    <cfRule type="containsText" dxfId="3560" priority="403" operator="containsText" text="GOOD">
      <formula>NOT(ISERROR(SEARCH("GOOD",L425)))</formula>
    </cfRule>
  </conditionalFormatting>
  <conditionalFormatting sqref="Z425:AA425">
    <cfRule type="containsText" dxfId="3559" priority="402" operator="containsText" text="FAIL">
      <formula>NOT(ISERROR(SEARCH("FAIL",Z425)))</formula>
    </cfRule>
  </conditionalFormatting>
  <conditionalFormatting sqref="Z425:AA425">
    <cfRule type="containsText" dxfId="3558" priority="401" operator="containsText" text="GOOD">
      <formula>NOT(ISERROR(SEARCH("GOOD",Z425)))</formula>
    </cfRule>
  </conditionalFormatting>
  <conditionalFormatting sqref="L426">
    <cfRule type="containsText" dxfId="3557" priority="400" operator="containsText" text="FAIL">
      <formula>NOT(ISERROR(SEARCH("FAIL",L426)))</formula>
    </cfRule>
  </conditionalFormatting>
  <conditionalFormatting sqref="L426">
    <cfRule type="containsText" dxfId="3556" priority="399" operator="containsText" text="GOOD">
      <formula>NOT(ISERROR(SEARCH("GOOD",L426)))</formula>
    </cfRule>
  </conditionalFormatting>
  <conditionalFormatting sqref="Z426:AA427">
    <cfRule type="containsText" dxfId="3555" priority="398" operator="containsText" text="FAIL">
      <formula>NOT(ISERROR(SEARCH("FAIL",Z426)))</formula>
    </cfRule>
  </conditionalFormatting>
  <conditionalFormatting sqref="Z426:AA427">
    <cfRule type="containsText" dxfId="3554" priority="397" operator="containsText" text="GOOD">
      <formula>NOT(ISERROR(SEARCH("GOOD",Z426)))</formula>
    </cfRule>
  </conditionalFormatting>
  <conditionalFormatting sqref="L427">
    <cfRule type="containsText" dxfId="3553" priority="396" operator="containsText" text="FAIL">
      <formula>NOT(ISERROR(SEARCH("FAIL",L427)))</formula>
    </cfRule>
  </conditionalFormatting>
  <conditionalFormatting sqref="L427">
    <cfRule type="containsText" dxfId="3552" priority="395" operator="containsText" text="GOOD">
      <formula>NOT(ISERROR(SEARCH("GOOD",L427)))</formula>
    </cfRule>
  </conditionalFormatting>
  <conditionalFormatting sqref="B427">
    <cfRule type="containsText" dxfId="3551" priority="394" operator="containsText" text="FAIL">
      <formula>NOT(ISERROR(SEARCH("FAIL",B427)))</formula>
    </cfRule>
  </conditionalFormatting>
  <conditionalFormatting sqref="B427">
    <cfRule type="containsText" dxfId="3550" priority="393" operator="containsText" text="GOOD">
      <formula>NOT(ISERROR(SEARCH("GOOD",B427)))</formula>
    </cfRule>
  </conditionalFormatting>
  <conditionalFormatting sqref="L430">
    <cfRule type="containsText" dxfId="3549" priority="392" operator="containsText" text="FAIL">
      <formula>NOT(ISERROR(SEARCH("FAIL",L430)))</formula>
    </cfRule>
  </conditionalFormatting>
  <conditionalFormatting sqref="L430">
    <cfRule type="containsText" dxfId="3548" priority="391" operator="containsText" text="GOOD">
      <formula>NOT(ISERROR(SEARCH("GOOD",L430)))</formula>
    </cfRule>
  </conditionalFormatting>
  <conditionalFormatting sqref="Z430:AA430">
    <cfRule type="containsText" dxfId="3547" priority="389" operator="containsText" text="GOOD">
      <formula>NOT(ISERROR(SEARCH("GOOD",Z430)))</formula>
    </cfRule>
  </conditionalFormatting>
  <conditionalFormatting sqref="Z430:AA430">
    <cfRule type="containsText" dxfId="3546" priority="390" operator="containsText" text="FAIL">
      <formula>NOT(ISERROR(SEARCH("FAIL",Z430)))</formula>
    </cfRule>
  </conditionalFormatting>
  <conditionalFormatting sqref="B430">
    <cfRule type="containsText" dxfId="3545" priority="388" operator="containsText" text="FAIL">
      <formula>NOT(ISERROR(SEARCH("FAIL",B430)))</formula>
    </cfRule>
  </conditionalFormatting>
  <conditionalFormatting sqref="B430">
    <cfRule type="containsText" dxfId="3544" priority="387" operator="containsText" text="GOOD">
      <formula>NOT(ISERROR(SEARCH("GOOD",B430)))</formula>
    </cfRule>
  </conditionalFormatting>
  <conditionalFormatting sqref="L431">
    <cfRule type="containsText" dxfId="3543" priority="386" operator="containsText" text="FAIL">
      <formula>NOT(ISERROR(SEARCH("FAIL",L431)))</formula>
    </cfRule>
  </conditionalFormatting>
  <conditionalFormatting sqref="L431">
    <cfRule type="containsText" dxfId="3542" priority="385" operator="containsText" text="GOOD">
      <formula>NOT(ISERROR(SEARCH("GOOD",L431)))</formula>
    </cfRule>
  </conditionalFormatting>
  <conditionalFormatting sqref="Z431:AA431">
    <cfRule type="containsText" dxfId="3541" priority="384" operator="containsText" text="FAIL">
      <formula>NOT(ISERROR(SEARCH("FAIL",Z431)))</formula>
    </cfRule>
  </conditionalFormatting>
  <conditionalFormatting sqref="Z431:AA431">
    <cfRule type="containsText" dxfId="3540" priority="383" operator="containsText" text="GOOD">
      <formula>NOT(ISERROR(SEARCH("GOOD",Z431)))</formula>
    </cfRule>
  </conditionalFormatting>
  <conditionalFormatting sqref="L432">
    <cfRule type="containsText" dxfId="3539" priority="382" operator="containsText" text="FAIL">
      <formula>NOT(ISERROR(SEARCH("FAIL",L432)))</formula>
    </cfRule>
  </conditionalFormatting>
  <conditionalFormatting sqref="L432">
    <cfRule type="containsText" dxfId="3538" priority="381" operator="containsText" text="GOOD">
      <formula>NOT(ISERROR(SEARCH("GOOD",L432)))</formula>
    </cfRule>
  </conditionalFormatting>
  <conditionalFormatting sqref="Z432:AA432">
    <cfRule type="containsText" dxfId="3537" priority="380" operator="containsText" text="FAIL">
      <formula>NOT(ISERROR(SEARCH("FAIL",Z432)))</formula>
    </cfRule>
  </conditionalFormatting>
  <conditionalFormatting sqref="Z432:AA432">
    <cfRule type="containsText" dxfId="3536" priority="379" operator="containsText" text="GOOD">
      <formula>NOT(ISERROR(SEARCH("GOOD",Z432)))</formula>
    </cfRule>
  </conditionalFormatting>
  <conditionalFormatting sqref="L433">
    <cfRule type="containsText" dxfId="3535" priority="378" operator="containsText" text="FAIL">
      <formula>NOT(ISERROR(SEARCH("FAIL",L433)))</formula>
    </cfRule>
  </conditionalFormatting>
  <conditionalFormatting sqref="L433">
    <cfRule type="containsText" dxfId="3534" priority="377" operator="containsText" text="GOOD">
      <formula>NOT(ISERROR(SEARCH("GOOD",L433)))</formula>
    </cfRule>
  </conditionalFormatting>
  <conditionalFormatting sqref="Z433:AA433">
    <cfRule type="containsText" dxfId="3533" priority="376" operator="containsText" text="FAIL">
      <formula>NOT(ISERROR(SEARCH("FAIL",Z433)))</formula>
    </cfRule>
  </conditionalFormatting>
  <conditionalFormatting sqref="Z433:AA433">
    <cfRule type="containsText" dxfId="3532" priority="375" operator="containsText" text="GOOD">
      <formula>NOT(ISERROR(SEARCH("GOOD",Z433)))</formula>
    </cfRule>
  </conditionalFormatting>
  <conditionalFormatting sqref="L434">
    <cfRule type="containsText" dxfId="3531" priority="374" operator="containsText" text="FAIL">
      <formula>NOT(ISERROR(SEARCH("FAIL",L434)))</formula>
    </cfRule>
  </conditionalFormatting>
  <conditionalFormatting sqref="L434">
    <cfRule type="containsText" dxfId="3530" priority="373" operator="containsText" text="GOOD">
      <formula>NOT(ISERROR(SEARCH("GOOD",L434)))</formula>
    </cfRule>
  </conditionalFormatting>
  <conditionalFormatting sqref="Z434:AA434">
    <cfRule type="containsText" dxfId="3529" priority="372" operator="containsText" text="FAIL">
      <formula>NOT(ISERROR(SEARCH("FAIL",Z434)))</formula>
    </cfRule>
  </conditionalFormatting>
  <conditionalFormatting sqref="Z434:AA434">
    <cfRule type="containsText" dxfId="3528" priority="371" operator="containsText" text="GOOD">
      <formula>NOT(ISERROR(SEARCH("GOOD",Z434)))</formula>
    </cfRule>
  </conditionalFormatting>
  <conditionalFormatting sqref="L435">
    <cfRule type="containsText" dxfId="3527" priority="370" operator="containsText" text="FAIL">
      <formula>NOT(ISERROR(SEARCH("FAIL",L435)))</formula>
    </cfRule>
  </conditionalFormatting>
  <conditionalFormatting sqref="L435">
    <cfRule type="containsText" dxfId="3526" priority="369" operator="containsText" text="GOOD">
      <formula>NOT(ISERROR(SEARCH("GOOD",L435)))</formula>
    </cfRule>
  </conditionalFormatting>
  <conditionalFormatting sqref="Z435:AA435">
    <cfRule type="containsText" dxfId="3525" priority="368" operator="containsText" text="FAIL">
      <formula>NOT(ISERROR(SEARCH("FAIL",Z435)))</formula>
    </cfRule>
  </conditionalFormatting>
  <conditionalFormatting sqref="Z435:AA435">
    <cfRule type="containsText" dxfId="3524" priority="367" operator="containsText" text="GOOD">
      <formula>NOT(ISERROR(SEARCH("GOOD",Z435)))</formula>
    </cfRule>
  </conditionalFormatting>
  <conditionalFormatting sqref="L436">
    <cfRule type="containsText" dxfId="3523" priority="366" operator="containsText" text="FAIL">
      <formula>NOT(ISERROR(SEARCH("FAIL",L436)))</formula>
    </cfRule>
  </conditionalFormatting>
  <conditionalFormatting sqref="L436">
    <cfRule type="containsText" dxfId="3522" priority="365" operator="containsText" text="GOOD">
      <formula>NOT(ISERROR(SEARCH("GOOD",L436)))</formula>
    </cfRule>
  </conditionalFormatting>
  <conditionalFormatting sqref="Z436:AA437">
    <cfRule type="containsText" dxfId="3521" priority="364" operator="containsText" text="FAIL">
      <formula>NOT(ISERROR(SEARCH("FAIL",Z436)))</formula>
    </cfRule>
  </conditionalFormatting>
  <conditionalFormatting sqref="Z436:AA437">
    <cfRule type="containsText" dxfId="3520" priority="363" operator="containsText" text="GOOD">
      <formula>NOT(ISERROR(SEARCH("GOOD",Z436)))</formula>
    </cfRule>
  </conditionalFormatting>
  <conditionalFormatting sqref="L437">
    <cfRule type="containsText" dxfId="3519" priority="362" operator="containsText" text="FAIL">
      <formula>NOT(ISERROR(SEARCH("FAIL",L437)))</formula>
    </cfRule>
  </conditionalFormatting>
  <conditionalFormatting sqref="L437">
    <cfRule type="containsText" dxfId="3518" priority="361" operator="containsText" text="GOOD">
      <formula>NOT(ISERROR(SEARCH("GOOD",L437)))</formula>
    </cfRule>
  </conditionalFormatting>
  <conditionalFormatting sqref="L440">
    <cfRule type="containsText" dxfId="3517" priority="360" operator="containsText" text="FAIL">
      <formula>NOT(ISERROR(SEARCH("FAIL",L440)))</formula>
    </cfRule>
  </conditionalFormatting>
  <conditionalFormatting sqref="L440">
    <cfRule type="containsText" dxfId="3516" priority="359" operator="containsText" text="GOOD">
      <formula>NOT(ISERROR(SEARCH("GOOD",L440)))</formula>
    </cfRule>
  </conditionalFormatting>
  <conditionalFormatting sqref="Z440:AA440">
    <cfRule type="containsText" dxfId="3515" priority="358" operator="containsText" text="FAIL">
      <formula>NOT(ISERROR(SEARCH("FAIL",Z440)))</formula>
    </cfRule>
  </conditionalFormatting>
  <conditionalFormatting sqref="Z440:AA440">
    <cfRule type="containsText" dxfId="3514" priority="357" operator="containsText" text="GOOD">
      <formula>NOT(ISERROR(SEARCH("GOOD",Z440)))</formula>
    </cfRule>
  </conditionalFormatting>
  <conditionalFormatting sqref="Z443:AA443">
    <cfRule type="containsText" dxfId="3513" priority="354" operator="containsText" text="FAIL">
      <formula>NOT(ISERROR(SEARCH("FAIL",Z443)))</formula>
    </cfRule>
  </conditionalFormatting>
  <conditionalFormatting sqref="Z443:AA443">
    <cfRule type="containsText" dxfId="3512" priority="353" operator="containsText" text="GOOD">
      <formula>NOT(ISERROR(SEARCH("GOOD",Z443)))</formula>
    </cfRule>
  </conditionalFormatting>
  <conditionalFormatting sqref="L443">
    <cfRule type="containsText" dxfId="3511" priority="356" operator="containsText" text="FAIL">
      <formula>NOT(ISERROR(SEARCH("FAIL",L443)))</formula>
    </cfRule>
  </conditionalFormatting>
  <conditionalFormatting sqref="L443">
    <cfRule type="containsText" dxfId="3510" priority="355" operator="containsText" text="GOOD">
      <formula>NOT(ISERROR(SEARCH("GOOD",L443)))</formula>
    </cfRule>
  </conditionalFormatting>
  <conditionalFormatting sqref="B443">
    <cfRule type="containsText" dxfId="3509" priority="352" operator="containsText" text="FAIL">
      <formula>NOT(ISERROR(SEARCH("FAIL",B443)))</formula>
    </cfRule>
  </conditionalFormatting>
  <conditionalFormatting sqref="B443">
    <cfRule type="containsText" dxfId="3508" priority="351" operator="containsText" text="GOOD">
      <formula>NOT(ISERROR(SEARCH("GOOD",B443)))</formula>
    </cfRule>
  </conditionalFormatting>
  <conditionalFormatting sqref="L444">
    <cfRule type="containsText" dxfId="3507" priority="350" operator="containsText" text="FAIL">
      <formula>NOT(ISERROR(SEARCH("FAIL",L444)))</formula>
    </cfRule>
  </conditionalFormatting>
  <conditionalFormatting sqref="L444">
    <cfRule type="containsText" dxfId="3506" priority="349" operator="containsText" text="GOOD">
      <formula>NOT(ISERROR(SEARCH("GOOD",L444)))</formula>
    </cfRule>
  </conditionalFormatting>
  <conditionalFormatting sqref="Z444:AA444">
    <cfRule type="containsText" dxfId="3505" priority="348" operator="containsText" text="FAIL">
      <formula>NOT(ISERROR(SEARCH("FAIL",Z444)))</formula>
    </cfRule>
  </conditionalFormatting>
  <conditionalFormatting sqref="Z444:AA444">
    <cfRule type="containsText" dxfId="3504" priority="347" operator="containsText" text="GOOD">
      <formula>NOT(ISERROR(SEARCH("GOOD",Z444)))</formula>
    </cfRule>
  </conditionalFormatting>
  <conditionalFormatting sqref="B444">
    <cfRule type="containsText" dxfId="3503" priority="346" operator="containsText" text="FAIL">
      <formula>NOT(ISERROR(SEARCH("FAIL",B444)))</formula>
    </cfRule>
  </conditionalFormatting>
  <conditionalFormatting sqref="B444">
    <cfRule type="containsText" dxfId="3502" priority="345" operator="containsText" text="GOOD">
      <formula>NOT(ISERROR(SEARCH("GOOD",B444)))</formula>
    </cfRule>
  </conditionalFormatting>
  <conditionalFormatting sqref="L445">
    <cfRule type="containsText" dxfId="3501" priority="344" operator="containsText" text="FAIL">
      <formula>NOT(ISERROR(SEARCH("FAIL",L445)))</formula>
    </cfRule>
  </conditionalFormatting>
  <conditionalFormatting sqref="L445">
    <cfRule type="containsText" dxfId="3500" priority="343" operator="containsText" text="GOOD">
      <formula>NOT(ISERROR(SEARCH("GOOD",L445)))</formula>
    </cfRule>
  </conditionalFormatting>
  <conditionalFormatting sqref="Z445:AA445">
    <cfRule type="containsText" dxfId="3499" priority="342" operator="containsText" text="FAIL">
      <formula>NOT(ISERROR(SEARCH("FAIL",Z445)))</formula>
    </cfRule>
  </conditionalFormatting>
  <conditionalFormatting sqref="Z445:AA445">
    <cfRule type="containsText" dxfId="3498" priority="341" operator="containsText" text="GOOD">
      <formula>NOT(ISERROR(SEARCH("GOOD",Z445)))</formula>
    </cfRule>
  </conditionalFormatting>
  <conditionalFormatting sqref="L448">
    <cfRule type="containsText" dxfId="3497" priority="340" operator="containsText" text="FAIL">
      <formula>NOT(ISERROR(SEARCH("FAIL",L448)))</formula>
    </cfRule>
  </conditionalFormatting>
  <conditionalFormatting sqref="L448">
    <cfRule type="containsText" dxfId="3496" priority="339" operator="containsText" text="GOOD">
      <formula>NOT(ISERROR(SEARCH("GOOD",L448)))</formula>
    </cfRule>
  </conditionalFormatting>
  <conditionalFormatting sqref="Z448:AA448">
    <cfRule type="containsText" dxfId="3495" priority="338" operator="containsText" text="FAIL">
      <formula>NOT(ISERROR(SEARCH("FAIL",Z448)))</formula>
    </cfRule>
  </conditionalFormatting>
  <conditionalFormatting sqref="Z448:AA448">
    <cfRule type="containsText" dxfId="3494" priority="337" operator="containsText" text="GOOD">
      <formula>NOT(ISERROR(SEARCH("GOOD",Z448)))</formula>
    </cfRule>
  </conditionalFormatting>
  <conditionalFormatting sqref="L451">
    <cfRule type="containsText" dxfId="3493" priority="336" operator="containsText" text="FAIL">
      <formula>NOT(ISERROR(SEARCH("FAIL",L451)))</formula>
    </cfRule>
  </conditionalFormatting>
  <conditionalFormatting sqref="L451">
    <cfRule type="containsText" dxfId="3492" priority="335" operator="containsText" text="GOOD">
      <formula>NOT(ISERROR(SEARCH("GOOD",L451)))</formula>
    </cfRule>
  </conditionalFormatting>
  <conditionalFormatting sqref="Z451:AA451">
    <cfRule type="containsText" dxfId="3491" priority="334" operator="containsText" text="FAIL">
      <formula>NOT(ISERROR(SEARCH("FAIL",Z451)))</formula>
    </cfRule>
  </conditionalFormatting>
  <conditionalFormatting sqref="Z451:AA451">
    <cfRule type="containsText" dxfId="3490" priority="333" operator="containsText" text="GOOD">
      <formula>NOT(ISERROR(SEARCH("GOOD",Z451)))</formula>
    </cfRule>
  </conditionalFormatting>
  <conditionalFormatting sqref="L452">
    <cfRule type="containsText" dxfId="3489" priority="332" operator="containsText" text="FAIL">
      <formula>NOT(ISERROR(SEARCH("FAIL",L452)))</formula>
    </cfRule>
  </conditionalFormatting>
  <conditionalFormatting sqref="L452">
    <cfRule type="containsText" dxfId="3488" priority="331" operator="containsText" text="GOOD">
      <formula>NOT(ISERROR(SEARCH("GOOD",L452)))</formula>
    </cfRule>
  </conditionalFormatting>
  <conditionalFormatting sqref="Z452:AA452">
    <cfRule type="containsText" dxfId="3487" priority="330" operator="containsText" text="FAIL">
      <formula>NOT(ISERROR(SEARCH("FAIL",Z452)))</formula>
    </cfRule>
  </conditionalFormatting>
  <conditionalFormatting sqref="Z452:AA452">
    <cfRule type="containsText" dxfId="3486" priority="329" operator="containsText" text="GOOD">
      <formula>NOT(ISERROR(SEARCH("GOOD",Z452)))</formula>
    </cfRule>
  </conditionalFormatting>
  <conditionalFormatting sqref="L453">
    <cfRule type="containsText" dxfId="3485" priority="328" operator="containsText" text="FAIL">
      <formula>NOT(ISERROR(SEARCH("FAIL",L453)))</formula>
    </cfRule>
  </conditionalFormatting>
  <conditionalFormatting sqref="L453">
    <cfRule type="containsText" dxfId="3484" priority="327" operator="containsText" text="GOOD">
      <formula>NOT(ISERROR(SEARCH("GOOD",L453)))</formula>
    </cfRule>
  </conditionalFormatting>
  <conditionalFormatting sqref="Z453:AA453">
    <cfRule type="containsText" dxfId="3483" priority="326" operator="containsText" text="FAIL">
      <formula>NOT(ISERROR(SEARCH("FAIL",Z453)))</formula>
    </cfRule>
  </conditionalFormatting>
  <conditionalFormatting sqref="Z453:AA453">
    <cfRule type="containsText" dxfId="3482" priority="325" operator="containsText" text="GOOD">
      <formula>NOT(ISERROR(SEARCH("GOOD",Z453)))</formula>
    </cfRule>
  </conditionalFormatting>
  <conditionalFormatting sqref="L454">
    <cfRule type="containsText" dxfId="3481" priority="324" operator="containsText" text="FAIL">
      <formula>NOT(ISERROR(SEARCH("FAIL",L454)))</formula>
    </cfRule>
  </conditionalFormatting>
  <conditionalFormatting sqref="L454">
    <cfRule type="containsText" dxfId="3480" priority="323" operator="containsText" text="GOOD">
      <formula>NOT(ISERROR(SEARCH("GOOD",L454)))</formula>
    </cfRule>
  </conditionalFormatting>
  <conditionalFormatting sqref="Z454:AA454">
    <cfRule type="containsText" dxfId="3479" priority="322" operator="containsText" text="FAIL">
      <formula>NOT(ISERROR(SEARCH("FAIL",Z454)))</formula>
    </cfRule>
  </conditionalFormatting>
  <conditionalFormatting sqref="Z454:AA454">
    <cfRule type="containsText" dxfId="3478" priority="321" operator="containsText" text="GOOD">
      <formula>NOT(ISERROR(SEARCH("GOOD",Z454)))</formula>
    </cfRule>
  </conditionalFormatting>
  <conditionalFormatting sqref="L478">
    <cfRule type="containsText" dxfId="3477" priority="320" operator="containsText" text="FAIL">
      <formula>NOT(ISERROR(SEARCH("FAIL",L478)))</formula>
    </cfRule>
  </conditionalFormatting>
  <conditionalFormatting sqref="L478">
    <cfRule type="containsText" dxfId="3476" priority="319" operator="containsText" text="GOOD">
      <formula>NOT(ISERROR(SEARCH("GOOD",L478)))</formula>
    </cfRule>
  </conditionalFormatting>
  <conditionalFormatting sqref="Z478:AA478">
    <cfRule type="containsText" dxfId="3475" priority="318" operator="containsText" text="FAIL">
      <formula>NOT(ISERROR(SEARCH("FAIL",Z478)))</formula>
    </cfRule>
  </conditionalFormatting>
  <conditionalFormatting sqref="Z478:AA478">
    <cfRule type="containsText" dxfId="3474" priority="317" operator="containsText" text="GOOD">
      <formula>NOT(ISERROR(SEARCH("GOOD",Z478)))</formula>
    </cfRule>
  </conditionalFormatting>
  <conditionalFormatting sqref="B478">
    <cfRule type="containsText" dxfId="3473" priority="316" operator="containsText" text="FAIL">
      <formula>NOT(ISERROR(SEARCH("FAIL",B478)))</formula>
    </cfRule>
  </conditionalFormatting>
  <conditionalFormatting sqref="B478">
    <cfRule type="containsText" dxfId="3472" priority="315" operator="containsText" text="GOOD">
      <formula>NOT(ISERROR(SEARCH("GOOD",B478)))</formula>
    </cfRule>
  </conditionalFormatting>
  <conditionalFormatting sqref="L479">
    <cfRule type="containsText" dxfId="3471" priority="314" operator="containsText" text="FAIL">
      <formula>NOT(ISERROR(SEARCH("FAIL",L479)))</formula>
    </cfRule>
  </conditionalFormatting>
  <conditionalFormatting sqref="L479">
    <cfRule type="containsText" dxfId="3470" priority="313" operator="containsText" text="GOOD">
      <formula>NOT(ISERROR(SEARCH("GOOD",L479)))</formula>
    </cfRule>
  </conditionalFormatting>
  <conditionalFormatting sqref="Z479:AA479">
    <cfRule type="containsText" dxfId="3469" priority="311" operator="containsText" text="GOOD">
      <formula>NOT(ISERROR(SEARCH("GOOD",Z479)))</formula>
    </cfRule>
  </conditionalFormatting>
  <conditionalFormatting sqref="Z479:AA479">
    <cfRule type="containsText" dxfId="3468" priority="312" operator="containsText" text="FAIL">
      <formula>NOT(ISERROR(SEARCH("FAIL",Z479)))</formula>
    </cfRule>
  </conditionalFormatting>
  <conditionalFormatting sqref="B479">
    <cfRule type="containsText" dxfId="3467" priority="310" operator="containsText" text="FAIL">
      <formula>NOT(ISERROR(SEARCH("FAIL",B479)))</formula>
    </cfRule>
  </conditionalFormatting>
  <conditionalFormatting sqref="B479">
    <cfRule type="containsText" dxfId="3466" priority="309" operator="containsText" text="GOOD">
      <formula>NOT(ISERROR(SEARCH("GOOD",B479)))</formula>
    </cfRule>
  </conditionalFormatting>
  <conditionalFormatting sqref="L480">
    <cfRule type="containsText" dxfId="3465" priority="308" operator="containsText" text="FAIL">
      <formula>NOT(ISERROR(SEARCH("FAIL",L480)))</formula>
    </cfRule>
  </conditionalFormatting>
  <conditionalFormatting sqref="L480">
    <cfRule type="containsText" dxfId="3464" priority="307" operator="containsText" text="GOOD">
      <formula>NOT(ISERROR(SEARCH("GOOD",L480)))</formula>
    </cfRule>
  </conditionalFormatting>
  <conditionalFormatting sqref="Z480:AA480">
    <cfRule type="containsText" dxfId="3463" priority="306" operator="containsText" text="FAIL">
      <formula>NOT(ISERROR(SEARCH("FAIL",Z480)))</formula>
    </cfRule>
  </conditionalFormatting>
  <conditionalFormatting sqref="Z480:AA480">
    <cfRule type="containsText" dxfId="3462" priority="305" operator="containsText" text="GOOD">
      <formula>NOT(ISERROR(SEARCH("GOOD",Z480)))</formula>
    </cfRule>
  </conditionalFormatting>
  <conditionalFormatting sqref="B480">
    <cfRule type="containsText" dxfId="3461" priority="304" operator="containsText" text="FAIL">
      <formula>NOT(ISERROR(SEARCH("FAIL",B480)))</formula>
    </cfRule>
  </conditionalFormatting>
  <conditionalFormatting sqref="B480">
    <cfRule type="containsText" dxfId="3460" priority="303" operator="containsText" text="GOOD">
      <formula>NOT(ISERROR(SEARCH("GOOD",B480)))</formula>
    </cfRule>
  </conditionalFormatting>
  <conditionalFormatting sqref="L481">
    <cfRule type="containsText" dxfId="3459" priority="302" operator="containsText" text="FAIL">
      <formula>NOT(ISERROR(SEARCH("FAIL",L481)))</formula>
    </cfRule>
  </conditionalFormatting>
  <conditionalFormatting sqref="L481">
    <cfRule type="containsText" dxfId="3458" priority="301" operator="containsText" text="GOOD">
      <formula>NOT(ISERROR(SEARCH("GOOD",L481)))</formula>
    </cfRule>
  </conditionalFormatting>
  <conditionalFormatting sqref="Z481:AA481">
    <cfRule type="containsText" dxfId="3457" priority="300" operator="containsText" text="FAIL">
      <formula>NOT(ISERROR(SEARCH("FAIL",Z481)))</formula>
    </cfRule>
  </conditionalFormatting>
  <conditionalFormatting sqref="Z481:AA481">
    <cfRule type="containsText" dxfId="3456" priority="299" operator="containsText" text="GOOD">
      <formula>NOT(ISERROR(SEARCH("GOOD",Z481)))</formula>
    </cfRule>
  </conditionalFormatting>
  <conditionalFormatting sqref="B481">
    <cfRule type="containsText" dxfId="3455" priority="298" operator="containsText" text="FAIL">
      <formula>NOT(ISERROR(SEARCH("FAIL",B481)))</formula>
    </cfRule>
  </conditionalFormatting>
  <conditionalFormatting sqref="B481">
    <cfRule type="containsText" dxfId="3454" priority="297" operator="containsText" text="GOOD">
      <formula>NOT(ISERROR(SEARCH("GOOD",B481)))</formula>
    </cfRule>
  </conditionalFormatting>
  <conditionalFormatting sqref="L482">
    <cfRule type="containsText" dxfId="3453" priority="296" operator="containsText" text="FAIL">
      <formula>NOT(ISERROR(SEARCH("FAIL",L482)))</formula>
    </cfRule>
  </conditionalFormatting>
  <conditionalFormatting sqref="L482">
    <cfRule type="containsText" dxfId="3452" priority="295" operator="containsText" text="GOOD">
      <formula>NOT(ISERROR(SEARCH("GOOD",L482)))</formula>
    </cfRule>
  </conditionalFormatting>
  <conditionalFormatting sqref="Z482:AA482">
    <cfRule type="containsText" dxfId="3451" priority="294" operator="containsText" text="FAIL">
      <formula>NOT(ISERROR(SEARCH("FAIL",Z482)))</formula>
    </cfRule>
  </conditionalFormatting>
  <conditionalFormatting sqref="Z482:AA482">
    <cfRule type="containsText" dxfId="3450" priority="293" operator="containsText" text="GOOD">
      <formula>NOT(ISERROR(SEARCH("GOOD",Z482)))</formula>
    </cfRule>
  </conditionalFormatting>
  <conditionalFormatting sqref="L483">
    <cfRule type="containsText" dxfId="3449" priority="292" operator="containsText" text="FAIL">
      <formula>NOT(ISERROR(SEARCH("FAIL",L483)))</formula>
    </cfRule>
  </conditionalFormatting>
  <conditionalFormatting sqref="L483">
    <cfRule type="containsText" dxfId="3448" priority="291" operator="containsText" text="GOOD">
      <formula>NOT(ISERROR(SEARCH("GOOD",L483)))</formula>
    </cfRule>
  </conditionalFormatting>
  <conditionalFormatting sqref="Z483:AA483">
    <cfRule type="containsText" dxfId="3447" priority="290" operator="containsText" text="FAIL">
      <formula>NOT(ISERROR(SEARCH("FAIL",Z483)))</formula>
    </cfRule>
  </conditionalFormatting>
  <conditionalFormatting sqref="Z483:AA483">
    <cfRule type="containsText" dxfId="3446" priority="289" operator="containsText" text="GOOD">
      <formula>NOT(ISERROR(SEARCH("GOOD",Z483)))</formula>
    </cfRule>
  </conditionalFormatting>
  <conditionalFormatting sqref="L484">
    <cfRule type="containsText" dxfId="3445" priority="288" operator="containsText" text="FAIL">
      <formula>NOT(ISERROR(SEARCH("FAIL",L484)))</formula>
    </cfRule>
  </conditionalFormatting>
  <conditionalFormatting sqref="L484">
    <cfRule type="containsText" dxfId="3444" priority="287" operator="containsText" text="GOOD">
      <formula>NOT(ISERROR(SEARCH("GOOD",L484)))</formula>
    </cfRule>
  </conditionalFormatting>
  <conditionalFormatting sqref="Z484:AA484">
    <cfRule type="containsText" dxfId="3443" priority="286" operator="containsText" text="FAIL">
      <formula>NOT(ISERROR(SEARCH("FAIL",Z484)))</formula>
    </cfRule>
  </conditionalFormatting>
  <conditionalFormatting sqref="Z484:AA484">
    <cfRule type="containsText" dxfId="3442" priority="285" operator="containsText" text="GOOD">
      <formula>NOT(ISERROR(SEARCH("GOOD",Z484)))</formula>
    </cfRule>
  </conditionalFormatting>
  <conditionalFormatting sqref="L485">
    <cfRule type="containsText" dxfId="3441" priority="284" operator="containsText" text="FAIL">
      <formula>NOT(ISERROR(SEARCH("FAIL",L485)))</formula>
    </cfRule>
  </conditionalFormatting>
  <conditionalFormatting sqref="L485">
    <cfRule type="containsText" dxfId="3440" priority="283" operator="containsText" text="GOOD">
      <formula>NOT(ISERROR(SEARCH("GOOD",L485)))</formula>
    </cfRule>
  </conditionalFormatting>
  <conditionalFormatting sqref="Z485:AA485">
    <cfRule type="containsText" dxfId="3439" priority="282" operator="containsText" text="FAIL">
      <formula>NOT(ISERROR(SEARCH("FAIL",Z485)))</formula>
    </cfRule>
  </conditionalFormatting>
  <conditionalFormatting sqref="Z485:AA485">
    <cfRule type="containsText" dxfId="3438" priority="281" operator="containsText" text="GOOD">
      <formula>NOT(ISERROR(SEARCH("GOOD",Z485)))</formula>
    </cfRule>
  </conditionalFormatting>
  <conditionalFormatting sqref="L486">
    <cfRule type="containsText" dxfId="3437" priority="280" operator="containsText" text="FAIL">
      <formula>NOT(ISERROR(SEARCH("FAIL",L486)))</formula>
    </cfRule>
  </conditionalFormatting>
  <conditionalFormatting sqref="L486">
    <cfRule type="containsText" dxfId="3436" priority="279" operator="containsText" text="GOOD">
      <formula>NOT(ISERROR(SEARCH("GOOD",L486)))</formula>
    </cfRule>
  </conditionalFormatting>
  <conditionalFormatting sqref="Z486:AA486">
    <cfRule type="containsText" dxfId="3435" priority="278" operator="containsText" text="FAIL">
      <formula>NOT(ISERROR(SEARCH("FAIL",Z486)))</formula>
    </cfRule>
  </conditionalFormatting>
  <conditionalFormatting sqref="Z486:AA486">
    <cfRule type="containsText" dxfId="3434" priority="277" operator="containsText" text="GOOD">
      <formula>NOT(ISERROR(SEARCH("GOOD",Z486)))</formula>
    </cfRule>
  </conditionalFormatting>
  <conditionalFormatting sqref="L487">
    <cfRule type="containsText" dxfId="3433" priority="276" operator="containsText" text="FAIL">
      <formula>NOT(ISERROR(SEARCH("FAIL",L487)))</formula>
    </cfRule>
  </conditionalFormatting>
  <conditionalFormatting sqref="L487">
    <cfRule type="containsText" dxfId="3432" priority="275" operator="containsText" text="GOOD">
      <formula>NOT(ISERROR(SEARCH("GOOD",L487)))</formula>
    </cfRule>
  </conditionalFormatting>
  <conditionalFormatting sqref="Z487:AA487">
    <cfRule type="containsText" dxfId="3431" priority="274" operator="containsText" text="FAIL">
      <formula>NOT(ISERROR(SEARCH("FAIL",Z487)))</formula>
    </cfRule>
  </conditionalFormatting>
  <conditionalFormatting sqref="Z487:AA487">
    <cfRule type="containsText" dxfId="3430" priority="273" operator="containsText" text="GOOD">
      <formula>NOT(ISERROR(SEARCH("GOOD",Z487)))</formula>
    </cfRule>
  </conditionalFormatting>
  <conditionalFormatting sqref="L488">
    <cfRule type="containsText" dxfId="3429" priority="272" operator="containsText" text="FAIL">
      <formula>NOT(ISERROR(SEARCH("FAIL",L488)))</formula>
    </cfRule>
  </conditionalFormatting>
  <conditionalFormatting sqref="L488">
    <cfRule type="containsText" dxfId="3428" priority="271" operator="containsText" text="GOOD">
      <formula>NOT(ISERROR(SEARCH("GOOD",L488)))</formula>
    </cfRule>
  </conditionalFormatting>
  <conditionalFormatting sqref="Z488:AA488">
    <cfRule type="containsText" dxfId="3427" priority="270" operator="containsText" text="FAIL">
      <formula>NOT(ISERROR(SEARCH("FAIL",Z488)))</formula>
    </cfRule>
  </conditionalFormatting>
  <conditionalFormatting sqref="Z488:AA488">
    <cfRule type="containsText" dxfId="3426" priority="269" operator="containsText" text="GOOD">
      <formula>NOT(ISERROR(SEARCH("GOOD",Z488)))</formula>
    </cfRule>
  </conditionalFormatting>
  <conditionalFormatting sqref="L489">
    <cfRule type="containsText" dxfId="3425" priority="268" operator="containsText" text="FAIL">
      <formula>NOT(ISERROR(SEARCH("FAIL",L489)))</formula>
    </cfRule>
  </conditionalFormatting>
  <conditionalFormatting sqref="L489">
    <cfRule type="containsText" dxfId="3424" priority="267" operator="containsText" text="GOOD">
      <formula>NOT(ISERROR(SEARCH("GOOD",L489)))</formula>
    </cfRule>
  </conditionalFormatting>
  <conditionalFormatting sqref="Z489:AA489">
    <cfRule type="containsText" dxfId="3423" priority="266" operator="containsText" text="FAIL">
      <formula>NOT(ISERROR(SEARCH("FAIL",Z489)))</formula>
    </cfRule>
  </conditionalFormatting>
  <conditionalFormatting sqref="Z489:AA489">
    <cfRule type="containsText" dxfId="3422" priority="265" operator="containsText" text="GOOD">
      <formula>NOT(ISERROR(SEARCH("GOOD",Z489)))</formula>
    </cfRule>
  </conditionalFormatting>
  <conditionalFormatting sqref="L492">
    <cfRule type="containsText" dxfId="3421" priority="264" operator="containsText" text="FAIL">
      <formula>NOT(ISERROR(SEARCH("FAIL",L492)))</formula>
    </cfRule>
  </conditionalFormatting>
  <conditionalFormatting sqref="L492">
    <cfRule type="containsText" dxfId="3420" priority="263" operator="containsText" text="GOOD">
      <formula>NOT(ISERROR(SEARCH("GOOD",L492)))</formula>
    </cfRule>
  </conditionalFormatting>
  <conditionalFormatting sqref="Z492:AA492">
    <cfRule type="containsText" dxfId="3419" priority="262" operator="containsText" text="FAIL">
      <formula>NOT(ISERROR(SEARCH("FAIL",Z492)))</formula>
    </cfRule>
  </conditionalFormatting>
  <conditionalFormatting sqref="Z492:AA492">
    <cfRule type="containsText" dxfId="3418" priority="261" operator="containsText" text="GOOD">
      <formula>NOT(ISERROR(SEARCH("GOOD",Z492)))</formula>
    </cfRule>
  </conditionalFormatting>
  <conditionalFormatting sqref="L493">
    <cfRule type="containsText" dxfId="3417" priority="260" operator="containsText" text="FAIL">
      <formula>NOT(ISERROR(SEARCH("FAIL",L493)))</formula>
    </cfRule>
  </conditionalFormatting>
  <conditionalFormatting sqref="L493">
    <cfRule type="containsText" dxfId="3416" priority="259" operator="containsText" text="GOOD">
      <formula>NOT(ISERROR(SEARCH("GOOD",L493)))</formula>
    </cfRule>
  </conditionalFormatting>
  <conditionalFormatting sqref="Z493:AA493">
    <cfRule type="containsText" dxfId="3415" priority="258" operator="containsText" text="FAIL">
      <formula>NOT(ISERROR(SEARCH("FAIL",Z493)))</formula>
    </cfRule>
  </conditionalFormatting>
  <conditionalFormatting sqref="Z493:AA493">
    <cfRule type="containsText" dxfId="3414" priority="257" operator="containsText" text="GOOD">
      <formula>NOT(ISERROR(SEARCH("GOOD",Z493)))</formula>
    </cfRule>
  </conditionalFormatting>
  <conditionalFormatting sqref="L494">
    <cfRule type="containsText" dxfId="3413" priority="256" operator="containsText" text="FAIL">
      <formula>NOT(ISERROR(SEARCH("FAIL",L494)))</formula>
    </cfRule>
  </conditionalFormatting>
  <conditionalFormatting sqref="L494">
    <cfRule type="containsText" dxfId="3412" priority="255" operator="containsText" text="GOOD">
      <formula>NOT(ISERROR(SEARCH("GOOD",L494)))</formula>
    </cfRule>
  </conditionalFormatting>
  <conditionalFormatting sqref="Z494:AA494">
    <cfRule type="containsText" dxfId="3411" priority="254" operator="containsText" text="FAIL">
      <formula>NOT(ISERROR(SEARCH("FAIL",Z494)))</formula>
    </cfRule>
  </conditionalFormatting>
  <conditionalFormatting sqref="Z494:AA494">
    <cfRule type="containsText" dxfId="3410" priority="253" operator="containsText" text="GOOD">
      <formula>NOT(ISERROR(SEARCH("GOOD",Z494)))</formula>
    </cfRule>
  </conditionalFormatting>
  <conditionalFormatting sqref="B494">
    <cfRule type="containsText" dxfId="3409" priority="252" operator="containsText" text="FAIL">
      <formula>NOT(ISERROR(SEARCH("FAIL",B494)))</formula>
    </cfRule>
  </conditionalFormatting>
  <conditionalFormatting sqref="B494">
    <cfRule type="containsText" dxfId="3408" priority="251" operator="containsText" text="GOOD">
      <formula>NOT(ISERROR(SEARCH("GOOD",B494)))</formula>
    </cfRule>
  </conditionalFormatting>
  <conditionalFormatting sqref="L495">
    <cfRule type="containsText" dxfId="3407" priority="250" operator="containsText" text="FAIL">
      <formula>NOT(ISERROR(SEARCH("FAIL",L495)))</formula>
    </cfRule>
  </conditionalFormatting>
  <conditionalFormatting sqref="L495">
    <cfRule type="containsText" dxfId="3406" priority="249" operator="containsText" text="GOOD">
      <formula>NOT(ISERROR(SEARCH("GOOD",L495)))</formula>
    </cfRule>
  </conditionalFormatting>
  <conditionalFormatting sqref="Z495:AA497">
    <cfRule type="containsText" dxfId="3405" priority="248" operator="containsText" text="FAIL">
      <formula>NOT(ISERROR(SEARCH("FAIL",Z495)))</formula>
    </cfRule>
  </conditionalFormatting>
  <conditionalFormatting sqref="Z495:AA497">
    <cfRule type="containsText" dxfId="3404" priority="247" operator="containsText" text="GOOD">
      <formula>NOT(ISERROR(SEARCH("GOOD",Z495)))</formula>
    </cfRule>
  </conditionalFormatting>
  <conditionalFormatting sqref="L496">
    <cfRule type="containsText" dxfId="3403" priority="246" operator="containsText" text="FAIL">
      <formula>NOT(ISERROR(SEARCH("FAIL",L496)))</formula>
    </cfRule>
  </conditionalFormatting>
  <conditionalFormatting sqref="L496">
    <cfRule type="containsText" dxfId="3402" priority="245" operator="containsText" text="GOOD">
      <formula>NOT(ISERROR(SEARCH("GOOD",L496)))</formula>
    </cfRule>
  </conditionalFormatting>
  <conditionalFormatting sqref="L497">
    <cfRule type="containsText" dxfId="3401" priority="244" operator="containsText" text="FAIL">
      <formula>NOT(ISERROR(SEARCH("FAIL",L497)))</formula>
    </cfRule>
  </conditionalFormatting>
  <conditionalFormatting sqref="L497">
    <cfRule type="containsText" dxfId="3400" priority="243" operator="containsText" text="GOOD">
      <formula>NOT(ISERROR(SEARCH("GOOD",L497)))</formula>
    </cfRule>
  </conditionalFormatting>
  <conditionalFormatting sqref="B497">
    <cfRule type="containsText" dxfId="3399" priority="242" operator="containsText" text="FAIL">
      <formula>NOT(ISERROR(SEARCH("FAIL",B497)))</formula>
    </cfRule>
  </conditionalFormatting>
  <conditionalFormatting sqref="B497">
    <cfRule type="containsText" dxfId="3398" priority="241" operator="containsText" text="GOOD">
      <formula>NOT(ISERROR(SEARCH("GOOD",B497)))</formula>
    </cfRule>
  </conditionalFormatting>
  <conditionalFormatting sqref="Z501:AA501">
    <cfRule type="containsText" dxfId="3397" priority="233" operator="containsText" text="GOOD">
      <formula>NOT(ISERROR(SEARCH("GOOD",Z501)))</formula>
    </cfRule>
  </conditionalFormatting>
  <conditionalFormatting sqref="L500">
    <cfRule type="containsText" dxfId="3396" priority="240" operator="containsText" text="FAIL">
      <formula>NOT(ISERROR(SEARCH("FAIL",L500)))</formula>
    </cfRule>
  </conditionalFormatting>
  <conditionalFormatting sqref="L500">
    <cfRule type="containsText" dxfId="3395" priority="239" operator="containsText" text="GOOD">
      <formula>NOT(ISERROR(SEARCH("GOOD",L500)))</formula>
    </cfRule>
  </conditionalFormatting>
  <conditionalFormatting sqref="Z500:AA500">
    <cfRule type="containsText" dxfId="3394" priority="238" operator="containsText" text="FAIL">
      <formula>NOT(ISERROR(SEARCH("FAIL",Z500)))</formula>
    </cfRule>
  </conditionalFormatting>
  <conditionalFormatting sqref="Z500:AA500">
    <cfRule type="containsText" dxfId="3393" priority="237" operator="containsText" text="GOOD">
      <formula>NOT(ISERROR(SEARCH("GOOD",Z500)))</formula>
    </cfRule>
  </conditionalFormatting>
  <conditionalFormatting sqref="L501">
    <cfRule type="containsText" dxfId="3392" priority="236" operator="containsText" text="FAIL">
      <formula>NOT(ISERROR(SEARCH("FAIL",L501)))</formula>
    </cfRule>
  </conditionalFormatting>
  <conditionalFormatting sqref="L501">
    <cfRule type="containsText" dxfId="3391" priority="235" operator="containsText" text="GOOD">
      <formula>NOT(ISERROR(SEARCH("GOOD",L501)))</formula>
    </cfRule>
  </conditionalFormatting>
  <conditionalFormatting sqref="Z501:AA501">
    <cfRule type="containsText" dxfId="3390" priority="234" operator="containsText" text="FAIL">
      <formula>NOT(ISERROR(SEARCH("FAIL",Z501)))</formula>
    </cfRule>
  </conditionalFormatting>
  <conditionalFormatting sqref="L524">
    <cfRule type="containsText" dxfId="3389" priority="142" operator="containsText" text="FAIL">
      <formula>NOT(ISERROR(SEARCH("FAIL",L524)))</formula>
    </cfRule>
  </conditionalFormatting>
  <conditionalFormatting sqref="L524">
    <cfRule type="containsText" dxfId="3388" priority="141" operator="containsText" text="GOOD">
      <formula>NOT(ISERROR(SEARCH("GOOD",L524)))</formula>
    </cfRule>
  </conditionalFormatting>
  <conditionalFormatting sqref="B505">
    <cfRule type="containsText" dxfId="3387" priority="225" operator="containsText" text="GOOD">
      <formula>NOT(ISERROR(SEARCH("GOOD",B505)))</formula>
    </cfRule>
  </conditionalFormatting>
  <conditionalFormatting sqref="L505">
    <cfRule type="containsText" dxfId="3386" priority="230" operator="containsText" text="FAIL">
      <formula>NOT(ISERROR(SEARCH("FAIL",L505)))</formula>
    </cfRule>
  </conditionalFormatting>
  <conditionalFormatting sqref="L505">
    <cfRule type="containsText" dxfId="3385" priority="229" operator="containsText" text="GOOD">
      <formula>NOT(ISERROR(SEARCH("GOOD",L505)))</formula>
    </cfRule>
  </conditionalFormatting>
  <conditionalFormatting sqref="Z505:AA505">
    <cfRule type="containsText" dxfId="3384" priority="228" operator="containsText" text="FAIL">
      <formula>NOT(ISERROR(SEARCH("FAIL",Z505)))</formula>
    </cfRule>
  </conditionalFormatting>
  <conditionalFormatting sqref="Z505:AA505">
    <cfRule type="containsText" dxfId="3383" priority="227" operator="containsText" text="GOOD">
      <formula>NOT(ISERROR(SEARCH("GOOD",Z505)))</formula>
    </cfRule>
  </conditionalFormatting>
  <conditionalFormatting sqref="B505">
    <cfRule type="containsText" dxfId="3382" priority="226" operator="containsText" text="FAIL">
      <formula>NOT(ISERROR(SEARCH("FAIL",B505)))</formula>
    </cfRule>
  </conditionalFormatting>
  <conditionalFormatting sqref="L506">
    <cfRule type="containsText" dxfId="3381" priority="224" operator="containsText" text="FAIL">
      <formula>NOT(ISERROR(SEARCH("FAIL",L506)))</formula>
    </cfRule>
  </conditionalFormatting>
  <conditionalFormatting sqref="L506">
    <cfRule type="containsText" dxfId="3380" priority="223" operator="containsText" text="GOOD">
      <formula>NOT(ISERROR(SEARCH("GOOD",L506)))</formula>
    </cfRule>
  </conditionalFormatting>
  <conditionalFormatting sqref="Z506:AA506">
    <cfRule type="containsText" dxfId="3379" priority="222" operator="containsText" text="FAIL">
      <formula>NOT(ISERROR(SEARCH("FAIL",Z506)))</formula>
    </cfRule>
  </conditionalFormatting>
  <conditionalFormatting sqref="Z506:AA506">
    <cfRule type="containsText" dxfId="3378" priority="221" operator="containsText" text="GOOD">
      <formula>NOT(ISERROR(SEARCH("GOOD",Z506)))</formula>
    </cfRule>
  </conditionalFormatting>
  <conditionalFormatting sqref="B506">
    <cfRule type="containsText" dxfId="3377" priority="220" operator="containsText" text="FAIL">
      <formula>NOT(ISERROR(SEARCH("FAIL",B506)))</formula>
    </cfRule>
  </conditionalFormatting>
  <conditionalFormatting sqref="B506">
    <cfRule type="containsText" dxfId="3376" priority="219" operator="containsText" text="GOOD">
      <formula>NOT(ISERROR(SEARCH("GOOD",B506)))</formula>
    </cfRule>
  </conditionalFormatting>
  <conditionalFormatting sqref="L507">
    <cfRule type="containsText" dxfId="3375" priority="218" operator="containsText" text="FAIL">
      <formula>NOT(ISERROR(SEARCH("FAIL",L507)))</formula>
    </cfRule>
  </conditionalFormatting>
  <conditionalFormatting sqref="L507">
    <cfRule type="containsText" dxfId="3374" priority="217" operator="containsText" text="GOOD">
      <formula>NOT(ISERROR(SEARCH("GOOD",L507)))</formula>
    </cfRule>
  </conditionalFormatting>
  <conditionalFormatting sqref="Z507:AA507">
    <cfRule type="containsText" dxfId="3373" priority="215" operator="containsText" text="GOOD">
      <formula>NOT(ISERROR(SEARCH("GOOD",Z507)))</formula>
    </cfRule>
  </conditionalFormatting>
  <conditionalFormatting sqref="Z507:AA507">
    <cfRule type="containsText" dxfId="3372" priority="216" operator="containsText" text="FAIL">
      <formula>NOT(ISERROR(SEARCH("FAIL",Z507)))</formula>
    </cfRule>
  </conditionalFormatting>
  <conditionalFormatting sqref="B507">
    <cfRule type="containsText" dxfId="3371" priority="214" operator="containsText" text="FAIL">
      <formula>NOT(ISERROR(SEARCH("FAIL",B507)))</formula>
    </cfRule>
  </conditionalFormatting>
  <conditionalFormatting sqref="B507">
    <cfRule type="containsText" dxfId="3370" priority="213" operator="containsText" text="GOOD">
      <formula>NOT(ISERROR(SEARCH("GOOD",B507)))</formula>
    </cfRule>
  </conditionalFormatting>
  <conditionalFormatting sqref="L510:L511">
    <cfRule type="containsText" dxfId="3369" priority="212" operator="containsText" text="FAIL">
      <formula>NOT(ISERROR(SEARCH("FAIL",L510)))</formula>
    </cfRule>
  </conditionalFormatting>
  <conditionalFormatting sqref="L510:L511">
    <cfRule type="containsText" dxfId="3368" priority="211" operator="containsText" text="GOOD">
      <formula>NOT(ISERROR(SEARCH("GOOD",L510)))</formula>
    </cfRule>
  </conditionalFormatting>
  <conditionalFormatting sqref="Z510:AA511">
    <cfRule type="containsText" dxfId="3367" priority="210" operator="containsText" text="FAIL">
      <formula>NOT(ISERROR(SEARCH("FAIL",Z510)))</formula>
    </cfRule>
  </conditionalFormatting>
  <conditionalFormatting sqref="Z510:AA511">
    <cfRule type="containsText" dxfId="3366" priority="209" operator="containsText" text="GOOD">
      <formula>NOT(ISERROR(SEARCH("GOOD",Z510)))</formula>
    </cfRule>
  </conditionalFormatting>
  <conditionalFormatting sqref="B510:B511">
    <cfRule type="containsText" dxfId="3365" priority="208" operator="containsText" text="FAIL">
      <formula>NOT(ISERROR(SEARCH("FAIL",B510)))</formula>
    </cfRule>
  </conditionalFormatting>
  <conditionalFormatting sqref="B510:B511">
    <cfRule type="containsText" dxfId="3364" priority="207" operator="containsText" text="GOOD">
      <formula>NOT(ISERROR(SEARCH("GOOD",B510)))</formula>
    </cfRule>
  </conditionalFormatting>
  <conditionalFormatting sqref="L509">
    <cfRule type="containsText" dxfId="3363" priority="206" operator="containsText" text="FAIL">
      <formula>NOT(ISERROR(SEARCH("FAIL",L509)))</formula>
    </cfRule>
  </conditionalFormatting>
  <conditionalFormatting sqref="L509">
    <cfRule type="containsText" dxfId="3362" priority="205" operator="containsText" text="GOOD">
      <formula>NOT(ISERROR(SEARCH("GOOD",L509)))</formula>
    </cfRule>
  </conditionalFormatting>
  <conditionalFormatting sqref="Z509:AA509">
    <cfRule type="containsText" dxfId="3361" priority="204" operator="containsText" text="FAIL">
      <formula>NOT(ISERROR(SEARCH("FAIL",Z509)))</formula>
    </cfRule>
  </conditionalFormatting>
  <conditionalFormatting sqref="Z509:AA509">
    <cfRule type="containsText" dxfId="3360" priority="203" operator="containsText" text="GOOD">
      <formula>NOT(ISERROR(SEARCH("GOOD",Z509)))</formula>
    </cfRule>
  </conditionalFormatting>
  <conditionalFormatting sqref="B509">
    <cfRule type="containsText" dxfId="3359" priority="202" operator="containsText" text="FAIL">
      <formula>NOT(ISERROR(SEARCH("FAIL",B509)))</formula>
    </cfRule>
  </conditionalFormatting>
  <conditionalFormatting sqref="B509">
    <cfRule type="containsText" dxfId="3358" priority="201" operator="containsText" text="GOOD">
      <formula>NOT(ISERROR(SEARCH("GOOD",B509)))</formula>
    </cfRule>
  </conditionalFormatting>
  <conditionalFormatting sqref="L508">
    <cfRule type="containsText" dxfId="3357" priority="200" operator="containsText" text="FAIL">
      <formula>NOT(ISERROR(SEARCH("FAIL",L508)))</formula>
    </cfRule>
  </conditionalFormatting>
  <conditionalFormatting sqref="L508">
    <cfRule type="containsText" dxfId="3356" priority="199" operator="containsText" text="GOOD">
      <formula>NOT(ISERROR(SEARCH("GOOD",L508)))</formula>
    </cfRule>
  </conditionalFormatting>
  <conditionalFormatting sqref="Z508:AA508">
    <cfRule type="containsText" dxfId="3355" priority="198" operator="containsText" text="FAIL">
      <formula>NOT(ISERROR(SEARCH("FAIL",Z508)))</formula>
    </cfRule>
  </conditionalFormatting>
  <conditionalFormatting sqref="Z508:AA508">
    <cfRule type="containsText" dxfId="3354" priority="197" operator="containsText" text="GOOD">
      <formula>NOT(ISERROR(SEARCH("GOOD",Z508)))</formula>
    </cfRule>
  </conditionalFormatting>
  <conditionalFormatting sqref="B508">
    <cfRule type="containsText" dxfId="3353" priority="196" operator="containsText" text="FAIL">
      <formula>NOT(ISERROR(SEARCH("FAIL",B508)))</formula>
    </cfRule>
  </conditionalFormatting>
  <conditionalFormatting sqref="B508">
    <cfRule type="containsText" dxfId="3352" priority="195" operator="containsText" text="GOOD">
      <formula>NOT(ISERROR(SEARCH("GOOD",B508)))</formula>
    </cfRule>
  </conditionalFormatting>
  <conditionalFormatting sqref="Z512:AA513">
    <cfRule type="containsText" dxfId="3351" priority="192" operator="containsText" text="FAIL">
      <formula>NOT(ISERROR(SEARCH("FAIL",Z512)))</formula>
    </cfRule>
  </conditionalFormatting>
  <conditionalFormatting sqref="Z512:AA513">
    <cfRule type="containsText" dxfId="3350" priority="191" operator="containsText" text="GOOD">
      <formula>NOT(ISERROR(SEARCH("GOOD",Z512)))</formula>
    </cfRule>
  </conditionalFormatting>
  <conditionalFormatting sqref="L512:L513">
    <cfRule type="containsText" dxfId="3349" priority="194" operator="containsText" text="FAIL">
      <formula>NOT(ISERROR(SEARCH("FAIL",L512)))</formula>
    </cfRule>
  </conditionalFormatting>
  <conditionalFormatting sqref="L512:L513">
    <cfRule type="containsText" dxfId="3348" priority="193" operator="containsText" text="GOOD">
      <formula>NOT(ISERROR(SEARCH("GOOD",L512)))</formula>
    </cfRule>
  </conditionalFormatting>
  <conditionalFormatting sqref="B512:B513">
    <cfRule type="containsText" dxfId="3347" priority="190" operator="containsText" text="FAIL">
      <formula>NOT(ISERROR(SEARCH("FAIL",B512)))</formula>
    </cfRule>
  </conditionalFormatting>
  <conditionalFormatting sqref="B512:B513">
    <cfRule type="containsText" dxfId="3346" priority="189" operator="containsText" text="GOOD">
      <formula>NOT(ISERROR(SEARCH("GOOD",B512)))</formula>
    </cfRule>
  </conditionalFormatting>
  <conditionalFormatting sqref="L516:L517">
    <cfRule type="containsText" dxfId="3345" priority="188" operator="containsText" text="FAIL">
      <formula>NOT(ISERROR(SEARCH("FAIL",L516)))</formula>
    </cfRule>
  </conditionalFormatting>
  <conditionalFormatting sqref="L516:L517">
    <cfRule type="containsText" dxfId="3344" priority="187" operator="containsText" text="GOOD">
      <formula>NOT(ISERROR(SEARCH("GOOD",L516)))</formula>
    </cfRule>
  </conditionalFormatting>
  <conditionalFormatting sqref="Z516:AA517">
    <cfRule type="containsText" dxfId="3343" priority="186" operator="containsText" text="FAIL">
      <formula>NOT(ISERROR(SEARCH("FAIL",Z516)))</formula>
    </cfRule>
  </conditionalFormatting>
  <conditionalFormatting sqref="Z516:AA517">
    <cfRule type="containsText" dxfId="3342" priority="185" operator="containsText" text="GOOD">
      <formula>NOT(ISERROR(SEARCH("GOOD",Z516)))</formula>
    </cfRule>
  </conditionalFormatting>
  <conditionalFormatting sqref="B516:B517">
    <cfRule type="containsText" dxfId="3341" priority="184" operator="containsText" text="FAIL">
      <formula>NOT(ISERROR(SEARCH("FAIL",B516)))</formula>
    </cfRule>
  </conditionalFormatting>
  <conditionalFormatting sqref="B516:B517">
    <cfRule type="containsText" dxfId="3340" priority="183" operator="containsText" text="GOOD">
      <formula>NOT(ISERROR(SEARCH("GOOD",B516)))</formula>
    </cfRule>
  </conditionalFormatting>
  <conditionalFormatting sqref="L515">
    <cfRule type="containsText" dxfId="3339" priority="182" operator="containsText" text="FAIL">
      <formula>NOT(ISERROR(SEARCH("FAIL",L515)))</formula>
    </cfRule>
  </conditionalFormatting>
  <conditionalFormatting sqref="L515">
    <cfRule type="containsText" dxfId="3338" priority="181" operator="containsText" text="GOOD">
      <formula>NOT(ISERROR(SEARCH("GOOD",L515)))</formula>
    </cfRule>
  </conditionalFormatting>
  <conditionalFormatting sqref="Z515:AA515">
    <cfRule type="containsText" dxfId="3337" priority="180" operator="containsText" text="FAIL">
      <formula>NOT(ISERROR(SEARCH("FAIL",Z515)))</formula>
    </cfRule>
  </conditionalFormatting>
  <conditionalFormatting sqref="Z515:AA515">
    <cfRule type="containsText" dxfId="3336" priority="179" operator="containsText" text="GOOD">
      <formula>NOT(ISERROR(SEARCH("GOOD",Z515)))</formula>
    </cfRule>
  </conditionalFormatting>
  <conditionalFormatting sqref="B515">
    <cfRule type="containsText" dxfId="3335" priority="178" operator="containsText" text="FAIL">
      <formula>NOT(ISERROR(SEARCH("FAIL",B515)))</formula>
    </cfRule>
  </conditionalFormatting>
  <conditionalFormatting sqref="B515">
    <cfRule type="containsText" dxfId="3334" priority="177" operator="containsText" text="GOOD">
      <formula>NOT(ISERROR(SEARCH("GOOD",B515)))</formula>
    </cfRule>
  </conditionalFormatting>
  <conditionalFormatting sqref="L514">
    <cfRule type="containsText" dxfId="3333" priority="176" operator="containsText" text="FAIL">
      <formula>NOT(ISERROR(SEARCH("FAIL",L514)))</formula>
    </cfRule>
  </conditionalFormatting>
  <conditionalFormatting sqref="L514">
    <cfRule type="containsText" dxfId="3332" priority="175" operator="containsText" text="GOOD">
      <formula>NOT(ISERROR(SEARCH("GOOD",L514)))</formula>
    </cfRule>
  </conditionalFormatting>
  <conditionalFormatting sqref="Z514:AA514">
    <cfRule type="containsText" dxfId="3331" priority="174" operator="containsText" text="FAIL">
      <formula>NOT(ISERROR(SEARCH("FAIL",Z514)))</formula>
    </cfRule>
  </conditionalFormatting>
  <conditionalFormatting sqref="Z514:AA514">
    <cfRule type="containsText" dxfId="3330" priority="173" operator="containsText" text="GOOD">
      <formula>NOT(ISERROR(SEARCH("GOOD",Z514)))</formula>
    </cfRule>
  </conditionalFormatting>
  <conditionalFormatting sqref="B514">
    <cfRule type="containsText" dxfId="3329" priority="172" operator="containsText" text="FAIL">
      <formula>NOT(ISERROR(SEARCH("FAIL",B514)))</formula>
    </cfRule>
  </conditionalFormatting>
  <conditionalFormatting sqref="B514">
    <cfRule type="containsText" dxfId="3328" priority="171" operator="containsText" text="GOOD">
      <formula>NOT(ISERROR(SEARCH("GOOD",B514)))</formula>
    </cfRule>
  </conditionalFormatting>
  <conditionalFormatting sqref="L518">
    <cfRule type="containsText" dxfId="3327" priority="170" operator="containsText" text="FAIL">
      <formula>NOT(ISERROR(SEARCH("FAIL",L518)))</formula>
    </cfRule>
  </conditionalFormatting>
  <conditionalFormatting sqref="L518">
    <cfRule type="containsText" dxfId="3326" priority="169" operator="containsText" text="GOOD">
      <formula>NOT(ISERROR(SEARCH("GOOD",L518)))</formula>
    </cfRule>
  </conditionalFormatting>
  <conditionalFormatting sqref="Z518:AA518">
    <cfRule type="containsText" dxfId="3325" priority="168" operator="containsText" text="FAIL">
      <formula>NOT(ISERROR(SEARCH("FAIL",Z518)))</formula>
    </cfRule>
  </conditionalFormatting>
  <conditionalFormatting sqref="Z518:AA518">
    <cfRule type="containsText" dxfId="3324" priority="167" operator="containsText" text="GOOD">
      <formula>NOT(ISERROR(SEARCH("GOOD",Z518)))</formula>
    </cfRule>
  </conditionalFormatting>
  <conditionalFormatting sqref="B518">
    <cfRule type="containsText" dxfId="3323" priority="166" operator="containsText" text="FAIL">
      <formula>NOT(ISERROR(SEARCH("FAIL",B518)))</formula>
    </cfRule>
  </conditionalFormatting>
  <conditionalFormatting sqref="B518">
    <cfRule type="containsText" dxfId="3322" priority="165" operator="containsText" text="GOOD">
      <formula>NOT(ISERROR(SEARCH("GOOD",B518)))</formula>
    </cfRule>
  </conditionalFormatting>
  <conditionalFormatting sqref="AQ518">
    <cfRule type="containsText" dxfId="3321" priority="164" operator="containsText" text="FAIL">
      <formula>NOT(ISERROR(SEARCH("FAIL",AQ518)))</formula>
    </cfRule>
  </conditionalFormatting>
  <conditionalFormatting sqref="AQ518">
    <cfRule type="containsText" dxfId="3320" priority="163" operator="containsText" text="GOOD">
      <formula>NOT(ISERROR(SEARCH("GOOD",AQ518)))</formula>
    </cfRule>
  </conditionalFormatting>
  <conditionalFormatting sqref="L519">
    <cfRule type="containsText" dxfId="3319" priority="162" operator="containsText" text="FAIL">
      <formula>NOT(ISERROR(SEARCH("FAIL",L519)))</formula>
    </cfRule>
  </conditionalFormatting>
  <conditionalFormatting sqref="L519">
    <cfRule type="containsText" dxfId="3318" priority="161" operator="containsText" text="GOOD">
      <formula>NOT(ISERROR(SEARCH("GOOD",L519)))</formula>
    </cfRule>
  </conditionalFormatting>
  <conditionalFormatting sqref="Z519:AA519">
    <cfRule type="containsText" dxfId="3317" priority="160" operator="containsText" text="FAIL">
      <formula>NOT(ISERROR(SEARCH("FAIL",Z519)))</formula>
    </cfRule>
  </conditionalFormatting>
  <conditionalFormatting sqref="Z519:AA519">
    <cfRule type="containsText" dxfId="3316" priority="159" operator="containsText" text="GOOD">
      <formula>NOT(ISERROR(SEARCH("GOOD",Z519)))</formula>
    </cfRule>
  </conditionalFormatting>
  <conditionalFormatting sqref="L522">
    <cfRule type="containsText" dxfId="3315" priority="158" operator="containsText" text="FAIL">
      <formula>NOT(ISERROR(SEARCH("FAIL",L522)))</formula>
    </cfRule>
  </conditionalFormatting>
  <conditionalFormatting sqref="L522">
    <cfRule type="containsText" dxfId="3314" priority="157" operator="containsText" text="GOOD">
      <formula>NOT(ISERROR(SEARCH("GOOD",L522)))</formula>
    </cfRule>
  </conditionalFormatting>
  <conditionalFormatting sqref="Z522:AA522">
    <cfRule type="containsText" dxfId="3313" priority="156" operator="containsText" text="FAIL">
      <formula>NOT(ISERROR(SEARCH("FAIL",Z522)))</formula>
    </cfRule>
  </conditionalFormatting>
  <conditionalFormatting sqref="Z522:AA522">
    <cfRule type="containsText" dxfId="3312" priority="155" operator="containsText" text="GOOD">
      <formula>NOT(ISERROR(SEARCH("GOOD",Z522)))</formula>
    </cfRule>
  </conditionalFormatting>
  <conditionalFormatting sqref="L521">
    <cfRule type="containsText" dxfId="3311" priority="154" operator="containsText" text="FAIL">
      <formula>NOT(ISERROR(SEARCH("FAIL",L521)))</formula>
    </cfRule>
  </conditionalFormatting>
  <conditionalFormatting sqref="L521">
    <cfRule type="containsText" dxfId="3310" priority="153" operator="containsText" text="GOOD">
      <formula>NOT(ISERROR(SEARCH("GOOD",L521)))</formula>
    </cfRule>
  </conditionalFormatting>
  <conditionalFormatting sqref="Z521:AA521">
    <cfRule type="containsText" dxfId="3309" priority="152" operator="containsText" text="FAIL">
      <formula>NOT(ISERROR(SEARCH("FAIL",Z521)))</formula>
    </cfRule>
  </conditionalFormatting>
  <conditionalFormatting sqref="Z521:AA521">
    <cfRule type="containsText" dxfId="3308" priority="151" operator="containsText" text="GOOD">
      <formula>NOT(ISERROR(SEARCH("GOOD",Z521)))</formula>
    </cfRule>
  </conditionalFormatting>
  <conditionalFormatting sqref="L520">
    <cfRule type="containsText" dxfId="3307" priority="150" operator="containsText" text="FAIL">
      <formula>NOT(ISERROR(SEARCH("FAIL",L520)))</formula>
    </cfRule>
  </conditionalFormatting>
  <conditionalFormatting sqref="L520">
    <cfRule type="containsText" dxfId="3306" priority="149" operator="containsText" text="GOOD">
      <formula>NOT(ISERROR(SEARCH("GOOD",L520)))</formula>
    </cfRule>
  </conditionalFormatting>
  <conditionalFormatting sqref="Z520:AA520">
    <cfRule type="containsText" dxfId="3305" priority="148" operator="containsText" text="FAIL">
      <formula>NOT(ISERROR(SEARCH("FAIL",Z520)))</formula>
    </cfRule>
  </conditionalFormatting>
  <conditionalFormatting sqref="Z520:AA520">
    <cfRule type="containsText" dxfId="3304" priority="147" operator="containsText" text="GOOD">
      <formula>NOT(ISERROR(SEARCH("GOOD",Z520)))</formula>
    </cfRule>
  </conditionalFormatting>
  <conditionalFormatting sqref="L523">
    <cfRule type="containsText" dxfId="3303" priority="146" operator="containsText" text="FAIL">
      <formula>NOT(ISERROR(SEARCH("FAIL",L523)))</formula>
    </cfRule>
  </conditionalFormatting>
  <conditionalFormatting sqref="L523">
    <cfRule type="containsText" dxfId="3302" priority="145" operator="containsText" text="GOOD">
      <formula>NOT(ISERROR(SEARCH("GOOD",L523)))</formula>
    </cfRule>
  </conditionalFormatting>
  <conditionalFormatting sqref="Z523:AA523">
    <cfRule type="containsText" dxfId="3301" priority="144" operator="containsText" text="FAIL">
      <formula>NOT(ISERROR(SEARCH("FAIL",Z523)))</formula>
    </cfRule>
  </conditionalFormatting>
  <conditionalFormatting sqref="Z523:AA523">
    <cfRule type="containsText" dxfId="3300" priority="143" operator="containsText" text="GOOD">
      <formula>NOT(ISERROR(SEARCH("GOOD",Z523)))</formula>
    </cfRule>
  </conditionalFormatting>
  <conditionalFormatting sqref="Z524:AA524">
    <cfRule type="containsText" dxfId="3299" priority="140" operator="containsText" text="FAIL">
      <formula>NOT(ISERROR(SEARCH("FAIL",Z524)))</formula>
    </cfRule>
  </conditionalFormatting>
  <conditionalFormatting sqref="Z524:AA524">
    <cfRule type="containsText" dxfId="3298" priority="139" operator="containsText" text="GOOD">
      <formula>NOT(ISERROR(SEARCH("GOOD",Z524)))</formula>
    </cfRule>
  </conditionalFormatting>
  <conditionalFormatting sqref="Z525:AA525">
    <cfRule type="containsText" dxfId="3297" priority="135" operator="containsText" text="GOOD">
      <formula>NOT(ISERROR(SEARCH("GOOD",Z525)))</formula>
    </cfRule>
  </conditionalFormatting>
  <conditionalFormatting sqref="L525">
    <cfRule type="containsText" dxfId="3296" priority="138" operator="containsText" text="FAIL">
      <formula>NOT(ISERROR(SEARCH("FAIL",L525)))</formula>
    </cfRule>
  </conditionalFormatting>
  <conditionalFormatting sqref="L525">
    <cfRule type="containsText" dxfId="3295" priority="137" operator="containsText" text="GOOD">
      <formula>NOT(ISERROR(SEARCH("GOOD",L525)))</formula>
    </cfRule>
  </conditionalFormatting>
  <conditionalFormatting sqref="Z525:AA525">
    <cfRule type="containsText" dxfId="3294" priority="136" operator="containsText" text="FAIL">
      <formula>NOT(ISERROR(SEARCH("FAIL",Z525)))</formula>
    </cfRule>
  </conditionalFormatting>
  <conditionalFormatting sqref="L527">
    <cfRule type="containsText" dxfId="3293" priority="134" operator="containsText" text="FAIL">
      <formula>NOT(ISERROR(SEARCH("FAIL",L527)))</formula>
    </cfRule>
  </conditionalFormatting>
  <conditionalFormatting sqref="L527">
    <cfRule type="containsText" dxfId="3292" priority="133" operator="containsText" text="GOOD">
      <formula>NOT(ISERROR(SEARCH("GOOD",L527)))</formula>
    </cfRule>
  </conditionalFormatting>
  <conditionalFormatting sqref="Z527:AA527">
    <cfRule type="containsText" dxfId="3291" priority="132" operator="containsText" text="FAIL">
      <formula>NOT(ISERROR(SEARCH("FAIL",Z527)))</formula>
    </cfRule>
  </conditionalFormatting>
  <conditionalFormatting sqref="Z527:AA527">
    <cfRule type="containsText" dxfId="3290" priority="131" operator="containsText" text="GOOD">
      <formula>NOT(ISERROR(SEARCH("GOOD",Z527)))</formula>
    </cfRule>
  </conditionalFormatting>
  <conditionalFormatting sqref="L526">
    <cfRule type="containsText" dxfId="3289" priority="130" operator="containsText" text="FAIL">
      <formula>NOT(ISERROR(SEARCH("FAIL",L526)))</formula>
    </cfRule>
  </conditionalFormatting>
  <conditionalFormatting sqref="L526">
    <cfRule type="containsText" dxfId="3288" priority="129" operator="containsText" text="GOOD">
      <formula>NOT(ISERROR(SEARCH("GOOD",L526)))</formula>
    </cfRule>
  </conditionalFormatting>
  <conditionalFormatting sqref="Z526:AA526">
    <cfRule type="containsText" dxfId="3287" priority="128" operator="containsText" text="FAIL">
      <formula>NOT(ISERROR(SEARCH("FAIL",Z526)))</formula>
    </cfRule>
  </conditionalFormatting>
  <conditionalFormatting sqref="Z526:AA526">
    <cfRule type="containsText" dxfId="3286" priority="127" operator="containsText" text="GOOD">
      <formula>NOT(ISERROR(SEARCH("GOOD",Z526)))</formula>
    </cfRule>
  </conditionalFormatting>
  <conditionalFormatting sqref="L528">
    <cfRule type="containsText" dxfId="3285" priority="126" operator="containsText" text="FAIL">
      <formula>NOT(ISERROR(SEARCH("FAIL",L528)))</formula>
    </cfRule>
  </conditionalFormatting>
  <conditionalFormatting sqref="L528">
    <cfRule type="containsText" dxfId="3284" priority="125" operator="containsText" text="GOOD">
      <formula>NOT(ISERROR(SEARCH("GOOD",L528)))</formula>
    </cfRule>
  </conditionalFormatting>
  <conditionalFormatting sqref="Z528:AA528">
    <cfRule type="containsText" dxfId="3283" priority="124" operator="containsText" text="FAIL">
      <formula>NOT(ISERROR(SEARCH("FAIL",Z528)))</formula>
    </cfRule>
  </conditionalFormatting>
  <conditionalFormatting sqref="Z528:AA528">
    <cfRule type="containsText" dxfId="3282" priority="123" operator="containsText" text="GOOD">
      <formula>NOT(ISERROR(SEARCH("GOOD",Z528)))</formula>
    </cfRule>
  </conditionalFormatting>
  <conditionalFormatting sqref="L531">
    <cfRule type="containsText" dxfId="3281" priority="122" operator="containsText" text="FAIL">
      <formula>NOT(ISERROR(SEARCH("FAIL",L531)))</formula>
    </cfRule>
  </conditionalFormatting>
  <conditionalFormatting sqref="L531">
    <cfRule type="containsText" dxfId="3280" priority="121" operator="containsText" text="GOOD">
      <formula>NOT(ISERROR(SEARCH("GOOD",L531)))</formula>
    </cfRule>
  </conditionalFormatting>
  <conditionalFormatting sqref="Z531:AA531">
    <cfRule type="containsText" dxfId="3279" priority="120" operator="containsText" text="FAIL">
      <formula>NOT(ISERROR(SEARCH("FAIL",Z531)))</formula>
    </cfRule>
  </conditionalFormatting>
  <conditionalFormatting sqref="Z531:AA531">
    <cfRule type="containsText" dxfId="3278" priority="119" operator="containsText" text="GOOD">
      <formula>NOT(ISERROR(SEARCH("GOOD",Z531)))</formula>
    </cfRule>
  </conditionalFormatting>
  <conditionalFormatting sqref="B531">
    <cfRule type="containsText" dxfId="3277" priority="118" operator="containsText" text="FAIL">
      <formula>NOT(ISERROR(SEARCH("FAIL",B531)))</formula>
    </cfRule>
  </conditionalFormatting>
  <conditionalFormatting sqref="B531">
    <cfRule type="containsText" dxfId="3276" priority="117" operator="containsText" text="GOOD">
      <formula>NOT(ISERROR(SEARCH("GOOD",B531)))</formula>
    </cfRule>
  </conditionalFormatting>
  <conditionalFormatting sqref="L530">
    <cfRule type="containsText" dxfId="3275" priority="116" operator="containsText" text="FAIL">
      <formula>NOT(ISERROR(SEARCH("FAIL",L530)))</formula>
    </cfRule>
  </conditionalFormatting>
  <conditionalFormatting sqref="L530">
    <cfRule type="containsText" dxfId="3274" priority="115" operator="containsText" text="GOOD">
      <formula>NOT(ISERROR(SEARCH("GOOD",L530)))</formula>
    </cfRule>
  </conditionalFormatting>
  <conditionalFormatting sqref="Z530:AA530">
    <cfRule type="containsText" dxfId="3273" priority="114" operator="containsText" text="FAIL">
      <formula>NOT(ISERROR(SEARCH("FAIL",Z530)))</formula>
    </cfRule>
  </conditionalFormatting>
  <conditionalFormatting sqref="Z530:AA530">
    <cfRule type="containsText" dxfId="3272" priority="113" operator="containsText" text="GOOD">
      <formula>NOT(ISERROR(SEARCH("GOOD",Z530)))</formula>
    </cfRule>
  </conditionalFormatting>
  <conditionalFormatting sqref="L529">
    <cfRule type="containsText" dxfId="3271" priority="112" operator="containsText" text="FAIL">
      <formula>NOT(ISERROR(SEARCH("FAIL",L529)))</formula>
    </cfRule>
  </conditionalFormatting>
  <conditionalFormatting sqref="L529">
    <cfRule type="containsText" dxfId="3270" priority="111" operator="containsText" text="GOOD">
      <formula>NOT(ISERROR(SEARCH("GOOD",L529)))</formula>
    </cfRule>
  </conditionalFormatting>
  <conditionalFormatting sqref="Z529:AA529">
    <cfRule type="containsText" dxfId="3269" priority="110" operator="containsText" text="FAIL">
      <formula>NOT(ISERROR(SEARCH("FAIL",Z529)))</formula>
    </cfRule>
  </conditionalFormatting>
  <conditionalFormatting sqref="Z529:AA529">
    <cfRule type="containsText" dxfId="3268" priority="109" operator="containsText" text="GOOD">
      <formula>NOT(ISERROR(SEARCH("GOOD",Z529)))</formula>
    </cfRule>
  </conditionalFormatting>
  <conditionalFormatting sqref="L534">
    <cfRule type="containsText" dxfId="3267" priority="108" operator="containsText" text="FAIL">
      <formula>NOT(ISERROR(SEARCH("FAIL",L534)))</formula>
    </cfRule>
  </conditionalFormatting>
  <conditionalFormatting sqref="L534">
    <cfRule type="containsText" dxfId="3266" priority="107" operator="containsText" text="GOOD">
      <formula>NOT(ISERROR(SEARCH("GOOD",L534)))</formula>
    </cfRule>
  </conditionalFormatting>
  <conditionalFormatting sqref="Z534:AA534">
    <cfRule type="containsText" dxfId="3265" priority="106" operator="containsText" text="FAIL">
      <formula>NOT(ISERROR(SEARCH("FAIL",Z534)))</formula>
    </cfRule>
  </conditionalFormatting>
  <conditionalFormatting sqref="Z534:AA534">
    <cfRule type="containsText" dxfId="3264" priority="105" operator="containsText" text="GOOD">
      <formula>NOT(ISERROR(SEARCH("GOOD",Z534)))</formula>
    </cfRule>
  </conditionalFormatting>
  <conditionalFormatting sqref="L532:L533">
    <cfRule type="containsText" dxfId="3263" priority="104" operator="containsText" text="FAIL">
      <formula>NOT(ISERROR(SEARCH("FAIL",L532)))</formula>
    </cfRule>
  </conditionalFormatting>
  <conditionalFormatting sqref="L532:L533">
    <cfRule type="containsText" dxfId="3262" priority="103" operator="containsText" text="GOOD">
      <formula>NOT(ISERROR(SEARCH("GOOD",L532)))</formula>
    </cfRule>
  </conditionalFormatting>
  <conditionalFormatting sqref="Z532:AA533">
    <cfRule type="containsText" dxfId="3261" priority="102" operator="containsText" text="FAIL">
      <formula>NOT(ISERROR(SEARCH("FAIL",Z532)))</formula>
    </cfRule>
  </conditionalFormatting>
  <conditionalFormatting sqref="Z532:AA533">
    <cfRule type="containsText" dxfId="3260" priority="101" operator="containsText" text="GOOD">
      <formula>NOT(ISERROR(SEARCH("GOOD",Z532)))</formula>
    </cfRule>
  </conditionalFormatting>
  <conditionalFormatting sqref="L538">
    <cfRule type="containsText" dxfId="3259" priority="100" operator="containsText" text="FAIL">
      <formula>NOT(ISERROR(SEARCH("FAIL",L538)))</formula>
    </cfRule>
  </conditionalFormatting>
  <conditionalFormatting sqref="L538">
    <cfRule type="containsText" dxfId="3258" priority="99" operator="containsText" text="GOOD">
      <formula>NOT(ISERROR(SEARCH("GOOD",L538)))</formula>
    </cfRule>
  </conditionalFormatting>
  <conditionalFormatting sqref="Z538:AA540">
    <cfRule type="containsText" dxfId="3257" priority="98" operator="containsText" text="FAIL">
      <formula>NOT(ISERROR(SEARCH("FAIL",Z538)))</formula>
    </cfRule>
  </conditionalFormatting>
  <conditionalFormatting sqref="Z538:AA540">
    <cfRule type="containsText" dxfId="3256" priority="97" operator="containsText" text="GOOD">
      <formula>NOT(ISERROR(SEARCH("GOOD",Z538)))</formula>
    </cfRule>
  </conditionalFormatting>
  <conditionalFormatting sqref="L537">
    <cfRule type="containsText" dxfId="3255" priority="96" operator="containsText" text="FAIL">
      <formula>NOT(ISERROR(SEARCH("FAIL",L537)))</formula>
    </cfRule>
  </conditionalFormatting>
  <conditionalFormatting sqref="L537">
    <cfRule type="containsText" dxfId="3254" priority="95" operator="containsText" text="GOOD">
      <formula>NOT(ISERROR(SEARCH("GOOD",L537)))</formula>
    </cfRule>
  </conditionalFormatting>
  <conditionalFormatting sqref="Z537:AA537">
    <cfRule type="containsText" dxfId="3253" priority="94" operator="containsText" text="FAIL">
      <formula>NOT(ISERROR(SEARCH("FAIL",Z537)))</formula>
    </cfRule>
  </conditionalFormatting>
  <conditionalFormatting sqref="Z537:AA537">
    <cfRule type="containsText" dxfId="3252" priority="93" operator="containsText" text="GOOD">
      <formula>NOT(ISERROR(SEARCH("GOOD",Z537)))</formula>
    </cfRule>
  </conditionalFormatting>
  <conditionalFormatting sqref="L536">
    <cfRule type="containsText" dxfId="3251" priority="92" operator="containsText" text="FAIL">
      <formula>NOT(ISERROR(SEARCH("FAIL",L536)))</formula>
    </cfRule>
  </conditionalFormatting>
  <conditionalFormatting sqref="L536">
    <cfRule type="containsText" dxfId="3250" priority="91" operator="containsText" text="GOOD">
      <formula>NOT(ISERROR(SEARCH("GOOD",L536)))</formula>
    </cfRule>
  </conditionalFormatting>
  <conditionalFormatting sqref="Z536:AA536">
    <cfRule type="containsText" dxfId="3249" priority="90" operator="containsText" text="FAIL">
      <formula>NOT(ISERROR(SEARCH("FAIL",Z536)))</formula>
    </cfRule>
  </conditionalFormatting>
  <conditionalFormatting sqref="Z536:AA536">
    <cfRule type="containsText" dxfId="3248" priority="89" operator="containsText" text="GOOD">
      <formula>NOT(ISERROR(SEARCH("GOOD",Z536)))</formula>
    </cfRule>
  </conditionalFormatting>
  <conditionalFormatting sqref="L535">
    <cfRule type="containsText" dxfId="3247" priority="88" operator="containsText" text="FAIL">
      <formula>NOT(ISERROR(SEARCH("FAIL",L535)))</formula>
    </cfRule>
  </conditionalFormatting>
  <conditionalFormatting sqref="L535">
    <cfRule type="containsText" dxfId="3246" priority="87" operator="containsText" text="GOOD">
      <formula>NOT(ISERROR(SEARCH("GOOD",L535)))</formula>
    </cfRule>
  </conditionalFormatting>
  <conditionalFormatting sqref="Z535:AA535">
    <cfRule type="containsText" dxfId="3245" priority="86" operator="containsText" text="FAIL">
      <formula>NOT(ISERROR(SEARCH("FAIL",Z535)))</formula>
    </cfRule>
  </conditionalFormatting>
  <conditionalFormatting sqref="Z535:AA535">
    <cfRule type="containsText" dxfId="3244" priority="85" operator="containsText" text="GOOD">
      <formula>NOT(ISERROR(SEARCH("GOOD",Z535)))</formula>
    </cfRule>
  </conditionalFormatting>
  <conditionalFormatting sqref="L539">
    <cfRule type="containsText" dxfId="3243" priority="84" operator="containsText" text="FAIL">
      <formula>NOT(ISERROR(SEARCH("FAIL",L539)))</formula>
    </cfRule>
  </conditionalFormatting>
  <conditionalFormatting sqref="L539">
    <cfRule type="containsText" dxfId="3242" priority="83" operator="containsText" text="GOOD">
      <formula>NOT(ISERROR(SEARCH("GOOD",L539)))</formula>
    </cfRule>
  </conditionalFormatting>
  <conditionalFormatting sqref="L540">
    <cfRule type="containsText" dxfId="3241" priority="82" operator="containsText" text="FAIL">
      <formula>NOT(ISERROR(SEARCH("FAIL",L540)))</formula>
    </cfRule>
  </conditionalFormatting>
  <conditionalFormatting sqref="L540">
    <cfRule type="containsText" dxfId="3240" priority="81" operator="containsText" text="GOOD">
      <formula>NOT(ISERROR(SEARCH("GOOD",L540)))</formula>
    </cfRule>
  </conditionalFormatting>
  <conditionalFormatting sqref="L729">
    <cfRule type="containsText" dxfId="3239" priority="80" operator="containsText" text="FAIL">
      <formula>NOT(ISERROR(SEARCH("FAIL",L729)))</formula>
    </cfRule>
  </conditionalFormatting>
  <conditionalFormatting sqref="L729">
    <cfRule type="containsText" dxfId="3238" priority="79" operator="containsText" text="GOOD">
      <formula>NOT(ISERROR(SEARCH("GOOD",L729)))</formula>
    </cfRule>
  </conditionalFormatting>
  <conditionalFormatting sqref="Z729:AA729">
    <cfRule type="containsText" dxfId="3237" priority="78" operator="containsText" text="FAIL">
      <formula>NOT(ISERROR(SEARCH("FAIL",Z729)))</formula>
    </cfRule>
  </conditionalFormatting>
  <conditionalFormatting sqref="Z729:AA729">
    <cfRule type="containsText" dxfId="3236" priority="77" operator="containsText" text="GOOD">
      <formula>NOT(ISERROR(SEARCH("GOOD",Z729)))</formula>
    </cfRule>
  </conditionalFormatting>
  <conditionalFormatting sqref="L730">
    <cfRule type="containsText" dxfId="3235" priority="76" operator="containsText" text="FAIL">
      <formula>NOT(ISERROR(SEARCH("FAIL",L730)))</formula>
    </cfRule>
  </conditionalFormatting>
  <conditionalFormatting sqref="L730">
    <cfRule type="containsText" dxfId="3234" priority="75" operator="containsText" text="GOOD">
      <formula>NOT(ISERROR(SEARCH("GOOD",L730)))</formula>
    </cfRule>
  </conditionalFormatting>
  <conditionalFormatting sqref="Z730:AA730">
    <cfRule type="containsText" dxfId="3233" priority="74" operator="containsText" text="FAIL">
      <formula>NOT(ISERROR(SEARCH("FAIL",Z730)))</formula>
    </cfRule>
  </conditionalFormatting>
  <conditionalFormatting sqref="Z730:AA730">
    <cfRule type="containsText" dxfId="3232" priority="73" operator="containsText" text="GOOD">
      <formula>NOT(ISERROR(SEARCH("GOOD",Z730)))</formula>
    </cfRule>
  </conditionalFormatting>
  <conditionalFormatting sqref="B730">
    <cfRule type="containsText" dxfId="3231" priority="72" operator="containsText" text="FAIL">
      <formula>NOT(ISERROR(SEARCH("FAIL",B730)))</formula>
    </cfRule>
  </conditionalFormatting>
  <conditionalFormatting sqref="B730">
    <cfRule type="containsText" dxfId="3230" priority="71" operator="containsText" text="GOOD">
      <formula>NOT(ISERROR(SEARCH("GOOD",B730)))</formula>
    </cfRule>
  </conditionalFormatting>
  <conditionalFormatting sqref="L731">
    <cfRule type="containsText" dxfId="3229" priority="70" operator="containsText" text="FAIL">
      <formula>NOT(ISERROR(SEARCH("FAIL",L731)))</formula>
    </cfRule>
  </conditionalFormatting>
  <conditionalFormatting sqref="L731">
    <cfRule type="containsText" dxfId="3228" priority="69" operator="containsText" text="GOOD">
      <formula>NOT(ISERROR(SEARCH("GOOD",L731)))</formula>
    </cfRule>
  </conditionalFormatting>
  <conditionalFormatting sqref="Z731:AA731">
    <cfRule type="containsText" dxfId="3227" priority="68" operator="containsText" text="FAIL">
      <formula>NOT(ISERROR(SEARCH("FAIL",Z731)))</formula>
    </cfRule>
  </conditionalFormatting>
  <conditionalFormatting sqref="Z731:AA731">
    <cfRule type="containsText" dxfId="3226" priority="67" operator="containsText" text="GOOD">
      <formula>NOT(ISERROR(SEARCH("GOOD",Z731)))</formula>
    </cfRule>
  </conditionalFormatting>
  <conditionalFormatting sqref="L732">
    <cfRule type="containsText" dxfId="3225" priority="66" operator="containsText" text="FAIL">
      <formula>NOT(ISERROR(SEARCH("FAIL",L732)))</formula>
    </cfRule>
  </conditionalFormatting>
  <conditionalFormatting sqref="L732">
    <cfRule type="containsText" dxfId="3224" priority="65" operator="containsText" text="GOOD">
      <formula>NOT(ISERROR(SEARCH("GOOD",L732)))</formula>
    </cfRule>
  </conditionalFormatting>
  <conditionalFormatting sqref="Z732:AA732">
    <cfRule type="containsText" dxfId="3223" priority="63" operator="containsText" text="GOOD">
      <formula>NOT(ISERROR(SEARCH("GOOD",Z732)))</formula>
    </cfRule>
  </conditionalFormatting>
  <conditionalFormatting sqref="Z732:AA732">
    <cfRule type="containsText" dxfId="3222" priority="64" operator="containsText" text="FAIL">
      <formula>NOT(ISERROR(SEARCH("FAIL",Z732)))</formula>
    </cfRule>
  </conditionalFormatting>
  <conditionalFormatting sqref="B732">
    <cfRule type="containsText" dxfId="3221" priority="62" operator="containsText" text="FAIL">
      <formula>NOT(ISERROR(SEARCH("FAIL",B732)))</formula>
    </cfRule>
  </conditionalFormatting>
  <conditionalFormatting sqref="B732">
    <cfRule type="containsText" dxfId="3220" priority="61" operator="containsText" text="GOOD">
      <formula>NOT(ISERROR(SEARCH("GOOD",B732)))</formula>
    </cfRule>
  </conditionalFormatting>
  <conditionalFormatting sqref="L733">
    <cfRule type="containsText" dxfId="3219" priority="60" operator="containsText" text="FAIL">
      <formula>NOT(ISERROR(SEARCH("FAIL",L733)))</formula>
    </cfRule>
  </conditionalFormatting>
  <conditionalFormatting sqref="L733">
    <cfRule type="containsText" dxfId="3218" priority="59" operator="containsText" text="GOOD">
      <formula>NOT(ISERROR(SEARCH("GOOD",L733)))</formula>
    </cfRule>
  </conditionalFormatting>
  <conditionalFormatting sqref="Z733:AA733">
    <cfRule type="containsText" dxfId="3217" priority="58" operator="containsText" text="FAIL">
      <formula>NOT(ISERROR(SEARCH("FAIL",Z733)))</formula>
    </cfRule>
  </conditionalFormatting>
  <conditionalFormatting sqref="Z733:AA733">
    <cfRule type="containsText" dxfId="3216" priority="57" operator="containsText" text="GOOD">
      <formula>NOT(ISERROR(SEARCH("GOOD",Z733)))</formula>
    </cfRule>
  </conditionalFormatting>
  <conditionalFormatting sqref="L734">
    <cfRule type="containsText" dxfId="3215" priority="56" operator="containsText" text="FAIL">
      <formula>NOT(ISERROR(SEARCH("FAIL",L734)))</formula>
    </cfRule>
  </conditionalFormatting>
  <conditionalFormatting sqref="L734">
    <cfRule type="containsText" dxfId="3214" priority="55" operator="containsText" text="GOOD">
      <formula>NOT(ISERROR(SEARCH("GOOD",L734)))</formula>
    </cfRule>
  </conditionalFormatting>
  <conditionalFormatting sqref="Z734:AA734">
    <cfRule type="containsText" dxfId="3213" priority="54" operator="containsText" text="FAIL">
      <formula>NOT(ISERROR(SEARCH("FAIL",Z734)))</formula>
    </cfRule>
  </conditionalFormatting>
  <conditionalFormatting sqref="Z734:AA734">
    <cfRule type="containsText" dxfId="3212" priority="53" operator="containsText" text="GOOD">
      <formula>NOT(ISERROR(SEARCH("GOOD",Z734)))</formula>
    </cfRule>
  </conditionalFormatting>
  <conditionalFormatting sqref="Z735:AA735">
    <cfRule type="containsText" dxfId="3211" priority="49" operator="containsText" text="GOOD">
      <formula>NOT(ISERROR(SEARCH("GOOD",Z735)))</formula>
    </cfRule>
  </conditionalFormatting>
  <conditionalFormatting sqref="L735">
    <cfRule type="containsText" dxfId="3210" priority="52" operator="containsText" text="FAIL">
      <formula>NOT(ISERROR(SEARCH("FAIL",L735)))</formula>
    </cfRule>
  </conditionalFormatting>
  <conditionalFormatting sqref="L735">
    <cfRule type="containsText" dxfId="3209" priority="51" operator="containsText" text="GOOD">
      <formula>NOT(ISERROR(SEARCH("GOOD",L735)))</formula>
    </cfRule>
  </conditionalFormatting>
  <conditionalFormatting sqref="Z735:AA735">
    <cfRule type="containsText" dxfId="3208" priority="50" operator="containsText" text="FAIL">
      <formula>NOT(ISERROR(SEARCH("FAIL",Z735)))</formula>
    </cfRule>
  </conditionalFormatting>
  <conditionalFormatting sqref="L736">
    <cfRule type="containsText" dxfId="3207" priority="48" operator="containsText" text="FAIL">
      <formula>NOT(ISERROR(SEARCH("FAIL",L736)))</formula>
    </cfRule>
  </conditionalFormatting>
  <conditionalFormatting sqref="L736">
    <cfRule type="containsText" dxfId="3206" priority="47" operator="containsText" text="GOOD">
      <formula>NOT(ISERROR(SEARCH("GOOD",L736)))</formula>
    </cfRule>
  </conditionalFormatting>
  <conditionalFormatting sqref="Z736:AA736">
    <cfRule type="containsText" dxfId="3205" priority="46" operator="containsText" text="FAIL">
      <formula>NOT(ISERROR(SEARCH("FAIL",Z736)))</formula>
    </cfRule>
  </conditionalFormatting>
  <conditionalFormatting sqref="Z736:AA736">
    <cfRule type="containsText" dxfId="3204" priority="45" operator="containsText" text="GOOD">
      <formula>NOT(ISERROR(SEARCH("GOOD",Z736)))</formula>
    </cfRule>
  </conditionalFormatting>
  <conditionalFormatting sqref="L737">
    <cfRule type="containsText" dxfId="3203" priority="44" operator="containsText" text="FAIL">
      <formula>NOT(ISERROR(SEARCH("FAIL",L737)))</formula>
    </cfRule>
  </conditionalFormatting>
  <conditionalFormatting sqref="L737">
    <cfRule type="containsText" dxfId="3202" priority="43" operator="containsText" text="GOOD">
      <formula>NOT(ISERROR(SEARCH("GOOD",L737)))</formula>
    </cfRule>
  </conditionalFormatting>
  <conditionalFormatting sqref="Z737:AA737">
    <cfRule type="containsText" dxfId="3201" priority="42" operator="containsText" text="FAIL">
      <formula>NOT(ISERROR(SEARCH("FAIL",Z737)))</formula>
    </cfRule>
  </conditionalFormatting>
  <conditionalFormatting sqref="Z737:AA737">
    <cfRule type="containsText" dxfId="3200" priority="41" operator="containsText" text="GOOD">
      <formula>NOT(ISERROR(SEARCH("GOOD",Z737)))</formula>
    </cfRule>
  </conditionalFormatting>
  <conditionalFormatting sqref="L738">
    <cfRule type="containsText" dxfId="3199" priority="40" operator="containsText" text="FAIL">
      <formula>NOT(ISERROR(SEARCH("FAIL",L738)))</formula>
    </cfRule>
  </conditionalFormatting>
  <conditionalFormatting sqref="L738">
    <cfRule type="containsText" dxfId="3198" priority="39" operator="containsText" text="GOOD">
      <formula>NOT(ISERROR(SEARCH("GOOD",L738)))</formula>
    </cfRule>
  </conditionalFormatting>
  <conditionalFormatting sqref="Z738:AA738">
    <cfRule type="containsText" dxfId="3197" priority="38" operator="containsText" text="FAIL">
      <formula>NOT(ISERROR(SEARCH("FAIL",Z738)))</formula>
    </cfRule>
  </conditionalFormatting>
  <conditionalFormatting sqref="Z738:AA738">
    <cfRule type="containsText" dxfId="3196" priority="37" operator="containsText" text="GOOD">
      <formula>NOT(ISERROR(SEARCH("GOOD",Z738)))</formula>
    </cfRule>
  </conditionalFormatting>
  <conditionalFormatting sqref="L749">
    <cfRule type="containsText" dxfId="3195" priority="34" operator="containsText" text="FAIL">
      <formula>NOT(ISERROR(SEARCH("FAIL",L749)))</formula>
    </cfRule>
  </conditionalFormatting>
  <conditionalFormatting sqref="L749">
    <cfRule type="containsText" dxfId="3194" priority="33" operator="containsText" text="GOOD">
      <formula>NOT(ISERROR(SEARCH("GOOD",L749)))</formula>
    </cfRule>
  </conditionalFormatting>
  <conditionalFormatting sqref="Z749:AA749">
    <cfRule type="containsText" dxfId="3193" priority="32" operator="containsText" text="FAIL">
      <formula>NOT(ISERROR(SEARCH("FAIL",Z749)))</formula>
    </cfRule>
  </conditionalFormatting>
  <conditionalFormatting sqref="Z749:AA749">
    <cfRule type="containsText" dxfId="3192" priority="31" operator="containsText" text="GOOD">
      <formula>NOT(ISERROR(SEARCH("GOOD",Z749)))</formula>
    </cfRule>
  </conditionalFormatting>
  <conditionalFormatting sqref="B749">
    <cfRule type="containsText" dxfId="3191" priority="36" operator="containsText" text="FAIL">
      <formula>NOT(ISERROR(SEARCH("FAIL",B749)))</formula>
    </cfRule>
  </conditionalFormatting>
  <conditionalFormatting sqref="B749">
    <cfRule type="containsText" dxfId="3190" priority="35" operator="containsText" text="GOOD">
      <formula>NOT(ISERROR(SEARCH("GOOD",B749)))</formula>
    </cfRule>
  </conditionalFormatting>
  <conditionalFormatting sqref="Z750:AA750">
    <cfRule type="containsText" dxfId="3189" priority="26" operator="containsText" text="FAIL">
      <formula>NOT(ISERROR(SEARCH("FAIL",Z750)))</formula>
    </cfRule>
  </conditionalFormatting>
  <conditionalFormatting sqref="Z750:AA750">
    <cfRule type="containsText" dxfId="3188" priority="25" operator="containsText" text="GOOD">
      <formula>NOT(ISERROR(SEARCH("GOOD",Z750)))</formula>
    </cfRule>
  </conditionalFormatting>
  <conditionalFormatting sqref="B750">
    <cfRule type="containsText" dxfId="3187" priority="30" operator="containsText" text="FAIL">
      <formula>NOT(ISERROR(SEARCH("FAIL",B750)))</formula>
    </cfRule>
  </conditionalFormatting>
  <conditionalFormatting sqref="B750">
    <cfRule type="containsText" dxfId="3186" priority="29" operator="containsText" text="GOOD">
      <formula>NOT(ISERROR(SEARCH("GOOD",B750)))</formula>
    </cfRule>
  </conditionalFormatting>
  <conditionalFormatting sqref="L750">
    <cfRule type="containsText" dxfId="3185" priority="28" operator="containsText" text="FAIL">
      <formula>NOT(ISERROR(SEARCH("FAIL",L750)))</formula>
    </cfRule>
  </conditionalFormatting>
  <conditionalFormatting sqref="L750">
    <cfRule type="containsText" dxfId="3184" priority="27" operator="containsText" text="GOOD">
      <formula>NOT(ISERROR(SEARCH("GOOD",L750)))</formula>
    </cfRule>
  </conditionalFormatting>
  <conditionalFormatting sqref="B751">
    <cfRule type="containsText" dxfId="3183" priority="24" operator="containsText" text="FAIL">
      <formula>NOT(ISERROR(SEARCH("FAIL",B751)))</formula>
    </cfRule>
  </conditionalFormatting>
  <conditionalFormatting sqref="B751">
    <cfRule type="containsText" dxfId="3182" priority="23" operator="containsText" text="GOOD">
      <formula>NOT(ISERROR(SEARCH("GOOD",B751)))</formula>
    </cfRule>
  </conditionalFormatting>
  <conditionalFormatting sqref="L751">
    <cfRule type="containsText" dxfId="3181" priority="22" operator="containsText" text="FAIL">
      <formula>NOT(ISERROR(SEARCH("FAIL",L751)))</formula>
    </cfRule>
  </conditionalFormatting>
  <conditionalFormatting sqref="L751">
    <cfRule type="containsText" dxfId="3180" priority="21" operator="containsText" text="GOOD">
      <formula>NOT(ISERROR(SEARCH("GOOD",L751)))</formula>
    </cfRule>
  </conditionalFormatting>
  <conditionalFormatting sqref="Z751:AA751">
    <cfRule type="containsText" dxfId="3179" priority="20" operator="containsText" text="FAIL">
      <formula>NOT(ISERROR(SEARCH("FAIL",Z751)))</formula>
    </cfRule>
  </conditionalFormatting>
  <conditionalFormatting sqref="Z751:AA751">
    <cfRule type="containsText" dxfId="3178" priority="19" operator="containsText" text="GOOD">
      <formula>NOT(ISERROR(SEARCH("GOOD",Z751)))</formula>
    </cfRule>
  </conditionalFormatting>
  <conditionalFormatting sqref="L752">
    <cfRule type="containsText" dxfId="3177" priority="18" operator="containsText" text="FAIL">
      <formula>NOT(ISERROR(SEARCH("FAIL",L752)))</formula>
    </cfRule>
  </conditionalFormatting>
  <conditionalFormatting sqref="L752">
    <cfRule type="containsText" dxfId="3176" priority="17" operator="containsText" text="GOOD">
      <formula>NOT(ISERROR(SEARCH("GOOD",L752)))</formula>
    </cfRule>
  </conditionalFormatting>
  <conditionalFormatting sqref="Z752:AA752">
    <cfRule type="containsText" dxfId="3175" priority="16" operator="containsText" text="FAIL">
      <formula>NOT(ISERROR(SEARCH("FAIL",Z752)))</formula>
    </cfRule>
  </conditionalFormatting>
  <conditionalFormatting sqref="Z752:AA752">
    <cfRule type="containsText" dxfId="3174" priority="15" operator="containsText" text="GOOD">
      <formula>NOT(ISERROR(SEARCH("GOOD",Z752)))</formula>
    </cfRule>
  </conditionalFormatting>
  <conditionalFormatting sqref="B752">
    <cfRule type="containsText" dxfId="3173" priority="14" operator="containsText" text="FAIL">
      <formula>NOT(ISERROR(SEARCH("FAIL",B752)))</formula>
    </cfRule>
  </conditionalFormatting>
  <conditionalFormatting sqref="B752">
    <cfRule type="containsText" dxfId="3172" priority="13" operator="containsText" text="GOOD">
      <formula>NOT(ISERROR(SEARCH("GOOD",B752)))</formula>
    </cfRule>
  </conditionalFormatting>
  <conditionalFormatting sqref="L753">
    <cfRule type="containsText" dxfId="3171" priority="12" operator="containsText" text="FAIL">
      <formula>NOT(ISERROR(SEARCH("FAIL",L753)))</formula>
    </cfRule>
  </conditionalFormatting>
  <conditionalFormatting sqref="L753">
    <cfRule type="containsText" dxfId="3170" priority="11" operator="containsText" text="GOOD">
      <formula>NOT(ISERROR(SEARCH("GOOD",L753)))</formula>
    </cfRule>
  </conditionalFormatting>
  <conditionalFormatting sqref="Z753:AA753">
    <cfRule type="containsText" dxfId="3169" priority="10" operator="containsText" text="FAIL">
      <formula>NOT(ISERROR(SEARCH("FAIL",Z753)))</formula>
    </cfRule>
  </conditionalFormatting>
  <conditionalFormatting sqref="Z753:AA753">
    <cfRule type="containsText" dxfId="3168" priority="9" operator="containsText" text="GOOD">
      <formula>NOT(ISERROR(SEARCH("GOOD",Z753)))</formula>
    </cfRule>
  </conditionalFormatting>
  <conditionalFormatting sqref="L754">
    <cfRule type="containsText" dxfId="3167" priority="8" operator="containsText" text="FAIL">
      <formula>NOT(ISERROR(SEARCH("FAIL",L754)))</formula>
    </cfRule>
  </conditionalFormatting>
  <conditionalFormatting sqref="L754">
    <cfRule type="containsText" dxfId="3166" priority="7" operator="containsText" text="GOOD">
      <formula>NOT(ISERROR(SEARCH("GOOD",L754)))</formula>
    </cfRule>
  </conditionalFormatting>
  <conditionalFormatting sqref="Z754:AA754">
    <cfRule type="containsText" dxfId="3165" priority="6" operator="containsText" text="FAIL">
      <formula>NOT(ISERROR(SEARCH("FAIL",Z754)))</formula>
    </cfRule>
  </conditionalFormatting>
  <conditionalFormatting sqref="Z754:AA754">
    <cfRule type="containsText" dxfId="3164" priority="5" operator="containsText" text="GOOD">
      <formula>NOT(ISERROR(SEARCH("GOOD",Z754)))</formula>
    </cfRule>
  </conditionalFormatting>
  <conditionalFormatting sqref="L755">
    <cfRule type="containsText" dxfId="3163" priority="4" operator="containsText" text="FAIL">
      <formula>NOT(ISERROR(SEARCH("FAIL",L755)))</formula>
    </cfRule>
  </conditionalFormatting>
  <conditionalFormatting sqref="L755">
    <cfRule type="containsText" dxfId="3162" priority="3" operator="containsText" text="GOOD">
      <formula>NOT(ISERROR(SEARCH("GOOD",L755)))</formula>
    </cfRule>
  </conditionalFormatting>
  <conditionalFormatting sqref="Z755:AA755">
    <cfRule type="containsText" dxfId="3161" priority="2" operator="containsText" text="FAIL">
      <formula>NOT(ISERROR(SEARCH("FAIL",Z755)))</formula>
    </cfRule>
  </conditionalFormatting>
  <conditionalFormatting sqref="Z755:AA755">
    <cfRule type="containsText" dxfId="3160" priority="1" operator="containsText" text="GOOD">
      <formula>NOT(ISERROR(SEARCH("GOOD",Z755)))</formula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359" operator="containsText" text="FAIL" id="{C6EF8B88-9066-4991-82B5-64B1AC5B1928}">
            <xm:f>NOT(ISERROR(SEARCH("FAIL",SUMMARY!L497)))</xm:f>
            <x14:dxf>
              <font>
                <b/>
                <i/>
                <color theme="0"/>
              </font>
              <fill>
                <patternFill>
                  <bgColor rgb="FFFF0000"/>
                </patternFill>
              </fill>
            </x14:dxf>
          </x14:cfRule>
          <xm:sqref>L565</xm:sqref>
        </x14:conditionalFormatting>
        <x14:conditionalFormatting xmlns:xm="http://schemas.microsoft.com/office/excel/2006/main">
          <x14:cfRule type="containsText" priority="1358" operator="containsText" text="GOOD" id="{EEE7F2BF-D64A-4299-93FE-B572CBE792F0}">
            <xm:f>NOT(ISERROR(SEARCH("GOOD",SUMMARY!L497)))</xm:f>
            <x14:dxf>
              <font>
                <b/>
                <i/>
                <color theme="0"/>
              </font>
              <fill>
                <patternFill>
                  <bgColor rgb="FF00B050"/>
                </patternFill>
              </fill>
            </x14:dxf>
          </x14:cfRule>
          <xm:sqref>L565</xm:sqref>
        </x14:conditionalFormatting>
        <x14:conditionalFormatting xmlns:xm="http://schemas.microsoft.com/office/excel/2006/main">
          <x14:cfRule type="containsText" priority="1402" operator="containsText" text="FAIL" id="{3C5DAD68-F35E-4EBD-A0BC-F1B8FB17C4DF}">
            <xm:f>NOT(ISERROR(SEARCH("FAIL",SUMMARY!L499)))</xm:f>
            <x14:dxf>
              <font>
                <b/>
                <i/>
                <color theme="0"/>
              </font>
              <fill>
                <patternFill>
                  <bgColor rgb="FFFF0000"/>
                </patternFill>
              </fill>
            </x14:dxf>
          </x14:cfRule>
          <xm:sqref>L566:L568</xm:sqref>
        </x14:conditionalFormatting>
        <x14:conditionalFormatting xmlns:xm="http://schemas.microsoft.com/office/excel/2006/main">
          <x14:cfRule type="containsText" priority="1403" operator="containsText" text="GOOD" id="{819CDD30-E2B5-41FC-B1D8-ECA30C95712D}">
            <xm:f>NOT(ISERROR(SEARCH("GOOD",SUMMARY!L499)))</xm:f>
            <x14:dxf>
              <font>
                <b/>
                <i/>
                <color theme="0"/>
              </font>
              <fill>
                <patternFill>
                  <bgColor rgb="FF00B050"/>
                </patternFill>
              </fill>
            </x14:dxf>
          </x14:cfRule>
          <xm:sqref>L566:L568</xm:sqref>
        </x14:conditionalFormatting>
        <x14:conditionalFormatting xmlns:xm="http://schemas.microsoft.com/office/excel/2006/main">
          <x14:cfRule type="containsText" priority="1404" operator="containsText" text="FAIL" id="{0106071A-4182-4C71-A9C5-1D8A72592A6A}">
            <xm:f>NOT(ISERROR(SEARCH("FAIL",SUMMARY!L503)))</xm:f>
            <x14:dxf>
              <font>
                <b/>
                <i/>
                <color theme="0"/>
              </font>
              <fill>
                <patternFill>
                  <bgColor rgb="FFFF0000"/>
                </patternFill>
              </fill>
            </x14:dxf>
          </x14:cfRule>
          <xm:sqref>L569:L571</xm:sqref>
        </x14:conditionalFormatting>
        <x14:conditionalFormatting xmlns:xm="http://schemas.microsoft.com/office/excel/2006/main">
          <x14:cfRule type="containsText" priority="1405" operator="containsText" text="GOOD" id="{EC56A3C7-E3A9-4ADC-A59C-B10F3C850529}">
            <xm:f>NOT(ISERROR(SEARCH("GOOD",SUMMARY!L503)))</xm:f>
            <x14:dxf>
              <font>
                <b/>
                <i/>
                <color theme="0"/>
              </font>
              <fill>
                <patternFill>
                  <bgColor rgb="FF00B050"/>
                </patternFill>
              </fill>
            </x14:dxf>
          </x14:cfRule>
          <xm:sqref>L569:L571</xm:sqref>
        </x14:conditionalFormatting>
        <x14:conditionalFormatting xmlns:xm="http://schemas.microsoft.com/office/excel/2006/main">
          <x14:cfRule type="containsText" priority="1406" operator="containsText" text="FAIL" id="{DD2ECE5A-CE97-4A1A-ABAC-AB0D6477D55A}">
            <xm:f>NOT(ISERROR(SEARCH("FAIL",SUMMARY!L510)))</xm:f>
            <x14:dxf>
              <font>
                <b/>
                <i/>
                <color theme="0"/>
              </font>
              <fill>
                <patternFill>
                  <bgColor rgb="FFFF0000"/>
                </patternFill>
              </fill>
            </x14:dxf>
          </x14:cfRule>
          <xm:sqref>L572:L573</xm:sqref>
        </x14:conditionalFormatting>
        <x14:conditionalFormatting xmlns:xm="http://schemas.microsoft.com/office/excel/2006/main">
          <x14:cfRule type="containsText" priority="1407" operator="containsText" text="GOOD" id="{A6D1BBA8-6275-4817-9CFB-733AA14D71B7}">
            <xm:f>NOT(ISERROR(SEARCH("GOOD",SUMMARY!L510)))</xm:f>
            <x14:dxf>
              <font>
                <b/>
                <i/>
                <color theme="0"/>
              </font>
              <fill>
                <patternFill>
                  <bgColor rgb="FF00B050"/>
                </patternFill>
              </fill>
            </x14:dxf>
          </x14:cfRule>
          <xm:sqref>L572:L573</xm:sqref>
        </x14:conditionalFormatting>
        <x14:conditionalFormatting xmlns:xm="http://schemas.microsoft.com/office/excel/2006/main">
          <x14:cfRule type="containsText" priority="1408" operator="containsText" text="FAIL" id="{3A34262F-5EA5-475A-9735-4374B07A52D2}">
            <xm:f>NOT(ISERROR(SEARCH("FAIL",SUMMARY!L513)))</xm:f>
            <x14:dxf>
              <font>
                <b/>
                <i/>
                <color theme="0"/>
              </font>
              <fill>
                <patternFill>
                  <bgColor rgb="FFFF0000"/>
                </patternFill>
              </fill>
            </x14:dxf>
          </x14:cfRule>
          <xm:sqref>L574:L576</xm:sqref>
        </x14:conditionalFormatting>
        <x14:conditionalFormatting xmlns:xm="http://schemas.microsoft.com/office/excel/2006/main">
          <x14:cfRule type="containsText" priority="1409" operator="containsText" text="GOOD" id="{BD02C19C-FD6F-44A0-8DE0-AABE9813D69A}">
            <xm:f>NOT(ISERROR(SEARCH("GOOD",SUMMARY!L513)))</xm:f>
            <x14:dxf>
              <font>
                <b/>
                <i/>
                <color theme="0"/>
              </font>
              <fill>
                <patternFill>
                  <bgColor rgb="FF00B050"/>
                </patternFill>
              </fill>
            </x14:dxf>
          </x14:cfRule>
          <xm:sqref>L574:L576</xm:sqref>
        </x14:conditionalFormatting>
        <x14:conditionalFormatting xmlns:xm="http://schemas.microsoft.com/office/excel/2006/main">
          <x14:cfRule type="containsText" priority="1410" operator="containsText" text="FAIL" id="{1EED40EB-2CDF-4A82-B0B0-CFF80F2A9F4D}">
            <xm:f>NOT(ISERROR(SEARCH("FAIL",SUMMARY!L518)))</xm:f>
            <x14:dxf>
              <font>
                <b/>
                <i/>
                <color theme="0"/>
              </font>
              <fill>
                <patternFill>
                  <bgColor rgb="FFFF0000"/>
                </patternFill>
              </fill>
            </x14:dxf>
          </x14:cfRule>
          <xm:sqref>L577</xm:sqref>
        </x14:conditionalFormatting>
        <x14:conditionalFormatting xmlns:xm="http://schemas.microsoft.com/office/excel/2006/main">
          <x14:cfRule type="containsText" priority="1411" operator="containsText" text="GOOD" id="{CD90351A-A278-4FB7-85B6-18D72B89C1D2}">
            <xm:f>NOT(ISERROR(SEARCH("GOOD",SUMMARY!L518)))</xm:f>
            <x14:dxf>
              <font>
                <b/>
                <i/>
                <color theme="0"/>
              </font>
              <fill>
                <patternFill>
                  <bgColor rgb="FF00B050"/>
                </patternFill>
              </fill>
            </x14:dxf>
          </x14:cfRule>
          <xm:sqref>L577</xm:sqref>
        </x14:conditionalFormatting>
        <x14:conditionalFormatting xmlns:xm="http://schemas.microsoft.com/office/excel/2006/main">
          <x14:cfRule type="containsText" priority="1412" operator="containsText" text="FAIL" id="{B61447FB-FC03-41B2-91D0-2B9D7B0FD6D0}">
            <xm:f>NOT(ISERROR(SEARCH("FAIL",SUMMARY!L523)))</xm:f>
            <x14:dxf>
              <font>
                <b/>
                <i/>
                <color theme="0"/>
              </font>
              <fill>
                <patternFill>
                  <bgColor rgb="FFFF0000"/>
                </patternFill>
              </fill>
            </x14:dxf>
          </x14:cfRule>
          <xm:sqref>L578</xm:sqref>
        </x14:conditionalFormatting>
        <x14:conditionalFormatting xmlns:xm="http://schemas.microsoft.com/office/excel/2006/main">
          <x14:cfRule type="containsText" priority="1413" operator="containsText" text="GOOD" id="{F900A1C2-58C0-44E0-AFA1-CBD9631B8BEA}">
            <xm:f>NOT(ISERROR(SEARCH("GOOD",SUMMARY!L523)))</xm:f>
            <x14:dxf>
              <font>
                <b/>
                <i/>
                <color theme="0"/>
              </font>
              <fill>
                <patternFill>
                  <bgColor rgb="FF00B050"/>
                </patternFill>
              </fill>
            </x14:dxf>
          </x14:cfRule>
          <xm:sqref>L578</xm:sqref>
        </x14:conditionalFormatting>
        <x14:conditionalFormatting xmlns:xm="http://schemas.microsoft.com/office/excel/2006/main">
          <x14:cfRule type="containsText" priority="1414" operator="containsText" text="FAIL" id="{005C4BCC-E5E7-4919-823A-3ECC084B744E}">
            <xm:f>NOT(ISERROR(SEARCH("FAIL",SUMMARY!L527)))</xm:f>
            <x14:dxf>
              <font>
                <b/>
                <i/>
                <color theme="0"/>
              </font>
              <fill>
                <patternFill>
                  <bgColor rgb="FFFF0000"/>
                </patternFill>
              </fill>
            </x14:dxf>
          </x14:cfRule>
          <xm:sqref>L579</xm:sqref>
        </x14:conditionalFormatting>
        <x14:conditionalFormatting xmlns:xm="http://schemas.microsoft.com/office/excel/2006/main">
          <x14:cfRule type="containsText" priority="1415" operator="containsText" text="GOOD" id="{D78EB0AA-D5F2-420E-AAFF-500043C96FF9}">
            <xm:f>NOT(ISERROR(SEARCH("GOOD",SUMMARY!L527)))</xm:f>
            <x14:dxf>
              <font>
                <b/>
                <i/>
                <color theme="0"/>
              </font>
              <fill>
                <patternFill>
                  <bgColor rgb="FF00B050"/>
                </patternFill>
              </fill>
            </x14:dxf>
          </x14:cfRule>
          <xm:sqref>L579</xm:sqref>
        </x14:conditionalFormatting>
        <x14:conditionalFormatting xmlns:xm="http://schemas.microsoft.com/office/excel/2006/main">
          <x14:cfRule type="containsText" priority="1416" operator="containsText" text="FAIL" id="{A240354B-043F-49E9-B512-2A304B6847FA}">
            <xm:f>NOT(ISERROR(SEARCH("FAIL",SUMMARY!L556)))</xm:f>
            <x14:dxf>
              <font>
                <b/>
                <i/>
                <color theme="0"/>
              </font>
              <fill>
                <patternFill>
                  <bgColor rgb="FFFF0000"/>
                </patternFill>
              </fill>
            </x14:dxf>
          </x14:cfRule>
          <xm:sqref>L600</xm:sqref>
        </x14:conditionalFormatting>
        <x14:conditionalFormatting xmlns:xm="http://schemas.microsoft.com/office/excel/2006/main">
          <x14:cfRule type="containsText" priority="1417" operator="containsText" text="GOOD" id="{E3644EA6-0C51-4C87-9F25-1BD4E60E7C92}">
            <xm:f>NOT(ISERROR(SEARCH("GOOD",SUMMARY!L556)))</xm:f>
            <x14:dxf>
              <font>
                <b/>
                <i/>
                <color theme="0"/>
              </font>
              <fill>
                <patternFill>
                  <bgColor rgb="FF00B050"/>
                </patternFill>
              </fill>
            </x14:dxf>
          </x14:cfRule>
          <xm:sqref>L600</xm:sqref>
        </x14:conditionalFormatting>
        <x14:conditionalFormatting xmlns:xm="http://schemas.microsoft.com/office/excel/2006/main">
          <x14:cfRule type="containsText" priority="1418" operator="containsText" text="FAIL" id="{CD841A2C-134B-4E5F-9C12-64BB04A7AC2D}">
            <xm:f>NOT(ISERROR(SEARCH("FAIL",SUMMARY!L561)))</xm:f>
            <x14:dxf>
              <font>
                <b/>
                <i/>
                <color theme="0"/>
              </font>
              <fill>
                <patternFill>
                  <bgColor rgb="FFFF0000"/>
                </patternFill>
              </fill>
            </x14:dxf>
          </x14:cfRule>
          <xm:sqref>L601:L602</xm:sqref>
        </x14:conditionalFormatting>
        <x14:conditionalFormatting xmlns:xm="http://schemas.microsoft.com/office/excel/2006/main">
          <x14:cfRule type="containsText" priority="1419" operator="containsText" text="GOOD" id="{5BB6706F-B7F5-4EDA-814A-99A6E34AABFB}">
            <xm:f>NOT(ISERROR(SEARCH("GOOD",SUMMARY!L561)))</xm:f>
            <x14:dxf>
              <font>
                <b/>
                <i/>
                <color theme="0"/>
              </font>
              <fill>
                <patternFill>
                  <bgColor rgb="FF00B050"/>
                </patternFill>
              </fill>
            </x14:dxf>
          </x14:cfRule>
          <xm:sqref>L601:L602</xm:sqref>
        </x14:conditionalFormatting>
        <x14:conditionalFormatting xmlns:xm="http://schemas.microsoft.com/office/excel/2006/main">
          <x14:cfRule type="containsText" priority="1420" operator="containsText" text="FAIL" id="{86F22FC1-DE7F-46DC-A3A1-4873789158D8}">
            <xm:f>NOT(ISERROR(SEARCH("FAIL",SUMMARY!L570)))</xm:f>
            <x14:dxf>
              <font>
                <b/>
                <i/>
                <color theme="0"/>
              </font>
              <fill>
                <patternFill>
                  <bgColor rgb="FFFF0000"/>
                </patternFill>
              </fill>
            </x14:dxf>
          </x14:cfRule>
          <xm:sqref>L603</xm:sqref>
        </x14:conditionalFormatting>
        <x14:conditionalFormatting xmlns:xm="http://schemas.microsoft.com/office/excel/2006/main">
          <x14:cfRule type="containsText" priority="1421" operator="containsText" text="GOOD" id="{8A04876C-5117-4F8E-9EF7-674DA4B874E2}">
            <xm:f>NOT(ISERROR(SEARCH("GOOD",SUMMARY!L570)))</xm:f>
            <x14:dxf>
              <font>
                <b/>
                <i/>
                <color theme="0"/>
              </font>
              <fill>
                <patternFill>
                  <bgColor rgb="FF00B050"/>
                </patternFill>
              </fill>
            </x14:dxf>
          </x14:cfRule>
          <xm:sqref>L603</xm:sqref>
        </x14:conditionalFormatting>
        <x14:conditionalFormatting xmlns:xm="http://schemas.microsoft.com/office/excel/2006/main">
          <x14:cfRule type="containsText" priority="1422" operator="containsText" text="FAIL" id="{C5431222-96F3-4E71-A459-FD9A67921236}">
            <xm:f>NOT(ISERROR(SEARCH("FAIL",SUMMARY!L578)))</xm:f>
            <x14:dxf>
              <font>
                <b/>
                <i/>
                <color theme="0"/>
              </font>
              <fill>
                <patternFill>
                  <bgColor rgb="FFFF0000"/>
                </patternFill>
              </fill>
            </x14:dxf>
          </x14:cfRule>
          <xm:sqref>L604:L605</xm:sqref>
        </x14:conditionalFormatting>
        <x14:conditionalFormatting xmlns:xm="http://schemas.microsoft.com/office/excel/2006/main">
          <x14:cfRule type="containsText" priority="1423" operator="containsText" text="GOOD" id="{354EF532-7DE6-4EC5-9FBA-01BE558B83E6}">
            <xm:f>NOT(ISERROR(SEARCH("GOOD",SUMMARY!L578)))</xm:f>
            <x14:dxf>
              <font>
                <b/>
                <i/>
                <color theme="0"/>
              </font>
              <fill>
                <patternFill>
                  <bgColor rgb="FF00B050"/>
                </patternFill>
              </fill>
            </x14:dxf>
          </x14:cfRule>
          <xm:sqref>L604:L605</xm:sqref>
        </x14:conditionalFormatting>
        <x14:conditionalFormatting xmlns:xm="http://schemas.microsoft.com/office/excel/2006/main">
          <x14:cfRule type="containsText" priority="1424" operator="containsText" text="FAIL" id="{695CF554-BC55-40BD-8440-6AD395AAB68B}">
            <xm:f>NOT(ISERROR(SEARCH("FAIL",SUMMARY!L582)))</xm:f>
            <x14:dxf>
              <font>
                <b/>
                <i/>
                <color theme="0"/>
              </font>
              <fill>
                <patternFill>
                  <bgColor rgb="FFFF0000"/>
                </patternFill>
              </fill>
            </x14:dxf>
          </x14:cfRule>
          <xm:sqref>L606:L607</xm:sqref>
        </x14:conditionalFormatting>
        <x14:conditionalFormatting xmlns:xm="http://schemas.microsoft.com/office/excel/2006/main">
          <x14:cfRule type="containsText" priority="1425" operator="containsText" text="GOOD" id="{774568DB-E438-46E6-A73F-A617ABBC3557}">
            <xm:f>NOT(ISERROR(SEARCH("GOOD",SUMMARY!L582)))</xm:f>
            <x14:dxf>
              <font>
                <b/>
                <i/>
                <color theme="0"/>
              </font>
              <fill>
                <patternFill>
                  <bgColor rgb="FF00B050"/>
                </patternFill>
              </fill>
            </x14:dxf>
          </x14:cfRule>
          <xm:sqref>L606:L607</xm:sqref>
        </x14:conditionalFormatting>
        <x14:conditionalFormatting xmlns:xm="http://schemas.microsoft.com/office/excel/2006/main">
          <x14:cfRule type="containsText" priority="1426" operator="containsText" text="FAIL" id="{557C65D6-71D8-4C07-8A60-34D380FE01FD}">
            <xm:f>NOT(ISERROR(SEARCH("FAIL",SUMMARY!L615)))</xm:f>
            <x14:dxf>
              <font>
                <b/>
                <i/>
                <color theme="0"/>
              </font>
              <fill>
                <patternFill>
                  <bgColor rgb="FFFF0000"/>
                </patternFill>
              </fill>
            </x14:dxf>
          </x14:cfRule>
          <xm:sqref>L629</xm:sqref>
        </x14:conditionalFormatting>
        <x14:conditionalFormatting xmlns:xm="http://schemas.microsoft.com/office/excel/2006/main">
          <x14:cfRule type="containsText" priority="1427" operator="containsText" text="GOOD" id="{0DE64D46-D1E6-44E2-B2F4-B4048057E49D}">
            <xm:f>NOT(ISERROR(SEARCH("GOOD",SUMMARY!L615)))</xm:f>
            <x14:dxf>
              <font>
                <b/>
                <i/>
                <color theme="0"/>
              </font>
              <fill>
                <patternFill>
                  <bgColor rgb="FF00B050"/>
                </patternFill>
              </fill>
            </x14:dxf>
          </x14:cfRule>
          <xm:sqref>L629</xm:sqref>
        </x14:conditionalFormatting>
        <x14:conditionalFormatting xmlns:xm="http://schemas.microsoft.com/office/excel/2006/main">
          <x14:cfRule type="containsText" priority="1428" operator="containsText" text="FAIL" id="{EB4613DA-1E17-45A3-9D9A-A8071A12B2B8}">
            <xm:f>NOT(ISERROR(SEARCH("FAIL",SUMMARY!L618)))</xm:f>
            <x14:dxf>
              <font>
                <b/>
                <i/>
                <color theme="0"/>
              </font>
              <fill>
                <patternFill>
                  <bgColor rgb="FFFF0000"/>
                </patternFill>
              </fill>
            </x14:dxf>
          </x14:cfRule>
          <xm:sqref>L630</xm:sqref>
        </x14:conditionalFormatting>
        <x14:conditionalFormatting xmlns:xm="http://schemas.microsoft.com/office/excel/2006/main">
          <x14:cfRule type="containsText" priority="1429" operator="containsText" text="GOOD" id="{B7F3F118-F774-4A7C-A0D0-D714213D4FBD}">
            <xm:f>NOT(ISERROR(SEARCH("GOOD",SUMMARY!L618)))</xm:f>
            <x14:dxf>
              <font>
                <b/>
                <i/>
                <color theme="0"/>
              </font>
              <fill>
                <patternFill>
                  <bgColor rgb="FF00B050"/>
                </patternFill>
              </fill>
            </x14:dxf>
          </x14:cfRule>
          <xm:sqref>L630</xm:sqref>
        </x14:conditionalFormatting>
        <x14:conditionalFormatting xmlns:xm="http://schemas.microsoft.com/office/excel/2006/main">
          <x14:cfRule type="containsText" priority="1430" operator="containsText" text="FAIL" id="{7BA95054-9B7F-4A2C-97C2-7D4E6E818AAF}">
            <xm:f>NOT(ISERROR(SEARCH("FAIL",SUMMARY!L621)))</xm:f>
            <x14:dxf>
              <font>
                <b/>
                <i/>
                <color theme="0"/>
              </font>
              <fill>
                <patternFill>
                  <bgColor rgb="FFFF0000"/>
                </patternFill>
              </fill>
            </x14:dxf>
          </x14:cfRule>
          <xm:sqref>L631</xm:sqref>
        </x14:conditionalFormatting>
        <x14:conditionalFormatting xmlns:xm="http://schemas.microsoft.com/office/excel/2006/main">
          <x14:cfRule type="containsText" priority="1431" operator="containsText" text="GOOD" id="{E41566E9-39BA-44DD-8152-4252726D7E0B}">
            <xm:f>NOT(ISERROR(SEARCH("GOOD",SUMMARY!L621)))</xm:f>
            <x14:dxf>
              <font>
                <b/>
                <i/>
                <color theme="0"/>
              </font>
              <fill>
                <patternFill>
                  <bgColor rgb="FF00B050"/>
                </patternFill>
              </fill>
            </x14:dxf>
          </x14:cfRule>
          <xm:sqref>L631</xm:sqref>
        </x14:conditionalFormatting>
        <x14:conditionalFormatting xmlns:xm="http://schemas.microsoft.com/office/excel/2006/main">
          <x14:cfRule type="containsText" priority="1432" operator="containsText" text="FAIL" id="{E2FCE8CA-C3FE-4B07-9451-CC6C0A2C6A01}">
            <xm:f>NOT(ISERROR(SEARCH("FAIL",SUMMARY!L628)))</xm:f>
            <x14:dxf>
              <font>
                <b/>
                <i/>
                <color theme="0"/>
              </font>
              <fill>
                <patternFill>
                  <bgColor rgb="FFFF0000"/>
                </patternFill>
              </fill>
            </x14:dxf>
          </x14:cfRule>
          <xm:sqref>L632</xm:sqref>
        </x14:conditionalFormatting>
        <x14:conditionalFormatting xmlns:xm="http://schemas.microsoft.com/office/excel/2006/main">
          <x14:cfRule type="containsText" priority="1433" operator="containsText" text="GOOD" id="{8D281A3B-DAD6-40D9-AD7B-A4718411E6A1}">
            <xm:f>NOT(ISERROR(SEARCH("GOOD",SUMMARY!L628)))</xm:f>
            <x14:dxf>
              <font>
                <b/>
                <i/>
                <color theme="0"/>
              </font>
              <fill>
                <patternFill>
                  <bgColor rgb="FF00B050"/>
                </patternFill>
              </fill>
            </x14:dxf>
          </x14:cfRule>
          <xm:sqref>L632</xm:sqref>
        </x14:conditionalFormatting>
        <x14:conditionalFormatting xmlns:xm="http://schemas.microsoft.com/office/excel/2006/main">
          <x14:cfRule type="containsText" priority="1434" operator="containsText" text="FAIL" id="{ABDBFA96-4EF1-49DD-844A-5EC63D2715D7}">
            <xm:f>NOT(ISERROR(SEARCH("FAIL",SUMMARY!L630)))</xm:f>
            <x14:dxf>
              <font>
                <b/>
                <i/>
                <color theme="0"/>
              </font>
              <fill>
                <patternFill>
                  <bgColor rgb="FFFF0000"/>
                </patternFill>
              </fill>
            </x14:dxf>
          </x14:cfRule>
          <xm:sqref>L633</xm:sqref>
        </x14:conditionalFormatting>
        <x14:conditionalFormatting xmlns:xm="http://schemas.microsoft.com/office/excel/2006/main">
          <x14:cfRule type="containsText" priority="1435" operator="containsText" text="GOOD" id="{99CE9B3C-3565-4604-8563-D5820C0966B3}">
            <xm:f>NOT(ISERROR(SEARCH("GOOD",SUMMARY!L630)))</xm:f>
            <x14:dxf>
              <font>
                <b/>
                <i/>
                <color theme="0"/>
              </font>
              <fill>
                <patternFill>
                  <bgColor rgb="FF00B050"/>
                </patternFill>
              </fill>
            </x14:dxf>
          </x14:cfRule>
          <xm:sqref>L633</xm:sqref>
        </x14:conditionalFormatting>
        <x14:conditionalFormatting xmlns:xm="http://schemas.microsoft.com/office/excel/2006/main">
          <x14:cfRule type="containsText" priority="1436" operator="containsText" text="FAIL" id="{2A626DF0-FE79-4147-8296-DA0AD5C8BBC2}">
            <xm:f>NOT(ISERROR(SEARCH("FAIL",SUMMARY!L635)))</xm:f>
            <x14:dxf>
              <font>
                <b/>
                <i/>
                <color theme="0"/>
              </font>
              <fill>
                <patternFill>
                  <bgColor rgb="FFFF0000"/>
                </patternFill>
              </fill>
            </x14:dxf>
          </x14:cfRule>
          <xm:sqref>L634</xm:sqref>
        </x14:conditionalFormatting>
        <x14:conditionalFormatting xmlns:xm="http://schemas.microsoft.com/office/excel/2006/main">
          <x14:cfRule type="containsText" priority="1437" operator="containsText" text="GOOD" id="{88CCADC5-AC89-4E9E-80A8-12124EC21C7C}">
            <xm:f>NOT(ISERROR(SEARCH("GOOD",SUMMARY!L635)))</xm:f>
            <x14:dxf>
              <font>
                <b/>
                <i/>
                <color theme="0"/>
              </font>
              <fill>
                <patternFill>
                  <bgColor rgb="FF00B050"/>
                </patternFill>
              </fill>
            </x14:dxf>
          </x14:cfRule>
          <xm:sqref>L634</xm:sqref>
        </x14:conditionalFormatting>
        <x14:conditionalFormatting xmlns:xm="http://schemas.microsoft.com/office/excel/2006/main">
          <x14:cfRule type="containsText" priority="1438" operator="containsText" text="FAIL" id="{4B514CEB-6E57-4F53-8F42-EEC6D1539B35}">
            <xm:f>NOT(ISERROR(SEARCH("FAIL",SUMMARY!L681)))</xm:f>
            <x14:dxf>
              <font>
                <b/>
                <i/>
                <color theme="0"/>
              </font>
              <fill>
                <patternFill>
                  <bgColor rgb="FFFF0000"/>
                </patternFill>
              </fill>
            </x14:dxf>
          </x14:cfRule>
          <xm:sqref>L656</xm:sqref>
        </x14:conditionalFormatting>
        <x14:conditionalFormatting xmlns:xm="http://schemas.microsoft.com/office/excel/2006/main">
          <x14:cfRule type="containsText" priority="1439" operator="containsText" text="GOOD" id="{F75A5E02-839B-49B2-B605-3B5F2E603F21}">
            <xm:f>NOT(ISERROR(SEARCH("GOOD",SUMMARY!L681)))</xm:f>
            <x14:dxf>
              <font>
                <b/>
                <i/>
                <color theme="0"/>
              </font>
              <fill>
                <patternFill>
                  <bgColor rgb="FF00B050"/>
                </patternFill>
              </fill>
            </x14:dxf>
          </x14:cfRule>
          <xm:sqref>L656</xm:sqref>
        </x14:conditionalFormatting>
        <x14:conditionalFormatting xmlns:xm="http://schemas.microsoft.com/office/excel/2006/main">
          <x14:cfRule type="containsText" priority="1440" operator="containsText" text="FAIL" id="{66F80C31-3E81-40EE-8D58-90DB0709D758}">
            <xm:f>NOT(ISERROR(SEARCH("FAIL",SUMMARY!L686)))</xm:f>
            <x14:dxf>
              <font>
                <b/>
                <i/>
                <color theme="0"/>
              </font>
              <fill>
                <patternFill>
                  <bgColor rgb="FFFF0000"/>
                </patternFill>
              </fill>
            </x14:dxf>
          </x14:cfRule>
          <xm:sqref>L657</xm:sqref>
        </x14:conditionalFormatting>
        <x14:conditionalFormatting xmlns:xm="http://schemas.microsoft.com/office/excel/2006/main">
          <x14:cfRule type="containsText" priority="1441" operator="containsText" text="GOOD" id="{BBDF3771-6A74-45DA-80D9-1BE304EB567C}">
            <xm:f>NOT(ISERROR(SEARCH("GOOD",SUMMARY!L686)))</xm:f>
            <x14:dxf>
              <font>
                <b/>
                <i/>
                <color theme="0"/>
              </font>
              <fill>
                <patternFill>
                  <bgColor rgb="FF00B050"/>
                </patternFill>
              </fill>
            </x14:dxf>
          </x14:cfRule>
          <xm:sqref>L657</xm:sqref>
        </x14:conditionalFormatting>
        <x14:conditionalFormatting xmlns:xm="http://schemas.microsoft.com/office/excel/2006/main">
          <x14:cfRule type="containsText" priority="1665" operator="containsText" text="FAIL" id="{66F80C31-3E81-40EE-8D58-90DB0709D758}">
            <xm:f>NOT(ISERROR(SEARCH("FAIL",SUMMARY!L482)))</xm:f>
            <x14:dxf>
              <font>
                <b/>
                <i/>
                <color theme="0"/>
              </font>
              <fill>
                <patternFill>
                  <bgColor rgb="FFFF0000"/>
                </patternFill>
              </fill>
            </x14:dxf>
          </x14:cfRule>
          <xm:sqref>L458</xm:sqref>
        </x14:conditionalFormatting>
        <x14:conditionalFormatting xmlns:xm="http://schemas.microsoft.com/office/excel/2006/main">
          <x14:cfRule type="containsText" priority="1666" operator="containsText" text="GOOD" id="{BBDF3771-6A74-45DA-80D9-1BE304EB567C}">
            <xm:f>NOT(ISERROR(SEARCH("GOOD",SUMMARY!L482)))</xm:f>
            <x14:dxf>
              <font>
                <b/>
                <i/>
                <color theme="0"/>
              </font>
              <fill>
                <patternFill>
                  <bgColor rgb="FF00B050"/>
                </patternFill>
              </fill>
            </x14:dxf>
          </x14:cfRule>
          <xm:sqref>L458</xm:sqref>
        </x14:conditionalFormatting>
      </x14:conditionalFormattings>
    </ext>
  </extLst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D00-000000000000}">
  <sheetPr codeName="Sheet111">
    <tabColor rgb="FFFF0000"/>
  </sheetPr>
  <dimension ref="A2:O47"/>
  <sheetViews>
    <sheetView zoomScaleNormal="100" workbookViewId="0">
      <selection activeCell="I39" sqref="I39"/>
    </sheetView>
  </sheetViews>
  <sheetFormatPr defaultRowHeight="15" x14ac:dyDescent="0.25"/>
  <cols>
    <col min="1" max="2" width="4.42578125" customWidth="1"/>
    <col min="3" max="3" width="3" customWidth="1"/>
    <col min="4" max="4" width="24.85546875" customWidth="1"/>
    <col min="5" max="5" width="3" customWidth="1"/>
    <col min="6" max="6" width="15.7109375" customWidth="1"/>
    <col min="7" max="7" width="8.5703125" customWidth="1"/>
    <col min="8" max="8" width="5.85546875" customWidth="1"/>
    <col min="9" max="15" width="15.7109375" customWidth="1"/>
  </cols>
  <sheetData>
    <row r="2" spans="1:11" x14ac:dyDescent="0.25">
      <c r="C2" s="15" t="s">
        <v>32</v>
      </c>
      <c r="E2" s="15"/>
      <c r="F2" s="15"/>
      <c r="G2" s="15" t="s">
        <v>33</v>
      </c>
      <c r="H2" s="15"/>
      <c r="I2" s="15"/>
      <c r="J2" s="15"/>
      <c r="K2" s="15"/>
    </row>
    <row r="3" spans="1:11" ht="18.75" x14ac:dyDescent="0.3">
      <c r="C3" s="3" t="s">
        <v>26</v>
      </c>
      <c r="J3" s="8" t="s">
        <v>17</v>
      </c>
    </row>
    <row r="4" spans="1:11" x14ac:dyDescent="0.25">
      <c r="D4" s="2" t="s">
        <v>0</v>
      </c>
      <c r="E4" s="1"/>
      <c r="F4" t="s">
        <v>638</v>
      </c>
      <c r="I4" s="2" t="s">
        <v>4</v>
      </c>
      <c r="J4" t="s">
        <v>630</v>
      </c>
    </row>
    <row r="5" spans="1:11" x14ac:dyDescent="0.25">
      <c r="D5" s="2" t="s">
        <v>1</v>
      </c>
      <c r="F5" t="s">
        <v>639</v>
      </c>
    </row>
    <row r="6" spans="1:11" x14ac:dyDescent="0.25">
      <c r="D6" s="2" t="s">
        <v>2</v>
      </c>
      <c r="F6" s="6">
        <v>42496</v>
      </c>
      <c r="H6" s="11"/>
    </row>
    <row r="7" spans="1:11" x14ac:dyDescent="0.25">
      <c r="D7" s="2" t="s">
        <v>3</v>
      </c>
      <c r="F7" s="5">
        <v>828000</v>
      </c>
      <c r="G7" s="2" t="s">
        <v>34</v>
      </c>
      <c r="H7" s="11"/>
    </row>
    <row r="8" spans="1:11" x14ac:dyDescent="0.25">
      <c r="D8" s="2" t="s">
        <v>18</v>
      </c>
      <c r="F8" s="5">
        <f>MIN(I23:I43)</f>
        <v>453500</v>
      </c>
      <c r="H8" s="11"/>
    </row>
    <row r="9" spans="1:11" x14ac:dyDescent="0.25">
      <c r="D9" s="2" t="s">
        <v>67</v>
      </c>
      <c r="F9" s="4">
        <f>+F8-F7</f>
        <v>-374500</v>
      </c>
      <c r="G9" s="16">
        <f>+F9/F7</f>
        <v>-0.45229468599033817</v>
      </c>
      <c r="H9" s="12" t="s">
        <v>20</v>
      </c>
      <c r="I9" s="11" t="str">
        <f>(IF(G9&lt;-0.1,"FAIL",IF(G9&gt;0.05,"FAIL","GOOD")))</f>
        <v>FAIL</v>
      </c>
      <c r="J9" s="14" t="s">
        <v>72</v>
      </c>
    </row>
    <row r="10" spans="1:11" x14ac:dyDescent="0.25">
      <c r="D10" s="2" t="s">
        <v>68</v>
      </c>
      <c r="F10" s="4">
        <f>+F7-F12</f>
        <v>163873.88888888888</v>
      </c>
      <c r="H10" s="11"/>
    </row>
    <row r="11" spans="1:11" x14ac:dyDescent="0.25">
      <c r="A11" s="52"/>
      <c r="D11" s="2" t="s">
        <v>71</v>
      </c>
      <c r="F11" s="11" t="str">
        <f>(IF(F7&lt;J12,"FAIL",IF(F7&gt;J13,"FAIL","GOOD")))</f>
        <v>FAIL</v>
      </c>
      <c r="H11" s="11"/>
    </row>
    <row r="12" spans="1:11" x14ac:dyDescent="0.25">
      <c r="D12" s="2" t="s">
        <v>28</v>
      </c>
      <c r="F12" s="4">
        <f>SUM(I23:I43)/H12</f>
        <v>664126.11111111112</v>
      </c>
      <c r="G12" s="14"/>
      <c r="H12" s="11">
        <f>COUNT(I23:I43)</f>
        <v>9</v>
      </c>
      <c r="I12" s="1" t="s">
        <v>31</v>
      </c>
      <c r="J12" s="4">
        <f>+F8*0.9</f>
        <v>408150</v>
      </c>
      <c r="K12" s="1" t="s">
        <v>69</v>
      </c>
    </row>
    <row r="13" spans="1:11" x14ac:dyDescent="0.25">
      <c r="D13" s="2" t="s">
        <v>29</v>
      </c>
      <c r="F13" s="4">
        <f>MAX(I23:I43)-MIN(I23:I43)</f>
        <v>458178</v>
      </c>
      <c r="G13" s="399">
        <f>MEDIAN(I23:I43)</f>
        <v>628000</v>
      </c>
      <c r="H13" s="400"/>
      <c r="I13" s="1" t="s">
        <v>30</v>
      </c>
      <c r="J13" s="4">
        <f>+F12*1.1</f>
        <v>730538.72222222225</v>
      </c>
      <c r="K13" s="1" t="s">
        <v>70</v>
      </c>
    </row>
    <row r="14" spans="1:11" x14ac:dyDescent="0.25">
      <c r="H14" s="11"/>
    </row>
    <row r="15" spans="1:11" x14ac:dyDescent="0.25">
      <c r="D15" s="2" t="s">
        <v>8</v>
      </c>
      <c r="F15" s="4"/>
      <c r="G15" s="1" t="s">
        <v>9</v>
      </c>
      <c r="H15" s="11"/>
      <c r="I15" t="s">
        <v>15</v>
      </c>
      <c r="J15" s="7" t="e">
        <f>+F16/F15</f>
        <v>#DIV/0!</v>
      </c>
    </row>
    <row r="16" spans="1:11" x14ac:dyDescent="0.25">
      <c r="F16" s="4"/>
      <c r="G16" s="1" t="s">
        <v>10</v>
      </c>
      <c r="H16" s="11"/>
      <c r="I16" t="s">
        <v>14</v>
      </c>
      <c r="J16" s="7" t="e">
        <f>+F17/F16</f>
        <v>#DIV/0!</v>
      </c>
    </row>
    <row r="17" spans="3:15" x14ac:dyDescent="0.25">
      <c r="F17" s="4"/>
      <c r="G17" s="1" t="s">
        <v>11</v>
      </c>
      <c r="H17" s="11"/>
      <c r="I17" t="s">
        <v>13</v>
      </c>
      <c r="J17" s="7" t="e">
        <f>+F18/F17</f>
        <v>#DIV/0!</v>
      </c>
      <c r="M17" s="21"/>
      <c r="N17" s="21"/>
      <c r="O17" s="21"/>
    </row>
    <row r="18" spans="3:15" x14ac:dyDescent="0.25">
      <c r="F18" s="4"/>
      <c r="G18" s="1" t="s">
        <v>12</v>
      </c>
      <c r="H18" s="11"/>
      <c r="I18" t="s">
        <v>16</v>
      </c>
      <c r="J18" s="7" t="e">
        <f>+F8/F18</f>
        <v>#DIV/0!</v>
      </c>
      <c r="M18" s="21"/>
      <c r="N18" s="21"/>
      <c r="O18" s="21"/>
    </row>
    <row r="19" spans="3:15" x14ac:dyDescent="0.25">
      <c r="F19" s="2" t="s">
        <v>51</v>
      </c>
      <c r="G19">
        <v>0</v>
      </c>
      <c r="H19" s="11" t="s">
        <v>52</v>
      </c>
      <c r="I19" t="s">
        <v>41</v>
      </c>
      <c r="J19" s="7" t="e">
        <f>+F8/F15</f>
        <v>#DIV/0!</v>
      </c>
      <c r="M19" s="21"/>
      <c r="N19" s="21"/>
      <c r="O19" s="21"/>
    </row>
    <row r="20" spans="3:15" x14ac:dyDescent="0.25">
      <c r="H20" s="11"/>
      <c r="M20" s="21"/>
      <c r="N20" s="21"/>
      <c r="O20" s="21"/>
    </row>
    <row r="21" spans="3:15" x14ac:dyDescent="0.25">
      <c r="C21" s="9"/>
      <c r="D21" s="13" t="s">
        <v>21</v>
      </c>
      <c r="E21" s="9"/>
      <c r="F21" s="9" t="s">
        <v>22</v>
      </c>
      <c r="G21" s="9" t="s">
        <v>23</v>
      </c>
      <c r="H21" s="13" t="s">
        <v>27</v>
      </c>
      <c r="I21" s="10" t="s">
        <v>24</v>
      </c>
      <c r="J21" s="9"/>
      <c r="K21" s="9"/>
      <c r="L21" s="9"/>
      <c r="M21" s="21"/>
      <c r="N21" s="21"/>
      <c r="O21" s="21"/>
    </row>
    <row r="22" spans="3:15" ht="6" customHeight="1" x14ac:dyDescent="0.25">
      <c r="M22" s="21"/>
      <c r="N22" s="21"/>
      <c r="O22" s="21"/>
    </row>
    <row r="23" spans="3:15" x14ac:dyDescent="0.25">
      <c r="C23" s="33" t="str">
        <f>IF(H23=1,"u","")</f>
        <v/>
      </c>
      <c r="D23" s="11" t="s">
        <v>640</v>
      </c>
      <c r="E23" s="33"/>
      <c r="F23" t="s">
        <v>170</v>
      </c>
      <c r="G23" t="s">
        <v>93</v>
      </c>
      <c r="H23">
        <f>RANK(I23,I$23:I$43,1)</f>
        <v>9</v>
      </c>
      <c r="I23" s="4">
        <v>911678</v>
      </c>
      <c r="J23" s="4"/>
      <c r="K23" s="4"/>
      <c r="L23" s="4"/>
      <c r="M23" s="22"/>
      <c r="N23" s="22"/>
      <c r="O23" s="22"/>
    </row>
    <row r="24" spans="3:15" x14ac:dyDescent="0.25">
      <c r="C24" s="33" t="str">
        <f>IF(H24=1,"u","")</f>
        <v/>
      </c>
      <c r="D24" s="11" t="s">
        <v>641</v>
      </c>
      <c r="E24" s="33"/>
      <c r="F24" t="s">
        <v>147</v>
      </c>
      <c r="G24" t="s">
        <v>93</v>
      </c>
      <c r="H24">
        <f t="shared" ref="H24:H31" si="0">RANK(I24,I$23:I$43,1)</f>
        <v>2</v>
      </c>
      <c r="I24" s="4">
        <v>491400</v>
      </c>
      <c r="J24" s="4"/>
      <c r="K24" s="4"/>
      <c r="L24" s="4"/>
      <c r="M24" s="22"/>
      <c r="N24" s="22"/>
      <c r="O24" s="22"/>
    </row>
    <row r="25" spans="3:15" x14ac:dyDescent="0.25">
      <c r="C25" s="33" t="str">
        <f>IF(H25=1,"u","")</f>
        <v/>
      </c>
      <c r="D25" s="11" t="s">
        <v>487</v>
      </c>
      <c r="E25" s="33"/>
      <c r="F25" t="s">
        <v>113</v>
      </c>
      <c r="G25" t="s">
        <v>25</v>
      </c>
      <c r="H25">
        <f t="shared" si="0"/>
        <v>5</v>
      </c>
      <c r="I25" s="4">
        <v>628000</v>
      </c>
      <c r="J25" s="4"/>
      <c r="K25" s="4"/>
      <c r="L25" s="4"/>
      <c r="M25" s="22"/>
      <c r="N25" s="22"/>
      <c r="O25" s="22"/>
    </row>
    <row r="26" spans="3:15" x14ac:dyDescent="0.25">
      <c r="C26" s="33" t="str">
        <f t="shared" ref="C26:C43" si="1">IF(H26=1,"u","")</f>
        <v/>
      </c>
      <c r="D26" s="11" t="s">
        <v>642</v>
      </c>
      <c r="E26" s="33"/>
      <c r="F26" t="s">
        <v>643</v>
      </c>
      <c r="G26" t="s">
        <v>25</v>
      </c>
      <c r="H26">
        <f t="shared" si="0"/>
        <v>8</v>
      </c>
      <c r="I26" s="4">
        <v>790270</v>
      </c>
      <c r="J26" s="4"/>
      <c r="K26" s="4"/>
      <c r="L26" s="4"/>
      <c r="M26" s="22"/>
      <c r="N26" s="22"/>
      <c r="O26" s="22"/>
    </row>
    <row r="27" spans="3:15" x14ac:dyDescent="0.25">
      <c r="C27" s="33" t="str">
        <f t="shared" si="1"/>
        <v>u</v>
      </c>
      <c r="D27" s="11" t="s">
        <v>644</v>
      </c>
      <c r="E27" s="33"/>
      <c r="F27" t="s">
        <v>645</v>
      </c>
      <c r="G27" t="s">
        <v>25</v>
      </c>
      <c r="H27">
        <f t="shared" si="0"/>
        <v>1</v>
      </c>
      <c r="I27" s="4">
        <v>453500</v>
      </c>
      <c r="J27" s="4"/>
      <c r="K27" s="4"/>
      <c r="L27" s="4"/>
      <c r="M27" s="22"/>
      <c r="N27" s="22"/>
      <c r="O27" s="22"/>
    </row>
    <row r="28" spans="3:15" x14ac:dyDescent="0.25">
      <c r="C28" s="33" t="str">
        <f t="shared" si="1"/>
        <v/>
      </c>
      <c r="D28" s="11" t="s">
        <v>646</v>
      </c>
      <c r="E28" s="33"/>
      <c r="F28" t="s">
        <v>501</v>
      </c>
      <c r="G28" t="s">
        <v>93</v>
      </c>
      <c r="H28">
        <f t="shared" si="0"/>
        <v>3</v>
      </c>
      <c r="I28" s="4">
        <v>594450</v>
      </c>
      <c r="J28" s="4"/>
      <c r="K28" s="4"/>
      <c r="L28" s="4"/>
      <c r="M28" s="22"/>
      <c r="N28" s="22"/>
      <c r="O28" s="22"/>
    </row>
    <row r="29" spans="3:15" x14ac:dyDescent="0.25">
      <c r="C29" s="33" t="str">
        <f t="shared" si="1"/>
        <v/>
      </c>
      <c r="D29" s="11" t="s">
        <v>647</v>
      </c>
      <c r="E29" s="33"/>
      <c r="F29" t="s">
        <v>181</v>
      </c>
      <c r="G29" t="s">
        <v>93</v>
      </c>
      <c r="H29">
        <f t="shared" si="0"/>
        <v>7</v>
      </c>
      <c r="I29" s="4">
        <v>748000</v>
      </c>
      <c r="J29" s="4"/>
      <c r="K29" s="4"/>
      <c r="L29" s="4"/>
      <c r="M29" s="22"/>
      <c r="N29" s="22"/>
      <c r="O29" s="22"/>
    </row>
    <row r="30" spans="3:15" x14ac:dyDescent="0.25">
      <c r="C30" s="33" t="str">
        <f t="shared" si="1"/>
        <v/>
      </c>
      <c r="D30" s="11" t="s">
        <v>606</v>
      </c>
      <c r="E30" s="33"/>
      <c r="F30" t="s">
        <v>100</v>
      </c>
      <c r="G30" t="s">
        <v>93</v>
      </c>
      <c r="H30">
        <f t="shared" si="0"/>
        <v>6</v>
      </c>
      <c r="I30" s="4">
        <v>747100</v>
      </c>
      <c r="J30" s="4"/>
      <c r="K30" s="4"/>
      <c r="L30" s="4"/>
      <c r="M30" s="22"/>
      <c r="N30" s="22"/>
      <c r="O30" s="22"/>
    </row>
    <row r="31" spans="3:15" x14ac:dyDescent="0.25">
      <c r="C31" s="33" t="str">
        <f t="shared" si="1"/>
        <v/>
      </c>
      <c r="D31" s="11" t="s">
        <v>601</v>
      </c>
      <c r="E31" s="33"/>
      <c r="F31" t="s">
        <v>201</v>
      </c>
      <c r="G31" t="s">
        <v>25</v>
      </c>
      <c r="H31">
        <f t="shared" si="0"/>
        <v>4</v>
      </c>
      <c r="I31" s="4">
        <v>612737</v>
      </c>
      <c r="J31" s="4"/>
      <c r="K31" s="4"/>
      <c r="L31" s="4"/>
      <c r="M31" s="22"/>
      <c r="N31" s="22"/>
      <c r="O31" s="22"/>
    </row>
    <row r="32" spans="3:15" x14ac:dyDescent="0.25">
      <c r="C32" s="33" t="str">
        <f t="shared" si="1"/>
        <v/>
      </c>
      <c r="D32" s="11"/>
      <c r="E32" s="33"/>
      <c r="I32" s="4"/>
      <c r="J32" s="4"/>
      <c r="K32" s="4"/>
      <c r="L32" s="4"/>
      <c r="M32" s="22"/>
      <c r="N32" s="22"/>
      <c r="O32" s="22"/>
    </row>
    <row r="33" spans="3:15" x14ac:dyDescent="0.25">
      <c r="C33" s="33" t="str">
        <f t="shared" si="1"/>
        <v/>
      </c>
      <c r="D33" s="11"/>
      <c r="E33" s="33"/>
      <c r="I33" s="4"/>
      <c r="M33" s="21"/>
      <c r="N33" s="21"/>
      <c r="O33" s="21"/>
    </row>
    <row r="34" spans="3:15" x14ac:dyDescent="0.25">
      <c r="C34" s="33" t="str">
        <f t="shared" si="1"/>
        <v/>
      </c>
      <c r="D34" s="11"/>
      <c r="E34" s="33" t="str">
        <f t="shared" ref="E34:E43" si="2">IF(H34=1,"t","")</f>
        <v/>
      </c>
      <c r="M34" s="21"/>
      <c r="N34" s="21"/>
      <c r="O34" s="21"/>
    </row>
    <row r="35" spans="3:15" x14ac:dyDescent="0.25">
      <c r="C35" s="33" t="str">
        <f t="shared" si="1"/>
        <v/>
      </c>
      <c r="D35" s="11"/>
      <c r="E35" s="33" t="str">
        <f t="shared" si="2"/>
        <v/>
      </c>
      <c r="M35" s="21"/>
      <c r="N35" s="21"/>
      <c r="O35" s="21"/>
    </row>
    <row r="36" spans="3:15" x14ac:dyDescent="0.25">
      <c r="C36" s="33" t="str">
        <f t="shared" si="1"/>
        <v/>
      </c>
      <c r="D36" s="11"/>
      <c r="E36" s="33" t="str">
        <f t="shared" si="2"/>
        <v/>
      </c>
      <c r="M36" s="21"/>
      <c r="N36" s="21"/>
      <c r="O36" s="21"/>
    </row>
    <row r="37" spans="3:15" x14ac:dyDescent="0.25">
      <c r="C37" s="33" t="str">
        <f t="shared" si="1"/>
        <v/>
      </c>
      <c r="D37" s="11"/>
      <c r="E37" s="33" t="str">
        <f t="shared" si="2"/>
        <v/>
      </c>
      <c r="M37" s="21"/>
      <c r="N37" s="21"/>
      <c r="O37" s="21"/>
    </row>
    <row r="38" spans="3:15" x14ac:dyDescent="0.25">
      <c r="C38" s="33" t="str">
        <f t="shared" si="1"/>
        <v/>
      </c>
      <c r="D38" s="11"/>
      <c r="E38" s="33" t="str">
        <f t="shared" si="2"/>
        <v/>
      </c>
      <c r="M38" s="21"/>
      <c r="N38" s="21"/>
      <c r="O38" s="21"/>
    </row>
    <row r="39" spans="3:15" x14ac:dyDescent="0.25">
      <c r="C39" s="33" t="str">
        <f t="shared" si="1"/>
        <v/>
      </c>
      <c r="D39" s="11"/>
      <c r="E39" s="33" t="str">
        <f t="shared" si="2"/>
        <v/>
      </c>
      <c r="M39" s="21"/>
      <c r="N39" s="21"/>
      <c r="O39" s="21"/>
    </row>
    <row r="40" spans="3:15" x14ac:dyDescent="0.25">
      <c r="C40" s="33" t="str">
        <f t="shared" si="1"/>
        <v/>
      </c>
      <c r="D40" s="11"/>
      <c r="E40" s="33" t="str">
        <f t="shared" si="2"/>
        <v/>
      </c>
      <c r="M40" s="21"/>
      <c r="N40" s="21"/>
      <c r="O40" s="21"/>
    </row>
    <row r="41" spans="3:15" x14ac:dyDescent="0.25">
      <c r="C41" s="33" t="str">
        <f t="shared" si="1"/>
        <v/>
      </c>
      <c r="D41" s="11"/>
      <c r="E41" s="33" t="str">
        <f t="shared" si="2"/>
        <v/>
      </c>
      <c r="M41" s="21"/>
      <c r="N41" s="21"/>
      <c r="O41" s="21"/>
    </row>
    <row r="42" spans="3:15" x14ac:dyDescent="0.25">
      <c r="C42" s="33" t="str">
        <f t="shared" si="1"/>
        <v/>
      </c>
      <c r="D42" s="11"/>
      <c r="E42" s="33" t="str">
        <f t="shared" si="2"/>
        <v/>
      </c>
      <c r="M42" s="21"/>
      <c r="N42" s="21"/>
      <c r="O42" s="21"/>
    </row>
    <row r="43" spans="3:15" x14ac:dyDescent="0.25">
      <c r="C43" s="33" t="str">
        <f t="shared" si="1"/>
        <v/>
      </c>
      <c r="D43" s="11"/>
      <c r="E43" s="33" t="str">
        <f t="shared" si="2"/>
        <v/>
      </c>
      <c r="M43" s="21"/>
      <c r="N43" s="21"/>
      <c r="O43" s="21"/>
    </row>
    <row r="44" spans="3:15" ht="6" customHeight="1" x14ac:dyDescent="0.25">
      <c r="C44" s="9"/>
      <c r="D44" s="9"/>
      <c r="E44" s="9"/>
      <c r="F44" s="9"/>
      <c r="G44" s="9"/>
      <c r="H44" s="9"/>
      <c r="I44" s="9"/>
      <c r="J44" s="9"/>
      <c r="K44" s="9"/>
      <c r="L44" s="9"/>
      <c r="M44" s="21"/>
      <c r="N44" s="21"/>
      <c r="O44" s="21"/>
    </row>
    <row r="45" spans="3:15" ht="6" customHeight="1" x14ac:dyDescent="0.25">
      <c r="M45" s="21"/>
      <c r="N45" s="21"/>
      <c r="O45" s="21"/>
    </row>
    <row r="46" spans="3:15" x14ac:dyDescent="0.25">
      <c r="C46" s="15" t="s">
        <v>79</v>
      </c>
      <c r="M46" s="21"/>
      <c r="N46" s="21"/>
      <c r="O46" s="21"/>
    </row>
    <row r="47" spans="3:15" x14ac:dyDescent="0.25">
      <c r="C47" s="15" t="s">
        <v>78</v>
      </c>
    </row>
  </sheetData>
  <mergeCells count="1">
    <mergeCell ref="G13:H13"/>
  </mergeCells>
  <conditionalFormatting sqref="I9">
    <cfRule type="containsText" dxfId="769" priority="10" operator="containsText" text="FAIL">
      <formula>NOT(ISERROR(SEARCH("FAIL",I9)))</formula>
    </cfRule>
  </conditionalFormatting>
  <conditionalFormatting sqref="I9">
    <cfRule type="containsText" dxfId="768" priority="9" operator="containsText" text="GOOD">
      <formula>NOT(ISERROR(SEARCH("GOOD",I9)))</formula>
    </cfRule>
  </conditionalFormatting>
  <conditionalFormatting sqref="F11">
    <cfRule type="containsText" dxfId="767" priority="8" operator="containsText" text="FAIL">
      <formula>NOT(ISERROR(SEARCH("FAIL",F11)))</formula>
    </cfRule>
  </conditionalFormatting>
  <conditionalFormatting sqref="F11">
    <cfRule type="containsText" dxfId="766" priority="7" operator="containsText" text="GOOD">
      <formula>NOT(ISERROR(SEARCH("GOOD",F11)))</formula>
    </cfRule>
  </conditionalFormatting>
  <conditionalFormatting sqref="D25">
    <cfRule type="expression" dxfId="765" priority="6" stopIfTrue="1">
      <formula>IF($H$25=1,0)</formula>
    </cfRule>
  </conditionalFormatting>
  <conditionalFormatting sqref="D23:D43">
    <cfRule type="expression" dxfId="764" priority="5">
      <formula>H23=1</formula>
    </cfRule>
  </conditionalFormatting>
  <conditionalFormatting sqref="C23:C43">
    <cfRule type="expression" dxfId="763" priority="4">
      <formula>H23=1</formula>
    </cfRule>
  </conditionalFormatting>
  <conditionalFormatting sqref="E23:E43">
    <cfRule type="expression" dxfId="762" priority="3">
      <formula>H23=1</formula>
    </cfRule>
  </conditionalFormatting>
  <conditionalFormatting sqref="F11">
    <cfRule type="containsText" dxfId="761" priority="2" operator="containsText" text="FAIL">
      <formula>NOT(ISERROR(SEARCH("FAIL",F11)))</formula>
    </cfRule>
  </conditionalFormatting>
  <conditionalFormatting sqref="F11">
    <cfRule type="containsText" dxfId="760" priority="1" operator="containsText" text="GOOD">
      <formula>NOT(ISERROR(SEARCH("GOOD",F11)))</formula>
    </cfRule>
  </conditionalFormatting>
  <pageMargins left="0.7" right="0.7" top="0.75" bottom="0.75" header="0.3" footer="0.3"/>
  <pageSetup scale="68"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sheetPr codeName="Sheet78"/>
  <dimension ref="A2:O47"/>
  <sheetViews>
    <sheetView zoomScaleNormal="100" workbookViewId="0">
      <selection activeCell="J7" sqref="J7"/>
    </sheetView>
  </sheetViews>
  <sheetFormatPr defaultRowHeight="15" x14ac:dyDescent="0.25"/>
  <cols>
    <col min="1" max="2" width="4.42578125" customWidth="1"/>
    <col min="3" max="3" width="3" customWidth="1"/>
    <col min="4" max="4" width="24.85546875" customWidth="1"/>
    <col min="5" max="5" width="3" customWidth="1"/>
    <col min="6" max="6" width="15.7109375" customWidth="1"/>
    <col min="7" max="7" width="8.5703125" customWidth="1"/>
    <col min="8" max="8" width="5.85546875" customWidth="1"/>
    <col min="9" max="15" width="15.7109375" customWidth="1"/>
  </cols>
  <sheetData>
    <row r="2" spans="1:11" x14ac:dyDescent="0.25">
      <c r="C2" s="15" t="s">
        <v>32</v>
      </c>
      <c r="E2" s="15"/>
      <c r="F2" s="15"/>
      <c r="G2" s="15" t="s">
        <v>33</v>
      </c>
      <c r="H2" s="15"/>
      <c r="I2" s="15"/>
      <c r="J2" s="15"/>
      <c r="K2" s="15"/>
    </row>
    <row r="3" spans="1:11" ht="18.75" x14ac:dyDescent="0.3">
      <c r="C3" s="3" t="s">
        <v>26</v>
      </c>
      <c r="J3" s="8" t="s">
        <v>17</v>
      </c>
    </row>
    <row r="4" spans="1:11" x14ac:dyDescent="0.25">
      <c r="D4" s="2" t="s">
        <v>0</v>
      </c>
      <c r="E4" s="1"/>
      <c r="F4" t="s">
        <v>857</v>
      </c>
      <c r="I4" s="2" t="s">
        <v>4</v>
      </c>
      <c r="J4" t="s">
        <v>630</v>
      </c>
    </row>
    <row r="5" spans="1:11" x14ac:dyDescent="0.25">
      <c r="D5" s="2" t="s">
        <v>1</v>
      </c>
      <c r="F5" t="s">
        <v>858</v>
      </c>
    </row>
    <row r="6" spans="1:11" x14ac:dyDescent="0.25">
      <c r="D6" s="2" t="s">
        <v>2</v>
      </c>
      <c r="F6" s="6">
        <v>42753</v>
      </c>
      <c r="H6" s="11"/>
    </row>
    <row r="7" spans="1:11" x14ac:dyDescent="0.25">
      <c r="D7" s="2" t="s">
        <v>3</v>
      </c>
      <c r="F7" s="5">
        <v>1410000</v>
      </c>
      <c r="G7" s="2" t="s">
        <v>693</v>
      </c>
      <c r="H7" s="11"/>
    </row>
    <row r="8" spans="1:11" x14ac:dyDescent="0.25">
      <c r="D8" s="2" t="s">
        <v>18</v>
      </c>
      <c r="F8" s="5">
        <f>MIN(I23:I43)</f>
        <v>1399756</v>
      </c>
      <c r="H8" s="11"/>
    </row>
    <row r="9" spans="1:11" x14ac:dyDescent="0.25">
      <c r="D9" s="2" t="s">
        <v>67</v>
      </c>
      <c r="F9" s="4">
        <f>+F8-F7</f>
        <v>-10244</v>
      </c>
      <c r="G9" s="16">
        <f>+F9/F7</f>
        <v>-7.2652482269503545E-3</v>
      </c>
      <c r="H9" s="12" t="s">
        <v>20</v>
      </c>
      <c r="I9" s="11" t="str">
        <f>(IF(G9&lt;-0.1,"FAIL",IF(G9&gt;0.05,"FAIL","GOOD")))</f>
        <v>GOOD</v>
      </c>
      <c r="J9" s="14" t="s">
        <v>72</v>
      </c>
    </row>
    <row r="10" spans="1:11" x14ac:dyDescent="0.25">
      <c r="D10" s="2" t="s">
        <v>68</v>
      </c>
      <c r="F10" s="4">
        <f>+F7-F12</f>
        <v>-804692</v>
      </c>
      <c r="H10" s="11"/>
    </row>
    <row r="11" spans="1:11" x14ac:dyDescent="0.25">
      <c r="A11" s="52"/>
      <c r="D11" s="2" t="s">
        <v>71</v>
      </c>
      <c r="F11" s="11" t="str">
        <f>(IF(F7&lt;J12,"FAIL",IF(F7&gt;J13,"FAIL","GOOD")))</f>
        <v>GOOD</v>
      </c>
      <c r="H11" s="11"/>
    </row>
    <row r="12" spans="1:11" x14ac:dyDescent="0.25">
      <c r="D12" s="2" t="s">
        <v>28</v>
      </c>
      <c r="F12" s="4">
        <f>SUM(I23:I43)/H12</f>
        <v>2214692</v>
      </c>
      <c r="G12" s="14"/>
      <c r="H12" s="11">
        <f>COUNT(I23:I43)</f>
        <v>3</v>
      </c>
      <c r="I12" s="1" t="s">
        <v>31</v>
      </c>
      <c r="J12" s="4">
        <f>+F8*0.9</f>
        <v>1259780.4000000001</v>
      </c>
      <c r="K12" s="1" t="s">
        <v>69</v>
      </c>
    </row>
    <row r="13" spans="1:11" x14ac:dyDescent="0.25">
      <c r="D13" s="2" t="s">
        <v>29</v>
      </c>
      <c r="F13" s="4">
        <f>MAX(I23:I43)-MIN(I23:I43)</f>
        <v>1450844</v>
      </c>
      <c r="G13" s="399">
        <f>MEDIAN(I23:I43)</f>
        <v>2393720</v>
      </c>
      <c r="H13" s="400"/>
      <c r="I13" s="1" t="s">
        <v>30</v>
      </c>
      <c r="J13" s="4">
        <f>+F12*1.1</f>
        <v>2436161.2000000002</v>
      </c>
      <c r="K13" s="1" t="s">
        <v>70</v>
      </c>
    </row>
    <row r="14" spans="1:11" x14ac:dyDescent="0.25">
      <c r="H14" s="11"/>
    </row>
    <row r="15" spans="1:11" x14ac:dyDescent="0.25">
      <c r="D15" s="2" t="s">
        <v>8</v>
      </c>
      <c r="F15" s="4"/>
      <c r="G15" s="1" t="s">
        <v>9</v>
      </c>
      <c r="H15" s="11"/>
      <c r="I15" t="s">
        <v>15</v>
      </c>
      <c r="J15" s="7" t="e">
        <f>+F16/F15</f>
        <v>#DIV/0!</v>
      </c>
    </row>
    <row r="16" spans="1:11" x14ac:dyDescent="0.25">
      <c r="F16" s="4"/>
      <c r="G16" s="1" t="s">
        <v>10</v>
      </c>
      <c r="H16" s="11"/>
      <c r="I16" t="s">
        <v>14</v>
      </c>
      <c r="J16" s="7" t="e">
        <f>+F17/F16</f>
        <v>#DIV/0!</v>
      </c>
    </row>
    <row r="17" spans="3:15" x14ac:dyDescent="0.25">
      <c r="F17" s="4"/>
      <c r="G17" s="1" t="s">
        <v>11</v>
      </c>
      <c r="H17" s="11"/>
      <c r="I17" t="s">
        <v>13</v>
      </c>
      <c r="J17" s="7" t="e">
        <f>+F18/F17</f>
        <v>#DIV/0!</v>
      </c>
      <c r="M17" s="21"/>
      <c r="N17" s="21"/>
      <c r="O17" s="21"/>
    </row>
    <row r="18" spans="3:15" x14ac:dyDescent="0.25">
      <c r="F18" s="4"/>
      <c r="G18" s="1" t="s">
        <v>12</v>
      </c>
      <c r="H18" s="11"/>
      <c r="I18" t="s">
        <v>16</v>
      </c>
      <c r="J18" s="7" t="e">
        <f>+F8/F18</f>
        <v>#DIV/0!</v>
      </c>
      <c r="M18" s="21"/>
      <c r="N18" s="21"/>
      <c r="O18" s="21"/>
    </row>
    <row r="19" spans="3:15" x14ac:dyDescent="0.25">
      <c r="F19" s="2" t="s">
        <v>51</v>
      </c>
      <c r="G19">
        <v>0</v>
      </c>
      <c r="H19" s="11" t="s">
        <v>52</v>
      </c>
      <c r="I19" t="s">
        <v>41</v>
      </c>
      <c r="J19" s="7" t="e">
        <f>+F8/F15</f>
        <v>#DIV/0!</v>
      </c>
      <c r="M19" s="21"/>
      <c r="N19" s="21"/>
      <c r="O19" s="21"/>
    </row>
    <row r="20" spans="3:15" x14ac:dyDescent="0.25">
      <c r="H20" s="11"/>
      <c r="M20" s="21"/>
      <c r="N20" s="21"/>
      <c r="O20" s="21"/>
    </row>
    <row r="21" spans="3:15" x14ac:dyDescent="0.25">
      <c r="C21" s="9"/>
      <c r="D21" s="13" t="s">
        <v>21</v>
      </c>
      <c r="E21" s="9"/>
      <c r="F21" s="9" t="s">
        <v>22</v>
      </c>
      <c r="G21" s="9" t="s">
        <v>23</v>
      </c>
      <c r="H21" s="13" t="s">
        <v>27</v>
      </c>
      <c r="I21" s="10" t="s">
        <v>24</v>
      </c>
      <c r="J21" s="9"/>
      <c r="K21" s="9"/>
      <c r="L21" s="9"/>
      <c r="M21" s="21"/>
      <c r="N21" s="21"/>
      <c r="O21" s="21"/>
    </row>
    <row r="22" spans="3:15" ht="6" customHeight="1" x14ac:dyDescent="0.25">
      <c r="M22" s="21"/>
      <c r="N22" s="21"/>
      <c r="O22" s="21"/>
    </row>
    <row r="23" spans="3:15" x14ac:dyDescent="0.25">
      <c r="C23" s="33" t="str">
        <f>IF(H23=1,"u","")</f>
        <v/>
      </c>
      <c r="D23" s="11" t="s">
        <v>859</v>
      </c>
      <c r="E23" s="33"/>
      <c r="F23" t="s">
        <v>861</v>
      </c>
      <c r="G23" t="s">
        <v>25</v>
      </c>
      <c r="H23">
        <f>RANK(I23,I$23:I$43,1)</f>
        <v>2</v>
      </c>
      <c r="I23" s="4">
        <v>2393720</v>
      </c>
      <c r="J23" s="4"/>
      <c r="K23" s="4"/>
      <c r="L23" s="4"/>
      <c r="M23" s="22"/>
      <c r="N23" s="22"/>
      <c r="O23" s="22"/>
    </row>
    <row r="24" spans="3:15" x14ac:dyDescent="0.25">
      <c r="C24" s="33" t="str">
        <f>IF(H24=1,"u","")</f>
        <v>u</v>
      </c>
      <c r="D24" s="11" t="s">
        <v>605</v>
      </c>
      <c r="E24" s="33"/>
      <c r="F24" t="s">
        <v>120</v>
      </c>
      <c r="G24" t="s">
        <v>25</v>
      </c>
      <c r="H24">
        <f>RANK(I24,I$23:I$43,1)</f>
        <v>1</v>
      </c>
      <c r="I24" s="4">
        <v>1399756</v>
      </c>
      <c r="J24" s="4"/>
      <c r="K24" s="4"/>
      <c r="L24" s="4"/>
      <c r="M24" s="22"/>
      <c r="N24" s="22"/>
      <c r="O24" s="22"/>
    </row>
    <row r="25" spans="3:15" x14ac:dyDescent="0.25">
      <c r="C25" s="33" t="str">
        <f>IF(H25=1,"u","")</f>
        <v/>
      </c>
      <c r="D25" s="11" t="s">
        <v>860</v>
      </c>
      <c r="E25" s="33"/>
      <c r="F25" t="s">
        <v>709</v>
      </c>
      <c r="G25" t="s">
        <v>93</v>
      </c>
      <c r="H25">
        <f>RANK(I25,I$23:I$43,1)</f>
        <v>3</v>
      </c>
      <c r="I25" s="4">
        <v>2850600</v>
      </c>
      <c r="J25" s="4"/>
      <c r="K25" s="4"/>
      <c r="L25" s="4"/>
      <c r="M25" s="22"/>
      <c r="N25" s="22"/>
      <c r="O25" s="22"/>
    </row>
    <row r="26" spans="3:15" x14ac:dyDescent="0.25">
      <c r="C26" s="33" t="str">
        <f t="shared" ref="C26:C43" si="0">IF(H26=1,"u","")</f>
        <v/>
      </c>
      <c r="D26" s="11"/>
      <c r="E26" s="33"/>
      <c r="I26" s="4"/>
      <c r="J26" s="4"/>
      <c r="K26" s="4"/>
      <c r="L26" s="4"/>
      <c r="M26" s="22"/>
      <c r="N26" s="22"/>
      <c r="O26" s="22"/>
    </row>
    <row r="27" spans="3:15" x14ac:dyDescent="0.25">
      <c r="C27" s="33" t="str">
        <f t="shared" si="0"/>
        <v/>
      </c>
      <c r="D27" s="11"/>
      <c r="E27" s="33"/>
      <c r="I27" s="4"/>
      <c r="J27" s="4"/>
      <c r="K27" s="4"/>
      <c r="L27" s="4"/>
      <c r="M27" s="22"/>
      <c r="N27" s="22"/>
      <c r="O27" s="22"/>
    </row>
    <row r="28" spans="3:15" x14ac:dyDescent="0.25">
      <c r="C28" s="33" t="str">
        <f t="shared" si="0"/>
        <v/>
      </c>
      <c r="D28" s="11"/>
      <c r="E28" s="33"/>
      <c r="I28" s="4"/>
      <c r="J28" s="4"/>
      <c r="K28" s="4"/>
      <c r="L28" s="4"/>
      <c r="M28" s="22"/>
      <c r="N28" s="22"/>
      <c r="O28" s="22"/>
    </row>
    <row r="29" spans="3:15" x14ac:dyDescent="0.25">
      <c r="C29" s="33" t="str">
        <f t="shared" si="0"/>
        <v/>
      </c>
      <c r="D29" s="11"/>
      <c r="E29" s="33"/>
      <c r="I29" s="4"/>
      <c r="J29" s="4"/>
      <c r="K29" s="4"/>
      <c r="L29" s="4"/>
      <c r="M29" s="22"/>
      <c r="N29" s="22"/>
      <c r="O29" s="22"/>
    </row>
    <row r="30" spans="3:15" x14ac:dyDescent="0.25">
      <c r="C30" s="33" t="str">
        <f t="shared" si="0"/>
        <v/>
      </c>
      <c r="D30" s="11"/>
      <c r="E30" s="33"/>
      <c r="I30" s="4"/>
      <c r="J30" s="4"/>
      <c r="K30" s="4"/>
      <c r="L30" s="4"/>
      <c r="M30" s="22"/>
      <c r="N30" s="22"/>
      <c r="O30" s="22"/>
    </row>
    <row r="31" spans="3:15" x14ac:dyDescent="0.25">
      <c r="C31" s="33" t="str">
        <f t="shared" si="0"/>
        <v/>
      </c>
      <c r="D31" s="11"/>
      <c r="E31" s="33"/>
      <c r="I31" s="4"/>
      <c r="J31" s="4"/>
      <c r="K31" s="4"/>
      <c r="L31" s="4"/>
      <c r="M31" s="22"/>
      <c r="N31" s="22"/>
      <c r="O31" s="22"/>
    </row>
    <row r="32" spans="3:15" x14ac:dyDescent="0.25">
      <c r="C32" s="33" t="str">
        <f t="shared" si="0"/>
        <v/>
      </c>
      <c r="D32" s="11"/>
      <c r="E32" s="33"/>
      <c r="I32" s="4"/>
      <c r="J32" s="4"/>
      <c r="K32" s="4"/>
      <c r="L32" s="4"/>
      <c r="M32" s="22"/>
      <c r="N32" s="22"/>
      <c r="O32" s="22"/>
    </row>
    <row r="33" spans="3:15" x14ac:dyDescent="0.25">
      <c r="C33" s="33" t="str">
        <f t="shared" si="0"/>
        <v/>
      </c>
      <c r="D33" s="11"/>
      <c r="E33" s="33"/>
      <c r="I33" s="4"/>
      <c r="M33" s="21"/>
      <c r="N33" s="21"/>
      <c r="O33" s="21"/>
    </row>
    <row r="34" spans="3:15" x14ac:dyDescent="0.25">
      <c r="C34" s="33" t="str">
        <f t="shared" si="0"/>
        <v/>
      </c>
      <c r="D34" s="11"/>
      <c r="E34" s="33" t="str">
        <f t="shared" ref="E34:E43" si="1">IF(H34=1,"t","")</f>
        <v/>
      </c>
      <c r="M34" s="21"/>
      <c r="N34" s="21"/>
      <c r="O34" s="21"/>
    </row>
    <row r="35" spans="3:15" x14ac:dyDescent="0.25">
      <c r="C35" s="33" t="str">
        <f t="shared" si="0"/>
        <v/>
      </c>
      <c r="D35" s="11"/>
      <c r="E35" s="33" t="str">
        <f t="shared" si="1"/>
        <v/>
      </c>
      <c r="M35" s="21"/>
      <c r="N35" s="21"/>
      <c r="O35" s="21"/>
    </row>
    <row r="36" spans="3:15" x14ac:dyDescent="0.25">
      <c r="C36" s="33" t="str">
        <f t="shared" si="0"/>
        <v/>
      </c>
      <c r="D36" s="11"/>
      <c r="E36" s="33" t="str">
        <f t="shared" si="1"/>
        <v/>
      </c>
      <c r="M36" s="21"/>
      <c r="N36" s="21"/>
      <c r="O36" s="21"/>
    </row>
    <row r="37" spans="3:15" x14ac:dyDescent="0.25">
      <c r="C37" s="33" t="str">
        <f t="shared" si="0"/>
        <v/>
      </c>
      <c r="D37" s="11"/>
      <c r="E37" s="33" t="str">
        <f t="shared" si="1"/>
        <v/>
      </c>
      <c r="M37" s="21"/>
      <c r="N37" s="21"/>
      <c r="O37" s="21"/>
    </row>
    <row r="38" spans="3:15" x14ac:dyDescent="0.25">
      <c r="C38" s="33" t="str">
        <f t="shared" si="0"/>
        <v/>
      </c>
      <c r="D38" s="11"/>
      <c r="E38" s="33" t="str">
        <f t="shared" si="1"/>
        <v/>
      </c>
      <c r="M38" s="21"/>
      <c r="N38" s="21"/>
      <c r="O38" s="21"/>
    </row>
    <row r="39" spans="3:15" x14ac:dyDescent="0.25">
      <c r="C39" s="33" t="str">
        <f t="shared" si="0"/>
        <v/>
      </c>
      <c r="D39" s="11"/>
      <c r="E39" s="33" t="str">
        <f t="shared" si="1"/>
        <v/>
      </c>
      <c r="M39" s="21"/>
      <c r="N39" s="21"/>
      <c r="O39" s="21"/>
    </row>
    <row r="40" spans="3:15" x14ac:dyDescent="0.25">
      <c r="C40" s="33" t="str">
        <f t="shared" si="0"/>
        <v/>
      </c>
      <c r="D40" s="11"/>
      <c r="E40" s="33" t="str">
        <f t="shared" si="1"/>
        <v/>
      </c>
      <c r="M40" s="21"/>
      <c r="N40" s="21"/>
      <c r="O40" s="21"/>
    </row>
    <row r="41" spans="3:15" x14ac:dyDescent="0.25">
      <c r="C41" s="33" t="str">
        <f t="shared" si="0"/>
        <v/>
      </c>
      <c r="D41" s="11"/>
      <c r="E41" s="33" t="str">
        <f t="shared" si="1"/>
        <v/>
      </c>
      <c r="M41" s="21"/>
      <c r="N41" s="21"/>
      <c r="O41" s="21"/>
    </row>
    <row r="42" spans="3:15" x14ac:dyDescent="0.25">
      <c r="C42" s="33" t="str">
        <f t="shared" si="0"/>
        <v/>
      </c>
      <c r="D42" s="11"/>
      <c r="E42" s="33" t="str">
        <f t="shared" si="1"/>
        <v/>
      </c>
      <c r="M42" s="21"/>
      <c r="N42" s="21"/>
      <c r="O42" s="21"/>
    </row>
    <row r="43" spans="3:15" x14ac:dyDescent="0.25">
      <c r="C43" s="33" t="str">
        <f t="shared" si="0"/>
        <v/>
      </c>
      <c r="D43" s="11"/>
      <c r="E43" s="33" t="str">
        <f t="shared" si="1"/>
        <v/>
      </c>
      <c r="M43" s="21"/>
      <c r="N43" s="21"/>
      <c r="O43" s="21"/>
    </row>
    <row r="44" spans="3:15" ht="6" customHeight="1" x14ac:dyDescent="0.25">
      <c r="C44" s="9"/>
      <c r="D44" s="9"/>
      <c r="E44" s="9"/>
      <c r="F44" s="9"/>
      <c r="G44" s="9"/>
      <c r="H44" s="9"/>
      <c r="I44" s="9"/>
      <c r="J44" s="9"/>
      <c r="K44" s="9"/>
      <c r="L44" s="9"/>
      <c r="M44" s="21"/>
      <c r="N44" s="21"/>
      <c r="O44" s="21"/>
    </row>
    <row r="45" spans="3:15" ht="6" customHeight="1" x14ac:dyDescent="0.25">
      <c r="M45" s="21"/>
      <c r="N45" s="21"/>
      <c r="O45" s="21"/>
    </row>
    <row r="46" spans="3:15" x14ac:dyDescent="0.25">
      <c r="C46" s="15" t="s">
        <v>79</v>
      </c>
      <c r="M46" s="21"/>
      <c r="N46" s="21"/>
      <c r="O46" s="21"/>
    </row>
    <row r="47" spans="3:15" x14ac:dyDescent="0.25">
      <c r="C47" s="15" t="s">
        <v>78</v>
      </c>
    </row>
  </sheetData>
  <mergeCells count="1">
    <mergeCell ref="G13:H13"/>
  </mergeCells>
  <conditionalFormatting sqref="I9">
    <cfRule type="containsText" dxfId="1241" priority="13" operator="containsText" text="FAIL">
      <formula>NOT(ISERROR(SEARCH("FAIL",I9)))</formula>
    </cfRule>
  </conditionalFormatting>
  <conditionalFormatting sqref="I9">
    <cfRule type="containsText" dxfId="1240" priority="12" operator="containsText" text="GOOD">
      <formula>NOT(ISERROR(SEARCH("GOOD",I9)))</formula>
    </cfRule>
  </conditionalFormatting>
  <conditionalFormatting sqref="F11">
    <cfRule type="containsText" dxfId="1239" priority="11" operator="containsText" text="FAIL">
      <formula>NOT(ISERROR(SEARCH("FAIL",F11)))</formula>
    </cfRule>
  </conditionalFormatting>
  <conditionalFormatting sqref="F11">
    <cfRule type="containsText" dxfId="1238" priority="10" operator="containsText" text="GOOD">
      <formula>NOT(ISERROR(SEARCH("GOOD",F11)))</formula>
    </cfRule>
  </conditionalFormatting>
  <conditionalFormatting sqref="D25">
    <cfRule type="expression" dxfId="1237" priority="9" stopIfTrue="1">
      <formula>IF($H$25=1,0)</formula>
    </cfRule>
  </conditionalFormatting>
  <conditionalFormatting sqref="D23:D26 D29:D43">
    <cfRule type="expression" dxfId="1236" priority="8">
      <formula>H23=1</formula>
    </cfRule>
  </conditionalFormatting>
  <conditionalFormatting sqref="C23:C26 C29:C43">
    <cfRule type="expression" dxfId="1235" priority="7">
      <formula>H23=1</formula>
    </cfRule>
  </conditionalFormatting>
  <conditionalFormatting sqref="E23:E26 E29:E43">
    <cfRule type="expression" dxfId="1234" priority="6">
      <formula>H23=1</formula>
    </cfRule>
  </conditionalFormatting>
  <conditionalFormatting sqref="F11">
    <cfRule type="containsText" dxfId="1233" priority="5" operator="containsText" text="FAIL">
      <formula>NOT(ISERROR(SEARCH("FAIL",F11)))</formula>
    </cfRule>
  </conditionalFormatting>
  <conditionalFormatting sqref="F11">
    <cfRule type="containsText" dxfId="1232" priority="4" operator="containsText" text="GOOD">
      <formula>NOT(ISERROR(SEARCH("GOOD",F11)))</formula>
    </cfRule>
  </conditionalFormatting>
  <conditionalFormatting sqref="D27:D28">
    <cfRule type="expression" dxfId="1231" priority="3">
      <formula>H27=1</formula>
    </cfRule>
  </conditionalFormatting>
  <conditionalFormatting sqref="C27:C28">
    <cfRule type="expression" dxfId="1230" priority="2">
      <formula>H27=1</formula>
    </cfRule>
  </conditionalFormatting>
  <conditionalFormatting sqref="E27:E28">
    <cfRule type="expression" dxfId="1229" priority="1">
      <formula>H27=1</formula>
    </cfRule>
  </conditionalFormatting>
  <pageMargins left="0.7" right="0.7" top="0.75" bottom="0.75" header="0.3" footer="0.3"/>
  <pageSetup scale="68"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sheetPr codeName="Sheet92"/>
  <dimension ref="A2:O47"/>
  <sheetViews>
    <sheetView zoomScaleNormal="100" workbookViewId="0">
      <selection activeCell="I27" sqref="I27"/>
    </sheetView>
  </sheetViews>
  <sheetFormatPr defaultRowHeight="15" x14ac:dyDescent="0.25"/>
  <cols>
    <col min="1" max="2" width="4.42578125" customWidth="1"/>
    <col min="3" max="3" width="3" customWidth="1"/>
    <col min="4" max="4" width="24.85546875" customWidth="1"/>
    <col min="5" max="5" width="3" customWidth="1"/>
    <col min="6" max="6" width="15.7109375" customWidth="1"/>
    <col min="7" max="7" width="8.5703125" customWidth="1"/>
    <col min="8" max="8" width="5.85546875" customWidth="1"/>
    <col min="9" max="15" width="15.7109375" customWidth="1"/>
  </cols>
  <sheetData>
    <row r="2" spans="1:11" x14ac:dyDescent="0.25">
      <c r="C2" s="15" t="s">
        <v>32</v>
      </c>
      <c r="E2" s="15"/>
      <c r="F2" s="15"/>
      <c r="G2" s="15" t="s">
        <v>33</v>
      </c>
      <c r="H2" s="15"/>
      <c r="I2" s="15"/>
      <c r="J2" s="15"/>
      <c r="K2" s="15"/>
    </row>
    <row r="3" spans="1:11" ht="18.75" x14ac:dyDescent="0.3">
      <c r="C3" s="3" t="s">
        <v>26</v>
      </c>
      <c r="J3" s="8" t="s">
        <v>17</v>
      </c>
    </row>
    <row r="4" spans="1:11" x14ac:dyDescent="0.25">
      <c r="D4" s="2" t="s">
        <v>0</v>
      </c>
      <c r="E4" s="1"/>
      <c r="F4" t="s">
        <v>763</v>
      </c>
      <c r="I4" s="2" t="s">
        <v>4</v>
      </c>
      <c r="J4" t="s">
        <v>630</v>
      </c>
    </row>
    <row r="5" spans="1:11" x14ac:dyDescent="0.25">
      <c r="D5" s="2" t="s">
        <v>1</v>
      </c>
      <c r="F5" t="s">
        <v>764</v>
      </c>
    </row>
    <row r="6" spans="1:11" x14ac:dyDescent="0.25">
      <c r="D6" s="2" t="s">
        <v>2</v>
      </c>
      <c r="F6" s="6">
        <v>42677</v>
      </c>
      <c r="H6" s="11"/>
    </row>
    <row r="7" spans="1:11" x14ac:dyDescent="0.25">
      <c r="D7" s="2" t="s">
        <v>3</v>
      </c>
      <c r="F7" s="5">
        <v>480000</v>
      </c>
      <c r="G7" s="2" t="s">
        <v>693</v>
      </c>
      <c r="H7" s="11"/>
    </row>
    <row r="8" spans="1:11" x14ac:dyDescent="0.25">
      <c r="D8" s="2" t="s">
        <v>18</v>
      </c>
      <c r="F8" s="5">
        <f>MIN(I23:I43)</f>
        <v>770000</v>
      </c>
      <c r="H8" s="11"/>
    </row>
    <row r="9" spans="1:11" x14ac:dyDescent="0.25">
      <c r="D9" s="2" t="s">
        <v>67</v>
      </c>
      <c r="F9" s="4">
        <f>+F8-F7</f>
        <v>290000</v>
      </c>
      <c r="G9" s="16">
        <f>+F9/F7</f>
        <v>0.60416666666666663</v>
      </c>
      <c r="H9" s="12" t="s">
        <v>20</v>
      </c>
      <c r="I9" s="11" t="str">
        <f>(IF(G9&lt;-0.1,"FAIL",IF(G9&gt;0.05,"FAIL","GOOD")))</f>
        <v>FAIL</v>
      </c>
      <c r="J9" s="14" t="s">
        <v>72</v>
      </c>
    </row>
    <row r="10" spans="1:11" x14ac:dyDescent="0.25">
      <c r="D10" s="2" t="s">
        <v>68</v>
      </c>
      <c r="F10" s="4">
        <f>+F7-F12</f>
        <v>-808250</v>
      </c>
      <c r="H10" s="11"/>
    </row>
    <row r="11" spans="1:11" x14ac:dyDescent="0.25">
      <c r="A11" s="52"/>
      <c r="D11" s="2" t="s">
        <v>71</v>
      </c>
      <c r="F11" s="11" t="str">
        <f>(IF(F7&lt;J12,"FAIL",IF(F7&gt;J13,"FAIL","GOOD")))</f>
        <v>FAIL</v>
      </c>
      <c r="H11" s="11"/>
    </row>
    <row r="12" spans="1:11" x14ac:dyDescent="0.25">
      <c r="D12" s="2" t="s">
        <v>28</v>
      </c>
      <c r="F12" s="4">
        <f>SUM(I23:I43)/H12</f>
        <v>1288250</v>
      </c>
      <c r="G12" s="14"/>
      <c r="H12" s="11">
        <f>COUNT(I23:I43)</f>
        <v>4</v>
      </c>
      <c r="I12" s="1" t="s">
        <v>31</v>
      </c>
      <c r="J12" s="4">
        <f>+F8*0.9</f>
        <v>693000</v>
      </c>
      <c r="K12" s="1" t="s">
        <v>69</v>
      </c>
    </row>
    <row r="13" spans="1:11" x14ac:dyDescent="0.25">
      <c r="D13" s="2" t="s">
        <v>29</v>
      </c>
      <c r="F13" s="4">
        <f>MAX(I23:I43)-MIN(I23:I43)</f>
        <v>1170000</v>
      </c>
      <c r="G13" s="399">
        <f>MEDIAN(I23:I43)</f>
        <v>1221500</v>
      </c>
      <c r="H13" s="400"/>
      <c r="I13" s="1" t="s">
        <v>30</v>
      </c>
      <c r="J13" s="4">
        <f>+F12*1.1</f>
        <v>1417075</v>
      </c>
      <c r="K13" s="1" t="s">
        <v>70</v>
      </c>
    </row>
    <row r="14" spans="1:11" x14ac:dyDescent="0.25">
      <c r="H14" s="11"/>
    </row>
    <row r="15" spans="1:11" x14ac:dyDescent="0.25">
      <c r="D15" s="2" t="s">
        <v>8</v>
      </c>
      <c r="F15" s="4"/>
      <c r="G15" s="1" t="s">
        <v>9</v>
      </c>
      <c r="H15" s="11"/>
      <c r="I15" t="s">
        <v>15</v>
      </c>
      <c r="J15" s="7" t="e">
        <f>+F16/F15</f>
        <v>#DIV/0!</v>
      </c>
    </row>
    <row r="16" spans="1:11" x14ac:dyDescent="0.25">
      <c r="F16" s="4"/>
      <c r="G16" s="1" t="s">
        <v>10</v>
      </c>
      <c r="H16" s="11"/>
      <c r="I16" t="s">
        <v>14</v>
      </c>
      <c r="J16" s="7" t="e">
        <f>+F17/F16</f>
        <v>#DIV/0!</v>
      </c>
    </row>
    <row r="17" spans="3:15" x14ac:dyDescent="0.25">
      <c r="F17" s="4"/>
      <c r="G17" s="1" t="s">
        <v>11</v>
      </c>
      <c r="H17" s="11"/>
      <c r="I17" t="s">
        <v>13</v>
      </c>
      <c r="J17" s="7" t="e">
        <f>+F18/F17</f>
        <v>#DIV/0!</v>
      </c>
      <c r="M17" s="21"/>
      <c r="N17" s="21"/>
      <c r="O17" s="21"/>
    </row>
    <row r="18" spans="3:15" x14ac:dyDescent="0.25">
      <c r="F18" s="4"/>
      <c r="G18" s="1" t="s">
        <v>12</v>
      </c>
      <c r="H18" s="11"/>
      <c r="I18" t="s">
        <v>16</v>
      </c>
      <c r="J18" s="7" t="e">
        <f>+F8/F18</f>
        <v>#DIV/0!</v>
      </c>
      <c r="M18" s="21"/>
      <c r="N18" s="21"/>
      <c r="O18" s="21"/>
    </row>
    <row r="19" spans="3:15" x14ac:dyDescent="0.25">
      <c r="F19" s="2" t="s">
        <v>51</v>
      </c>
      <c r="G19">
        <v>0</v>
      </c>
      <c r="H19" s="11" t="s">
        <v>52</v>
      </c>
      <c r="I19" t="s">
        <v>41</v>
      </c>
      <c r="J19" s="7" t="e">
        <f>+F8/F15</f>
        <v>#DIV/0!</v>
      </c>
      <c r="M19" s="21"/>
      <c r="N19" s="21"/>
      <c r="O19" s="21"/>
    </row>
    <row r="20" spans="3:15" x14ac:dyDescent="0.25">
      <c r="H20" s="11"/>
      <c r="M20" s="21"/>
      <c r="N20" s="21"/>
      <c r="O20" s="21"/>
    </row>
    <row r="21" spans="3:15" x14ac:dyDescent="0.25">
      <c r="C21" s="9"/>
      <c r="D21" s="13" t="s">
        <v>21</v>
      </c>
      <c r="E21" s="9"/>
      <c r="F21" s="9" t="s">
        <v>22</v>
      </c>
      <c r="G21" s="9" t="s">
        <v>23</v>
      </c>
      <c r="H21" s="13" t="s">
        <v>27</v>
      </c>
      <c r="I21" s="10" t="s">
        <v>24</v>
      </c>
      <c r="J21" s="9"/>
      <c r="K21" s="9"/>
      <c r="L21" s="9"/>
      <c r="M21" s="21"/>
      <c r="N21" s="21"/>
      <c r="O21" s="21"/>
    </row>
    <row r="22" spans="3:15" ht="6" customHeight="1" x14ac:dyDescent="0.25">
      <c r="M22" s="21"/>
      <c r="N22" s="21"/>
      <c r="O22" s="21"/>
    </row>
    <row r="23" spans="3:15" x14ac:dyDescent="0.25">
      <c r="C23" s="33" t="str">
        <f>IF(H23=1,"u","")</f>
        <v/>
      </c>
      <c r="D23" s="11" t="s">
        <v>765</v>
      </c>
      <c r="E23" s="33"/>
      <c r="F23" t="s">
        <v>92</v>
      </c>
      <c r="G23" t="s">
        <v>93</v>
      </c>
      <c r="H23">
        <f>RANK(I23,I$23:I$43,1)</f>
        <v>2</v>
      </c>
      <c r="I23" s="4">
        <v>1072000</v>
      </c>
      <c r="J23" s="4"/>
      <c r="K23" s="4"/>
      <c r="L23" s="4"/>
      <c r="M23" s="22"/>
      <c r="N23" s="22"/>
      <c r="O23" s="22"/>
    </row>
    <row r="24" spans="3:15" x14ac:dyDescent="0.25">
      <c r="C24" s="33"/>
      <c r="D24" s="11" t="s">
        <v>766</v>
      </c>
      <c r="E24" s="33"/>
      <c r="F24" t="s">
        <v>145</v>
      </c>
      <c r="G24" t="s">
        <v>25</v>
      </c>
      <c r="H24">
        <f>RANK(I24,I$23:I$43,1)</f>
        <v>1</v>
      </c>
      <c r="I24" s="4">
        <v>770000</v>
      </c>
      <c r="J24" s="4"/>
      <c r="K24" s="4"/>
      <c r="L24" s="4"/>
      <c r="M24" s="22"/>
      <c r="N24" s="22"/>
      <c r="O24" s="22"/>
    </row>
    <row r="25" spans="3:15" x14ac:dyDescent="0.25">
      <c r="C25" s="33"/>
      <c r="D25" s="11" t="s">
        <v>725</v>
      </c>
      <c r="E25" s="33"/>
      <c r="F25" t="s">
        <v>594</v>
      </c>
      <c r="G25" t="s">
        <v>25</v>
      </c>
      <c r="H25">
        <f>RANK(I25,I$23:I$43,1)</f>
        <v>4</v>
      </c>
      <c r="I25" s="4">
        <v>1940000</v>
      </c>
      <c r="J25" s="4"/>
      <c r="K25" s="4"/>
      <c r="L25" s="4"/>
      <c r="M25" s="22"/>
      <c r="N25" s="22"/>
      <c r="O25" s="22"/>
    </row>
    <row r="26" spans="3:15" x14ac:dyDescent="0.25">
      <c r="C26" s="33"/>
      <c r="D26" s="11" t="s">
        <v>708</v>
      </c>
      <c r="E26" s="33"/>
      <c r="F26" t="s">
        <v>709</v>
      </c>
      <c r="G26" t="s">
        <v>93</v>
      </c>
      <c r="H26">
        <f>RANK(I26,I$23:I$43,1)</f>
        <v>3</v>
      </c>
      <c r="I26" s="4">
        <v>1371000</v>
      </c>
      <c r="J26" s="4"/>
      <c r="K26" s="4"/>
      <c r="L26" s="4"/>
      <c r="M26" s="22"/>
      <c r="N26" s="22"/>
      <c r="O26" s="22"/>
    </row>
    <row r="27" spans="3:15" x14ac:dyDescent="0.25">
      <c r="C27" s="33" t="str">
        <f t="shared" ref="C27:C43" si="0">IF(H27=1,"u","")</f>
        <v/>
      </c>
      <c r="D27" s="11"/>
      <c r="E27" s="33"/>
      <c r="I27" s="4"/>
      <c r="J27" s="4"/>
      <c r="K27" s="4"/>
      <c r="L27" s="4"/>
      <c r="M27" s="22"/>
      <c r="N27" s="22"/>
      <c r="O27" s="22"/>
    </row>
    <row r="28" spans="3:15" x14ac:dyDescent="0.25">
      <c r="C28" s="33" t="str">
        <f t="shared" si="0"/>
        <v/>
      </c>
      <c r="D28" s="11"/>
      <c r="E28" s="33"/>
      <c r="I28" s="4"/>
      <c r="J28" s="4"/>
      <c r="K28" s="4"/>
      <c r="L28" s="4"/>
      <c r="M28" s="22"/>
      <c r="N28" s="22"/>
      <c r="O28" s="22"/>
    </row>
    <row r="29" spans="3:15" x14ac:dyDescent="0.25">
      <c r="C29" s="33" t="str">
        <f t="shared" si="0"/>
        <v/>
      </c>
      <c r="D29" s="11"/>
      <c r="E29" s="33"/>
      <c r="I29" s="4"/>
      <c r="J29" s="4"/>
      <c r="K29" s="4"/>
      <c r="L29" s="4"/>
      <c r="M29" s="22"/>
      <c r="N29" s="22"/>
      <c r="O29" s="22"/>
    </row>
    <row r="30" spans="3:15" x14ac:dyDescent="0.25">
      <c r="C30" s="33" t="str">
        <f t="shared" si="0"/>
        <v/>
      </c>
      <c r="D30" s="11"/>
      <c r="E30" s="33"/>
      <c r="I30" s="4"/>
      <c r="J30" s="4"/>
      <c r="K30" s="4"/>
      <c r="L30" s="4"/>
      <c r="M30" s="22"/>
      <c r="N30" s="22"/>
      <c r="O30" s="22"/>
    </row>
    <row r="31" spans="3:15" x14ac:dyDescent="0.25">
      <c r="C31" s="33" t="str">
        <f t="shared" si="0"/>
        <v/>
      </c>
      <c r="D31" s="11"/>
      <c r="E31" s="33"/>
      <c r="I31" s="4"/>
      <c r="J31" s="4"/>
      <c r="K31" s="4"/>
      <c r="L31" s="4"/>
      <c r="M31" s="22"/>
      <c r="N31" s="22"/>
      <c r="O31" s="22"/>
    </row>
    <row r="32" spans="3:15" x14ac:dyDescent="0.25">
      <c r="C32" s="33" t="str">
        <f t="shared" si="0"/>
        <v/>
      </c>
      <c r="D32" s="11"/>
      <c r="E32" s="33"/>
      <c r="I32" s="4"/>
      <c r="J32" s="4"/>
      <c r="K32" s="4"/>
      <c r="L32" s="4"/>
      <c r="M32" s="22"/>
      <c r="N32" s="22"/>
      <c r="O32" s="22"/>
    </row>
    <row r="33" spans="3:15" x14ac:dyDescent="0.25">
      <c r="C33" s="33" t="str">
        <f t="shared" si="0"/>
        <v/>
      </c>
      <c r="D33" s="11"/>
      <c r="E33" s="33"/>
      <c r="I33" s="4"/>
      <c r="M33" s="21"/>
      <c r="N33" s="21"/>
      <c r="O33" s="21"/>
    </row>
    <row r="34" spans="3:15" x14ac:dyDescent="0.25">
      <c r="C34" s="33" t="str">
        <f t="shared" si="0"/>
        <v/>
      </c>
      <c r="D34" s="11"/>
      <c r="E34" s="33" t="str">
        <f t="shared" ref="E34:E43" si="1">IF(H34=1,"t","")</f>
        <v/>
      </c>
      <c r="M34" s="21"/>
      <c r="N34" s="21"/>
      <c r="O34" s="21"/>
    </row>
    <row r="35" spans="3:15" x14ac:dyDescent="0.25">
      <c r="C35" s="33" t="str">
        <f t="shared" si="0"/>
        <v/>
      </c>
      <c r="D35" s="11"/>
      <c r="E35" s="33" t="str">
        <f t="shared" si="1"/>
        <v/>
      </c>
      <c r="M35" s="21"/>
      <c r="N35" s="21"/>
      <c r="O35" s="21"/>
    </row>
    <row r="36" spans="3:15" x14ac:dyDescent="0.25">
      <c r="C36" s="33" t="str">
        <f t="shared" si="0"/>
        <v/>
      </c>
      <c r="D36" s="11"/>
      <c r="E36" s="33" t="str">
        <f t="shared" si="1"/>
        <v/>
      </c>
      <c r="M36" s="21"/>
      <c r="N36" s="21"/>
      <c r="O36" s="21"/>
    </row>
    <row r="37" spans="3:15" x14ac:dyDescent="0.25">
      <c r="C37" s="33" t="str">
        <f t="shared" si="0"/>
        <v/>
      </c>
      <c r="D37" s="11"/>
      <c r="E37" s="33" t="str">
        <f t="shared" si="1"/>
        <v/>
      </c>
      <c r="M37" s="21"/>
      <c r="N37" s="21"/>
      <c r="O37" s="21"/>
    </row>
    <row r="38" spans="3:15" x14ac:dyDescent="0.25">
      <c r="C38" s="33" t="str">
        <f t="shared" si="0"/>
        <v/>
      </c>
      <c r="D38" s="11"/>
      <c r="E38" s="33" t="str">
        <f t="shared" si="1"/>
        <v/>
      </c>
      <c r="M38" s="21"/>
      <c r="N38" s="21"/>
      <c r="O38" s="21"/>
    </row>
    <row r="39" spans="3:15" x14ac:dyDescent="0.25">
      <c r="C39" s="33" t="str">
        <f t="shared" si="0"/>
        <v/>
      </c>
      <c r="D39" s="11"/>
      <c r="E39" s="33" t="str">
        <f t="shared" si="1"/>
        <v/>
      </c>
      <c r="M39" s="21"/>
      <c r="N39" s="21"/>
      <c r="O39" s="21"/>
    </row>
    <row r="40" spans="3:15" x14ac:dyDescent="0.25">
      <c r="C40" s="33" t="str">
        <f t="shared" si="0"/>
        <v/>
      </c>
      <c r="D40" s="11"/>
      <c r="E40" s="33" t="str">
        <f t="shared" si="1"/>
        <v/>
      </c>
      <c r="M40" s="21"/>
      <c r="N40" s="21"/>
      <c r="O40" s="21"/>
    </row>
    <row r="41" spans="3:15" x14ac:dyDescent="0.25">
      <c r="C41" s="33" t="str">
        <f t="shared" si="0"/>
        <v/>
      </c>
      <c r="D41" s="11"/>
      <c r="E41" s="33" t="str">
        <f t="shared" si="1"/>
        <v/>
      </c>
      <c r="M41" s="21"/>
      <c r="N41" s="21"/>
      <c r="O41" s="21"/>
    </row>
    <row r="42" spans="3:15" x14ac:dyDescent="0.25">
      <c r="C42" s="33" t="str">
        <f t="shared" si="0"/>
        <v/>
      </c>
      <c r="D42" s="11"/>
      <c r="E42" s="33" t="str">
        <f t="shared" si="1"/>
        <v/>
      </c>
      <c r="M42" s="21"/>
      <c r="N42" s="21"/>
      <c r="O42" s="21"/>
    </row>
    <row r="43" spans="3:15" x14ac:dyDescent="0.25">
      <c r="C43" s="33" t="str">
        <f t="shared" si="0"/>
        <v/>
      </c>
      <c r="D43" s="11"/>
      <c r="E43" s="33" t="str">
        <f t="shared" si="1"/>
        <v/>
      </c>
      <c r="M43" s="21"/>
      <c r="N43" s="21"/>
      <c r="O43" s="21"/>
    </row>
    <row r="44" spans="3:15" ht="6" customHeight="1" x14ac:dyDescent="0.25">
      <c r="C44" s="9"/>
      <c r="D44" s="9"/>
      <c r="E44" s="9"/>
      <c r="F44" s="9"/>
      <c r="G44" s="9"/>
      <c r="H44" s="9"/>
      <c r="I44" s="9"/>
      <c r="J44" s="9"/>
      <c r="K44" s="9"/>
      <c r="L44" s="9"/>
      <c r="M44" s="21"/>
      <c r="N44" s="21"/>
      <c r="O44" s="21"/>
    </row>
    <row r="45" spans="3:15" ht="6" customHeight="1" x14ac:dyDescent="0.25">
      <c r="M45" s="21"/>
      <c r="N45" s="21"/>
      <c r="O45" s="21"/>
    </row>
    <row r="46" spans="3:15" x14ac:dyDescent="0.25">
      <c r="C46" s="15" t="s">
        <v>79</v>
      </c>
      <c r="M46" s="21"/>
      <c r="N46" s="21"/>
      <c r="O46" s="21"/>
    </row>
    <row r="47" spans="3:15" x14ac:dyDescent="0.25">
      <c r="C47" s="15" t="s">
        <v>78</v>
      </c>
    </row>
  </sheetData>
  <mergeCells count="1">
    <mergeCell ref="G13:H13"/>
  </mergeCells>
  <conditionalFormatting sqref="I9">
    <cfRule type="containsText" dxfId="1025" priority="10" operator="containsText" text="FAIL">
      <formula>NOT(ISERROR(SEARCH("FAIL",I9)))</formula>
    </cfRule>
  </conditionalFormatting>
  <conditionalFormatting sqref="I9">
    <cfRule type="containsText" dxfId="1024" priority="9" operator="containsText" text="GOOD">
      <formula>NOT(ISERROR(SEARCH("GOOD",I9)))</formula>
    </cfRule>
  </conditionalFormatting>
  <conditionalFormatting sqref="F11">
    <cfRule type="containsText" dxfId="1023" priority="8" operator="containsText" text="FAIL">
      <formula>NOT(ISERROR(SEARCH("FAIL",F11)))</formula>
    </cfRule>
  </conditionalFormatting>
  <conditionalFormatting sqref="F11">
    <cfRule type="containsText" dxfId="1022" priority="7" operator="containsText" text="GOOD">
      <formula>NOT(ISERROR(SEARCH("GOOD",F11)))</formula>
    </cfRule>
  </conditionalFormatting>
  <conditionalFormatting sqref="D25">
    <cfRule type="expression" dxfId="1021" priority="6" stopIfTrue="1">
      <formula>IF($H$25=1,0)</formula>
    </cfRule>
  </conditionalFormatting>
  <conditionalFormatting sqref="D23:D43">
    <cfRule type="expression" dxfId="1020" priority="5">
      <formula>H23=1</formula>
    </cfRule>
  </conditionalFormatting>
  <conditionalFormatting sqref="C23:C43">
    <cfRule type="expression" dxfId="1019" priority="4">
      <formula>H23=1</formula>
    </cfRule>
  </conditionalFormatting>
  <conditionalFormatting sqref="E23:E43">
    <cfRule type="expression" dxfId="1018" priority="3">
      <formula>H23=1</formula>
    </cfRule>
  </conditionalFormatting>
  <conditionalFormatting sqref="F11">
    <cfRule type="containsText" dxfId="1017" priority="2" operator="containsText" text="FAIL">
      <formula>NOT(ISERROR(SEARCH("FAIL",F11)))</formula>
    </cfRule>
  </conditionalFormatting>
  <conditionalFormatting sqref="F11">
    <cfRule type="containsText" dxfId="1016" priority="1" operator="containsText" text="GOOD">
      <formula>NOT(ISERROR(SEARCH("GOOD",F11)))</formula>
    </cfRule>
  </conditionalFormatting>
  <pageMargins left="0.7" right="0.7" top="0.75" bottom="0.75" header="0.3" footer="0.3"/>
  <pageSetup scale="68"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Sheet33"/>
  <dimension ref="A2:P47"/>
  <sheetViews>
    <sheetView zoomScaleNormal="100" workbookViewId="0">
      <selection activeCell="M16" sqref="M16"/>
    </sheetView>
  </sheetViews>
  <sheetFormatPr defaultRowHeight="15" x14ac:dyDescent="0.25"/>
  <cols>
    <col min="1" max="2" width="4.42578125" customWidth="1"/>
    <col min="3" max="3" width="3" customWidth="1"/>
    <col min="4" max="4" width="24.85546875" customWidth="1"/>
    <col min="5" max="5" width="3" customWidth="1"/>
    <col min="6" max="6" width="15.7109375" customWidth="1"/>
    <col min="7" max="7" width="8.5703125" customWidth="1"/>
    <col min="8" max="8" width="5.85546875" customWidth="1"/>
    <col min="9" max="15" width="15.7109375" customWidth="1"/>
  </cols>
  <sheetData>
    <row r="2" spans="1:16" x14ac:dyDescent="0.25">
      <c r="C2" s="15" t="s">
        <v>32</v>
      </c>
      <c r="E2" s="15"/>
      <c r="F2" s="15"/>
      <c r="G2" s="15" t="s">
        <v>33</v>
      </c>
      <c r="H2" s="15"/>
      <c r="I2" s="15"/>
      <c r="J2" s="15"/>
      <c r="K2" s="15"/>
    </row>
    <row r="3" spans="1:16" ht="18.75" x14ac:dyDescent="0.3">
      <c r="C3" s="3" t="s">
        <v>26</v>
      </c>
      <c r="J3" s="8" t="s">
        <v>17</v>
      </c>
      <c r="P3" s="100"/>
    </row>
    <row r="4" spans="1:16" x14ac:dyDescent="0.25">
      <c r="D4" s="2" t="s">
        <v>0</v>
      </c>
      <c r="E4" s="1"/>
      <c r="F4" t="s">
        <v>1089</v>
      </c>
      <c r="I4" s="2" t="s">
        <v>4</v>
      </c>
      <c r="J4" t="s">
        <v>784</v>
      </c>
    </row>
    <row r="5" spans="1:16" x14ac:dyDescent="0.25">
      <c r="D5" s="2" t="s">
        <v>1</v>
      </c>
      <c r="F5" t="s">
        <v>1090</v>
      </c>
    </row>
    <row r="6" spans="1:16" x14ac:dyDescent="0.25">
      <c r="D6" s="2" t="s">
        <v>2</v>
      </c>
      <c r="F6" s="6">
        <v>43005</v>
      </c>
      <c r="H6" s="11"/>
    </row>
    <row r="7" spans="1:16" x14ac:dyDescent="0.25">
      <c r="D7" s="2" t="s">
        <v>3</v>
      </c>
      <c r="F7" s="5">
        <v>1250000</v>
      </c>
      <c r="G7" s="2" t="s">
        <v>34</v>
      </c>
      <c r="H7" s="11"/>
    </row>
    <row r="8" spans="1:16" x14ac:dyDescent="0.25">
      <c r="D8" s="2" t="s">
        <v>18</v>
      </c>
      <c r="F8" s="5">
        <f>MIN(I23:I43)</f>
        <v>1068000</v>
      </c>
      <c r="H8" s="11"/>
    </row>
    <row r="9" spans="1:16" x14ac:dyDescent="0.25">
      <c r="D9" s="2" t="s">
        <v>67</v>
      </c>
      <c r="F9" s="4">
        <f>+F8-F7</f>
        <v>-182000</v>
      </c>
      <c r="G9" s="16">
        <f>+F9/F7</f>
        <v>-0.14560000000000001</v>
      </c>
      <c r="H9" s="12" t="s">
        <v>20</v>
      </c>
      <c r="I9" s="11" t="str">
        <f>(IF(G9&lt;-0.1,"FAIL",IF(G9&gt;0.05,"FAIL","GOOD")))</f>
        <v>FAIL</v>
      </c>
      <c r="J9" s="14" t="s">
        <v>72</v>
      </c>
    </row>
    <row r="10" spans="1:16" x14ac:dyDescent="0.25">
      <c r="D10" s="2" t="s">
        <v>68</v>
      </c>
      <c r="F10" s="4">
        <f>+F7-F12</f>
        <v>-1819190.5</v>
      </c>
      <c r="H10" s="11"/>
    </row>
    <row r="11" spans="1:16" x14ac:dyDescent="0.25">
      <c r="A11" s="52"/>
      <c r="D11" s="2" t="s">
        <v>71</v>
      </c>
      <c r="F11" s="11" t="str">
        <f>(IF(F7&lt;J12,"FAIL",IF(F7&gt;J13,"FAIL","GOOD")))</f>
        <v>GOOD</v>
      </c>
      <c r="H11" s="11"/>
    </row>
    <row r="12" spans="1:16" x14ac:dyDescent="0.25">
      <c r="D12" s="2" t="s">
        <v>28</v>
      </c>
      <c r="F12" s="4">
        <f>SUM(I23:I43)/H12</f>
        <v>3069190.5</v>
      </c>
      <c r="G12" s="14"/>
      <c r="H12" s="11">
        <f>COUNT(I23:I43)</f>
        <v>6</v>
      </c>
      <c r="I12" s="1" t="s">
        <v>31</v>
      </c>
      <c r="J12" s="4">
        <f>+F8*0.9</f>
        <v>961200</v>
      </c>
      <c r="K12" s="1" t="s">
        <v>69</v>
      </c>
    </row>
    <row r="13" spans="1:16" x14ac:dyDescent="0.25">
      <c r="D13" s="2" t="s">
        <v>29</v>
      </c>
      <c r="F13" s="4">
        <f>MAX(I23:I43)-MIN(I23:I43)</f>
        <v>4183040</v>
      </c>
      <c r="G13" s="399">
        <f>MEDIAN(I23:I43)</f>
        <v>2822051.5</v>
      </c>
      <c r="H13" s="400"/>
      <c r="I13" s="1" t="s">
        <v>30</v>
      </c>
      <c r="J13" s="4">
        <f>+F12*1.1</f>
        <v>3376109.5500000003</v>
      </c>
      <c r="K13" s="1" t="s">
        <v>70</v>
      </c>
    </row>
    <row r="14" spans="1:16" x14ac:dyDescent="0.25">
      <c r="H14" s="11"/>
    </row>
    <row r="15" spans="1:16" x14ac:dyDescent="0.25">
      <c r="D15" s="2" t="s">
        <v>8</v>
      </c>
      <c r="F15" s="4"/>
      <c r="G15" s="1" t="s">
        <v>9</v>
      </c>
      <c r="H15" s="11"/>
      <c r="I15" t="s">
        <v>15</v>
      </c>
      <c r="J15" s="7" t="e">
        <f>+F16/F15</f>
        <v>#DIV/0!</v>
      </c>
    </row>
    <row r="16" spans="1:16" x14ac:dyDescent="0.25">
      <c r="F16" s="4"/>
      <c r="G16" s="1" t="s">
        <v>10</v>
      </c>
      <c r="H16" s="11"/>
      <c r="I16" t="s">
        <v>14</v>
      </c>
      <c r="J16" s="7" t="e">
        <f>+F17/F16</f>
        <v>#DIV/0!</v>
      </c>
    </row>
    <row r="17" spans="3:15" x14ac:dyDescent="0.25">
      <c r="F17" s="4"/>
      <c r="G17" s="1" t="s">
        <v>11</v>
      </c>
      <c r="H17" s="11"/>
      <c r="I17" t="s">
        <v>13</v>
      </c>
      <c r="J17" s="7" t="e">
        <f>+F18/F17</f>
        <v>#DIV/0!</v>
      </c>
      <c r="M17" s="21"/>
      <c r="N17" s="21"/>
      <c r="O17" s="21"/>
    </row>
    <row r="18" spans="3:15" x14ac:dyDescent="0.25">
      <c r="F18" s="4"/>
      <c r="G18" s="1" t="s">
        <v>12</v>
      </c>
      <c r="H18" s="11"/>
      <c r="I18" t="s">
        <v>16</v>
      </c>
      <c r="J18" s="7" t="e">
        <f>+F8/F18</f>
        <v>#DIV/0!</v>
      </c>
      <c r="M18" s="21"/>
      <c r="N18" s="21"/>
      <c r="O18" s="21"/>
    </row>
    <row r="19" spans="3:15" x14ac:dyDescent="0.25">
      <c r="F19" s="2" t="s">
        <v>51</v>
      </c>
      <c r="G19">
        <v>0</v>
      </c>
      <c r="H19" s="11" t="s">
        <v>52</v>
      </c>
      <c r="I19" t="s">
        <v>41</v>
      </c>
      <c r="J19" s="7" t="e">
        <f>+F8/F15</f>
        <v>#DIV/0!</v>
      </c>
      <c r="M19" s="21"/>
      <c r="N19" s="21"/>
      <c r="O19" s="21"/>
    </row>
    <row r="20" spans="3:15" x14ac:dyDescent="0.25">
      <c r="H20" s="11"/>
      <c r="M20" s="21"/>
      <c r="N20" s="21"/>
      <c r="O20" s="21"/>
    </row>
    <row r="21" spans="3:15" x14ac:dyDescent="0.25">
      <c r="C21" s="9"/>
      <c r="D21" s="13" t="s">
        <v>21</v>
      </c>
      <c r="E21" s="9"/>
      <c r="F21" s="9" t="s">
        <v>22</v>
      </c>
      <c r="G21" s="9" t="s">
        <v>23</v>
      </c>
      <c r="H21" s="13" t="s">
        <v>27</v>
      </c>
      <c r="I21" s="10" t="s">
        <v>24</v>
      </c>
      <c r="J21" s="9"/>
      <c r="K21" s="9"/>
      <c r="L21" s="9"/>
      <c r="M21" s="21"/>
      <c r="N21" s="21"/>
      <c r="O21" s="21"/>
    </row>
    <row r="22" spans="3:15" ht="6" customHeight="1" x14ac:dyDescent="0.25">
      <c r="M22" s="21"/>
      <c r="N22" s="21"/>
      <c r="O22" s="21"/>
    </row>
    <row r="23" spans="3:15" x14ac:dyDescent="0.25">
      <c r="C23" s="33" t="str">
        <f>IF(H23=1,"u","")</f>
        <v/>
      </c>
      <c r="D23" s="11" t="s">
        <v>606</v>
      </c>
      <c r="E23" s="33"/>
      <c r="F23" t="s">
        <v>100</v>
      </c>
      <c r="G23" t="s">
        <v>93</v>
      </c>
      <c r="H23">
        <f t="shared" ref="H23:H28" si="0">RANK(I23,I$23:I$43,1)</f>
        <v>2</v>
      </c>
      <c r="I23" s="4">
        <v>2672000</v>
      </c>
      <c r="J23" s="4"/>
      <c r="K23" s="4"/>
      <c r="L23" s="4"/>
      <c r="M23" s="22"/>
      <c r="N23" s="22"/>
      <c r="O23" s="22"/>
    </row>
    <row r="24" spans="3:15" x14ac:dyDescent="0.25">
      <c r="C24" s="33" t="str">
        <f>IF(H24=1,"u","")</f>
        <v>u</v>
      </c>
      <c r="D24" s="11" t="s">
        <v>487</v>
      </c>
      <c r="E24" s="33"/>
      <c r="F24" t="s">
        <v>113</v>
      </c>
      <c r="G24" t="s">
        <v>25</v>
      </c>
      <c r="H24">
        <f t="shared" si="0"/>
        <v>1</v>
      </c>
      <c r="I24" s="4">
        <v>1068000</v>
      </c>
      <c r="J24" s="4"/>
      <c r="K24" s="4"/>
      <c r="L24" s="4"/>
      <c r="M24" s="22"/>
      <c r="N24" s="22"/>
      <c r="O24" s="22"/>
    </row>
    <row r="25" spans="3:15" x14ac:dyDescent="0.25">
      <c r="C25" s="33" t="str">
        <f>IF(H25=1,"u","")</f>
        <v/>
      </c>
      <c r="D25" s="11" t="s">
        <v>491</v>
      </c>
      <c r="E25" s="33"/>
      <c r="F25" t="s">
        <v>203</v>
      </c>
      <c r="G25" t="s">
        <v>204</v>
      </c>
      <c r="H25">
        <f t="shared" si="0"/>
        <v>4</v>
      </c>
      <c r="I25" s="4">
        <v>2876103</v>
      </c>
      <c r="J25" s="4"/>
      <c r="K25" s="4"/>
      <c r="L25" s="4"/>
      <c r="M25" s="22"/>
      <c r="N25" s="22"/>
      <c r="O25" s="22"/>
    </row>
    <row r="26" spans="3:15" x14ac:dyDescent="0.25">
      <c r="C26" s="33"/>
      <c r="D26" s="11" t="s">
        <v>681</v>
      </c>
      <c r="E26" s="33"/>
      <c r="F26" t="s">
        <v>199</v>
      </c>
      <c r="G26" t="s">
        <v>93</v>
      </c>
      <c r="H26">
        <f t="shared" si="0"/>
        <v>6</v>
      </c>
      <c r="I26" s="4">
        <v>5251040</v>
      </c>
      <c r="J26" s="4"/>
      <c r="K26" s="4"/>
      <c r="L26" s="4"/>
      <c r="M26" s="22"/>
      <c r="N26" s="22"/>
      <c r="O26" s="22"/>
    </row>
    <row r="27" spans="3:15" x14ac:dyDescent="0.25">
      <c r="C27" s="33"/>
      <c r="D27" s="11" t="s">
        <v>429</v>
      </c>
      <c r="E27" s="33"/>
      <c r="F27" t="s">
        <v>131</v>
      </c>
      <c r="G27" t="s">
        <v>25</v>
      </c>
      <c r="H27">
        <f t="shared" si="0"/>
        <v>3</v>
      </c>
      <c r="I27" s="4">
        <v>2768000</v>
      </c>
      <c r="J27" s="4"/>
      <c r="K27" s="4"/>
      <c r="L27" s="4"/>
      <c r="M27" s="22"/>
      <c r="N27" s="22"/>
      <c r="O27" s="22"/>
    </row>
    <row r="28" spans="3:15" x14ac:dyDescent="0.25">
      <c r="C28" s="33"/>
      <c r="D28" s="11" t="s">
        <v>824</v>
      </c>
      <c r="E28" s="33"/>
      <c r="F28" t="s">
        <v>186</v>
      </c>
      <c r="G28" t="s">
        <v>25</v>
      </c>
      <c r="H28">
        <f t="shared" si="0"/>
        <v>5</v>
      </c>
      <c r="I28" s="4">
        <v>3780000</v>
      </c>
      <c r="J28" s="4"/>
      <c r="K28" s="4"/>
      <c r="L28" s="4"/>
      <c r="M28" s="22"/>
      <c r="N28" s="22"/>
      <c r="O28" s="22"/>
    </row>
    <row r="29" spans="3:15" x14ac:dyDescent="0.25">
      <c r="C29" s="33" t="str">
        <f t="shared" ref="C29:C43" si="1">IF(H29=1,"u","")</f>
        <v/>
      </c>
      <c r="D29" s="11"/>
      <c r="E29" s="33"/>
      <c r="I29" s="4"/>
      <c r="J29" s="4"/>
      <c r="K29" s="4"/>
      <c r="L29" s="4"/>
      <c r="M29" s="22"/>
      <c r="N29" s="22"/>
      <c r="O29" s="22"/>
    </row>
    <row r="30" spans="3:15" x14ac:dyDescent="0.25">
      <c r="C30" s="33" t="str">
        <f t="shared" si="1"/>
        <v/>
      </c>
      <c r="D30" s="11"/>
      <c r="E30" s="33"/>
      <c r="I30" s="4"/>
      <c r="J30" s="4"/>
      <c r="K30" s="4"/>
      <c r="L30" s="4"/>
      <c r="M30" s="22"/>
      <c r="N30" s="22"/>
      <c r="O30" s="22"/>
    </row>
    <row r="31" spans="3:15" x14ac:dyDescent="0.25">
      <c r="C31" s="33" t="str">
        <f t="shared" si="1"/>
        <v/>
      </c>
      <c r="D31" s="11"/>
      <c r="E31" s="33"/>
      <c r="I31" s="4"/>
      <c r="J31" s="4"/>
      <c r="K31" s="4"/>
      <c r="L31" s="4"/>
      <c r="M31" s="22"/>
      <c r="N31" s="22"/>
      <c r="O31" s="22"/>
    </row>
    <row r="32" spans="3:15" x14ac:dyDescent="0.25">
      <c r="C32" s="33" t="str">
        <f t="shared" si="1"/>
        <v/>
      </c>
      <c r="D32" s="11"/>
      <c r="E32" s="33"/>
      <c r="I32" s="4"/>
      <c r="J32" s="4"/>
      <c r="K32" s="4"/>
      <c r="L32" s="4"/>
      <c r="M32" s="22"/>
      <c r="N32" s="22"/>
      <c r="O32" s="22"/>
    </row>
    <row r="33" spans="3:15" x14ac:dyDescent="0.25">
      <c r="C33" s="33" t="str">
        <f t="shared" si="1"/>
        <v/>
      </c>
      <c r="D33" s="11"/>
      <c r="E33" s="33"/>
      <c r="I33" s="4"/>
      <c r="M33" s="21"/>
      <c r="N33" s="21"/>
      <c r="O33" s="21"/>
    </row>
    <row r="34" spans="3:15" x14ac:dyDescent="0.25">
      <c r="C34" s="33" t="str">
        <f t="shared" si="1"/>
        <v/>
      </c>
      <c r="D34" s="11"/>
      <c r="E34" s="33"/>
      <c r="I34" s="4"/>
      <c r="M34" s="21"/>
      <c r="N34" s="21"/>
      <c r="O34" s="21"/>
    </row>
    <row r="35" spans="3:15" x14ac:dyDescent="0.25">
      <c r="C35" s="33" t="str">
        <f t="shared" si="1"/>
        <v/>
      </c>
      <c r="D35" s="11"/>
      <c r="E35" s="33"/>
      <c r="I35" s="4"/>
      <c r="M35" s="21"/>
      <c r="N35" s="21"/>
      <c r="O35" s="21"/>
    </row>
    <row r="36" spans="3:15" x14ac:dyDescent="0.25">
      <c r="C36" s="33" t="str">
        <f t="shared" si="1"/>
        <v/>
      </c>
      <c r="D36" s="11"/>
      <c r="E36" s="33" t="str">
        <f t="shared" ref="E36:E43" si="2">IF(H36=1,"t","")</f>
        <v/>
      </c>
      <c r="M36" s="21"/>
      <c r="N36" s="21"/>
      <c r="O36" s="21"/>
    </row>
    <row r="37" spans="3:15" x14ac:dyDescent="0.25">
      <c r="C37" s="33" t="str">
        <f t="shared" si="1"/>
        <v/>
      </c>
      <c r="D37" s="11"/>
      <c r="E37" s="33" t="str">
        <f t="shared" si="2"/>
        <v/>
      </c>
      <c r="M37" s="21"/>
      <c r="N37" s="21"/>
      <c r="O37" s="21"/>
    </row>
    <row r="38" spans="3:15" x14ac:dyDescent="0.25">
      <c r="C38" s="33" t="str">
        <f t="shared" si="1"/>
        <v/>
      </c>
      <c r="D38" s="11"/>
      <c r="E38" s="33" t="str">
        <f t="shared" si="2"/>
        <v/>
      </c>
      <c r="M38" s="21"/>
      <c r="N38" s="21"/>
      <c r="O38" s="21"/>
    </row>
    <row r="39" spans="3:15" x14ac:dyDescent="0.25">
      <c r="C39" s="33" t="str">
        <f t="shared" si="1"/>
        <v/>
      </c>
      <c r="D39" s="11"/>
      <c r="E39" s="33" t="str">
        <f t="shared" si="2"/>
        <v/>
      </c>
      <c r="M39" s="21"/>
      <c r="N39" s="21"/>
      <c r="O39" s="21"/>
    </row>
    <row r="40" spans="3:15" x14ac:dyDescent="0.25">
      <c r="C40" s="33" t="str">
        <f t="shared" si="1"/>
        <v/>
      </c>
      <c r="D40" s="11"/>
      <c r="E40" s="33" t="str">
        <f t="shared" si="2"/>
        <v/>
      </c>
      <c r="M40" s="21"/>
      <c r="N40" s="21"/>
      <c r="O40" s="21"/>
    </row>
    <row r="41" spans="3:15" x14ac:dyDescent="0.25">
      <c r="C41" s="33" t="str">
        <f t="shared" si="1"/>
        <v/>
      </c>
      <c r="D41" s="11"/>
      <c r="E41" s="33" t="str">
        <f t="shared" si="2"/>
        <v/>
      </c>
      <c r="M41" s="21"/>
      <c r="N41" s="21"/>
      <c r="O41" s="21"/>
    </row>
    <row r="42" spans="3:15" x14ac:dyDescent="0.25">
      <c r="C42" s="33" t="str">
        <f t="shared" si="1"/>
        <v/>
      </c>
      <c r="D42" s="11"/>
      <c r="E42" s="33" t="str">
        <f t="shared" si="2"/>
        <v/>
      </c>
      <c r="M42" s="21"/>
      <c r="N42" s="21"/>
      <c r="O42" s="21"/>
    </row>
    <row r="43" spans="3:15" x14ac:dyDescent="0.25">
      <c r="C43" s="33" t="str">
        <f t="shared" si="1"/>
        <v/>
      </c>
      <c r="D43" s="11"/>
      <c r="E43" s="33" t="str">
        <f t="shared" si="2"/>
        <v/>
      </c>
      <c r="M43" s="21"/>
      <c r="N43" s="21"/>
      <c r="O43" s="21"/>
    </row>
    <row r="44" spans="3:15" ht="6" customHeight="1" x14ac:dyDescent="0.25">
      <c r="C44" s="9"/>
      <c r="D44" s="9"/>
      <c r="E44" s="9"/>
      <c r="F44" s="9"/>
      <c r="G44" s="9"/>
      <c r="H44" s="9"/>
      <c r="I44" s="9"/>
      <c r="J44" s="9"/>
      <c r="K44" s="9"/>
      <c r="L44" s="9"/>
      <c r="M44" s="21"/>
      <c r="N44" s="21"/>
      <c r="O44" s="21"/>
    </row>
    <row r="45" spans="3:15" ht="6" customHeight="1" x14ac:dyDescent="0.25">
      <c r="M45" s="21"/>
      <c r="N45" s="21"/>
      <c r="O45" s="21"/>
    </row>
    <row r="46" spans="3:15" x14ac:dyDescent="0.25">
      <c r="C46" s="15" t="s">
        <v>79</v>
      </c>
      <c r="M46" s="21"/>
      <c r="N46" s="21"/>
      <c r="O46" s="21"/>
    </row>
    <row r="47" spans="3:15" x14ac:dyDescent="0.25">
      <c r="C47" s="15" t="s">
        <v>78</v>
      </c>
    </row>
  </sheetData>
  <mergeCells count="1">
    <mergeCell ref="G13:H13"/>
  </mergeCells>
  <conditionalFormatting sqref="I9">
    <cfRule type="containsText" dxfId="2057" priority="18" operator="containsText" text="FAIL">
      <formula>NOT(ISERROR(SEARCH("FAIL",I9)))</formula>
    </cfRule>
  </conditionalFormatting>
  <conditionalFormatting sqref="I9">
    <cfRule type="containsText" dxfId="2056" priority="17" operator="containsText" text="GOOD">
      <formula>NOT(ISERROR(SEARCH("GOOD",I9)))</formula>
    </cfRule>
  </conditionalFormatting>
  <conditionalFormatting sqref="F11">
    <cfRule type="containsText" dxfId="2055" priority="16" operator="containsText" text="FAIL">
      <formula>NOT(ISERROR(SEARCH("FAIL",F11)))</formula>
    </cfRule>
  </conditionalFormatting>
  <conditionalFormatting sqref="F11">
    <cfRule type="containsText" dxfId="2054" priority="15" operator="containsText" text="GOOD">
      <formula>NOT(ISERROR(SEARCH("GOOD",F11)))</formula>
    </cfRule>
  </conditionalFormatting>
  <conditionalFormatting sqref="D25">
    <cfRule type="expression" dxfId="2053" priority="14" stopIfTrue="1">
      <formula>IF($H$25=1,0)</formula>
    </cfRule>
  </conditionalFormatting>
  <conditionalFormatting sqref="D23 D29:D43 D25">
    <cfRule type="expression" dxfId="2052" priority="13">
      <formula>H23=1</formula>
    </cfRule>
  </conditionalFormatting>
  <conditionalFormatting sqref="C23:C26 C29:C43">
    <cfRule type="expression" dxfId="2051" priority="12">
      <formula>H23=1</formula>
    </cfRule>
  </conditionalFormatting>
  <conditionalFormatting sqref="E23 E29:E43 E25">
    <cfRule type="expression" dxfId="2050" priority="11">
      <formula>H23=1</formula>
    </cfRule>
  </conditionalFormatting>
  <conditionalFormatting sqref="F11">
    <cfRule type="containsText" dxfId="2049" priority="10" operator="containsText" text="FAIL">
      <formula>NOT(ISERROR(SEARCH("FAIL",F11)))</formula>
    </cfRule>
  </conditionalFormatting>
  <conditionalFormatting sqref="F11">
    <cfRule type="containsText" dxfId="2048" priority="9" operator="containsText" text="GOOD">
      <formula>NOT(ISERROR(SEARCH("GOOD",F11)))</formula>
    </cfRule>
  </conditionalFormatting>
  <conditionalFormatting sqref="D27:D28">
    <cfRule type="expression" dxfId="2047" priority="8">
      <formula>H27=1</formula>
    </cfRule>
  </conditionalFormatting>
  <conditionalFormatting sqref="C27:C28">
    <cfRule type="expression" dxfId="2046" priority="7">
      <formula>H27=1</formula>
    </cfRule>
  </conditionalFormatting>
  <conditionalFormatting sqref="E27:E28">
    <cfRule type="expression" dxfId="2045" priority="6">
      <formula>H27=1</formula>
    </cfRule>
  </conditionalFormatting>
  <conditionalFormatting sqref="D24">
    <cfRule type="expression" dxfId="2044" priority="5" stopIfTrue="1">
      <formula>IF($H$25=1,0)</formula>
    </cfRule>
  </conditionalFormatting>
  <conditionalFormatting sqref="D24">
    <cfRule type="expression" dxfId="2043" priority="4">
      <formula>H24=1</formula>
    </cfRule>
  </conditionalFormatting>
  <conditionalFormatting sqref="E24">
    <cfRule type="expression" dxfId="2042" priority="3">
      <formula>H24=1</formula>
    </cfRule>
  </conditionalFormatting>
  <conditionalFormatting sqref="D26">
    <cfRule type="expression" dxfId="2041" priority="2">
      <formula>H26=1</formula>
    </cfRule>
  </conditionalFormatting>
  <conditionalFormatting sqref="E26">
    <cfRule type="expression" dxfId="2040" priority="1">
      <formula>H26=1</formula>
    </cfRule>
  </conditionalFormatting>
  <pageMargins left="0.7" right="0.7" top="0.75" bottom="0.75" header="0.3" footer="0.3"/>
  <pageSetup scale="68"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Sheet32"/>
  <dimension ref="A2:P47"/>
  <sheetViews>
    <sheetView zoomScaleNormal="100" workbookViewId="0">
      <selection activeCell="M3" sqref="M3"/>
    </sheetView>
  </sheetViews>
  <sheetFormatPr defaultRowHeight="15" x14ac:dyDescent="0.25"/>
  <cols>
    <col min="1" max="2" width="4.42578125" customWidth="1"/>
    <col min="3" max="3" width="3" customWidth="1"/>
    <col min="4" max="4" width="24.85546875" customWidth="1"/>
    <col min="5" max="5" width="3" customWidth="1"/>
    <col min="6" max="6" width="15.7109375" customWidth="1"/>
    <col min="7" max="7" width="8.5703125" customWidth="1"/>
    <col min="8" max="8" width="5.85546875" customWidth="1"/>
    <col min="9" max="15" width="15.7109375" customWidth="1"/>
  </cols>
  <sheetData>
    <row r="2" spans="1:16" x14ac:dyDescent="0.25">
      <c r="C2" s="15" t="s">
        <v>32</v>
      </c>
      <c r="E2" s="15"/>
      <c r="F2" s="15"/>
      <c r="G2" s="15" t="s">
        <v>33</v>
      </c>
      <c r="H2" s="15"/>
      <c r="I2" s="15"/>
      <c r="J2" s="15"/>
      <c r="K2" s="15"/>
    </row>
    <row r="3" spans="1:16" ht="18.75" x14ac:dyDescent="0.3">
      <c r="C3" s="3" t="s">
        <v>26</v>
      </c>
      <c r="J3" s="8" t="s">
        <v>17</v>
      </c>
      <c r="P3" s="100"/>
    </row>
    <row r="4" spans="1:16" x14ac:dyDescent="0.25">
      <c r="D4" s="2" t="s">
        <v>0</v>
      </c>
      <c r="E4" s="1"/>
      <c r="F4" t="s">
        <v>1091</v>
      </c>
      <c r="I4" s="2" t="s">
        <v>4</v>
      </c>
      <c r="J4" t="s">
        <v>962</v>
      </c>
    </row>
    <row r="5" spans="1:16" x14ac:dyDescent="0.25">
      <c r="D5" s="2" t="s">
        <v>1</v>
      </c>
      <c r="F5" t="s">
        <v>1092</v>
      </c>
    </row>
    <row r="6" spans="1:16" x14ac:dyDescent="0.25">
      <c r="D6" s="2" t="s">
        <v>2</v>
      </c>
      <c r="F6" s="6">
        <v>43006</v>
      </c>
      <c r="H6" s="11"/>
    </row>
    <row r="7" spans="1:16" x14ac:dyDescent="0.25">
      <c r="D7" s="2" t="s">
        <v>3</v>
      </c>
      <c r="F7" s="5">
        <v>609000</v>
      </c>
      <c r="G7" s="2" t="s">
        <v>693</v>
      </c>
      <c r="H7" s="11"/>
    </row>
    <row r="8" spans="1:16" x14ac:dyDescent="0.25">
      <c r="D8" s="2" t="s">
        <v>18</v>
      </c>
      <c r="F8" s="5">
        <f>MIN(I23:I43)</f>
        <v>579300</v>
      </c>
      <c r="H8" s="11"/>
    </row>
    <row r="9" spans="1:16" x14ac:dyDescent="0.25">
      <c r="D9" s="2" t="s">
        <v>67</v>
      </c>
      <c r="F9" s="4">
        <f>+F8-F7</f>
        <v>-29700</v>
      </c>
      <c r="G9" s="16">
        <f>+F9/F7</f>
        <v>-4.8768472906403938E-2</v>
      </c>
      <c r="H9" s="12" t="s">
        <v>20</v>
      </c>
      <c r="I9" s="11" t="str">
        <f>(IF(G9&lt;-0.1,"FAIL",IF(G9&gt;0.05,"FAIL","GOOD")))</f>
        <v>GOOD</v>
      </c>
      <c r="J9" s="14" t="s">
        <v>72</v>
      </c>
    </row>
    <row r="10" spans="1:16" x14ac:dyDescent="0.25">
      <c r="D10" s="2" t="s">
        <v>68</v>
      </c>
      <c r="F10" s="4">
        <f>+F7-F12</f>
        <v>-1468912.5</v>
      </c>
      <c r="H10" s="11"/>
    </row>
    <row r="11" spans="1:16" x14ac:dyDescent="0.25">
      <c r="A11" s="52"/>
      <c r="D11" s="2" t="s">
        <v>71</v>
      </c>
      <c r="F11" s="11" t="str">
        <f>(IF(F7&lt;J12,"FAIL",IF(F7&gt;J13,"FAIL","GOOD")))</f>
        <v>GOOD</v>
      </c>
      <c r="H11" s="11"/>
    </row>
    <row r="12" spans="1:16" x14ac:dyDescent="0.25">
      <c r="D12" s="2" t="s">
        <v>28</v>
      </c>
      <c r="F12" s="4">
        <f>SUM(I23:I43)/H12</f>
        <v>2077912.5</v>
      </c>
      <c r="G12" s="14"/>
      <c r="H12" s="11">
        <f>COUNT(I23:I43)</f>
        <v>4</v>
      </c>
      <c r="I12" s="1" t="s">
        <v>31</v>
      </c>
      <c r="J12" s="4">
        <f>+F8*0.9</f>
        <v>521370</v>
      </c>
      <c r="K12" s="1" t="s">
        <v>69</v>
      </c>
    </row>
    <row r="13" spans="1:16" x14ac:dyDescent="0.25">
      <c r="D13" s="2" t="s">
        <v>29</v>
      </c>
      <c r="F13" s="4">
        <f>MAX(I23:I43)-MIN(I23:I43)</f>
        <v>2534750</v>
      </c>
      <c r="G13" s="399">
        <f>MEDIAN(I23:I43)</f>
        <v>2309150</v>
      </c>
      <c r="H13" s="400"/>
      <c r="I13" s="1" t="s">
        <v>30</v>
      </c>
      <c r="J13" s="4">
        <f>+F12*1.1</f>
        <v>2285703.75</v>
      </c>
      <c r="K13" s="1" t="s">
        <v>70</v>
      </c>
    </row>
    <row r="14" spans="1:16" x14ac:dyDescent="0.25">
      <c r="H14" s="11"/>
    </row>
    <row r="15" spans="1:16" x14ac:dyDescent="0.25">
      <c r="D15" s="2" t="s">
        <v>8</v>
      </c>
      <c r="F15" s="4"/>
      <c r="G15" s="1" t="s">
        <v>9</v>
      </c>
      <c r="H15" s="11"/>
      <c r="I15" t="s">
        <v>15</v>
      </c>
      <c r="J15" s="7" t="e">
        <f>+F16/F15</f>
        <v>#DIV/0!</v>
      </c>
    </row>
    <row r="16" spans="1:16" x14ac:dyDescent="0.25">
      <c r="F16" s="4"/>
      <c r="G16" s="1" t="s">
        <v>10</v>
      </c>
      <c r="H16" s="11"/>
      <c r="I16" t="s">
        <v>14</v>
      </c>
      <c r="J16" s="7" t="e">
        <f>+F17/F16</f>
        <v>#DIV/0!</v>
      </c>
    </row>
    <row r="17" spans="3:15" x14ac:dyDescent="0.25">
      <c r="F17" s="4"/>
      <c r="G17" s="1" t="s">
        <v>11</v>
      </c>
      <c r="H17" s="11"/>
      <c r="I17" t="s">
        <v>13</v>
      </c>
      <c r="J17" s="7" t="e">
        <f>+F18/F17</f>
        <v>#DIV/0!</v>
      </c>
      <c r="M17" s="21"/>
      <c r="N17" s="21"/>
      <c r="O17" s="21"/>
    </row>
    <row r="18" spans="3:15" x14ac:dyDescent="0.25">
      <c r="F18" s="4"/>
      <c r="G18" s="1" t="s">
        <v>12</v>
      </c>
      <c r="H18" s="11"/>
      <c r="I18" t="s">
        <v>16</v>
      </c>
      <c r="J18" s="7" t="e">
        <f>+F8/F18</f>
        <v>#DIV/0!</v>
      </c>
      <c r="M18" s="21"/>
      <c r="N18" s="21"/>
      <c r="O18" s="21"/>
    </row>
    <row r="19" spans="3:15" x14ac:dyDescent="0.25">
      <c r="F19" s="2" t="s">
        <v>51</v>
      </c>
      <c r="G19">
        <v>0</v>
      </c>
      <c r="H19" s="11" t="s">
        <v>52</v>
      </c>
      <c r="I19" t="s">
        <v>41</v>
      </c>
      <c r="J19" s="7" t="e">
        <f>+F8/F15</f>
        <v>#DIV/0!</v>
      </c>
      <c r="M19" s="21"/>
      <c r="N19" s="21"/>
      <c r="O19" s="21"/>
    </row>
    <row r="20" spans="3:15" x14ac:dyDescent="0.25">
      <c r="H20" s="11"/>
      <c r="M20" s="21"/>
      <c r="N20" s="21"/>
      <c r="O20" s="21"/>
    </row>
    <row r="21" spans="3:15" x14ac:dyDescent="0.25">
      <c r="C21" s="9"/>
      <c r="D21" s="13" t="s">
        <v>21</v>
      </c>
      <c r="E21" s="9"/>
      <c r="F21" s="9" t="s">
        <v>22</v>
      </c>
      <c r="G21" s="9" t="s">
        <v>23</v>
      </c>
      <c r="H21" s="13" t="s">
        <v>27</v>
      </c>
      <c r="I21" s="10" t="s">
        <v>24</v>
      </c>
      <c r="J21" s="9"/>
      <c r="K21" s="9"/>
      <c r="L21" s="9"/>
      <c r="M21" s="21"/>
      <c r="N21" s="21"/>
      <c r="O21" s="21"/>
    </row>
    <row r="22" spans="3:15" ht="6" customHeight="1" x14ac:dyDescent="0.25">
      <c r="M22" s="21"/>
      <c r="N22" s="21"/>
      <c r="O22" s="21"/>
    </row>
    <row r="23" spans="3:15" x14ac:dyDescent="0.25">
      <c r="C23" s="33" t="str">
        <f>IF(H23=1,"u","")</f>
        <v/>
      </c>
      <c r="D23" s="11" t="s">
        <v>793</v>
      </c>
      <c r="E23" s="33"/>
      <c r="F23" t="s">
        <v>181</v>
      </c>
      <c r="G23" t="s">
        <v>93</v>
      </c>
      <c r="H23">
        <f>RANK(I23,I$23:I$43,1)</f>
        <v>4</v>
      </c>
      <c r="I23" s="4">
        <v>3114050</v>
      </c>
      <c r="J23" s="4"/>
      <c r="K23" s="4"/>
      <c r="L23" s="4"/>
      <c r="M23" s="22"/>
      <c r="N23" s="22"/>
      <c r="O23" s="22"/>
    </row>
    <row r="24" spans="3:15" x14ac:dyDescent="0.25">
      <c r="C24" s="33" t="str">
        <f>IF(H24=1,"u","")</f>
        <v/>
      </c>
      <c r="D24" s="11" t="s">
        <v>708</v>
      </c>
      <c r="E24" s="33"/>
      <c r="F24" t="s">
        <v>709</v>
      </c>
      <c r="G24" t="s">
        <v>93</v>
      </c>
      <c r="H24">
        <f>RANK(I24,I$23:I$43,1)</f>
        <v>2</v>
      </c>
      <c r="I24" s="4">
        <v>1699000</v>
      </c>
      <c r="J24" s="4"/>
      <c r="K24" s="4"/>
      <c r="L24" s="4"/>
      <c r="M24" s="22"/>
      <c r="N24" s="22"/>
      <c r="O24" s="22"/>
    </row>
    <row r="25" spans="3:15" x14ac:dyDescent="0.25">
      <c r="C25" s="33" t="str">
        <f>IF(H25=1,"u","")</f>
        <v/>
      </c>
      <c r="D25" s="11" t="s">
        <v>725</v>
      </c>
      <c r="E25" s="33"/>
      <c r="F25" t="s">
        <v>594</v>
      </c>
      <c r="G25" t="s">
        <v>25</v>
      </c>
      <c r="H25">
        <f>RANK(I25,I$23:I$43,1)</f>
        <v>3</v>
      </c>
      <c r="I25" s="4">
        <v>2919300</v>
      </c>
      <c r="J25" s="4"/>
      <c r="K25" s="4"/>
      <c r="L25" s="4"/>
      <c r="M25" s="22"/>
      <c r="N25" s="22"/>
      <c r="O25" s="22"/>
    </row>
    <row r="26" spans="3:15" x14ac:dyDescent="0.25">
      <c r="C26" s="33"/>
      <c r="D26" s="11" t="s">
        <v>942</v>
      </c>
      <c r="E26" s="33"/>
      <c r="F26" t="s">
        <v>943</v>
      </c>
      <c r="G26" t="s">
        <v>25</v>
      </c>
      <c r="H26">
        <f>RANK(I26,I$23:I$43,1)</f>
        <v>1</v>
      </c>
      <c r="I26" s="4">
        <v>579300</v>
      </c>
      <c r="J26" s="4"/>
      <c r="K26" s="4"/>
      <c r="L26" s="4"/>
      <c r="M26" s="22"/>
      <c r="N26" s="22"/>
      <c r="O26" s="22"/>
    </row>
    <row r="27" spans="3:15" x14ac:dyDescent="0.25">
      <c r="C27" s="33"/>
      <c r="D27" s="11"/>
      <c r="E27" s="33"/>
      <c r="I27" s="4"/>
      <c r="J27" s="4"/>
      <c r="K27" s="4"/>
      <c r="L27" s="4"/>
      <c r="M27" s="22"/>
      <c r="N27" s="22"/>
      <c r="O27" s="22"/>
    </row>
    <row r="28" spans="3:15" x14ac:dyDescent="0.25">
      <c r="C28" s="33"/>
      <c r="D28" s="11"/>
      <c r="E28" s="33"/>
      <c r="I28" s="4"/>
      <c r="J28" s="4"/>
      <c r="K28" s="4"/>
      <c r="L28" s="4"/>
      <c r="M28" s="22"/>
      <c r="N28" s="22"/>
      <c r="O28" s="22"/>
    </row>
    <row r="29" spans="3:15" x14ac:dyDescent="0.25">
      <c r="C29" s="33" t="str">
        <f t="shared" ref="C29:C43" si="0">IF(H29=1,"u","")</f>
        <v/>
      </c>
      <c r="D29" s="11"/>
      <c r="E29" s="33"/>
      <c r="I29" s="4"/>
      <c r="J29" s="4"/>
      <c r="K29" s="4"/>
      <c r="L29" s="4"/>
      <c r="M29" s="22"/>
      <c r="N29" s="22"/>
      <c r="O29" s="22"/>
    </row>
    <row r="30" spans="3:15" x14ac:dyDescent="0.25">
      <c r="C30" s="33" t="str">
        <f t="shared" si="0"/>
        <v/>
      </c>
      <c r="D30" s="11"/>
      <c r="E30" s="33"/>
      <c r="I30" s="4"/>
      <c r="J30" s="4"/>
      <c r="K30" s="4"/>
      <c r="L30" s="4"/>
      <c r="M30" s="22"/>
      <c r="N30" s="22"/>
      <c r="O30" s="22"/>
    </row>
    <row r="31" spans="3:15" x14ac:dyDescent="0.25">
      <c r="C31" s="33" t="str">
        <f t="shared" si="0"/>
        <v/>
      </c>
      <c r="D31" s="11"/>
      <c r="E31" s="33"/>
      <c r="I31" s="4"/>
      <c r="J31" s="4"/>
      <c r="K31" s="4"/>
      <c r="L31" s="4"/>
      <c r="M31" s="22"/>
      <c r="N31" s="22"/>
      <c r="O31" s="22"/>
    </row>
    <row r="32" spans="3:15" x14ac:dyDescent="0.25">
      <c r="C32" s="33" t="str">
        <f t="shared" si="0"/>
        <v/>
      </c>
      <c r="D32" s="11"/>
      <c r="E32" s="33"/>
      <c r="I32" s="4"/>
      <c r="J32" s="4"/>
      <c r="K32" s="4"/>
      <c r="L32" s="4"/>
      <c r="M32" s="22"/>
      <c r="N32" s="22"/>
      <c r="O32" s="22"/>
    </row>
    <row r="33" spans="3:15" x14ac:dyDescent="0.25">
      <c r="C33" s="33" t="str">
        <f t="shared" si="0"/>
        <v/>
      </c>
      <c r="D33" s="11"/>
      <c r="E33" s="33"/>
      <c r="I33" s="4"/>
      <c r="M33" s="21"/>
      <c r="N33" s="21"/>
      <c r="O33" s="21"/>
    </row>
    <row r="34" spans="3:15" x14ac:dyDescent="0.25">
      <c r="C34" s="33" t="str">
        <f t="shared" si="0"/>
        <v/>
      </c>
      <c r="D34" s="11"/>
      <c r="E34" s="33"/>
      <c r="I34" s="4"/>
      <c r="M34" s="21"/>
      <c r="N34" s="21"/>
      <c r="O34" s="21"/>
    </row>
    <row r="35" spans="3:15" x14ac:dyDescent="0.25">
      <c r="C35" s="33" t="str">
        <f t="shared" si="0"/>
        <v/>
      </c>
      <c r="D35" s="11"/>
      <c r="E35" s="33"/>
      <c r="I35" s="4"/>
      <c r="M35" s="21"/>
      <c r="N35" s="21"/>
      <c r="O35" s="21"/>
    </row>
    <row r="36" spans="3:15" x14ac:dyDescent="0.25">
      <c r="C36" s="33" t="str">
        <f t="shared" si="0"/>
        <v/>
      </c>
      <c r="D36" s="11"/>
      <c r="E36" s="33" t="str">
        <f t="shared" ref="E36:E43" si="1">IF(H36=1,"t","")</f>
        <v/>
      </c>
      <c r="M36" s="21"/>
      <c r="N36" s="21"/>
      <c r="O36" s="21"/>
    </row>
    <row r="37" spans="3:15" x14ac:dyDescent="0.25">
      <c r="C37" s="33" t="str">
        <f t="shared" si="0"/>
        <v/>
      </c>
      <c r="D37" s="11"/>
      <c r="E37" s="33" t="str">
        <f t="shared" si="1"/>
        <v/>
      </c>
      <c r="M37" s="21"/>
      <c r="N37" s="21"/>
      <c r="O37" s="21"/>
    </row>
    <row r="38" spans="3:15" x14ac:dyDescent="0.25">
      <c r="C38" s="33" t="str">
        <f t="shared" si="0"/>
        <v/>
      </c>
      <c r="D38" s="11"/>
      <c r="E38" s="33" t="str">
        <f t="shared" si="1"/>
        <v/>
      </c>
      <c r="M38" s="21"/>
      <c r="N38" s="21"/>
      <c r="O38" s="21"/>
    </row>
    <row r="39" spans="3:15" x14ac:dyDescent="0.25">
      <c r="C39" s="33" t="str">
        <f t="shared" si="0"/>
        <v/>
      </c>
      <c r="D39" s="11"/>
      <c r="E39" s="33" t="str">
        <f t="shared" si="1"/>
        <v/>
      </c>
      <c r="M39" s="21"/>
      <c r="N39" s="21"/>
      <c r="O39" s="21"/>
    </row>
    <row r="40" spans="3:15" x14ac:dyDescent="0.25">
      <c r="C40" s="33" t="str">
        <f t="shared" si="0"/>
        <v/>
      </c>
      <c r="D40" s="11"/>
      <c r="E40" s="33" t="str">
        <f t="shared" si="1"/>
        <v/>
      </c>
      <c r="M40" s="21"/>
      <c r="N40" s="21"/>
      <c r="O40" s="21"/>
    </row>
    <row r="41" spans="3:15" x14ac:dyDescent="0.25">
      <c r="C41" s="33" t="str">
        <f t="shared" si="0"/>
        <v/>
      </c>
      <c r="D41" s="11"/>
      <c r="E41" s="33" t="str">
        <f t="shared" si="1"/>
        <v/>
      </c>
      <c r="M41" s="21"/>
      <c r="N41" s="21"/>
      <c r="O41" s="21"/>
    </row>
    <row r="42" spans="3:15" x14ac:dyDescent="0.25">
      <c r="C42" s="33" t="str">
        <f t="shared" si="0"/>
        <v/>
      </c>
      <c r="D42" s="11"/>
      <c r="E42" s="33" t="str">
        <f t="shared" si="1"/>
        <v/>
      </c>
      <c r="M42" s="21"/>
      <c r="N42" s="21"/>
      <c r="O42" s="21"/>
    </row>
    <row r="43" spans="3:15" x14ac:dyDescent="0.25">
      <c r="C43" s="33" t="str">
        <f t="shared" si="0"/>
        <v/>
      </c>
      <c r="D43" s="11"/>
      <c r="E43" s="33" t="str">
        <f t="shared" si="1"/>
        <v/>
      </c>
      <c r="M43" s="21"/>
      <c r="N43" s="21"/>
      <c r="O43" s="21"/>
    </row>
    <row r="44" spans="3:15" ht="6" customHeight="1" x14ac:dyDescent="0.25">
      <c r="C44" s="9"/>
      <c r="D44" s="9"/>
      <c r="E44" s="9"/>
      <c r="F44" s="9"/>
      <c r="G44" s="9"/>
      <c r="H44" s="9"/>
      <c r="I44" s="9"/>
      <c r="J44" s="9"/>
      <c r="K44" s="9"/>
      <c r="L44" s="9"/>
      <c r="M44" s="21"/>
      <c r="N44" s="21"/>
      <c r="O44" s="21"/>
    </row>
    <row r="45" spans="3:15" ht="6" customHeight="1" x14ac:dyDescent="0.25">
      <c r="M45" s="21"/>
      <c r="N45" s="21"/>
      <c r="O45" s="21"/>
    </row>
    <row r="46" spans="3:15" x14ac:dyDescent="0.25">
      <c r="C46" s="15" t="s">
        <v>79</v>
      </c>
      <c r="M46" s="21"/>
      <c r="N46" s="21"/>
      <c r="O46" s="21"/>
    </row>
    <row r="47" spans="3:15" x14ac:dyDescent="0.25">
      <c r="C47" s="15" t="s">
        <v>78</v>
      </c>
    </row>
  </sheetData>
  <mergeCells count="1">
    <mergeCell ref="G13:H13"/>
  </mergeCells>
  <conditionalFormatting sqref="I9">
    <cfRule type="containsText" dxfId="2075" priority="18" operator="containsText" text="FAIL">
      <formula>NOT(ISERROR(SEARCH("FAIL",I9)))</formula>
    </cfRule>
  </conditionalFormatting>
  <conditionalFormatting sqref="I9">
    <cfRule type="containsText" dxfId="2074" priority="17" operator="containsText" text="GOOD">
      <formula>NOT(ISERROR(SEARCH("GOOD",I9)))</formula>
    </cfRule>
  </conditionalFormatting>
  <conditionalFormatting sqref="F11">
    <cfRule type="containsText" dxfId="2073" priority="16" operator="containsText" text="FAIL">
      <formula>NOT(ISERROR(SEARCH("FAIL",F11)))</formula>
    </cfRule>
  </conditionalFormatting>
  <conditionalFormatting sqref="F11">
    <cfRule type="containsText" dxfId="2072" priority="15" operator="containsText" text="GOOD">
      <formula>NOT(ISERROR(SEARCH("GOOD",F11)))</formula>
    </cfRule>
  </conditionalFormatting>
  <conditionalFormatting sqref="D25">
    <cfRule type="expression" dxfId="2071" priority="14" stopIfTrue="1">
      <formula>IF($H$25=1,0)</formula>
    </cfRule>
  </conditionalFormatting>
  <conditionalFormatting sqref="D23 D29:D43 D25">
    <cfRule type="expression" dxfId="2070" priority="13">
      <formula>H23=1</formula>
    </cfRule>
  </conditionalFormatting>
  <conditionalFormatting sqref="C23:C26 C29:C43">
    <cfRule type="expression" dxfId="2069" priority="12">
      <formula>H23=1</formula>
    </cfRule>
  </conditionalFormatting>
  <conditionalFormatting sqref="E23 E29:E43 E25">
    <cfRule type="expression" dxfId="2068" priority="11">
      <formula>H23=1</formula>
    </cfRule>
  </conditionalFormatting>
  <conditionalFormatting sqref="F11">
    <cfRule type="containsText" dxfId="2067" priority="10" operator="containsText" text="FAIL">
      <formula>NOT(ISERROR(SEARCH("FAIL",F11)))</formula>
    </cfRule>
  </conditionalFormatting>
  <conditionalFormatting sqref="F11">
    <cfRule type="containsText" dxfId="2066" priority="9" operator="containsText" text="GOOD">
      <formula>NOT(ISERROR(SEARCH("GOOD",F11)))</formula>
    </cfRule>
  </conditionalFormatting>
  <conditionalFormatting sqref="D27:D28">
    <cfRule type="expression" dxfId="2065" priority="8">
      <formula>H27=1</formula>
    </cfRule>
  </conditionalFormatting>
  <conditionalFormatting sqref="C27:C28">
    <cfRule type="expression" dxfId="2064" priority="7">
      <formula>H27=1</formula>
    </cfRule>
  </conditionalFormatting>
  <conditionalFormatting sqref="E27:E28">
    <cfRule type="expression" dxfId="2063" priority="6">
      <formula>H27=1</formula>
    </cfRule>
  </conditionalFormatting>
  <conditionalFormatting sqref="D24">
    <cfRule type="expression" dxfId="2062" priority="5" stopIfTrue="1">
      <formula>IF($H$25=1,0)</formula>
    </cfRule>
  </conditionalFormatting>
  <conditionalFormatting sqref="D24">
    <cfRule type="expression" dxfId="2061" priority="4">
      <formula>H24=1</formula>
    </cfRule>
  </conditionalFormatting>
  <conditionalFormatting sqref="E24">
    <cfRule type="expression" dxfId="2060" priority="3">
      <formula>H24=1</formula>
    </cfRule>
  </conditionalFormatting>
  <conditionalFormatting sqref="D26">
    <cfRule type="expression" dxfId="2059" priority="2">
      <formula>H26=1</formula>
    </cfRule>
  </conditionalFormatting>
  <conditionalFormatting sqref="E26">
    <cfRule type="expression" dxfId="2058" priority="1">
      <formula>H26=1</formula>
    </cfRule>
  </conditionalFormatting>
  <pageMargins left="0.7" right="0.7" top="0.75" bottom="0.75" header="0.3" footer="0.3"/>
  <pageSetup scale="68"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100-000000000000}">
  <sheetPr codeName="Sheet163"/>
  <dimension ref="A2:O47"/>
  <sheetViews>
    <sheetView workbookViewId="0">
      <selection activeCell="I29" sqref="I29"/>
    </sheetView>
  </sheetViews>
  <sheetFormatPr defaultRowHeight="15" x14ac:dyDescent="0.25"/>
  <cols>
    <col min="1" max="2" width="4.42578125" customWidth="1"/>
    <col min="3" max="3" width="3" customWidth="1"/>
    <col min="4" max="4" width="24.85546875" customWidth="1"/>
    <col min="5" max="5" width="3" customWidth="1"/>
    <col min="6" max="6" width="15.7109375" customWidth="1"/>
    <col min="7" max="7" width="8.5703125" customWidth="1"/>
    <col min="8" max="8" width="5.85546875" customWidth="1"/>
    <col min="9" max="15" width="15.7109375" customWidth="1"/>
  </cols>
  <sheetData>
    <row r="2" spans="1:11" x14ac:dyDescent="0.25">
      <c r="C2" s="15" t="s">
        <v>32</v>
      </c>
      <c r="E2" s="15"/>
      <c r="F2" s="15"/>
      <c r="G2" s="15" t="s">
        <v>33</v>
      </c>
      <c r="H2" s="15"/>
      <c r="I2" s="15"/>
      <c r="J2" s="15"/>
      <c r="K2" s="15"/>
    </row>
    <row r="3" spans="1:11" ht="18.75" x14ac:dyDescent="0.3">
      <c r="C3" s="3" t="s">
        <v>26</v>
      </c>
      <c r="J3" s="8" t="s">
        <v>17</v>
      </c>
    </row>
    <row r="4" spans="1:11" x14ac:dyDescent="0.25">
      <c r="D4" s="2" t="s">
        <v>0</v>
      </c>
      <c r="E4" s="1"/>
      <c r="F4" t="s">
        <v>358</v>
      </c>
      <c r="I4" s="2" t="s">
        <v>4</v>
      </c>
      <c r="J4" t="s">
        <v>5</v>
      </c>
    </row>
    <row r="5" spans="1:11" x14ac:dyDescent="0.25">
      <c r="D5" s="2" t="s">
        <v>1</v>
      </c>
      <c r="F5" t="s">
        <v>359</v>
      </c>
    </row>
    <row r="6" spans="1:11" x14ac:dyDescent="0.25">
      <c r="D6" s="2" t="s">
        <v>2</v>
      </c>
      <c r="F6" s="6">
        <v>42103</v>
      </c>
      <c r="H6" s="11"/>
    </row>
    <row r="7" spans="1:11" x14ac:dyDescent="0.25">
      <c r="D7" s="2" t="s">
        <v>3</v>
      </c>
      <c r="F7" s="5">
        <v>1850000</v>
      </c>
      <c r="G7" s="2" t="s">
        <v>34</v>
      </c>
      <c r="H7" s="11"/>
    </row>
    <row r="8" spans="1:11" x14ac:dyDescent="0.25">
      <c r="D8" s="2" t="s">
        <v>18</v>
      </c>
      <c r="F8" s="5">
        <f>MIN(I23:I43)</f>
        <v>2137550</v>
      </c>
      <c r="H8" s="11"/>
    </row>
    <row r="9" spans="1:11" x14ac:dyDescent="0.25">
      <c r="D9" s="2" t="s">
        <v>67</v>
      </c>
      <c r="F9" s="4">
        <f>+F8-F7</f>
        <v>287550</v>
      </c>
      <c r="G9" s="16">
        <f>+F9/F7</f>
        <v>0.15543243243243243</v>
      </c>
      <c r="H9" s="12" t="s">
        <v>20</v>
      </c>
      <c r="I9" s="11" t="str">
        <f>(IF(G9&lt;-0.1,"FAIL",IF(G9&gt;0.05,"FAIL","GOOD")))</f>
        <v>FAIL</v>
      </c>
      <c r="J9" s="14" t="s">
        <v>72</v>
      </c>
    </row>
    <row r="10" spans="1:11" x14ac:dyDescent="0.25">
      <c r="D10" s="2" t="s">
        <v>68</v>
      </c>
      <c r="F10" s="4">
        <f>+F7-F12</f>
        <v>-2406180</v>
      </c>
      <c r="H10" s="11"/>
    </row>
    <row r="11" spans="1:11" x14ac:dyDescent="0.25">
      <c r="A11" s="30"/>
      <c r="D11" s="2" t="s">
        <v>71</v>
      </c>
      <c r="F11" s="11" t="str">
        <f>(IF(F7&lt;J12,"FAIL",IF(F7&gt;J13,"FAIL","GOOD")))</f>
        <v>FAIL</v>
      </c>
      <c r="H11" s="11"/>
    </row>
    <row r="12" spans="1:11" x14ac:dyDescent="0.25">
      <c r="D12" s="2" t="s">
        <v>28</v>
      </c>
      <c r="F12" s="4">
        <f>SUM(I23:I43)/H12</f>
        <v>4256180</v>
      </c>
      <c r="G12" s="14"/>
      <c r="H12" s="11">
        <f>COUNT(I23:I43)</f>
        <v>8</v>
      </c>
      <c r="I12" s="1" t="s">
        <v>31</v>
      </c>
      <c r="J12" s="4">
        <f>+F8*0.9</f>
        <v>1923795</v>
      </c>
      <c r="K12" s="1" t="s">
        <v>69</v>
      </c>
    </row>
    <row r="13" spans="1:11" x14ac:dyDescent="0.25">
      <c r="D13" s="2" t="s">
        <v>29</v>
      </c>
      <c r="F13" s="4">
        <f>MAX(I23:I43)-MIN(I23:I43)</f>
        <v>7609450</v>
      </c>
      <c r="G13" s="399">
        <f>MEDIAN(I23:I43)</f>
        <v>3842270</v>
      </c>
      <c r="H13" s="400"/>
      <c r="I13" s="1" t="s">
        <v>30</v>
      </c>
      <c r="J13" s="4">
        <f>+F12*1.1</f>
        <v>4681798</v>
      </c>
      <c r="K13" s="1" t="s">
        <v>70</v>
      </c>
    </row>
    <row r="14" spans="1:11" x14ac:dyDescent="0.25">
      <c r="H14" s="11"/>
    </row>
    <row r="15" spans="1:11" x14ac:dyDescent="0.25">
      <c r="D15" s="2" t="s">
        <v>8</v>
      </c>
      <c r="F15" s="4"/>
      <c r="G15" s="1" t="s">
        <v>9</v>
      </c>
      <c r="H15" s="11"/>
      <c r="I15" t="s">
        <v>15</v>
      </c>
      <c r="J15" s="7" t="e">
        <f>+F16/F15</f>
        <v>#DIV/0!</v>
      </c>
    </row>
    <row r="16" spans="1:11" x14ac:dyDescent="0.25">
      <c r="F16" s="4"/>
      <c r="G16" s="1" t="s">
        <v>10</v>
      </c>
      <c r="H16" s="11"/>
      <c r="I16" t="s">
        <v>14</v>
      </c>
      <c r="J16" s="7" t="e">
        <f>+F17/F16</f>
        <v>#DIV/0!</v>
      </c>
    </row>
    <row r="17" spans="3:15" x14ac:dyDescent="0.25">
      <c r="F17" s="4"/>
      <c r="G17" s="1" t="s">
        <v>11</v>
      </c>
      <c r="H17" s="11"/>
      <c r="I17" t="s">
        <v>13</v>
      </c>
      <c r="J17" s="7" t="e">
        <f>+F18/F17</f>
        <v>#DIV/0!</v>
      </c>
      <c r="M17" s="21"/>
      <c r="N17" s="21"/>
      <c r="O17" s="21"/>
    </row>
    <row r="18" spans="3:15" x14ac:dyDescent="0.25">
      <c r="F18" s="4"/>
      <c r="G18" s="1" t="s">
        <v>12</v>
      </c>
      <c r="H18" s="11"/>
      <c r="I18" t="s">
        <v>16</v>
      </c>
      <c r="J18" s="7" t="e">
        <f>+F8/F18</f>
        <v>#DIV/0!</v>
      </c>
      <c r="M18" s="21"/>
      <c r="N18" s="21"/>
      <c r="O18" s="21"/>
    </row>
    <row r="19" spans="3:15" x14ac:dyDescent="0.25">
      <c r="F19" s="2" t="s">
        <v>51</v>
      </c>
      <c r="G19">
        <v>0</v>
      </c>
      <c r="H19" s="11" t="s">
        <v>52</v>
      </c>
      <c r="I19" t="s">
        <v>41</v>
      </c>
      <c r="J19" s="7" t="e">
        <f>+F8/F15</f>
        <v>#DIV/0!</v>
      </c>
      <c r="M19" s="21"/>
      <c r="N19" s="21"/>
      <c r="O19" s="21"/>
    </row>
    <row r="20" spans="3:15" x14ac:dyDescent="0.25">
      <c r="H20" s="11"/>
      <c r="M20" s="21"/>
      <c r="N20" s="21"/>
      <c r="O20" s="21"/>
    </row>
    <row r="21" spans="3:15" x14ac:dyDescent="0.25">
      <c r="C21" s="9"/>
      <c r="D21" s="13" t="s">
        <v>21</v>
      </c>
      <c r="E21" s="9"/>
      <c r="F21" s="9" t="s">
        <v>22</v>
      </c>
      <c r="G21" s="9" t="s">
        <v>23</v>
      </c>
      <c r="H21" s="13" t="s">
        <v>27</v>
      </c>
      <c r="I21" s="10" t="s">
        <v>24</v>
      </c>
      <c r="J21" s="9"/>
      <c r="K21" s="9"/>
      <c r="L21" s="9"/>
      <c r="M21" s="21"/>
      <c r="N21" s="21"/>
      <c r="O21" s="21"/>
    </row>
    <row r="22" spans="3:15" ht="6" customHeight="1" x14ac:dyDescent="0.25">
      <c r="M22" s="21"/>
      <c r="N22" s="21"/>
      <c r="O22" s="21"/>
    </row>
    <row r="23" spans="3:15" x14ac:dyDescent="0.25">
      <c r="C23" s="33" t="str">
        <f>IF(H23=1,"u","")</f>
        <v>u</v>
      </c>
      <c r="D23" s="23" t="s">
        <v>360</v>
      </c>
      <c r="E23" s="33"/>
      <c r="F23" t="s">
        <v>100</v>
      </c>
      <c r="G23" t="s">
        <v>93</v>
      </c>
      <c r="H23">
        <f>RANK(I23,I$23:I$43,1)</f>
        <v>1</v>
      </c>
      <c r="I23" s="4">
        <v>2137550</v>
      </c>
      <c r="J23" s="4"/>
      <c r="K23" s="4"/>
      <c r="L23" s="4"/>
      <c r="M23" s="22"/>
      <c r="N23" s="22"/>
      <c r="O23" s="22"/>
    </row>
    <row r="24" spans="3:15" x14ac:dyDescent="0.25">
      <c r="C24" s="33" t="str">
        <f>IF(H24=1,"u","")</f>
        <v/>
      </c>
      <c r="D24" s="23" t="s">
        <v>202</v>
      </c>
      <c r="E24" s="33"/>
      <c r="F24" t="s">
        <v>203</v>
      </c>
      <c r="G24" t="s">
        <v>204</v>
      </c>
      <c r="H24">
        <f t="shared" ref="H24:H30" si="0">RANK(I24,I$23:I$43,1)</f>
        <v>2</v>
      </c>
      <c r="I24" s="4">
        <v>2959000</v>
      </c>
      <c r="J24" s="4"/>
      <c r="K24" s="4"/>
      <c r="L24" s="4"/>
      <c r="M24" s="22"/>
      <c r="N24" s="22"/>
      <c r="O24" s="22"/>
    </row>
    <row r="25" spans="3:15" x14ac:dyDescent="0.25">
      <c r="C25" s="33" t="str">
        <f>IF(H25=1,"u","")</f>
        <v/>
      </c>
      <c r="D25" s="23" t="s">
        <v>361</v>
      </c>
      <c r="E25" s="33"/>
      <c r="F25" t="s">
        <v>362</v>
      </c>
      <c r="G25" t="s">
        <v>25</v>
      </c>
      <c r="H25">
        <f t="shared" si="0"/>
        <v>3</v>
      </c>
      <c r="I25" s="4">
        <v>3043700</v>
      </c>
      <c r="J25" s="4"/>
      <c r="K25" s="4"/>
      <c r="L25" s="4"/>
      <c r="M25" s="22"/>
      <c r="N25" s="22"/>
      <c r="O25" s="22"/>
    </row>
    <row r="26" spans="3:15" x14ac:dyDescent="0.25">
      <c r="C26" s="33" t="str">
        <f t="shared" ref="C26:C43" si="1">IF(H26=1,"u","")</f>
        <v/>
      </c>
      <c r="D26" s="23" t="s">
        <v>363</v>
      </c>
      <c r="E26" s="33"/>
      <c r="F26" t="s">
        <v>289</v>
      </c>
      <c r="G26" t="s">
        <v>93</v>
      </c>
      <c r="H26">
        <f t="shared" si="0"/>
        <v>4</v>
      </c>
      <c r="I26" s="4">
        <v>3842000</v>
      </c>
      <c r="J26" s="4"/>
      <c r="K26" s="4"/>
      <c r="L26" s="4"/>
      <c r="M26" s="22"/>
      <c r="N26" s="22"/>
      <c r="O26" s="22"/>
    </row>
    <row r="27" spans="3:15" x14ac:dyDescent="0.25">
      <c r="C27" s="33" t="str">
        <f t="shared" si="1"/>
        <v/>
      </c>
      <c r="D27" s="23" t="s">
        <v>364</v>
      </c>
      <c r="E27" s="33" t="str">
        <f t="shared" ref="E27:E43" si="2">IF(H27=1,"t","")</f>
        <v/>
      </c>
      <c r="F27" t="s">
        <v>181</v>
      </c>
      <c r="G27" t="s">
        <v>93</v>
      </c>
      <c r="H27">
        <f t="shared" si="0"/>
        <v>5</v>
      </c>
      <c r="I27" s="4">
        <v>3842540</v>
      </c>
      <c r="J27" s="4"/>
      <c r="K27" s="4"/>
      <c r="L27" s="4"/>
      <c r="M27" s="22"/>
      <c r="N27" s="22"/>
      <c r="O27" s="22"/>
    </row>
    <row r="28" spans="3:15" x14ac:dyDescent="0.25">
      <c r="C28" s="33" t="str">
        <f t="shared" si="1"/>
        <v/>
      </c>
      <c r="D28" s="23" t="s">
        <v>365</v>
      </c>
      <c r="E28" s="33" t="str">
        <f t="shared" si="2"/>
        <v/>
      </c>
      <c r="F28" t="s">
        <v>167</v>
      </c>
      <c r="G28" t="s">
        <v>93</v>
      </c>
      <c r="H28">
        <f t="shared" si="0"/>
        <v>6</v>
      </c>
      <c r="I28" s="4">
        <v>3898000</v>
      </c>
      <c r="J28" s="4"/>
      <c r="K28" s="4"/>
      <c r="L28" s="4"/>
      <c r="M28" s="22"/>
      <c r="N28" s="22"/>
      <c r="O28" s="22"/>
    </row>
    <row r="29" spans="3:15" x14ac:dyDescent="0.25">
      <c r="C29" s="33" t="str">
        <f t="shared" si="1"/>
        <v/>
      </c>
      <c r="D29" s="23" t="s">
        <v>366</v>
      </c>
      <c r="E29" s="33" t="str">
        <f t="shared" si="2"/>
        <v/>
      </c>
      <c r="F29" t="s">
        <v>147</v>
      </c>
      <c r="G29" t="s">
        <v>93</v>
      </c>
      <c r="H29">
        <f t="shared" si="0"/>
        <v>7</v>
      </c>
      <c r="I29" s="4">
        <v>4579650</v>
      </c>
      <c r="J29" s="4"/>
      <c r="K29" s="4"/>
      <c r="L29" s="4"/>
      <c r="M29" s="22"/>
      <c r="N29" s="22"/>
      <c r="O29" s="22"/>
    </row>
    <row r="30" spans="3:15" x14ac:dyDescent="0.25">
      <c r="C30" s="33" t="str">
        <f t="shared" si="1"/>
        <v/>
      </c>
      <c r="D30" s="23" t="s">
        <v>367</v>
      </c>
      <c r="E30" s="33" t="str">
        <f t="shared" si="2"/>
        <v/>
      </c>
      <c r="F30" t="s">
        <v>170</v>
      </c>
      <c r="G30" t="s">
        <v>93</v>
      </c>
      <c r="H30">
        <f t="shared" si="0"/>
        <v>8</v>
      </c>
      <c r="I30" s="4">
        <v>9747000</v>
      </c>
      <c r="J30" s="4"/>
      <c r="K30" s="4"/>
      <c r="L30" s="4"/>
      <c r="M30" s="22"/>
      <c r="N30" s="22"/>
      <c r="O30" s="22"/>
    </row>
    <row r="31" spans="3:15" x14ac:dyDescent="0.25">
      <c r="C31" s="33" t="str">
        <f t="shared" si="1"/>
        <v/>
      </c>
      <c r="D31" s="23"/>
      <c r="E31" s="33" t="str">
        <f t="shared" si="2"/>
        <v/>
      </c>
      <c r="I31" s="4"/>
      <c r="J31" s="4"/>
      <c r="K31" s="4"/>
      <c r="L31" s="4"/>
      <c r="M31" s="22"/>
      <c r="N31" s="22"/>
      <c r="O31" s="22"/>
    </row>
    <row r="32" spans="3:15" x14ac:dyDescent="0.25">
      <c r="C32" s="33" t="str">
        <f t="shared" si="1"/>
        <v/>
      </c>
      <c r="D32" s="23"/>
      <c r="E32" s="33" t="str">
        <f t="shared" si="2"/>
        <v/>
      </c>
      <c r="I32" s="4"/>
      <c r="J32" s="4"/>
      <c r="K32" s="4"/>
      <c r="L32" s="4"/>
      <c r="M32" s="22"/>
      <c r="N32" s="22"/>
      <c r="O32" s="22"/>
    </row>
    <row r="33" spans="3:15" x14ac:dyDescent="0.25">
      <c r="C33" s="33" t="str">
        <f t="shared" si="1"/>
        <v/>
      </c>
      <c r="D33" s="23"/>
      <c r="E33" s="33" t="str">
        <f t="shared" si="2"/>
        <v/>
      </c>
      <c r="M33" s="21"/>
      <c r="N33" s="21"/>
      <c r="O33" s="21"/>
    </row>
    <row r="34" spans="3:15" x14ac:dyDescent="0.25">
      <c r="C34" s="33" t="str">
        <f t="shared" si="1"/>
        <v/>
      </c>
      <c r="D34" s="11"/>
      <c r="E34" s="33" t="str">
        <f t="shared" si="2"/>
        <v/>
      </c>
      <c r="M34" s="21"/>
      <c r="N34" s="21"/>
      <c r="O34" s="21"/>
    </row>
    <row r="35" spans="3:15" x14ac:dyDescent="0.25">
      <c r="C35" s="33" t="str">
        <f t="shared" si="1"/>
        <v/>
      </c>
      <c r="D35" s="11"/>
      <c r="E35" s="33" t="str">
        <f t="shared" si="2"/>
        <v/>
      </c>
      <c r="M35" s="21"/>
      <c r="N35" s="21"/>
      <c r="O35" s="21"/>
    </row>
    <row r="36" spans="3:15" x14ac:dyDescent="0.25">
      <c r="C36" s="33" t="str">
        <f t="shared" si="1"/>
        <v/>
      </c>
      <c r="D36" s="11"/>
      <c r="E36" s="33" t="str">
        <f t="shared" si="2"/>
        <v/>
      </c>
      <c r="M36" s="21"/>
      <c r="N36" s="21"/>
      <c r="O36" s="21"/>
    </row>
    <row r="37" spans="3:15" x14ac:dyDescent="0.25">
      <c r="C37" s="33" t="str">
        <f t="shared" si="1"/>
        <v/>
      </c>
      <c r="D37" s="11"/>
      <c r="E37" s="33" t="str">
        <f t="shared" si="2"/>
        <v/>
      </c>
      <c r="M37" s="21"/>
      <c r="N37" s="21"/>
      <c r="O37" s="21"/>
    </row>
    <row r="38" spans="3:15" x14ac:dyDescent="0.25">
      <c r="C38" s="33" t="str">
        <f t="shared" si="1"/>
        <v/>
      </c>
      <c r="D38" s="11"/>
      <c r="E38" s="33" t="str">
        <f t="shared" si="2"/>
        <v/>
      </c>
      <c r="M38" s="21"/>
      <c r="N38" s="21"/>
      <c r="O38" s="21"/>
    </row>
    <row r="39" spans="3:15" x14ac:dyDescent="0.25">
      <c r="C39" s="33" t="str">
        <f t="shared" si="1"/>
        <v/>
      </c>
      <c r="D39" s="11"/>
      <c r="E39" s="33" t="str">
        <f t="shared" si="2"/>
        <v/>
      </c>
      <c r="M39" s="21"/>
      <c r="N39" s="21"/>
      <c r="O39" s="21"/>
    </row>
    <row r="40" spans="3:15" x14ac:dyDescent="0.25">
      <c r="C40" s="33" t="str">
        <f t="shared" si="1"/>
        <v/>
      </c>
      <c r="D40" s="11"/>
      <c r="E40" s="33" t="str">
        <f t="shared" si="2"/>
        <v/>
      </c>
      <c r="M40" s="21"/>
      <c r="N40" s="21"/>
      <c r="O40" s="21"/>
    </row>
    <row r="41" spans="3:15" x14ac:dyDescent="0.25">
      <c r="C41" s="33" t="str">
        <f t="shared" si="1"/>
        <v/>
      </c>
      <c r="D41" s="11"/>
      <c r="E41" s="33" t="str">
        <f t="shared" si="2"/>
        <v/>
      </c>
      <c r="M41" s="21"/>
      <c r="N41" s="21"/>
      <c r="O41" s="21"/>
    </row>
    <row r="42" spans="3:15" x14ac:dyDescent="0.25">
      <c r="C42" s="33" t="str">
        <f t="shared" si="1"/>
        <v/>
      </c>
      <c r="D42" s="11"/>
      <c r="E42" s="33" t="str">
        <f t="shared" si="2"/>
        <v/>
      </c>
      <c r="M42" s="21"/>
      <c r="N42" s="21"/>
      <c r="O42" s="21"/>
    </row>
    <row r="43" spans="3:15" x14ac:dyDescent="0.25">
      <c r="C43" s="33" t="str">
        <f t="shared" si="1"/>
        <v/>
      </c>
      <c r="D43" s="11"/>
      <c r="E43" s="33" t="str">
        <f t="shared" si="2"/>
        <v/>
      </c>
      <c r="M43" s="21"/>
      <c r="N43" s="21"/>
      <c r="O43" s="21"/>
    </row>
    <row r="44" spans="3:15" ht="6" customHeight="1" x14ac:dyDescent="0.25">
      <c r="C44" s="9"/>
      <c r="D44" s="9"/>
      <c r="E44" s="9"/>
      <c r="F44" s="9"/>
      <c r="G44" s="9"/>
      <c r="H44" s="9"/>
      <c r="I44" s="9"/>
      <c r="J44" s="9"/>
      <c r="K44" s="9"/>
      <c r="L44" s="9"/>
      <c r="M44" s="21"/>
      <c r="N44" s="21"/>
      <c r="O44" s="21"/>
    </row>
    <row r="45" spans="3:15" ht="6" customHeight="1" x14ac:dyDescent="0.25">
      <c r="M45" s="21"/>
      <c r="N45" s="21"/>
      <c r="O45" s="21"/>
    </row>
    <row r="46" spans="3:15" x14ac:dyDescent="0.25">
      <c r="C46" s="15" t="s">
        <v>79</v>
      </c>
      <c r="M46" s="21"/>
      <c r="N46" s="21"/>
      <c r="O46" s="21"/>
    </row>
    <row r="47" spans="3:15" x14ac:dyDescent="0.25">
      <c r="C47" s="15" t="s">
        <v>78</v>
      </c>
    </row>
  </sheetData>
  <mergeCells count="1">
    <mergeCell ref="G13:H13"/>
  </mergeCells>
  <conditionalFormatting sqref="I9">
    <cfRule type="containsText" dxfId="146" priority="10" operator="containsText" text="FAIL">
      <formula>NOT(ISERROR(SEARCH("FAIL",I9)))</formula>
    </cfRule>
  </conditionalFormatting>
  <conditionalFormatting sqref="I9">
    <cfRule type="containsText" dxfId="145" priority="9" operator="containsText" text="GOOD">
      <formula>NOT(ISERROR(SEARCH("GOOD",I9)))</formula>
    </cfRule>
  </conditionalFormatting>
  <conditionalFormatting sqref="F11">
    <cfRule type="containsText" dxfId="144" priority="8" operator="containsText" text="FAIL">
      <formula>NOT(ISERROR(SEARCH("FAIL",F11)))</formula>
    </cfRule>
  </conditionalFormatting>
  <conditionalFormatting sqref="F11">
    <cfRule type="containsText" dxfId="143" priority="7" operator="containsText" text="GOOD">
      <formula>NOT(ISERROR(SEARCH("GOOD",F11)))</formula>
    </cfRule>
  </conditionalFormatting>
  <conditionalFormatting sqref="D25">
    <cfRule type="expression" dxfId="142" priority="6" stopIfTrue="1">
      <formula>IF($H$25=1,0)</formula>
    </cfRule>
  </conditionalFormatting>
  <conditionalFormatting sqref="D23:D43">
    <cfRule type="expression" dxfId="141" priority="5">
      <formula>H23=1</formula>
    </cfRule>
  </conditionalFormatting>
  <conditionalFormatting sqref="C23:C43">
    <cfRule type="expression" dxfId="140" priority="4">
      <formula>H23=1</formula>
    </cfRule>
  </conditionalFormatting>
  <conditionalFormatting sqref="E23:E43">
    <cfRule type="expression" dxfId="139" priority="3">
      <formula>H23=1</formula>
    </cfRule>
  </conditionalFormatting>
  <conditionalFormatting sqref="F11">
    <cfRule type="containsText" dxfId="138" priority="2" operator="containsText" text="FAIL">
      <formula>NOT(ISERROR(SEARCH("FAIL",F11)))</formula>
    </cfRule>
  </conditionalFormatting>
  <conditionalFormatting sqref="F11">
    <cfRule type="containsText" dxfId="137" priority="1" operator="containsText" text="GOOD">
      <formula>NOT(ISERROR(SEARCH("GOOD",F11)))</formula>
    </cfRule>
  </conditionalFormatting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600-000000000000}">
  <sheetPr codeName="Sheet104"/>
  <dimension ref="A2:O47"/>
  <sheetViews>
    <sheetView zoomScaleNormal="100" workbookViewId="0">
      <selection activeCell="F29" sqref="F29"/>
    </sheetView>
  </sheetViews>
  <sheetFormatPr defaultRowHeight="15" x14ac:dyDescent="0.25"/>
  <cols>
    <col min="1" max="2" width="4.42578125" customWidth="1"/>
    <col min="3" max="3" width="3" customWidth="1"/>
    <col min="4" max="4" width="24.85546875" customWidth="1"/>
    <col min="5" max="5" width="3" customWidth="1"/>
    <col min="6" max="6" width="15.7109375" customWidth="1"/>
    <col min="7" max="7" width="8.5703125" customWidth="1"/>
    <col min="8" max="8" width="5.85546875" customWidth="1"/>
    <col min="9" max="15" width="15.7109375" customWidth="1"/>
  </cols>
  <sheetData>
    <row r="2" spans="1:11" x14ac:dyDescent="0.25">
      <c r="C2" s="15" t="s">
        <v>32</v>
      </c>
      <c r="E2" s="15"/>
      <c r="F2" s="15"/>
      <c r="G2" s="15" t="s">
        <v>33</v>
      </c>
      <c r="H2" s="15"/>
      <c r="I2" s="15"/>
      <c r="J2" s="15"/>
      <c r="K2" s="15"/>
    </row>
    <row r="3" spans="1:11" ht="18.75" x14ac:dyDescent="0.3">
      <c r="C3" s="3" t="s">
        <v>26</v>
      </c>
      <c r="J3" s="8" t="s">
        <v>17</v>
      </c>
    </row>
    <row r="4" spans="1:11" x14ac:dyDescent="0.25">
      <c r="D4" s="2" t="s">
        <v>0</v>
      </c>
      <c r="E4" s="1"/>
      <c r="F4" t="s">
        <v>694</v>
      </c>
      <c r="I4" s="2" t="s">
        <v>4</v>
      </c>
      <c r="J4" t="s">
        <v>442</v>
      </c>
    </row>
    <row r="5" spans="1:11" x14ac:dyDescent="0.25">
      <c r="D5" s="2" t="s">
        <v>1</v>
      </c>
      <c r="F5" t="s">
        <v>695</v>
      </c>
    </row>
    <row r="6" spans="1:11" x14ac:dyDescent="0.25">
      <c r="D6" s="2" t="s">
        <v>2</v>
      </c>
      <c r="F6" s="6">
        <v>42584</v>
      </c>
      <c r="H6" s="11"/>
    </row>
    <row r="7" spans="1:11" x14ac:dyDescent="0.25">
      <c r="D7" s="2" t="s">
        <v>3</v>
      </c>
      <c r="F7" s="5">
        <v>1750000</v>
      </c>
      <c r="G7" s="2" t="s">
        <v>34</v>
      </c>
      <c r="H7" s="11"/>
    </row>
    <row r="8" spans="1:11" x14ac:dyDescent="0.25">
      <c r="D8" s="2" t="s">
        <v>18</v>
      </c>
      <c r="F8" s="5">
        <f>MIN(I23:I43)</f>
        <v>1930000</v>
      </c>
      <c r="H8" s="11"/>
    </row>
    <row r="9" spans="1:11" x14ac:dyDescent="0.25">
      <c r="D9" s="2" t="s">
        <v>67</v>
      </c>
      <c r="F9" s="4">
        <f>+F8-F7</f>
        <v>180000</v>
      </c>
      <c r="G9" s="16">
        <f>+F9/F7</f>
        <v>0.10285714285714286</v>
      </c>
      <c r="H9" s="12" t="s">
        <v>20</v>
      </c>
      <c r="I9" s="11" t="str">
        <f>(IF(G9&lt;-0.1,"FAIL",IF(G9&gt;0.05,"FAIL","GOOD")))</f>
        <v>FAIL</v>
      </c>
      <c r="J9" s="14" t="s">
        <v>72</v>
      </c>
    </row>
    <row r="10" spans="1:11" x14ac:dyDescent="0.25">
      <c r="D10" s="2" t="s">
        <v>68</v>
      </c>
      <c r="F10" s="4">
        <f>+F7-F12</f>
        <v>-1059540.888888889</v>
      </c>
      <c r="H10" s="11"/>
    </row>
    <row r="11" spans="1:11" x14ac:dyDescent="0.25">
      <c r="A11" s="52"/>
      <c r="D11" s="2" t="s">
        <v>71</v>
      </c>
      <c r="F11" s="11" t="str">
        <f>(IF(F7&lt;J12,"FAIL",IF(F7&gt;J13,"FAIL","GOOD")))</f>
        <v>GOOD</v>
      </c>
      <c r="H11" s="11"/>
    </row>
    <row r="12" spans="1:11" x14ac:dyDescent="0.25">
      <c r="D12" s="2" t="s">
        <v>28</v>
      </c>
      <c r="F12" s="4">
        <f>SUM(I23:I43)/H12</f>
        <v>2809540.888888889</v>
      </c>
      <c r="G12" s="14"/>
      <c r="H12" s="11">
        <f>COUNT(I23:I43)</f>
        <v>9</v>
      </c>
      <c r="I12" s="1" t="s">
        <v>31</v>
      </c>
      <c r="J12" s="4">
        <f>+F8*0.9</f>
        <v>1737000</v>
      </c>
      <c r="K12" s="1" t="s">
        <v>69</v>
      </c>
    </row>
    <row r="13" spans="1:11" x14ac:dyDescent="0.25">
      <c r="D13" s="2" t="s">
        <v>29</v>
      </c>
      <c r="F13" s="4">
        <f>MAX(I23:I43)-MIN(I23:I43)</f>
        <v>3058880</v>
      </c>
      <c r="G13" s="399">
        <f>MEDIAN(I23:I43)</f>
        <v>2386477</v>
      </c>
      <c r="H13" s="400"/>
      <c r="I13" s="1" t="s">
        <v>30</v>
      </c>
      <c r="J13" s="4">
        <f>+F12*1.1</f>
        <v>3090494.9777777782</v>
      </c>
      <c r="K13" s="1" t="s">
        <v>70</v>
      </c>
    </row>
    <row r="14" spans="1:11" x14ac:dyDescent="0.25">
      <c r="H14" s="11"/>
    </row>
    <row r="15" spans="1:11" x14ac:dyDescent="0.25">
      <c r="D15" s="2" t="s">
        <v>8</v>
      </c>
      <c r="F15" s="4"/>
      <c r="G15" s="1" t="s">
        <v>9</v>
      </c>
      <c r="H15" s="11"/>
      <c r="I15" t="s">
        <v>15</v>
      </c>
      <c r="J15" s="7" t="e">
        <f>+F16/F15</f>
        <v>#DIV/0!</v>
      </c>
    </row>
    <row r="16" spans="1:11" x14ac:dyDescent="0.25">
      <c r="F16" s="4"/>
      <c r="G16" s="1" t="s">
        <v>10</v>
      </c>
      <c r="H16" s="11"/>
      <c r="I16" t="s">
        <v>14</v>
      </c>
      <c r="J16" s="7" t="e">
        <f>+F17/F16</f>
        <v>#DIV/0!</v>
      </c>
    </row>
    <row r="17" spans="3:15" x14ac:dyDescent="0.25">
      <c r="F17" s="4"/>
      <c r="G17" s="1" t="s">
        <v>11</v>
      </c>
      <c r="H17" s="11"/>
      <c r="I17" t="s">
        <v>13</v>
      </c>
      <c r="J17" s="7" t="e">
        <f>+F18/F17</f>
        <v>#DIV/0!</v>
      </c>
      <c r="M17" s="21"/>
      <c r="N17" s="21"/>
      <c r="O17" s="21"/>
    </row>
    <row r="18" spans="3:15" x14ac:dyDescent="0.25">
      <c r="F18" s="4"/>
      <c r="G18" s="1" t="s">
        <v>12</v>
      </c>
      <c r="H18" s="11"/>
      <c r="I18" t="s">
        <v>16</v>
      </c>
      <c r="J18" s="7" t="e">
        <f>+F8/F18</f>
        <v>#DIV/0!</v>
      </c>
      <c r="M18" s="21"/>
      <c r="N18" s="21"/>
      <c r="O18" s="21"/>
    </row>
    <row r="19" spans="3:15" x14ac:dyDescent="0.25">
      <c r="F19" s="2" t="s">
        <v>51</v>
      </c>
      <c r="G19">
        <v>0</v>
      </c>
      <c r="H19" s="11" t="s">
        <v>52</v>
      </c>
      <c r="I19" t="s">
        <v>41</v>
      </c>
      <c r="J19" s="7" t="e">
        <f>+F8/F15</f>
        <v>#DIV/0!</v>
      </c>
      <c r="M19" s="21"/>
      <c r="N19" s="21"/>
      <c r="O19" s="21"/>
    </row>
    <row r="20" spans="3:15" x14ac:dyDescent="0.25">
      <c r="H20" s="11"/>
      <c r="M20" s="21"/>
      <c r="N20" s="21"/>
      <c r="O20" s="21"/>
    </row>
    <row r="21" spans="3:15" x14ac:dyDescent="0.25">
      <c r="C21" s="9"/>
      <c r="D21" s="13" t="s">
        <v>21</v>
      </c>
      <c r="E21" s="9"/>
      <c r="F21" s="9" t="s">
        <v>22</v>
      </c>
      <c r="G21" s="9" t="s">
        <v>23</v>
      </c>
      <c r="H21" s="13" t="s">
        <v>27</v>
      </c>
      <c r="I21" s="10" t="s">
        <v>24</v>
      </c>
      <c r="J21" s="9"/>
      <c r="K21" s="9"/>
      <c r="L21" s="9"/>
      <c r="M21" s="21"/>
      <c r="N21" s="21"/>
      <c r="O21" s="21"/>
    </row>
    <row r="22" spans="3:15" ht="6" customHeight="1" x14ac:dyDescent="0.25">
      <c r="M22" s="21"/>
      <c r="N22" s="21"/>
      <c r="O22" s="21"/>
    </row>
    <row r="23" spans="3:15" x14ac:dyDescent="0.25">
      <c r="C23" s="33" t="str">
        <f>IF(H23=1,"u","")</f>
        <v/>
      </c>
      <c r="D23" s="11" t="s">
        <v>541</v>
      </c>
      <c r="E23" s="33"/>
      <c r="F23" t="s">
        <v>159</v>
      </c>
      <c r="G23" t="s">
        <v>93</v>
      </c>
      <c r="H23">
        <f>RANK(I23,I$23:I$43,1)</f>
        <v>9</v>
      </c>
      <c r="I23" s="4">
        <v>4988880</v>
      </c>
      <c r="J23" s="4"/>
      <c r="K23" s="4"/>
      <c r="L23" s="4"/>
      <c r="M23" s="22"/>
      <c r="N23" s="22"/>
      <c r="O23" s="22"/>
    </row>
    <row r="24" spans="3:15" x14ac:dyDescent="0.25">
      <c r="C24" s="33" t="str">
        <f>IF(H24=1,"u","")</f>
        <v/>
      </c>
      <c r="D24" s="11" t="s">
        <v>491</v>
      </c>
      <c r="E24" s="33"/>
      <c r="F24" t="s">
        <v>203</v>
      </c>
      <c r="G24" t="s">
        <v>204</v>
      </c>
      <c r="H24">
        <f t="shared" ref="H24:H31" si="0">RANK(I24,I$23:I$43,1)</f>
        <v>3</v>
      </c>
      <c r="I24" s="4">
        <v>2077600</v>
      </c>
      <c r="J24" s="4"/>
      <c r="K24" s="4"/>
      <c r="L24" s="4"/>
      <c r="M24" s="22"/>
      <c r="N24" s="22"/>
      <c r="O24" s="22"/>
    </row>
    <row r="25" spans="3:15" x14ac:dyDescent="0.25">
      <c r="C25" s="33" t="str">
        <f>IF(H25=1,"u","")</f>
        <v/>
      </c>
      <c r="D25" s="11" t="s">
        <v>696</v>
      </c>
      <c r="E25" s="33"/>
      <c r="F25" t="s">
        <v>697</v>
      </c>
      <c r="G25" t="s">
        <v>93</v>
      </c>
      <c r="H25">
        <f t="shared" si="0"/>
        <v>8</v>
      </c>
      <c r="I25" s="4">
        <v>4433400</v>
      </c>
      <c r="J25" s="4"/>
      <c r="K25" s="4"/>
      <c r="L25" s="4"/>
      <c r="M25" s="22"/>
      <c r="N25" s="22"/>
      <c r="O25" s="22"/>
    </row>
    <row r="26" spans="3:15" x14ac:dyDescent="0.25">
      <c r="C26" s="33" t="str">
        <f t="shared" ref="C26:C43" si="1">IF(H26=1,"u","")</f>
        <v/>
      </c>
      <c r="D26" s="11" t="s">
        <v>698</v>
      </c>
      <c r="E26" s="33"/>
      <c r="F26" t="s">
        <v>92</v>
      </c>
      <c r="G26" t="s">
        <v>93</v>
      </c>
      <c r="H26">
        <f t="shared" si="0"/>
        <v>2</v>
      </c>
      <c r="I26" s="4">
        <v>1978000</v>
      </c>
      <c r="J26" s="4"/>
      <c r="K26" s="4"/>
      <c r="L26" s="4"/>
      <c r="M26" s="22"/>
      <c r="N26" s="22"/>
      <c r="O26" s="22"/>
    </row>
    <row r="27" spans="3:15" x14ac:dyDescent="0.25">
      <c r="C27" s="33" t="str">
        <f t="shared" si="1"/>
        <v/>
      </c>
      <c r="D27" s="11" t="s">
        <v>347</v>
      </c>
      <c r="E27" s="33"/>
      <c r="F27" t="s">
        <v>147</v>
      </c>
      <c r="G27" t="s">
        <v>93</v>
      </c>
      <c r="H27">
        <f t="shared" si="0"/>
        <v>4</v>
      </c>
      <c r="I27" s="4">
        <v>2111111</v>
      </c>
      <c r="J27" s="4"/>
      <c r="K27" s="4"/>
      <c r="L27" s="4"/>
      <c r="M27" s="22"/>
      <c r="N27" s="22"/>
      <c r="O27" s="22"/>
    </row>
    <row r="28" spans="3:15" x14ac:dyDescent="0.25">
      <c r="C28" s="33" t="str">
        <f t="shared" si="1"/>
        <v>u</v>
      </c>
      <c r="D28" s="11" t="s">
        <v>699</v>
      </c>
      <c r="E28" s="33"/>
      <c r="F28" t="s">
        <v>704</v>
      </c>
      <c r="G28" t="s">
        <v>333</v>
      </c>
      <c r="H28">
        <f t="shared" si="0"/>
        <v>1</v>
      </c>
      <c r="I28" s="4">
        <v>1930000</v>
      </c>
      <c r="J28" s="4"/>
      <c r="K28" s="4"/>
      <c r="L28" s="4"/>
      <c r="M28" s="22"/>
      <c r="N28" s="22"/>
      <c r="O28" s="22"/>
    </row>
    <row r="29" spans="3:15" x14ac:dyDescent="0.25">
      <c r="C29" s="33" t="str">
        <f t="shared" si="1"/>
        <v/>
      </c>
      <c r="D29" s="11" t="s">
        <v>700</v>
      </c>
      <c r="E29" s="33"/>
      <c r="F29" t="s">
        <v>95</v>
      </c>
      <c r="G29" t="s">
        <v>93</v>
      </c>
      <c r="H29">
        <f t="shared" si="0"/>
        <v>7</v>
      </c>
      <c r="I29" s="4">
        <v>2987000</v>
      </c>
      <c r="J29" s="4"/>
      <c r="K29" s="4"/>
      <c r="L29" s="4"/>
      <c r="M29" s="22"/>
      <c r="N29" s="22"/>
      <c r="O29" s="22"/>
    </row>
    <row r="30" spans="3:15" x14ac:dyDescent="0.25">
      <c r="C30" s="33" t="str">
        <f t="shared" si="1"/>
        <v/>
      </c>
      <c r="D30" s="11" t="s">
        <v>701</v>
      </c>
      <c r="E30" s="33"/>
      <c r="F30" t="s">
        <v>702</v>
      </c>
      <c r="G30" t="s">
        <v>93</v>
      </c>
      <c r="H30">
        <f t="shared" si="0"/>
        <v>5</v>
      </c>
      <c r="I30" s="4">
        <v>2386477</v>
      </c>
      <c r="J30" s="4"/>
      <c r="K30" s="4"/>
      <c r="L30" s="4"/>
      <c r="M30" s="22"/>
      <c r="N30" s="22"/>
      <c r="O30" s="22"/>
    </row>
    <row r="31" spans="3:15" x14ac:dyDescent="0.25">
      <c r="C31" s="33" t="str">
        <f t="shared" si="1"/>
        <v/>
      </c>
      <c r="D31" s="11" t="s">
        <v>703</v>
      </c>
      <c r="E31" s="33"/>
      <c r="F31" t="s">
        <v>413</v>
      </c>
      <c r="G31" t="s">
        <v>93</v>
      </c>
      <c r="H31">
        <f t="shared" si="0"/>
        <v>6</v>
      </c>
      <c r="I31" s="4">
        <v>2393400</v>
      </c>
      <c r="J31" s="4"/>
      <c r="K31" s="4"/>
      <c r="L31" s="4"/>
      <c r="M31" s="22"/>
      <c r="N31" s="22"/>
      <c r="O31" s="22"/>
    </row>
    <row r="32" spans="3:15" x14ac:dyDescent="0.25">
      <c r="C32" s="33" t="str">
        <f t="shared" si="1"/>
        <v/>
      </c>
      <c r="D32" s="11"/>
      <c r="E32" s="33"/>
      <c r="I32" s="4"/>
      <c r="J32" s="4"/>
      <c r="K32" s="4"/>
      <c r="L32" s="4"/>
      <c r="M32" s="22"/>
      <c r="N32" s="22"/>
      <c r="O32" s="22"/>
    </row>
    <row r="33" spans="3:15" x14ac:dyDescent="0.25">
      <c r="C33" s="33" t="str">
        <f t="shared" si="1"/>
        <v/>
      </c>
      <c r="D33" s="11"/>
      <c r="E33" s="33"/>
      <c r="I33" s="4"/>
      <c r="M33" s="21"/>
      <c r="N33" s="21"/>
      <c r="O33" s="21"/>
    </row>
    <row r="34" spans="3:15" x14ac:dyDescent="0.25">
      <c r="C34" s="33" t="str">
        <f t="shared" si="1"/>
        <v/>
      </c>
      <c r="D34" s="11"/>
      <c r="E34" s="33" t="str">
        <f t="shared" ref="E34:E43" si="2">IF(H34=1,"t","")</f>
        <v/>
      </c>
      <c r="M34" s="21"/>
      <c r="N34" s="21"/>
      <c r="O34" s="21"/>
    </row>
    <row r="35" spans="3:15" x14ac:dyDescent="0.25">
      <c r="C35" s="33" t="str">
        <f t="shared" si="1"/>
        <v/>
      </c>
      <c r="D35" s="11"/>
      <c r="E35" s="33" t="str">
        <f t="shared" si="2"/>
        <v/>
      </c>
      <c r="M35" s="21"/>
      <c r="N35" s="21"/>
      <c r="O35" s="21"/>
    </row>
    <row r="36" spans="3:15" x14ac:dyDescent="0.25">
      <c r="C36" s="33" t="str">
        <f t="shared" si="1"/>
        <v/>
      </c>
      <c r="D36" s="11"/>
      <c r="E36" s="33" t="str">
        <f t="shared" si="2"/>
        <v/>
      </c>
      <c r="M36" s="21"/>
      <c r="N36" s="21"/>
      <c r="O36" s="21"/>
    </row>
    <row r="37" spans="3:15" x14ac:dyDescent="0.25">
      <c r="C37" s="33" t="str">
        <f t="shared" si="1"/>
        <v/>
      </c>
      <c r="D37" s="11"/>
      <c r="E37" s="33" t="str">
        <f t="shared" si="2"/>
        <v/>
      </c>
      <c r="M37" s="21"/>
      <c r="N37" s="21"/>
      <c r="O37" s="21"/>
    </row>
    <row r="38" spans="3:15" x14ac:dyDescent="0.25">
      <c r="C38" s="33" t="str">
        <f t="shared" si="1"/>
        <v/>
      </c>
      <c r="D38" s="11"/>
      <c r="E38" s="33" t="str">
        <f t="shared" si="2"/>
        <v/>
      </c>
      <c r="M38" s="21"/>
      <c r="N38" s="21"/>
      <c r="O38" s="21"/>
    </row>
    <row r="39" spans="3:15" x14ac:dyDescent="0.25">
      <c r="C39" s="33" t="str">
        <f t="shared" si="1"/>
        <v/>
      </c>
      <c r="D39" s="11"/>
      <c r="E39" s="33" t="str">
        <f t="shared" si="2"/>
        <v/>
      </c>
      <c r="M39" s="21"/>
      <c r="N39" s="21"/>
      <c r="O39" s="21"/>
    </row>
    <row r="40" spans="3:15" x14ac:dyDescent="0.25">
      <c r="C40" s="33" t="str">
        <f t="shared" si="1"/>
        <v/>
      </c>
      <c r="D40" s="11"/>
      <c r="E40" s="33" t="str">
        <f t="shared" si="2"/>
        <v/>
      </c>
      <c r="M40" s="21"/>
      <c r="N40" s="21"/>
      <c r="O40" s="21"/>
    </row>
    <row r="41" spans="3:15" x14ac:dyDescent="0.25">
      <c r="C41" s="33" t="str">
        <f t="shared" si="1"/>
        <v/>
      </c>
      <c r="D41" s="11"/>
      <c r="E41" s="33" t="str">
        <f t="shared" si="2"/>
        <v/>
      </c>
      <c r="M41" s="21"/>
      <c r="N41" s="21"/>
      <c r="O41" s="21"/>
    </row>
    <row r="42" spans="3:15" x14ac:dyDescent="0.25">
      <c r="C42" s="33" t="str">
        <f t="shared" si="1"/>
        <v/>
      </c>
      <c r="D42" s="11"/>
      <c r="E42" s="33" t="str">
        <f t="shared" si="2"/>
        <v/>
      </c>
      <c r="M42" s="21"/>
      <c r="N42" s="21"/>
      <c r="O42" s="21"/>
    </row>
    <row r="43" spans="3:15" x14ac:dyDescent="0.25">
      <c r="C43" s="33" t="str">
        <f t="shared" si="1"/>
        <v/>
      </c>
      <c r="D43" s="11"/>
      <c r="E43" s="33" t="str">
        <f t="shared" si="2"/>
        <v/>
      </c>
      <c r="M43" s="21"/>
      <c r="N43" s="21"/>
      <c r="O43" s="21"/>
    </row>
    <row r="44" spans="3:15" ht="6" customHeight="1" x14ac:dyDescent="0.25">
      <c r="C44" s="9"/>
      <c r="D44" s="9"/>
      <c r="E44" s="9"/>
      <c r="F44" s="9"/>
      <c r="G44" s="9"/>
      <c r="H44" s="9"/>
      <c r="I44" s="9"/>
      <c r="J44" s="9"/>
      <c r="K44" s="9"/>
      <c r="L44" s="9"/>
      <c r="M44" s="21"/>
      <c r="N44" s="21"/>
      <c r="O44" s="21"/>
    </row>
    <row r="45" spans="3:15" ht="6" customHeight="1" x14ac:dyDescent="0.25">
      <c r="M45" s="21"/>
      <c r="N45" s="21"/>
      <c r="O45" s="21"/>
    </row>
    <row r="46" spans="3:15" x14ac:dyDescent="0.25">
      <c r="C46" s="15" t="s">
        <v>79</v>
      </c>
      <c r="M46" s="21"/>
      <c r="N46" s="21"/>
      <c r="O46" s="21"/>
    </row>
    <row r="47" spans="3:15" x14ac:dyDescent="0.25">
      <c r="C47" s="15" t="s">
        <v>78</v>
      </c>
    </row>
  </sheetData>
  <mergeCells count="1">
    <mergeCell ref="G13:H13"/>
  </mergeCells>
  <conditionalFormatting sqref="I9">
    <cfRule type="containsText" dxfId="883" priority="10" operator="containsText" text="FAIL">
      <formula>NOT(ISERROR(SEARCH("FAIL",I9)))</formula>
    </cfRule>
  </conditionalFormatting>
  <conditionalFormatting sqref="I9">
    <cfRule type="containsText" dxfId="882" priority="9" operator="containsText" text="GOOD">
      <formula>NOT(ISERROR(SEARCH("GOOD",I9)))</formula>
    </cfRule>
  </conditionalFormatting>
  <conditionalFormatting sqref="F11">
    <cfRule type="containsText" dxfId="881" priority="8" operator="containsText" text="FAIL">
      <formula>NOT(ISERROR(SEARCH("FAIL",F11)))</formula>
    </cfRule>
  </conditionalFormatting>
  <conditionalFormatting sqref="F11">
    <cfRule type="containsText" dxfId="880" priority="7" operator="containsText" text="GOOD">
      <formula>NOT(ISERROR(SEARCH("GOOD",F11)))</formula>
    </cfRule>
  </conditionalFormatting>
  <conditionalFormatting sqref="D25">
    <cfRule type="expression" dxfId="879" priority="6" stopIfTrue="1">
      <formula>IF($H$25=1,0)</formula>
    </cfRule>
  </conditionalFormatting>
  <conditionalFormatting sqref="D23:D43">
    <cfRule type="expression" dxfId="878" priority="5">
      <formula>H23=1</formula>
    </cfRule>
  </conditionalFormatting>
  <conditionalFormatting sqref="C23:C43">
    <cfRule type="expression" dxfId="877" priority="4">
      <formula>H23=1</formula>
    </cfRule>
  </conditionalFormatting>
  <conditionalFormatting sqref="E23:E43">
    <cfRule type="expression" dxfId="876" priority="3">
      <formula>H23=1</formula>
    </cfRule>
  </conditionalFormatting>
  <conditionalFormatting sqref="F11">
    <cfRule type="containsText" dxfId="875" priority="2" operator="containsText" text="FAIL">
      <formula>NOT(ISERROR(SEARCH("FAIL",F11)))</formula>
    </cfRule>
  </conditionalFormatting>
  <conditionalFormatting sqref="F11">
    <cfRule type="containsText" dxfId="874" priority="1" operator="containsText" text="GOOD">
      <formula>NOT(ISERROR(SEARCH("GOOD",F11)))</formula>
    </cfRule>
  </conditionalFormatting>
  <pageMargins left="0.7" right="0.7" top="0.75" bottom="0.75" header="0.3" footer="0.3"/>
  <pageSetup scale="68"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sheetPr codeName="Sheet80"/>
  <dimension ref="A2:O47"/>
  <sheetViews>
    <sheetView zoomScaleNormal="100" workbookViewId="0">
      <selection activeCell="L11" sqref="L11"/>
    </sheetView>
  </sheetViews>
  <sheetFormatPr defaultRowHeight="15" x14ac:dyDescent="0.25"/>
  <cols>
    <col min="1" max="2" width="4.42578125" customWidth="1"/>
    <col min="3" max="3" width="2.7109375" customWidth="1"/>
    <col min="4" max="4" width="24.7109375" customWidth="1"/>
    <col min="5" max="5" width="2.7109375" customWidth="1"/>
    <col min="6" max="6" width="15.7109375" customWidth="1"/>
    <col min="7" max="7" width="8.5703125" customWidth="1"/>
    <col min="8" max="8" width="5.85546875" customWidth="1"/>
    <col min="9" max="15" width="15.7109375" customWidth="1"/>
  </cols>
  <sheetData>
    <row r="2" spans="1:14" x14ac:dyDescent="0.25">
      <c r="C2" s="15" t="s">
        <v>32</v>
      </c>
      <c r="E2" s="15"/>
      <c r="F2" s="15"/>
      <c r="G2" s="15" t="s">
        <v>33</v>
      </c>
      <c r="H2" s="15"/>
      <c r="I2" s="15"/>
      <c r="J2" s="15"/>
      <c r="K2" s="15"/>
    </row>
    <row r="3" spans="1:14" ht="18.75" x14ac:dyDescent="0.3">
      <c r="C3" s="3" t="s">
        <v>26</v>
      </c>
      <c r="J3" s="8" t="s">
        <v>48</v>
      </c>
    </row>
    <row r="4" spans="1:14" x14ac:dyDescent="0.25">
      <c r="C4" s="1"/>
      <c r="D4" s="2" t="s">
        <v>0</v>
      </c>
      <c r="E4" s="1"/>
      <c r="F4" t="s">
        <v>830</v>
      </c>
      <c r="I4" s="2" t="s">
        <v>4</v>
      </c>
      <c r="J4" t="s">
        <v>616</v>
      </c>
    </row>
    <row r="5" spans="1:14" x14ac:dyDescent="0.25">
      <c r="D5" s="2" t="s">
        <v>1</v>
      </c>
      <c r="F5" t="s">
        <v>831</v>
      </c>
    </row>
    <row r="6" spans="1:14" x14ac:dyDescent="0.25">
      <c r="D6" s="2" t="s">
        <v>2</v>
      </c>
      <c r="F6" s="6">
        <v>42746</v>
      </c>
      <c r="H6" s="11"/>
    </row>
    <row r="7" spans="1:14" x14ac:dyDescent="0.25">
      <c r="D7" s="2" t="s">
        <v>3</v>
      </c>
      <c r="F7" s="5">
        <f>+K7+J7+I7+(L7*K7)</f>
        <v>12071025</v>
      </c>
      <c r="G7" s="2" t="s">
        <v>190</v>
      </c>
      <c r="H7" s="11"/>
      <c r="I7" s="19">
        <v>10250000</v>
      </c>
      <c r="J7" s="19">
        <v>0</v>
      </c>
      <c r="K7" s="19">
        <v>1583500</v>
      </c>
      <c r="L7" s="20">
        <v>0.15</v>
      </c>
    </row>
    <row r="8" spans="1:14" x14ac:dyDescent="0.25">
      <c r="D8" s="2" t="s">
        <v>18</v>
      </c>
      <c r="F8" s="5">
        <f>MIN(L23:L43)</f>
        <v>9977777</v>
      </c>
      <c r="H8" s="11"/>
      <c r="I8" s="18" t="s">
        <v>43</v>
      </c>
      <c r="J8" s="18" t="s">
        <v>44</v>
      </c>
      <c r="K8" s="18" t="s">
        <v>49</v>
      </c>
      <c r="L8" s="18" t="s">
        <v>50</v>
      </c>
    </row>
    <row r="9" spans="1:14" x14ac:dyDescent="0.25">
      <c r="D9" s="2" t="s">
        <v>19</v>
      </c>
      <c r="F9" s="4">
        <f>+F8-F7</f>
        <v>-2093248</v>
      </c>
      <c r="G9" s="16">
        <f>+F9/F7</f>
        <v>-0.17341095723022693</v>
      </c>
      <c r="H9" s="12" t="s">
        <v>20</v>
      </c>
      <c r="I9" s="11" t="str">
        <f>(IF(G9&lt;-0.1,"FAIL",IF(G9&gt;0.05,"FAIL","GOOD")))</f>
        <v>FAIL</v>
      </c>
      <c r="J9" s="14" t="s">
        <v>72</v>
      </c>
    </row>
    <row r="10" spans="1:14" x14ac:dyDescent="0.25">
      <c r="D10" s="2" t="s">
        <v>68</v>
      </c>
      <c r="F10" s="4">
        <f>+F7-F12</f>
        <v>1709158</v>
      </c>
      <c r="H10" s="11"/>
      <c r="K10" s="31"/>
      <c r="N10" t="e">
        <f>LOOKUP(1,D23:D43)</f>
        <v>#N/A</v>
      </c>
    </row>
    <row r="11" spans="1:14" x14ac:dyDescent="0.25">
      <c r="A11" s="30"/>
      <c r="D11" s="2" t="s">
        <v>71</v>
      </c>
      <c r="F11" s="11" t="str">
        <f>(IF(F7&lt;J12,"FAIL",IF(F7&gt;J13,"FAIL","GOOD")))</f>
        <v>FAIL</v>
      </c>
      <c r="H11" s="11"/>
      <c r="L11" s="31"/>
      <c r="N11" t="e">
        <f>MATCH(1,D23:H43,0)</f>
        <v>#N/A</v>
      </c>
    </row>
    <row r="12" spans="1:14" x14ac:dyDescent="0.25">
      <c r="D12" s="2" t="s">
        <v>28</v>
      </c>
      <c r="F12" s="4">
        <f>SUM(L23:L43)/H12</f>
        <v>10361867</v>
      </c>
      <c r="G12" s="14"/>
      <c r="H12" s="11">
        <f>COUNT(L23:L43)</f>
        <v>3</v>
      </c>
      <c r="I12" s="1" t="s">
        <v>31</v>
      </c>
      <c r="J12" s="4">
        <f>+F8*0.9</f>
        <v>8979999.3000000007</v>
      </c>
      <c r="K12" s="1" t="s">
        <v>69</v>
      </c>
      <c r="N12" t="str">
        <f>INDEX(D23:D43,MATCH(1,H23:H43,0))</f>
        <v>Intercounty Paving</v>
      </c>
    </row>
    <row r="13" spans="1:14" x14ac:dyDescent="0.25">
      <c r="D13" s="2" t="s">
        <v>29</v>
      </c>
      <c r="F13" s="4">
        <f>MAX(L23:L43)-MIN(L23:L43)</f>
        <v>693124</v>
      </c>
      <c r="G13" s="399">
        <f>MEDIAN(L23:L43)</f>
        <v>10436923</v>
      </c>
      <c r="H13" s="400"/>
      <c r="I13" s="1" t="s">
        <v>30</v>
      </c>
      <c r="J13" s="4">
        <f>+F12*1.1</f>
        <v>11398053.700000001</v>
      </c>
      <c r="K13" s="1" t="s">
        <v>70</v>
      </c>
    </row>
    <row r="14" spans="1:14" x14ac:dyDescent="0.25">
      <c r="H14" s="11"/>
    </row>
    <row r="15" spans="1:14" x14ac:dyDescent="0.25">
      <c r="D15" s="2" t="s">
        <v>8</v>
      </c>
      <c r="F15" s="4">
        <v>5000000</v>
      </c>
      <c r="G15" s="1" t="s">
        <v>9</v>
      </c>
      <c r="H15" s="11"/>
      <c r="I15" t="s">
        <v>15</v>
      </c>
      <c r="J15" s="7">
        <f>+F16/F15</f>
        <v>1.2</v>
      </c>
    </row>
    <row r="16" spans="1:14" x14ac:dyDescent="0.25">
      <c r="F16" s="4">
        <v>6000000</v>
      </c>
      <c r="G16" s="1" t="s">
        <v>10</v>
      </c>
      <c r="H16" s="11"/>
      <c r="I16" t="s">
        <v>14</v>
      </c>
      <c r="J16" s="7">
        <f>+F17/F16</f>
        <v>1.0833333333333333</v>
      </c>
    </row>
    <row r="17" spans="3:15" x14ac:dyDescent="0.25">
      <c r="F17" s="4">
        <v>6500000</v>
      </c>
      <c r="G17" s="1" t="s">
        <v>11</v>
      </c>
      <c r="H17" s="11"/>
      <c r="I17" t="s">
        <v>13</v>
      </c>
      <c r="J17" s="7">
        <f>+F18/F17</f>
        <v>1.8570807692307691</v>
      </c>
    </row>
    <row r="18" spans="3:15" x14ac:dyDescent="0.25">
      <c r="F18" s="4">
        <f>+F7</f>
        <v>12071025</v>
      </c>
      <c r="G18" s="1" t="s">
        <v>12</v>
      </c>
      <c r="H18" s="11"/>
      <c r="I18" t="s">
        <v>16</v>
      </c>
      <c r="J18" s="7">
        <f>+F8/F18</f>
        <v>0.82658904276977307</v>
      </c>
    </row>
    <row r="19" spans="3:15" x14ac:dyDescent="0.25">
      <c r="F19" s="2" t="s">
        <v>51</v>
      </c>
      <c r="G19">
        <v>0</v>
      </c>
      <c r="H19" s="11" t="s">
        <v>52</v>
      </c>
      <c r="I19" t="s">
        <v>41</v>
      </c>
      <c r="J19" s="7">
        <f>+F8/F15</f>
        <v>1.9955554</v>
      </c>
    </row>
    <row r="20" spans="3:15" x14ac:dyDescent="0.25">
      <c r="H20" s="11"/>
    </row>
    <row r="21" spans="3:15" x14ac:dyDescent="0.25">
      <c r="C21" s="9"/>
      <c r="D21" s="13" t="s">
        <v>21</v>
      </c>
      <c r="E21" s="9"/>
      <c r="F21" s="9" t="s">
        <v>22</v>
      </c>
      <c r="G21" s="9" t="s">
        <v>23</v>
      </c>
      <c r="H21" s="13" t="s">
        <v>27</v>
      </c>
      <c r="I21" s="10" t="s">
        <v>38</v>
      </c>
      <c r="J21" s="10" t="s">
        <v>37</v>
      </c>
      <c r="K21" s="17" t="s">
        <v>42</v>
      </c>
      <c r="L21" s="10" t="s">
        <v>39</v>
      </c>
      <c r="M21" s="21"/>
      <c r="N21" s="21"/>
      <c r="O21" s="21"/>
    </row>
    <row r="22" spans="3:15" ht="6" customHeight="1" x14ac:dyDescent="0.25">
      <c r="M22" s="21"/>
      <c r="N22" s="21"/>
      <c r="O22" s="21"/>
    </row>
    <row r="23" spans="3:15" x14ac:dyDescent="0.25">
      <c r="C23" s="33" t="str">
        <f>IF(H23=1,"u","")</f>
        <v/>
      </c>
      <c r="D23" s="11" t="s">
        <v>665</v>
      </c>
      <c r="E23" s="33"/>
      <c r="F23" t="s">
        <v>413</v>
      </c>
      <c r="G23" t="s">
        <v>93</v>
      </c>
      <c r="H23">
        <f>RANK(L23,L$23:L$43,1)</f>
        <v>2</v>
      </c>
      <c r="I23" s="4">
        <v>8615898</v>
      </c>
      <c r="J23" s="4">
        <v>0</v>
      </c>
      <c r="K23" s="7">
        <v>0.15</v>
      </c>
      <c r="L23" s="4">
        <f>+I23+J23+(K23*K$7)+$K$7</f>
        <v>10436923</v>
      </c>
      <c r="M23" s="22"/>
      <c r="N23" s="22"/>
      <c r="O23" s="22"/>
    </row>
    <row r="24" spans="3:15" x14ac:dyDescent="0.25">
      <c r="C24" s="33" t="str">
        <f>IF(H24=1,"u","")</f>
        <v/>
      </c>
      <c r="D24" s="11" t="s">
        <v>745</v>
      </c>
      <c r="E24" s="33"/>
      <c r="F24" t="s">
        <v>159</v>
      </c>
      <c r="G24" t="s">
        <v>93</v>
      </c>
      <c r="H24">
        <f>RANK(L24,L$23:L$43,1)</f>
        <v>3</v>
      </c>
      <c r="I24" s="4">
        <v>8849876</v>
      </c>
      <c r="J24" s="4">
        <v>0</v>
      </c>
      <c r="K24" s="7">
        <v>0.15</v>
      </c>
      <c r="L24" s="4">
        <f>+I24+J24+(K24*K$7)+$K$7</f>
        <v>10670901</v>
      </c>
      <c r="M24" s="22"/>
      <c r="N24" s="22"/>
      <c r="O24" s="22"/>
    </row>
    <row r="25" spans="3:15" x14ac:dyDescent="0.25">
      <c r="C25" s="33" t="str">
        <f>IF(H25=1,"u","")</f>
        <v>u</v>
      </c>
      <c r="D25" s="11" t="s">
        <v>540</v>
      </c>
      <c r="E25" s="33"/>
      <c r="F25" t="s">
        <v>195</v>
      </c>
      <c r="G25" t="s">
        <v>93</v>
      </c>
      <c r="H25">
        <f>RANK(L25,L$23:L$43,1)</f>
        <v>1</v>
      </c>
      <c r="I25" s="4">
        <v>8267597</v>
      </c>
      <c r="J25" s="4">
        <v>0</v>
      </c>
      <c r="K25" s="7">
        <v>0.08</v>
      </c>
      <c r="L25" s="4">
        <f>+I25+J25+(K25*K$7)+$K$7</f>
        <v>9977777</v>
      </c>
      <c r="M25" s="22"/>
      <c r="N25" s="22"/>
      <c r="O25" s="22"/>
    </row>
    <row r="26" spans="3:15" x14ac:dyDescent="0.25">
      <c r="C26" s="33" t="str">
        <f t="shared" ref="C26:C43" si="0">IF(H26=1,"u","")</f>
        <v/>
      </c>
      <c r="D26" s="11"/>
      <c r="E26" s="33"/>
      <c r="I26" s="4"/>
      <c r="J26" s="4"/>
      <c r="K26" s="7"/>
      <c r="L26" s="4"/>
      <c r="M26" s="22"/>
      <c r="N26" s="22"/>
      <c r="O26" s="22"/>
    </row>
    <row r="27" spans="3:15" x14ac:dyDescent="0.25">
      <c r="C27" s="33" t="str">
        <f t="shared" si="0"/>
        <v/>
      </c>
      <c r="D27" s="11"/>
      <c r="E27" s="33"/>
      <c r="I27" s="4"/>
      <c r="J27" s="4"/>
      <c r="K27" s="7"/>
      <c r="L27" s="4"/>
      <c r="M27" s="22"/>
      <c r="N27" s="22"/>
      <c r="O27" s="22"/>
    </row>
    <row r="28" spans="3:15" x14ac:dyDescent="0.25">
      <c r="C28" s="33" t="str">
        <f t="shared" si="0"/>
        <v/>
      </c>
      <c r="D28" s="11"/>
      <c r="E28" s="33"/>
      <c r="I28" s="4"/>
      <c r="J28" s="4"/>
      <c r="K28" s="7"/>
      <c r="L28" s="4"/>
      <c r="M28" s="22"/>
      <c r="N28" s="22"/>
      <c r="O28" s="22"/>
    </row>
    <row r="29" spans="3:15" x14ac:dyDescent="0.25">
      <c r="C29" s="33" t="str">
        <f t="shared" si="0"/>
        <v/>
      </c>
      <c r="D29" s="11"/>
      <c r="E29" s="33"/>
      <c r="I29" s="4"/>
      <c r="J29" s="4"/>
      <c r="K29" s="7"/>
      <c r="L29" s="4"/>
      <c r="M29" s="22"/>
      <c r="N29" s="22"/>
      <c r="O29" s="22"/>
    </row>
    <row r="30" spans="3:15" x14ac:dyDescent="0.25">
      <c r="C30" s="33" t="str">
        <f t="shared" si="0"/>
        <v/>
      </c>
      <c r="D30" s="11"/>
      <c r="E30" s="33" t="str">
        <f t="shared" ref="E30:E43" si="1">IF(H30=1,"t","")</f>
        <v/>
      </c>
      <c r="I30" s="4"/>
      <c r="J30" s="4"/>
      <c r="K30" s="7"/>
      <c r="L30" s="4"/>
      <c r="M30" s="22"/>
      <c r="N30" s="22"/>
      <c r="O30" s="22"/>
    </row>
    <row r="31" spans="3:15" x14ac:dyDescent="0.25">
      <c r="C31" s="33" t="str">
        <f t="shared" si="0"/>
        <v/>
      </c>
      <c r="D31" s="11"/>
      <c r="E31" s="33" t="str">
        <f t="shared" si="1"/>
        <v/>
      </c>
      <c r="I31" s="4"/>
      <c r="J31" s="4"/>
      <c r="K31" s="7"/>
      <c r="L31" s="4"/>
      <c r="M31" s="22"/>
      <c r="N31" s="22"/>
      <c r="O31" s="22"/>
    </row>
    <row r="32" spans="3:15" x14ac:dyDescent="0.25">
      <c r="C32" s="33" t="str">
        <f t="shared" si="0"/>
        <v/>
      </c>
      <c r="D32" s="11"/>
      <c r="E32" s="33" t="str">
        <f t="shared" si="1"/>
        <v/>
      </c>
      <c r="I32" s="4"/>
      <c r="J32" s="4"/>
      <c r="K32" s="7"/>
      <c r="L32" s="4"/>
      <c r="M32" s="22"/>
      <c r="N32" s="22"/>
      <c r="O32" s="22"/>
    </row>
    <row r="33" spans="3:15" x14ac:dyDescent="0.25">
      <c r="C33" s="33" t="str">
        <f t="shared" si="0"/>
        <v/>
      </c>
      <c r="D33" s="11"/>
      <c r="E33" s="33" t="str">
        <f t="shared" si="1"/>
        <v/>
      </c>
      <c r="I33" s="4"/>
      <c r="J33" s="4"/>
      <c r="K33" s="7"/>
      <c r="L33" s="4"/>
      <c r="M33" s="21"/>
      <c r="N33" s="21"/>
      <c r="O33" s="21"/>
    </row>
    <row r="34" spans="3:15" x14ac:dyDescent="0.25">
      <c r="C34" s="33" t="str">
        <f t="shared" si="0"/>
        <v/>
      </c>
      <c r="D34" s="11"/>
      <c r="E34" s="33" t="str">
        <f t="shared" si="1"/>
        <v/>
      </c>
      <c r="K34" s="7"/>
      <c r="M34" s="21"/>
      <c r="N34" s="21"/>
      <c r="O34" s="21"/>
    </row>
    <row r="35" spans="3:15" x14ac:dyDescent="0.25">
      <c r="C35" s="33" t="str">
        <f t="shared" si="0"/>
        <v/>
      </c>
      <c r="D35" s="11"/>
      <c r="E35" s="33" t="str">
        <f t="shared" si="1"/>
        <v/>
      </c>
      <c r="K35" s="7"/>
      <c r="M35" s="21"/>
      <c r="N35" s="21"/>
      <c r="O35" s="21"/>
    </row>
    <row r="36" spans="3:15" x14ac:dyDescent="0.25">
      <c r="C36" s="33" t="str">
        <f t="shared" si="0"/>
        <v/>
      </c>
      <c r="D36" s="11"/>
      <c r="E36" s="33" t="str">
        <f t="shared" si="1"/>
        <v/>
      </c>
      <c r="K36" s="7"/>
      <c r="M36" s="21"/>
      <c r="N36" s="21"/>
      <c r="O36" s="21"/>
    </row>
    <row r="37" spans="3:15" x14ac:dyDescent="0.25">
      <c r="C37" s="33" t="str">
        <f t="shared" si="0"/>
        <v/>
      </c>
      <c r="D37" s="11"/>
      <c r="E37" s="33" t="str">
        <f t="shared" si="1"/>
        <v/>
      </c>
      <c r="K37" s="7"/>
      <c r="M37" s="21"/>
      <c r="N37" s="21"/>
      <c r="O37" s="21"/>
    </row>
    <row r="38" spans="3:15" x14ac:dyDescent="0.25">
      <c r="C38" s="33" t="str">
        <f t="shared" si="0"/>
        <v/>
      </c>
      <c r="D38" s="11"/>
      <c r="E38" s="33" t="str">
        <f t="shared" si="1"/>
        <v/>
      </c>
      <c r="K38" s="7"/>
      <c r="M38" s="21"/>
      <c r="N38" s="21"/>
      <c r="O38" s="21"/>
    </row>
    <row r="39" spans="3:15" x14ac:dyDescent="0.25">
      <c r="C39" s="33" t="str">
        <f t="shared" si="0"/>
        <v/>
      </c>
      <c r="D39" s="11"/>
      <c r="E39" s="33" t="str">
        <f t="shared" si="1"/>
        <v/>
      </c>
      <c r="K39" s="7"/>
      <c r="M39" s="21"/>
      <c r="N39" s="21"/>
      <c r="O39" s="21"/>
    </row>
    <row r="40" spans="3:15" x14ac:dyDescent="0.25">
      <c r="C40" s="33" t="str">
        <f t="shared" si="0"/>
        <v/>
      </c>
      <c r="D40" s="11"/>
      <c r="E40" s="33" t="str">
        <f t="shared" si="1"/>
        <v/>
      </c>
      <c r="K40" s="7"/>
      <c r="M40" s="21"/>
      <c r="N40" s="21"/>
      <c r="O40" s="21"/>
    </row>
    <row r="41" spans="3:15" x14ac:dyDescent="0.25">
      <c r="C41" s="33" t="str">
        <f t="shared" si="0"/>
        <v/>
      </c>
      <c r="D41" s="11"/>
      <c r="E41" s="33" t="str">
        <f t="shared" si="1"/>
        <v/>
      </c>
      <c r="K41" s="7"/>
      <c r="M41" s="21"/>
      <c r="N41" s="21"/>
      <c r="O41" s="21"/>
    </row>
    <row r="42" spans="3:15" x14ac:dyDescent="0.25">
      <c r="C42" s="33" t="str">
        <f t="shared" si="0"/>
        <v/>
      </c>
      <c r="D42" s="11"/>
      <c r="E42" s="33" t="str">
        <f t="shared" si="1"/>
        <v/>
      </c>
      <c r="K42" s="7"/>
      <c r="M42" s="21"/>
      <c r="N42" s="21"/>
      <c r="O42" s="21"/>
    </row>
    <row r="43" spans="3:15" x14ac:dyDescent="0.25">
      <c r="C43" s="33" t="str">
        <f t="shared" si="0"/>
        <v/>
      </c>
      <c r="D43" s="11"/>
      <c r="E43" s="33" t="str">
        <f t="shared" si="1"/>
        <v/>
      </c>
      <c r="K43" s="7"/>
      <c r="M43" s="21"/>
      <c r="N43" s="21"/>
      <c r="O43" s="21"/>
    </row>
    <row r="44" spans="3:15" ht="6" customHeight="1" x14ac:dyDescent="0.25">
      <c r="C44" s="9"/>
      <c r="D44" s="9"/>
      <c r="E44" s="9"/>
      <c r="F44" s="9"/>
      <c r="G44" s="9"/>
      <c r="H44" s="9"/>
      <c r="I44" s="9"/>
      <c r="J44" s="9"/>
      <c r="K44" s="9"/>
      <c r="L44" s="9"/>
      <c r="M44" s="21"/>
      <c r="N44" s="21"/>
      <c r="O44" s="21"/>
    </row>
    <row r="45" spans="3:15" ht="6" customHeight="1" x14ac:dyDescent="0.25">
      <c r="M45" s="21"/>
      <c r="N45" s="21"/>
      <c r="O45" s="21"/>
    </row>
    <row r="46" spans="3:15" x14ac:dyDescent="0.25">
      <c r="C46" s="15" t="s">
        <v>79</v>
      </c>
      <c r="M46" s="21"/>
      <c r="N46" s="21"/>
      <c r="O46" s="21"/>
    </row>
    <row r="47" spans="3:15" x14ac:dyDescent="0.25">
      <c r="C47" s="15" t="s">
        <v>78</v>
      </c>
      <c r="M47" s="21"/>
      <c r="N47" s="21"/>
      <c r="O47" s="21"/>
    </row>
  </sheetData>
  <mergeCells count="1">
    <mergeCell ref="G13:H13"/>
  </mergeCells>
  <conditionalFormatting sqref="I9 F11">
    <cfRule type="containsText" dxfId="1215" priority="11" operator="containsText" text="FAIL">
      <formula>NOT(ISERROR(SEARCH("FAIL",F9)))</formula>
    </cfRule>
  </conditionalFormatting>
  <conditionalFormatting sqref="I9 F11">
    <cfRule type="containsText" dxfId="1214" priority="10" operator="containsText" text="GOOD">
      <formula>NOT(ISERROR(SEARCH("GOOD",F9)))</formula>
    </cfRule>
  </conditionalFormatting>
  <conditionalFormatting sqref="I9">
    <cfRule type="containsText" dxfId="1213" priority="9" operator="containsText" text="FAIL">
      <formula>NOT(ISERROR(SEARCH("FAIL",I9)))</formula>
    </cfRule>
  </conditionalFormatting>
  <conditionalFormatting sqref="I9">
    <cfRule type="containsText" dxfId="1212" priority="8" operator="containsText" text="GOOD">
      <formula>NOT(ISERROR(SEARCH("GOOD",I9)))</formula>
    </cfRule>
  </conditionalFormatting>
  <conditionalFormatting sqref="D23:D24 D26:D43">
    <cfRule type="expression" dxfId="1211" priority="6">
      <formula>H23=1</formula>
    </cfRule>
  </conditionalFormatting>
  <conditionalFormatting sqref="C23:C24 C26:C43">
    <cfRule type="expression" dxfId="1210" priority="5">
      <formula>H23=1</formula>
    </cfRule>
  </conditionalFormatting>
  <conditionalFormatting sqref="E23:E24 E26:E43">
    <cfRule type="expression" dxfId="1209" priority="4">
      <formula>H23=1</formula>
    </cfRule>
  </conditionalFormatting>
  <conditionalFormatting sqref="D25">
    <cfRule type="expression" dxfId="1208" priority="3">
      <formula>H25=1</formula>
    </cfRule>
  </conditionalFormatting>
  <conditionalFormatting sqref="C25">
    <cfRule type="expression" dxfId="1207" priority="2">
      <formula>H25=1</formula>
    </cfRule>
  </conditionalFormatting>
  <conditionalFormatting sqref="E25">
    <cfRule type="expression" dxfId="1206" priority="1">
      <formula>H25=1</formula>
    </cfRule>
  </conditionalFormatting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 codeName="Sheet40"/>
  <dimension ref="A2:P47"/>
  <sheetViews>
    <sheetView zoomScaleNormal="100" workbookViewId="0">
      <selection activeCell="F7" sqref="F7"/>
    </sheetView>
  </sheetViews>
  <sheetFormatPr defaultRowHeight="15" x14ac:dyDescent="0.25"/>
  <cols>
    <col min="1" max="2" width="4.42578125" customWidth="1"/>
    <col min="3" max="3" width="3" customWidth="1"/>
    <col min="4" max="4" width="24.85546875" customWidth="1"/>
    <col min="5" max="5" width="3" customWidth="1"/>
    <col min="6" max="6" width="15.7109375" customWidth="1"/>
    <col min="7" max="7" width="8.5703125" customWidth="1"/>
    <col min="8" max="8" width="5.85546875" customWidth="1"/>
    <col min="9" max="15" width="15.7109375" customWidth="1"/>
  </cols>
  <sheetData>
    <row r="2" spans="1:16" x14ac:dyDescent="0.25">
      <c r="C2" s="15" t="s">
        <v>32</v>
      </c>
      <c r="E2" s="15"/>
      <c r="F2" s="15"/>
      <c r="G2" s="15" t="s">
        <v>33</v>
      </c>
      <c r="H2" s="15"/>
      <c r="I2" s="15"/>
      <c r="J2" s="15"/>
      <c r="K2" s="15"/>
    </row>
    <row r="3" spans="1:16" ht="18.75" x14ac:dyDescent="0.3">
      <c r="C3" s="3" t="s">
        <v>26</v>
      </c>
      <c r="J3" s="8" t="s">
        <v>17</v>
      </c>
      <c r="P3" s="100"/>
    </row>
    <row r="4" spans="1:16" x14ac:dyDescent="0.25">
      <c r="D4" s="2" t="s">
        <v>0</v>
      </c>
      <c r="E4" s="1"/>
      <c r="F4" t="s">
        <v>1057</v>
      </c>
      <c r="I4" s="2" t="s">
        <v>4</v>
      </c>
      <c r="J4" t="s">
        <v>616</v>
      </c>
    </row>
    <row r="5" spans="1:16" x14ac:dyDescent="0.25">
      <c r="D5" s="2" t="s">
        <v>1</v>
      </c>
      <c r="F5" t="s">
        <v>1058</v>
      </c>
    </row>
    <row r="6" spans="1:16" x14ac:dyDescent="0.25">
      <c r="D6" s="2" t="s">
        <v>2</v>
      </c>
      <c r="F6" s="6">
        <v>42949</v>
      </c>
      <c r="H6" s="11"/>
    </row>
    <row r="7" spans="1:16" x14ac:dyDescent="0.25">
      <c r="D7" s="2" t="s">
        <v>3</v>
      </c>
      <c r="F7" s="5">
        <v>1650000</v>
      </c>
      <c r="G7" s="2" t="s">
        <v>34</v>
      </c>
      <c r="H7" s="11"/>
    </row>
    <row r="8" spans="1:16" x14ac:dyDescent="0.25">
      <c r="D8" s="2" t="s">
        <v>18</v>
      </c>
      <c r="F8" s="5">
        <f>MIN(I23:I43)</f>
        <v>1320718</v>
      </c>
      <c r="H8" s="11"/>
    </row>
    <row r="9" spans="1:16" x14ac:dyDescent="0.25">
      <c r="D9" s="2" t="s">
        <v>67</v>
      </c>
      <c r="F9" s="4">
        <f>+F8-F7</f>
        <v>-329282</v>
      </c>
      <c r="G9" s="16">
        <f>+F9/F7</f>
        <v>-0.19956484848484848</v>
      </c>
      <c r="H9" s="12" t="s">
        <v>20</v>
      </c>
      <c r="I9" s="11" t="str">
        <f>(IF(G9&lt;-0.1,"FAIL",IF(G9&gt;0.05,"FAIL","GOOD")))</f>
        <v>FAIL</v>
      </c>
      <c r="J9" s="14" t="s">
        <v>72</v>
      </c>
    </row>
    <row r="10" spans="1:16" x14ac:dyDescent="0.25">
      <c r="D10" s="2" t="s">
        <v>68</v>
      </c>
      <c r="F10" s="4">
        <f>+F7-F12</f>
        <v>-91084.5</v>
      </c>
      <c r="H10" s="11"/>
    </row>
    <row r="11" spans="1:16" x14ac:dyDescent="0.25">
      <c r="A11" s="52"/>
      <c r="D11" s="2" t="s">
        <v>71</v>
      </c>
      <c r="F11" s="11" t="str">
        <f>(IF(F7&lt;J12,"FAIL",IF(F7&gt;J13,"FAIL","GOOD")))</f>
        <v>GOOD</v>
      </c>
      <c r="H11" s="11"/>
    </row>
    <row r="12" spans="1:16" x14ac:dyDescent="0.25">
      <c r="D12" s="2" t="s">
        <v>28</v>
      </c>
      <c r="F12" s="4">
        <f>SUM(I23:I43)/H12</f>
        <v>1741084.5</v>
      </c>
      <c r="G12" s="14"/>
      <c r="H12" s="11">
        <f>COUNT(I23:I43)</f>
        <v>4</v>
      </c>
      <c r="I12" s="1" t="s">
        <v>31</v>
      </c>
      <c r="J12" s="4">
        <f>+F8*0.9</f>
        <v>1188646.2</v>
      </c>
      <c r="K12" s="1" t="s">
        <v>69</v>
      </c>
    </row>
    <row r="13" spans="1:16" x14ac:dyDescent="0.25">
      <c r="D13" s="2" t="s">
        <v>29</v>
      </c>
      <c r="F13" s="4">
        <f>MAX(I23:I43)-MIN(I23:I43)</f>
        <v>1232437</v>
      </c>
      <c r="G13" s="399">
        <f>MEDIAN(I23:I43)</f>
        <v>1545232.5</v>
      </c>
      <c r="H13" s="400"/>
      <c r="I13" s="1" t="s">
        <v>30</v>
      </c>
      <c r="J13" s="4">
        <f>+F12*1.1</f>
        <v>1915192.9500000002</v>
      </c>
      <c r="K13" s="1" t="s">
        <v>70</v>
      </c>
    </row>
    <row r="14" spans="1:16" x14ac:dyDescent="0.25">
      <c r="H14" s="11"/>
    </row>
    <row r="15" spans="1:16" x14ac:dyDescent="0.25">
      <c r="D15" s="2" t="s">
        <v>8</v>
      </c>
      <c r="F15" s="4"/>
      <c r="G15" s="1" t="s">
        <v>9</v>
      </c>
      <c r="H15" s="11"/>
      <c r="I15" t="s">
        <v>15</v>
      </c>
      <c r="J15" s="7" t="e">
        <f>+F16/F15</f>
        <v>#DIV/0!</v>
      </c>
    </row>
    <row r="16" spans="1:16" x14ac:dyDescent="0.25">
      <c r="F16" s="4"/>
      <c r="G16" s="1" t="s">
        <v>10</v>
      </c>
      <c r="H16" s="11"/>
      <c r="I16" t="s">
        <v>14</v>
      </c>
      <c r="J16" s="7" t="e">
        <f>+F17/F16</f>
        <v>#DIV/0!</v>
      </c>
    </row>
    <row r="17" spans="3:15" x14ac:dyDescent="0.25">
      <c r="F17" s="4"/>
      <c r="G17" s="1" t="s">
        <v>11</v>
      </c>
      <c r="H17" s="11"/>
      <c r="I17" t="s">
        <v>13</v>
      </c>
      <c r="J17" s="7" t="e">
        <f>+F18/F17</f>
        <v>#DIV/0!</v>
      </c>
      <c r="M17" s="21"/>
      <c r="N17" s="21"/>
      <c r="O17" s="21"/>
    </row>
    <row r="18" spans="3:15" x14ac:dyDescent="0.25">
      <c r="F18" s="4"/>
      <c r="G18" s="1" t="s">
        <v>12</v>
      </c>
      <c r="H18" s="11"/>
      <c r="I18" t="s">
        <v>16</v>
      </c>
      <c r="J18" s="7" t="e">
        <f>+F8/F18</f>
        <v>#DIV/0!</v>
      </c>
      <c r="M18" s="21"/>
      <c r="N18" s="21"/>
      <c r="O18" s="21"/>
    </row>
    <row r="19" spans="3:15" x14ac:dyDescent="0.25">
      <c r="F19" s="2" t="s">
        <v>51</v>
      </c>
      <c r="G19">
        <v>0</v>
      </c>
      <c r="H19" s="11" t="s">
        <v>52</v>
      </c>
      <c r="I19" t="s">
        <v>41</v>
      </c>
      <c r="J19" s="7" t="e">
        <f>+F8/F15</f>
        <v>#DIV/0!</v>
      </c>
      <c r="M19" s="21"/>
      <c r="N19" s="21"/>
      <c r="O19" s="21"/>
    </row>
    <row r="20" spans="3:15" x14ac:dyDescent="0.25">
      <c r="H20" s="11"/>
      <c r="M20" s="21"/>
      <c r="N20" s="21"/>
      <c r="O20" s="21"/>
    </row>
    <row r="21" spans="3:15" x14ac:dyDescent="0.25">
      <c r="C21" s="9"/>
      <c r="D21" s="13" t="s">
        <v>21</v>
      </c>
      <c r="E21" s="9"/>
      <c r="F21" s="9" t="s">
        <v>22</v>
      </c>
      <c r="G21" s="9" t="s">
        <v>23</v>
      </c>
      <c r="H21" s="13" t="s">
        <v>27</v>
      </c>
      <c r="I21" s="10" t="s">
        <v>24</v>
      </c>
      <c r="J21" s="9"/>
      <c r="K21" s="9"/>
      <c r="L21" s="9"/>
      <c r="M21" s="21"/>
      <c r="N21" s="21"/>
      <c r="O21" s="21"/>
    </row>
    <row r="22" spans="3:15" ht="6" customHeight="1" x14ac:dyDescent="0.25">
      <c r="M22" s="21"/>
      <c r="N22" s="21"/>
      <c r="O22" s="21"/>
    </row>
    <row r="23" spans="3:15" x14ac:dyDescent="0.25">
      <c r="C23" s="33" t="str">
        <f>IF(H23=1,"u","")</f>
        <v/>
      </c>
      <c r="D23" s="11" t="s">
        <v>528</v>
      </c>
      <c r="E23" s="33"/>
      <c r="F23" t="s">
        <v>159</v>
      </c>
      <c r="G23" t="s">
        <v>93</v>
      </c>
      <c r="H23">
        <f>RANK(I23,I$23:I$43,1)</f>
        <v>4</v>
      </c>
      <c r="I23" s="4">
        <v>2553155</v>
      </c>
      <c r="J23" s="4"/>
      <c r="K23" s="4"/>
      <c r="L23" s="4"/>
      <c r="M23" s="22"/>
      <c r="N23" s="22"/>
      <c r="O23" s="22"/>
    </row>
    <row r="24" spans="3:15" x14ac:dyDescent="0.25">
      <c r="C24" s="33" t="str">
        <f>IF(H24=1,"u","")</f>
        <v/>
      </c>
      <c r="D24" s="11" t="s">
        <v>676</v>
      </c>
      <c r="E24" s="33"/>
      <c r="F24" t="s">
        <v>85</v>
      </c>
      <c r="G24" t="s">
        <v>25</v>
      </c>
      <c r="H24">
        <f>RANK(I24,I$23:I$43,1)</f>
        <v>3</v>
      </c>
      <c r="I24" s="4">
        <v>1636290</v>
      </c>
      <c r="J24" s="4"/>
      <c r="K24" s="4"/>
      <c r="L24" s="4"/>
      <c r="M24" s="22"/>
      <c r="N24" s="22"/>
      <c r="O24" s="22"/>
    </row>
    <row r="25" spans="3:15" x14ac:dyDescent="0.25">
      <c r="C25" s="33" t="str">
        <f>IF(H25=1,"u","")</f>
        <v>u</v>
      </c>
      <c r="D25" s="11" t="s">
        <v>540</v>
      </c>
      <c r="E25" s="33"/>
      <c r="F25" t="s">
        <v>195</v>
      </c>
      <c r="G25" t="s">
        <v>93</v>
      </c>
      <c r="H25">
        <f>RANK(I25,I$23:I$43,1)</f>
        <v>1</v>
      </c>
      <c r="I25" s="4">
        <v>1320718</v>
      </c>
      <c r="J25" s="4"/>
      <c r="K25" s="4"/>
      <c r="L25" s="4"/>
      <c r="M25" s="22"/>
      <c r="N25" s="22"/>
      <c r="O25" s="22"/>
    </row>
    <row r="26" spans="3:15" x14ac:dyDescent="0.25">
      <c r="C26" s="33"/>
      <c r="D26" s="11" t="s">
        <v>1059</v>
      </c>
      <c r="E26" s="33"/>
      <c r="F26" t="s">
        <v>95</v>
      </c>
      <c r="G26" t="s">
        <v>93</v>
      </c>
      <c r="H26">
        <f>RANK(I26,I$23:I$43,1)</f>
        <v>2</v>
      </c>
      <c r="I26" s="4">
        <v>1454175</v>
      </c>
      <c r="J26" s="4"/>
      <c r="K26" s="4"/>
      <c r="L26" s="4"/>
      <c r="M26" s="22"/>
      <c r="N26" s="22"/>
      <c r="O26" s="22"/>
    </row>
    <row r="27" spans="3:15" x14ac:dyDescent="0.25">
      <c r="C27" s="33"/>
      <c r="D27" s="11"/>
      <c r="E27" s="33"/>
      <c r="I27" s="4"/>
      <c r="J27" s="4"/>
      <c r="K27" s="4"/>
      <c r="L27" s="4"/>
      <c r="M27" s="22"/>
      <c r="N27" s="22"/>
      <c r="O27" s="22"/>
    </row>
    <row r="28" spans="3:15" x14ac:dyDescent="0.25">
      <c r="C28" s="33"/>
      <c r="D28" s="11"/>
      <c r="E28" s="33"/>
      <c r="I28" s="4"/>
      <c r="J28" s="4"/>
      <c r="K28" s="4"/>
      <c r="L28" s="4"/>
      <c r="M28" s="22"/>
      <c r="N28" s="22"/>
      <c r="O28" s="22"/>
    </row>
    <row r="29" spans="3:15" x14ac:dyDescent="0.25">
      <c r="C29" s="33" t="str">
        <f t="shared" ref="C29:C43" si="0">IF(H29=1,"u","")</f>
        <v/>
      </c>
      <c r="D29" s="11"/>
      <c r="E29" s="33"/>
      <c r="I29" s="4"/>
      <c r="J29" s="4"/>
      <c r="K29" s="4"/>
      <c r="L29" s="4"/>
      <c r="M29" s="22"/>
      <c r="N29" s="22"/>
      <c r="O29" s="22"/>
    </row>
    <row r="30" spans="3:15" x14ac:dyDescent="0.25">
      <c r="C30" s="33" t="str">
        <f t="shared" si="0"/>
        <v/>
      </c>
      <c r="D30" s="11"/>
      <c r="E30" s="33"/>
      <c r="I30" s="4"/>
      <c r="J30" s="4"/>
      <c r="K30" s="4"/>
      <c r="L30" s="4"/>
      <c r="M30" s="22"/>
      <c r="N30" s="22"/>
      <c r="O30" s="22"/>
    </row>
    <row r="31" spans="3:15" x14ac:dyDescent="0.25">
      <c r="C31" s="33" t="str">
        <f t="shared" si="0"/>
        <v/>
      </c>
      <c r="D31" s="11"/>
      <c r="E31" s="33"/>
      <c r="I31" s="4"/>
      <c r="J31" s="4"/>
      <c r="K31" s="4"/>
      <c r="L31" s="4"/>
      <c r="M31" s="22"/>
      <c r="N31" s="22"/>
      <c r="O31" s="22"/>
    </row>
    <row r="32" spans="3:15" x14ac:dyDescent="0.25">
      <c r="C32" s="33" t="str">
        <f t="shared" si="0"/>
        <v/>
      </c>
      <c r="D32" s="11"/>
      <c r="E32" s="33"/>
      <c r="I32" s="4"/>
      <c r="J32" s="4"/>
      <c r="K32" s="4"/>
      <c r="L32" s="4"/>
      <c r="M32" s="22"/>
      <c r="N32" s="22"/>
      <c r="O32" s="22"/>
    </row>
    <row r="33" spans="3:15" x14ac:dyDescent="0.25">
      <c r="C33" s="33" t="str">
        <f t="shared" si="0"/>
        <v/>
      </c>
      <c r="D33" s="11"/>
      <c r="E33" s="33"/>
      <c r="I33" s="4"/>
      <c r="M33" s="21"/>
      <c r="N33" s="21"/>
      <c r="O33" s="21"/>
    </row>
    <row r="34" spans="3:15" x14ac:dyDescent="0.25">
      <c r="C34" s="33" t="str">
        <f t="shared" si="0"/>
        <v/>
      </c>
      <c r="D34" s="11"/>
      <c r="E34" s="33" t="str">
        <f t="shared" ref="E34:E43" si="1">IF(H34=1,"t","")</f>
        <v/>
      </c>
      <c r="M34" s="21"/>
      <c r="N34" s="21"/>
      <c r="O34" s="21"/>
    </row>
    <row r="35" spans="3:15" x14ac:dyDescent="0.25">
      <c r="C35" s="33" t="str">
        <f t="shared" si="0"/>
        <v/>
      </c>
      <c r="D35" s="11"/>
      <c r="E35" s="33" t="str">
        <f t="shared" si="1"/>
        <v/>
      </c>
      <c r="M35" s="21"/>
      <c r="N35" s="21"/>
      <c r="O35" s="21"/>
    </row>
    <row r="36" spans="3:15" x14ac:dyDescent="0.25">
      <c r="C36" s="33" t="str">
        <f t="shared" si="0"/>
        <v/>
      </c>
      <c r="D36" s="11"/>
      <c r="E36" s="33" t="str">
        <f t="shared" si="1"/>
        <v/>
      </c>
      <c r="M36" s="21"/>
      <c r="N36" s="21"/>
      <c r="O36" s="21"/>
    </row>
    <row r="37" spans="3:15" x14ac:dyDescent="0.25">
      <c r="C37" s="33" t="str">
        <f t="shared" si="0"/>
        <v/>
      </c>
      <c r="D37" s="11"/>
      <c r="E37" s="33" t="str">
        <f t="shared" si="1"/>
        <v/>
      </c>
      <c r="M37" s="21"/>
      <c r="N37" s="21"/>
      <c r="O37" s="21"/>
    </row>
    <row r="38" spans="3:15" x14ac:dyDescent="0.25">
      <c r="C38" s="33" t="str">
        <f t="shared" si="0"/>
        <v/>
      </c>
      <c r="D38" s="11"/>
      <c r="E38" s="33" t="str">
        <f t="shared" si="1"/>
        <v/>
      </c>
      <c r="M38" s="21"/>
      <c r="N38" s="21"/>
      <c r="O38" s="21"/>
    </row>
    <row r="39" spans="3:15" x14ac:dyDescent="0.25">
      <c r="C39" s="33" t="str">
        <f t="shared" si="0"/>
        <v/>
      </c>
      <c r="D39" s="11"/>
      <c r="E39" s="33" t="str">
        <f t="shared" si="1"/>
        <v/>
      </c>
      <c r="M39" s="21"/>
      <c r="N39" s="21"/>
      <c r="O39" s="21"/>
    </row>
    <row r="40" spans="3:15" x14ac:dyDescent="0.25">
      <c r="C40" s="33" t="str">
        <f t="shared" si="0"/>
        <v/>
      </c>
      <c r="D40" s="11"/>
      <c r="E40" s="33" t="str">
        <f t="shared" si="1"/>
        <v/>
      </c>
      <c r="M40" s="21"/>
      <c r="N40" s="21"/>
      <c r="O40" s="21"/>
    </row>
    <row r="41" spans="3:15" x14ac:dyDescent="0.25">
      <c r="C41" s="33" t="str">
        <f t="shared" si="0"/>
        <v/>
      </c>
      <c r="D41" s="11"/>
      <c r="E41" s="33" t="str">
        <f t="shared" si="1"/>
        <v/>
      </c>
      <c r="M41" s="21"/>
      <c r="N41" s="21"/>
      <c r="O41" s="21"/>
    </row>
    <row r="42" spans="3:15" x14ac:dyDescent="0.25">
      <c r="C42" s="33" t="str">
        <f t="shared" si="0"/>
        <v/>
      </c>
      <c r="D42" s="11"/>
      <c r="E42" s="33" t="str">
        <f t="shared" si="1"/>
        <v/>
      </c>
      <c r="M42" s="21"/>
      <c r="N42" s="21"/>
      <c r="O42" s="21"/>
    </row>
    <row r="43" spans="3:15" x14ac:dyDescent="0.25">
      <c r="C43" s="33" t="str">
        <f t="shared" si="0"/>
        <v/>
      </c>
      <c r="D43" s="11"/>
      <c r="E43" s="33" t="str">
        <f t="shared" si="1"/>
        <v/>
      </c>
      <c r="M43" s="21"/>
      <c r="N43" s="21"/>
      <c r="O43" s="21"/>
    </row>
    <row r="44" spans="3:15" ht="6" customHeight="1" x14ac:dyDescent="0.25">
      <c r="C44" s="9"/>
      <c r="D44" s="9"/>
      <c r="E44" s="9"/>
      <c r="F44" s="9"/>
      <c r="G44" s="9"/>
      <c r="H44" s="9"/>
      <c r="I44" s="9"/>
      <c r="J44" s="9"/>
      <c r="K44" s="9"/>
      <c r="L44" s="9"/>
      <c r="M44" s="21"/>
      <c r="N44" s="21"/>
      <c r="O44" s="21"/>
    </row>
    <row r="45" spans="3:15" ht="6" customHeight="1" x14ac:dyDescent="0.25">
      <c r="M45" s="21"/>
      <c r="N45" s="21"/>
      <c r="O45" s="21"/>
    </row>
    <row r="46" spans="3:15" x14ac:dyDescent="0.25">
      <c r="C46" s="15" t="s">
        <v>79</v>
      </c>
      <c r="M46" s="21"/>
      <c r="N46" s="21"/>
      <c r="O46" s="21"/>
    </row>
    <row r="47" spans="3:15" x14ac:dyDescent="0.25">
      <c r="C47" s="15" t="s">
        <v>78</v>
      </c>
    </row>
  </sheetData>
  <mergeCells count="1">
    <mergeCell ref="G13:H13"/>
  </mergeCells>
  <conditionalFormatting sqref="I9">
    <cfRule type="containsText" dxfId="1917" priority="16" operator="containsText" text="FAIL">
      <formula>NOT(ISERROR(SEARCH("FAIL",I9)))</formula>
    </cfRule>
  </conditionalFormatting>
  <conditionalFormatting sqref="I9">
    <cfRule type="containsText" dxfId="1916" priority="15" operator="containsText" text="GOOD">
      <formula>NOT(ISERROR(SEARCH("GOOD",I9)))</formula>
    </cfRule>
  </conditionalFormatting>
  <conditionalFormatting sqref="F11">
    <cfRule type="containsText" dxfId="1915" priority="14" operator="containsText" text="FAIL">
      <formula>NOT(ISERROR(SEARCH("FAIL",F11)))</formula>
    </cfRule>
  </conditionalFormatting>
  <conditionalFormatting sqref="F11">
    <cfRule type="containsText" dxfId="1914" priority="13" operator="containsText" text="GOOD">
      <formula>NOT(ISERROR(SEARCH("GOOD",F11)))</formula>
    </cfRule>
  </conditionalFormatting>
  <conditionalFormatting sqref="D25">
    <cfRule type="expression" dxfId="1913" priority="12" stopIfTrue="1">
      <formula>IF($H$25=1,0)</formula>
    </cfRule>
  </conditionalFormatting>
  <conditionalFormatting sqref="D23 D29:D43 D25:D26">
    <cfRule type="expression" dxfId="1912" priority="11">
      <formula>H23=1</formula>
    </cfRule>
  </conditionalFormatting>
  <conditionalFormatting sqref="C23:C26 C29:C43">
    <cfRule type="expression" dxfId="1911" priority="10">
      <formula>H23=1</formula>
    </cfRule>
  </conditionalFormatting>
  <conditionalFormatting sqref="E23 E29:E43 E25:E26">
    <cfRule type="expression" dxfId="1910" priority="9">
      <formula>H23=1</formula>
    </cfRule>
  </conditionalFormatting>
  <conditionalFormatting sqref="F11">
    <cfRule type="containsText" dxfId="1909" priority="8" operator="containsText" text="FAIL">
      <formula>NOT(ISERROR(SEARCH("FAIL",F11)))</formula>
    </cfRule>
  </conditionalFormatting>
  <conditionalFormatting sqref="F11">
    <cfRule type="containsText" dxfId="1908" priority="7" operator="containsText" text="GOOD">
      <formula>NOT(ISERROR(SEARCH("GOOD",F11)))</formula>
    </cfRule>
  </conditionalFormatting>
  <conditionalFormatting sqref="D27:D28">
    <cfRule type="expression" dxfId="1907" priority="6">
      <formula>H27=1</formula>
    </cfRule>
  </conditionalFormatting>
  <conditionalFormatting sqref="C27:C28">
    <cfRule type="expression" dxfId="1906" priority="5">
      <formula>H27=1</formula>
    </cfRule>
  </conditionalFormatting>
  <conditionalFormatting sqref="E27:E28">
    <cfRule type="expression" dxfId="1905" priority="4">
      <formula>H27=1</formula>
    </cfRule>
  </conditionalFormatting>
  <conditionalFormatting sqref="D24">
    <cfRule type="expression" dxfId="1904" priority="3" stopIfTrue="1">
      <formula>IF($H$25=1,0)</formula>
    </cfRule>
  </conditionalFormatting>
  <conditionalFormatting sqref="D24">
    <cfRule type="expression" dxfId="1903" priority="2">
      <formula>H24=1</formula>
    </cfRule>
  </conditionalFormatting>
  <conditionalFormatting sqref="E24">
    <cfRule type="expression" dxfId="1902" priority="1">
      <formula>H24=1</formula>
    </cfRule>
  </conditionalFormatting>
  <pageMargins left="0.7" right="0.7" top="0.75" bottom="0.75" header="0.3" footer="0.3"/>
  <pageSetup scale="68"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sheetPr codeName="Sheet73"/>
  <dimension ref="A2:O47"/>
  <sheetViews>
    <sheetView topLeftCell="A3" zoomScaleNormal="100" workbookViewId="0">
      <selection activeCell="L9" sqref="L9"/>
    </sheetView>
  </sheetViews>
  <sheetFormatPr defaultRowHeight="15" x14ac:dyDescent="0.25"/>
  <cols>
    <col min="1" max="2" width="4.42578125" customWidth="1"/>
    <col min="3" max="3" width="3" customWidth="1"/>
    <col min="4" max="4" width="24.85546875" customWidth="1"/>
    <col min="5" max="5" width="3" customWidth="1"/>
    <col min="6" max="6" width="15.7109375" customWidth="1"/>
    <col min="7" max="7" width="8.5703125" customWidth="1"/>
    <col min="8" max="8" width="5.85546875" customWidth="1"/>
    <col min="9" max="15" width="15.7109375" customWidth="1"/>
  </cols>
  <sheetData>
    <row r="2" spans="1:11" x14ac:dyDescent="0.25">
      <c r="C2" s="15" t="s">
        <v>32</v>
      </c>
      <c r="E2" s="15"/>
      <c r="F2" s="15"/>
      <c r="G2" s="15" t="s">
        <v>33</v>
      </c>
      <c r="H2" s="15"/>
      <c r="I2" s="15"/>
      <c r="J2" s="15"/>
      <c r="K2" s="15"/>
    </row>
    <row r="3" spans="1:11" ht="18.75" x14ac:dyDescent="0.3">
      <c r="C3" s="3" t="s">
        <v>26</v>
      </c>
      <c r="J3" s="8" t="s">
        <v>17</v>
      </c>
    </row>
    <row r="4" spans="1:11" x14ac:dyDescent="0.25">
      <c r="D4" s="2" t="s">
        <v>0</v>
      </c>
      <c r="E4" s="1"/>
      <c r="F4" t="s">
        <v>880</v>
      </c>
      <c r="I4" s="2" t="s">
        <v>4</v>
      </c>
      <c r="J4" t="s">
        <v>616</v>
      </c>
    </row>
    <row r="5" spans="1:11" x14ac:dyDescent="0.25">
      <c r="D5" s="2" t="s">
        <v>1</v>
      </c>
      <c r="F5" t="s">
        <v>881</v>
      </c>
    </row>
    <row r="6" spans="1:11" x14ac:dyDescent="0.25">
      <c r="D6" s="2" t="s">
        <v>2</v>
      </c>
      <c r="F6" s="6">
        <v>42768</v>
      </c>
      <c r="H6" s="11"/>
    </row>
    <row r="7" spans="1:11" x14ac:dyDescent="0.25">
      <c r="D7" s="2" t="s">
        <v>3</v>
      </c>
      <c r="F7" s="5">
        <v>4800000</v>
      </c>
      <c r="G7" s="2" t="s">
        <v>34</v>
      </c>
      <c r="H7" s="11"/>
    </row>
    <row r="8" spans="1:11" x14ac:dyDescent="0.25">
      <c r="D8" s="2" t="s">
        <v>18</v>
      </c>
      <c r="F8" s="5">
        <f>MIN(I23:I43)</f>
        <v>3901193</v>
      </c>
      <c r="H8" s="11"/>
    </row>
    <row r="9" spans="1:11" x14ac:dyDescent="0.25">
      <c r="D9" s="2" t="s">
        <v>67</v>
      </c>
      <c r="F9" s="4">
        <f>+F8-F7</f>
        <v>-898807</v>
      </c>
      <c r="G9" s="16">
        <f>+F9/F7</f>
        <v>-0.18725145833333334</v>
      </c>
      <c r="H9" s="12" t="s">
        <v>20</v>
      </c>
      <c r="I9" s="11" t="str">
        <f>(IF(G9&lt;-0.1,"FAIL",IF(G9&gt;0.05,"FAIL","GOOD")))</f>
        <v>FAIL</v>
      </c>
      <c r="J9" s="14" t="s">
        <v>72</v>
      </c>
    </row>
    <row r="10" spans="1:11" x14ac:dyDescent="0.25">
      <c r="D10" s="2" t="s">
        <v>68</v>
      </c>
      <c r="F10" s="4">
        <f>+F7-F12</f>
        <v>-244696</v>
      </c>
      <c r="H10" s="11"/>
    </row>
    <row r="11" spans="1:11" x14ac:dyDescent="0.25">
      <c r="A11" s="52"/>
      <c r="D11" s="2" t="s">
        <v>71</v>
      </c>
      <c r="F11" s="11" t="str">
        <f>(IF(F7&lt;J12,"FAIL",IF(F7&gt;J13,"FAIL","GOOD")))</f>
        <v>GOOD</v>
      </c>
      <c r="H11" s="11"/>
    </row>
    <row r="12" spans="1:11" x14ac:dyDescent="0.25">
      <c r="D12" s="2" t="s">
        <v>28</v>
      </c>
      <c r="F12" s="4">
        <f>SUM(I23:I43)/H12</f>
        <v>5044696</v>
      </c>
      <c r="G12" s="14"/>
      <c r="H12" s="11">
        <f>COUNT(I23:I43)</f>
        <v>14</v>
      </c>
      <c r="I12" s="1" t="s">
        <v>31</v>
      </c>
      <c r="J12" s="4">
        <f>+F8*0.9</f>
        <v>3511073.7</v>
      </c>
      <c r="K12" s="1" t="s">
        <v>69</v>
      </c>
    </row>
    <row r="13" spans="1:11" x14ac:dyDescent="0.25">
      <c r="D13" s="2" t="s">
        <v>29</v>
      </c>
      <c r="F13" s="4">
        <f>MAX(I23:I43)-MIN(I23:I43)</f>
        <v>2348807</v>
      </c>
      <c r="G13" s="399">
        <f>MEDIAN(I23:I43)</f>
        <v>5006800</v>
      </c>
      <c r="H13" s="400"/>
      <c r="I13" s="1" t="s">
        <v>30</v>
      </c>
      <c r="J13" s="4">
        <f>+F12*1.1</f>
        <v>5549165.6000000006</v>
      </c>
      <c r="K13" s="1" t="s">
        <v>70</v>
      </c>
    </row>
    <row r="14" spans="1:11" x14ac:dyDescent="0.25">
      <c r="H14" s="11"/>
    </row>
    <row r="15" spans="1:11" x14ac:dyDescent="0.25">
      <c r="D15" s="2" t="s">
        <v>8</v>
      </c>
      <c r="F15" s="4"/>
      <c r="G15" s="1" t="s">
        <v>9</v>
      </c>
      <c r="H15" s="11"/>
      <c r="I15" t="s">
        <v>15</v>
      </c>
      <c r="J15" s="7" t="e">
        <f>+F16/F15</f>
        <v>#DIV/0!</v>
      </c>
    </row>
    <row r="16" spans="1:11" x14ac:dyDescent="0.25">
      <c r="F16" s="4"/>
      <c r="G16" s="1" t="s">
        <v>10</v>
      </c>
      <c r="H16" s="11"/>
      <c r="I16" t="s">
        <v>14</v>
      </c>
      <c r="J16" s="7" t="e">
        <f>+F17/F16</f>
        <v>#DIV/0!</v>
      </c>
    </row>
    <row r="17" spans="3:15" x14ac:dyDescent="0.25">
      <c r="F17" s="4"/>
      <c r="G17" s="1" t="s">
        <v>11</v>
      </c>
      <c r="H17" s="11"/>
      <c r="I17" t="s">
        <v>13</v>
      </c>
      <c r="J17" s="7" t="e">
        <f>+F18/F17</f>
        <v>#DIV/0!</v>
      </c>
      <c r="M17" s="21"/>
      <c r="N17" s="21"/>
      <c r="O17" s="21"/>
    </row>
    <row r="18" spans="3:15" x14ac:dyDescent="0.25">
      <c r="F18" s="4"/>
      <c r="G18" s="1" t="s">
        <v>12</v>
      </c>
      <c r="H18" s="11"/>
      <c r="I18" t="s">
        <v>16</v>
      </c>
      <c r="J18" s="7" t="e">
        <f>+F8/F18</f>
        <v>#DIV/0!</v>
      </c>
      <c r="M18" s="21"/>
      <c r="N18" s="21"/>
      <c r="O18" s="21"/>
    </row>
    <row r="19" spans="3:15" x14ac:dyDescent="0.25">
      <c r="F19" s="2" t="s">
        <v>51</v>
      </c>
      <c r="G19">
        <v>0</v>
      </c>
      <c r="H19" s="11" t="s">
        <v>52</v>
      </c>
      <c r="I19" t="s">
        <v>41</v>
      </c>
      <c r="J19" s="7" t="e">
        <f>+F8/F15</f>
        <v>#DIV/0!</v>
      </c>
      <c r="M19" s="21"/>
      <c r="N19" s="21"/>
      <c r="O19" s="21"/>
    </row>
    <row r="20" spans="3:15" x14ac:dyDescent="0.25">
      <c r="H20" s="11"/>
      <c r="M20" s="21"/>
      <c r="N20" s="21"/>
      <c r="O20" s="21"/>
    </row>
    <row r="21" spans="3:15" x14ac:dyDescent="0.25">
      <c r="C21" s="9"/>
      <c r="D21" s="13" t="s">
        <v>21</v>
      </c>
      <c r="E21" s="9"/>
      <c r="F21" s="9" t="s">
        <v>22</v>
      </c>
      <c r="G21" s="9" t="s">
        <v>23</v>
      </c>
      <c r="H21" s="13" t="s">
        <v>27</v>
      </c>
      <c r="I21" s="10" t="s">
        <v>24</v>
      </c>
      <c r="J21" s="9"/>
      <c r="K21" s="9"/>
      <c r="L21" s="9"/>
      <c r="M21" s="21"/>
      <c r="N21" s="21"/>
      <c r="O21" s="21"/>
    </row>
    <row r="22" spans="3:15" ht="6" customHeight="1" x14ac:dyDescent="0.25">
      <c r="M22" s="21"/>
      <c r="N22" s="21"/>
      <c r="O22" s="21"/>
    </row>
    <row r="23" spans="3:15" x14ac:dyDescent="0.25">
      <c r="C23" s="33" t="str">
        <f>IF(H23=1,"u","")</f>
        <v/>
      </c>
      <c r="D23" s="11" t="s">
        <v>882</v>
      </c>
      <c r="E23" s="33"/>
      <c r="F23" t="s">
        <v>95</v>
      </c>
      <c r="G23" t="s">
        <v>93</v>
      </c>
      <c r="H23">
        <f>RANK(I23,I$23:I$43,1)</f>
        <v>2</v>
      </c>
      <c r="I23" s="4">
        <v>3980000</v>
      </c>
      <c r="J23" s="4"/>
      <c r="K23" s="4"/>
      <c r="L23" s="4"/>
      <c r="M23" s="22"/>
      <c r="N23" s="22"/>
      <c r="O23" s="22"/>
    </row>
    <row r="24" spans="3:15" x14ac:dyDescent="0.25">
      <c r="C24" s="33" t="str">
        <f>IF(H24=1,"u","")</f>
        <v>u</v>
      </c>
      <c r="D24" s="11" t="s">
        <v>883</v>
      </c>
      <c r="E24" s="33"/>
      <c r="F24" t="s">
        <v>884</v>
      </c>
      <c r="G24" t="s">
        <v>93</v>
      </c>
      <c r="H24">
        <f t="shared" ref="H24:H36" si="0">RANK(I24,I$23:I$43,1)</f>
        <v>1</v>
      </c>
      <c r="I24" s="4">
        <v>3901193</v>
      </c>
      <c r="J24" s="4"/>
      <c r="K24" s="4"/>
      <c r="L24" s="4"/>
      <c r="M24" s="22"/>
      <c r="N24" s="22"/>
      <c r="O24" s="22"/>
    </row>
    <row r="25" spans="3:15" x14ac:dyDescent="0.25">
      <c r="C25" s="33" t="str">
        <f>IF(H25=1,"u","")</f>
        <v/>
      </c>
      <c r="D25" s="11" t="s">
        <v>885</v>
      </c>
      <c r="E25" s="33"/>
      <c r="F25" t="s">
        <v>95</v>
      </c>
      <c r="G25" t="s">
        <v>93</v>
      </c>
      <c r="H25">
        <f t="shared" si="0"/>
        <v>5</v>
      </c>
      <c r="I25" s="4">
        <v>4437000</v>
      </c>
      <c r="J25" s="4"/>
      <c r="K25" s="4"/>
      <c r="L25" s="4"/>
      <c r="M25" s="22"/>
      <c r="N25" s="22"/>
      <c r="O25" s="22"/>
    </row>
    <row r="26" spans="3:15" x14ac:dyDescent="0.25">
      <c r="C26" s="33" t="str">
        <f t="shared" ref="C26:C43" si="1">IF(H26=1,"u","")</f>
        <v/>
      </c>
      <c r="D26" s="11" t="s">
        <v>502</v>
      </c>
      <c r="E26" s="33"/>
      <c r="F26" t="s">
        <v>95</v>
      </c>
      <c r="G26" t="s">
        <v>93</v>
      </c>
      <c r="H26">
        <f t="shared" si="0"/>
        <v>7</v>
      </c>
      <c r="I26" s="4">
        <v>4769000</v>
      </c>
      <c r="J26" s="4"/>
      <c r="K26" s="4"/>
      <c r="L26" s="4"/>
      <c r="M26" s="22"/>
      <c r="N26" s="22"/>
      <c r="O26" s="22"/>
    </row>
    <row r="27" spans="3:15" x14ac:dyDescent="0.25">
      <c r="C27" s="33" t="str">
        <f t="shared" si="1"/>
        <v/>
      </c>
      <c r="D27" s="11" t="s">
        <v>886</v>
      </c>
      <c r="E27" s="33"/>
      <c r="F27" t="s">
        <v>161</v>
      </c>
      <c r="G27" t="s">
        <v>93</v>
      </c>
      <c r="H27">
        <f t="shared" si="0"/>
        <v>3</v>
      </c>
      <c r="I27" s="4">
        <v>4358000</v>
      </c>
      <c r="J27" s="4"/>
      <c r="K27" s="4"/>
      <c r="L27" s="4"/>
      <c r="M27" s="22"/>
      <c r="N27" s="22"/>
      <c r="O27" s="22"/>
    </row>
    <row r="28" spans="3:15" x14ac:dyDescent="0.25">
      <c r="C28" s="33" t="str">
        <f t="shared" si="1"/>
        <v/>
      </c>
      <c r="D28" s="11" t="s">
        <v>887</v>
      </c>
      <c r="E28" s="33"/>
      <c r="F28" t="s">
        <v>147</v>
      </c>
      <c r="G28" t="s">
        <v>93</v>
      </c>
      <c r="H28">
        <f t="shared" si="0"/>
        <v>11</v>
      </c>
      <c r="I28" s="4">
        <v>5750000</v>
      </c>
      <c r="J28" s="4"/>
      <c r="K28" s="4"/>
      <c r="L28" s="4"/>
      <c r="M28" s="22"/>
      <c r="N28" s="22"/>
      <c r="O28" s="22"/>
    </row>
    <row r="29" spans="3:15" x14ac:dyDescent="0.25">
      <c r="C29" s="33" t="str">
        <f t="shared" si="1"/>
        <v/>
      </c>
      <c r="D29" s="11" t="s">
        <v>888</v>
      </c>
      <c r="E29" s="33"/>
      <c r="F29" t="s">
        <v>167</v>
      </c>
      <c r="G29" t="s">
        <v>93</v>
      </c>
      <c r="H29">
        <f t="shared" si="0"/>
        <v>4</v>
      </c>
      <c r="I29" s="4">
        <v>4389000</v>
      </c>
      <c r="J29" s="4"/>
      <c r="K29" s="4"/>
      <c r="L29" s="4"/>
      <c r="M29" s="22"/>
      <c r="N29" s="22"/>
      <c r="O29" s="22"/>
    </row>
    <row r="30" spans="3:15" x14ac:dyDescent="0.25">
      <c r="C30" s="33" t="str">
        <f t="shared" si="1"/>
        <v/>
      </c>
      <c r="D30" s="11" t="s">
        <v>889</v>
      </c>
      <c r="E30" s="33"/>
      <c r="F30" t="s">
        <v>95</v>
      </c>
      <c r="G30" t="s">
        <v>93</v>
      </c>
      <c r="H30">
        <f t="shared" si="0"/>
        <v>12</v>
      </c>
      <c r="I30" s="4">
        <v>5893000</v>
      </c>
      <c r="J30" s="4"/>
      <c r="K30" s="4"/>
      <c r="L30" s="4"/>
      <c r="M30" s="22"/>
      <c r="N30" s="22"/>
      <c r="O30" s="22"/>
    </row>
    <row r="31" spans="3:15" x14ac:dyDescent="0.25">
      <c r="C31" s="33" t="str">
        <f t="shared" si="1"/>
        <v/>
      </c>
      <c r="D31" s="11" t="s">
        <v>890</v>
      </c>
      <c r="E31" s="33"/>
      <c r="F31" t="s">
        <v>891</v>
      </c>
      <c r="G31" t="s">
        <v>25</v>
      </c>
      <c r="H31">
        <f t="shared" si="0"/>
        <v>10</v>
      </c>
      <c r="I31" s="4">
        <v>5511223</v>
      </c>
      <c r="J31" s="4"/>
      <c r="K31" s="4"/>
      <c r="L31" s="4"/>
      <c r="M31" s="22"/>
      <c r="N31" s="22"/>
      <c r="O31" s="22"/>
    </row>
    <row r="32" spans="3:15" x14ac:dyDescent="0.25">
      <c r="C32" s="33" t="str">
        <f t="shared" si="1"/>
        <v/>
      </c>
      <c r="D32" s="11" t="s">
        <v>892</v>
      </c>
      <c r="E32" s="33"/>
      <c r="F32" t="s">
        <v>95</v>
      </c>
      <c r="G32" t="s">
        <v>93</v>
      </c>
      <c r="H32">
        <f t="shared" si="0"/>
        <v>6</v>
      </c>
      <c r="I32" s="4">
        <v>4683114</v>
      </c>
      <c r="J32" s="4"/>
      <c r="K32" s="4"/>
      <c r="L32" s="4"/>
      <c r="M32" s="22"/>
      <c r="N32" s="22"/>
      <c r="O32" s="22"/>
    </row>
    <row r="33" spans="3:15" x14ac:dyDescent="0.25">
      <c r="C33" s="33" t="str">
        <f t="shared" si="1"/>
        <v/>
      </c>
      <c r="D33" s="11" t="s">
        <v>893</v>
      </c>
      <c r="E33" s="33"/>
      <c r="F33" t="s">
        <v>195</v>
      </c>
      <c r="G33" t="s">
        <v>93</v>
      </c>
      <c r="H33">
        <f t="shared" si="0"/>
        <v>9</v>
      </c>
      <c r="I33" s="4">
        <v>5473887</v>
      </c>
      <c r="M33" s="21"/>
      <c r="N33" s="21"/>
      <c r="O33" s="21"/>
    </row>
    <row r="34" spans="3:15" x14ac:dyDescent="0.25">
      <c r="C34" s="33" t="str">
        <f t="shared" si="1"/>
        <v/>
      </c>
      <c r="D34" s="11" t="s">
        <v>894</v>
      </c>
      <c r="E34" s="33" t="str">
        <f t="shared" ref="E34:E43" si="2">IF(H34=1,"t","")</f>
        <v/>
      </c>
      <c r="F34" t="s">
        <v>161</v>
      </c>
      <c r="G34" t="s">
        <v>93</v>
      </c>
      <c r="H34">
        <f t="shared" si="0"/>
        <v>8</v>
      </c>
      <c r="I34" s="4">
        <v>5244600</v>
      </c>
      <c r="M34" s="21"/>
      <c r="N34" s="21"/>
      <c r="O34" s="21"/>
    </row>
    <row r="35" spans="3:15" x14ac:dyDescent="0.25">
      <c r="C35" s="33" t="str">
        <f t="shared" si="1"/>
        <v/>
      </c>
      <c r="D35" s="11" t="s">
        <v>895</v>
      </c>
      <c r="E35" s="33" t="str">
        <f t="shared" si="2"/>
        <v/>
      </c>
      <c r="F35" t="s">
        <v>95</v>
      </c>
      <c r="G35" t="s">
        <v>93</v>
      </c>
      <c r="H35">
        <f t="shared" si="0"/>
        <v>13</v>
      </c>
      <c r="I35" s="4">
        <v>5985727</v>
      </c>
      <c r="M35" s="21"/>
      <c r="N35" s="21"/>
      <c r="O35" s="21"/>
    </row>
    <row r="36" spans="3:15" x14ac:dyDescent="0.25">
      <c r="C36" s="33" t="str">
        <f t="shared" si="1"/>
        <v/>
      </c>
      <c r="D36" s="11" t="s">
        <v>896</v>
      </c>
      <c r="E36" s="33" t="str">
        <f t="shared" si="2"/>
        <v/>
      </c>
      <c r="F36" t="s">
        <v>897</v>
      </c>
      <c r="G36" t="s">
        <v>321</v>
      </c>
      <c r="H36">
        <f t="shared" si="0"/>
        <v>14</v>
      </c>
      <c r="I36" s="4">
        <v>6250000</v>
      </c>
      <c r="M36" s="21"/>
      <c r="N36" s="21"/>
      <c r="O36" s="21"/>
    </row>
    <row r="37" spans="3:15" x14ac:dyDescent="0.25">
      <c r="C37" s="33" t="str">
        <f t="shared" si="1"/>
        <v/>
      </c>
      <c r="D37" s="11"/>
      <c r="E37" s="33" t="str">
        <f t="shared" si="2"/>
        <v/>
      </c>
      <c r="M37" s="21"/>
      <c r="N37" s="21"/>
      <c r="O37" s="21"/>
    </row>
    <row r="38" spans="3:15" x14ac:dyDescent="0.25">
      <c r="C38" s="33" t="str">
        <f t="shared" si="1"/>
        <v/>
      </c>
      <c r="D38" s="11"/>
      <c r="E38" s="33" t="str">
        <f t="shared" si="2"/>
        <v/>
      </c>
      <c r="M38" s="21"/>
      <c r="N38" s="21"/>
      <c r="O38" s="21"/>
    </row>
    <row r="39" spans="3:15" x14ac:dyDescent="0.25">
      <c r="C39" s="33" t="str">
        <f t="shared" si="1"/>
        <v/>
      </c>
      <c r="D39" s="11"/>
      <c r="E39" s="33" t="str">
        <f t="shared" si="2"/>
        <v/>
      </c>
      <c r="M39" s="21"/>
      <c r="N39" s="21"/>
      <c r="O39" s="21"/>
    </row>
    <row r="40" spans="3:15" x14ac:dyDescent="0.25">
      <c r="C40" s="33" t="str">
        <f t="shared" si="1"/>
        <v/>
      </c>
      <c r="D40" s="11"/>
      <c r="E40" s="33" t="str">
        <f t="shared" si="2"/>
        <v/>
      </c>
      <c r="M40" s="21"/>
      <c r="N40" s="21"/>
      <c r="O40" s="21"/>
    </row>
    <row r="41" spans="3:15" x14ac:dyDescent="0.25">
      <c r="C41" s="33" t="str">
        <f t="shared" si="1"/>
        <v/>
      </c>
      <c r="D41" s="11"/>
      <c r="E41" s="33" t="str">
        <f t="shared" si="2"/>
        <v/>
      </c>
      <c r="M41" s="21"/>
      <c r="N41" s="21"/>
      <c r="O41" s="21"/>
    </row>
    <row r="42" spans="3:15" x14ac:dyDescent="0.25">
      <c r="C42" s="33" t="str">
        <f t="shared" si="1"/>
        <v/>
      </c>
      <c r="D42" s="11"/>
      <c r="E42" s="33" t="str">
        <f t="shared" si="2"/>
        <v/>
      </c>
      <c r="M42" s="21"/>
      <c r="N42" s="21"/>
      <c r="O42" s="21"/>
    </row>
    <row r="43" spans="3:15" x14ac:dyDescent="0.25">
      <c r="C43" s="33" t="str">
        <f t="shared" si="1"/>
        <v/>
      </c>
      <c r="D43" s="11"/>
      <c r="E43" s="33" t="str">
        <f t="shared" si="2"/>
        <v/>
      </c>
      <c r="M43" s="21"/>
      <c r="N43" s="21"/>
      <c r="O43" s="21"/>
    </row>
    <row r="44" spans="3:15" ht="6" customHeight="1" x14ac:dyDescent="0.25">
      <c r="C44" s="9"/>
      <c r="D44" s="9"/>
      <c r="E44" s="9"/>
      <c r="F44" s="9"/>
      <c r="G44" s="9"/>
      <c r="H44" s="9"/>
      <c r="I44" s="9"/>
      <c r="J44" s="9"/>
      <c r="K44" s="9"/>
      <c r="L44" s="9"/>
      <c r="M44" s="21"/>
      <c r="N44" s="21"/>
      <c r="O44" s="21"/>
    </row>
    <row r="45" spans="3:15" ht="6" customHeight="1" x14ac:dyDescent="0.25">
      <c r="M45" s="21"/>
      <c r="N45" s="21"/>
      <c r="O45" s="21"/>
    </row>
    <row r="46" spans="3:15" x14ac:dyDescent="0.25">
      <c r="C46" s="15" t="s">
        <v>79</v>
      </c>
      <c r="M46" s="21"/>
      <c r="N46" s="21"/>
      <c r="O46" s="21"/>
    </row>
    <row r="47" spans="3:15" x14ac:dyDescent="0.25">
      <c r="C47" s="15" t="s">
        <v>78</v>
      </c>
    </row>
  </sheetData>
  <mergeCells count="1">
    <mergeCell ref="G13:H13"/>
  </mergeCells>
  <conditionalFormatting sqref="I9">
    <cfRule type="containsText" dxfId="1307" priority="13" operator="containsText" text="FAIL">
      <formula>NOT(ISERROR(SEARCH("FAIL",I9)))</formula>
    </cfRule>
  </conditionalFormatting>
  <conditionalFormatting sqref="I9">
    <cfRule type="containsText" dxfId="1306" priority="12" operator="containsText" text="GOOD">
      <formula>NOT(ISERROR(SEARCH("GOOD",I9)))</formula>
    </cfRule>
  </conditionalFormatting>
  <conditionalFormatting sqref="F11">
    <cfRule type="containsText" dxfId="1305" priority="11" operator="containsText" text="FAIL">
      <formula>NOT(ISERROR(SEARCH("FAIL",F11)))</formula>
    </cfRule>
  </conditionalFormatting>
  <conditionalFormatting sqref="F11">
    <cfRule type="containsText" dxfId="1304" priority="10" operator="containsText" text="GOOD">
      <formula>NOT(ISERROR(SEARCH("GOOD",F11)))</formula>
    </cfRule>
  </conditionalFormatting>
  <conditionalFormatting sqref="D25">
    <cfRule type="expression" dxfId="1303" priority="9" stopIfTrue="1">
      <formula>IF($H$25=1,0)</formula>
    </cfRule>
  </conditionalFormatting>
  <conditionalFormatting sqref="D23:D26 D29:D43">
    <cfRule type="expression" dxfId="1302" priority="8">
      <formula>H23=1</formula>
    </cfRule>
  </conditionalFormatting>
  <conditionalFormatting sqref="C23:C26 C29:C43">
    <cfRule type="expression" dxfId="1301" priority="7">
      <formula>H23=1</formula>
    </cfRule>
  </conditionalFormatting>
  <conditionalFormatting sqref="E23:E26 E29:E43">
    <cfRule type="expression" dxfId="1300" priority="6">
      <formula>H23=1</formula>
    </cfRule>
  </conditionalFormatting>
  <conditionalFormatting sqref="F11">
    <cfRule type="containsText" dxfId="1299" priority="5" operator="containsText" text="FAIL">
      <formula>NOT(ISERROR(SEARCH("FAIL",F11)))</formula>
    </cfRule>
  </conditionalFormatting>
  <conditionalFormatting sqref="F11">
    <cfRule type="containsText" dxfId="1298" priority="4" operator="containsText" text="GOOD">
      <formula>NOT(ISERROR(SEARCH("GOOD",F11)))</formula>
    </cfRule>
  </conditionalFormatting>
  <conditionalFormatting sqref="D27:D28">
    <cfRule type="expression" dxfId="1297" priority="3">
      <formula>H27=1</formula>
    </cfRule>
  </conditionalFormatting>
  <conditionalFormatting sqref="C27:C28">
    <cfRule type="expression" dxfId="1296" priority="2">
      <formula>H27=1</formula>
    </cfRule>
  </conditionalFormatting>
  <conditionalFormatting sqref="E27:E28">
    <cfRule type="expression" dxfId="1295" priority="1">
      <formula>H27=1</formula>
    </cfRule>
  </conditionalFormatting>
  <pageMargins left="0.7" right="0.7" top="0.75" bottom="0.75" header="0.3" footer="0.3"/>
  <pageSetup scale="68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>
    <tabColor theme="2" tint="-0.249977111117893"/>
  </sheetPr>
  <dimension ref="B2:BB742"/>
  <sheetViews>
    <sheetView tabSelected="1" zoomScale="90" zoomScaleNormal="90" workbookViewId="0">
      <pane ySplit="5" topLeftCell="A6" activePane="bottomLeft" state="frozen"/>
      <selection pane="bottomLeft" activeCell="H18" sqref="H18"/>
    </sheetView>
  </sheetViews>
  <sheetFormatPr defaultRowHeight="15" x14ac:dyDescent="0.25"/>
  <cols>
    <col min="1" max="1" width="3.140625" customWidth="1"/>
    <col min="2" max="2" width="7.5703125" customWidth="1"/>
    <col min="3" max="3" width="5.28515625" customWidth="1"/>
    <col min="4" max="4" width="13.42578125" customWidth="1"/>
    <col min="5" max="5" width="51.5703125" customWidth="1"/>
    <col min="6" max="9" width="12.85546875" customWidth="1"/>
    <col min="10" max="10" width="12.5703125" customWidth="1"/>
    <col min="11" max="11" width="8.7109375" customWidth="1"/>
    <col min="12" max="12" width="8.140625" customWidth="1"/>
    <col min="13" max="13" width="6.42578125" customWidth="1"/>
    <col min="14" max="14" width="5.7109375" style="11" customWidth="1"/>
    <col min="15" max="15" width="3.42578125" customWidth="1"/>
    <col min="16" max="16" width="7.140625" customWidth="1"/>
    <col min="17" max="17" width="10.5703125" customWidth="1"/>
    <col min="18" max="18" width="2" customWidth="1"/>
    <col min="19" max="19" width="10.140625" customWidth="1"/>
    <col min="22" max="22" width="11.140625" bestFit="1" customWidth="1"/>
    <col min="23" max="23" width="12.42578125" bestFit="1" customWidth="1"/>
    <col min="24" max="24" width="12" bestFit="1" customWidth="1"/>
    <col min="26" max="26" width="12.7109375" customWidth="1"/>
    <col min="27" max="32" width="9.85546875" customWidth="1"/>
    <col min="33" max="34" width="10.85546875" customWidth="1"/>
    <col min="36" max="36" width="6.5703125" customWidth="1"/>
    <col min="37" max="38" width="15" customWidth="1"/>
    <col min="42" max="42" width="3.140625" customWidth="1"/>
    <col min="44" max="44" width="19.85546875" customWidth="1"/>
  </cols>
  <sheetData>
    <row r="2" spans="2:44" ht="31.5" customHeight="1" x14ac:dyDescent="0.25">
      <c r="D2" s="21"/>
      <c r="E2" s="15"/>
      <c r="F2" s="15" t="s">
        <v>32</v>
      </c>
      <c r="I2" s="392" t="s">
        <v>1389</v>
      </c>
      <c r="J2" s="392"/>
      <c r="L2" s="15" t="s">
        <v>33</v>
      </c>
    </row>
    <row r="3" spans="2:44" ht="18.75" x14ac:dyDescent="0.3">
      <c r="D3" s="3"/>
      <c r="F3" s="3" t="s">
        <v>53</v>
      </c>
      <c r="K3" s="36" t="s">
        <v>54</v>
      </c>
      <c r="L3" s="37">
        <v>2018</v>
      </c>
    </row>
    <row r="5" spans="2:44" x14ac:dyDescent="0.25">
      <c r="C5" s="40" t="s">
        <v>423</v>
      </c>
      <c r="D5" s="49" t="s">
        <v>55</v>
      </c>
      <c r="E5" s="49" t="s">
        <v>56</v>
      </c>
      <c r="F5" s="49" t="s">
        <v>57</v>
      </c>
      <c r="G5" s="50" t="s">
        <v>424</v>
      </c>
      <c r="H5" s="47" t="s">
        <v>58</v>
      </c>
      <c r="I5" s="47" t="s">
        <v>59</v>
      </c>
      <c r="J5" s="403" t="s">
        <v>1590</v>
      </c>
      <c r="K5" s="47" t="s">
        <v>60</v>
      </c>
      <c r="L5" s="48" t="s">
        <v>61</v>
      </c>
      <c r="M5" s="47" t="s">
        <v>62</v>
      </c>
      <c r="N5" s="43" t="s">
        <v>225</v>
      </c>
      <c r="O5" s="43" t="s">
        <v>422</v>
      </c>
      <c r="P5" s="43" t="s">
        <v>454</v>
      </c>
      <c r="Q5" s="401" t="s">
        <v>1586</v>
      </c>
      <c r="R5" s="41" t="s">
        <v>63</v>
      </c>
      <c r="S5" s="9"/>
      <c r="T5" s="9" t="s">
        <v>551</v>
      </c>
      <c r="U5" s="9"/>
      <c r="V5" s="9"/>
    </row>
    <row r="6" spans="2:44" ht="7.5" customHeight="1" x14ac:dyDescent="0.25">
      <c r="C6" s="39"/>
      <c r="G6" s="45"/>
    </row>
    <row r="7" spans="2:44" ht="15.95" customHeight="1" x14ac:dyDescent="0.25">
      <c r="C7" s="39">
        <v>2019</v>
      </c>
      <c r="D7" s="62" t="str">
        <f>+'[2]LT-984.204'!$F$4</f>
        <v>LT-984.204</v>
      </c>
      <c r="E7" s="63" t="str">
        <f>+'[2]LT-984.204'!$F$5</f>
        <v>Maintenance Pavement Repairs Contract 2019-2021</v>
      </c>
      <c r="F7" s="64">
        <f>+'[2]LT-984.204'!$F$6</f>
        <v>43818</v>
      </c>
      <c r="G7" s="65" t="str">
        <f>+'[2]LT-984.204'!$G$7</f>
        <v>SBE</v>
      </c>
      <c r="H7" s="94">
        <f>+'[2]LT-984.204'!$F$7</f>
        <v>1600000</v>
      </c>
      <c r="I7" s="94">
        <f>+'[2]LT-984.204'!$F$8</f>
        <v>1065100</v>
      </c>
      <c r="J7" s="404"/>
      <c r="K7" s="153">
        <f>+'[2]LT-984.204'!$G$9</f>
        <v>-0.33431250000000001</v>
      </c>
      <c r="L7" s="11" t="str">
        <f>+'[2]LT-984.204'!$F$11</f>
        <v>GOOD</v>
      </c>
      <c r="M7" s="15">
        <f>+'[2]LT-984.204'!$H$12</f>
        <v>6</v>
      </c>
      <c r="N7" s="35" t="s">
        <v>226</v>
      </c>
      <c r="O7" s="15">
        <v>4</v>
      </c>
      <c r="P7" s="35" t="s">
        <v>457</v>
      </c>
      <c r="Q7" s="402" t="s">
        <v>1588</v>
      </c>
      <c r="R7" s="15"/>
      <c r="S7" s="24"/>
      <c r="T7" s="62" t="str">
        <f>+'[2]LT-984.204'!$J$4</f>
        <v>Nick Chaya</v>
      </c>
      <c r="U7" s="62"/>
      <c r="V7" s="94">
        <f>+'[2]LT-984.204'!$F$12</f>
        <v>1575316.6666666667</v>
      </c>
      <c r="W7" s="199">
        <f t="shared" ref="W7" si="0">+I7/V7</f>
        <v>0.6761180291793184</v>
      </c>
      <c r="X7" s="15"/>
      <c r="Y7" s="200">
        <f t="shared" ref="Y7" si="1">+I7/H7</f>
        <v>0.66568749999999999</v>
      </c>
      <c r="Z7" s="11" t="str">
        <f t="shared" ref="Z7" si="2">(IF(Y7&lt;$Y$3,"FAIL",IF(Y7&gt;$Y$4,"FAIL","GOOD")))</f>
        <v>FAIL</v>
      </c>
      <c r="AA7" s="11"/>
      <c r="AB7" s="15"/>
      <c r="AC7" s="54">
        <f t="shared" ref="AC7:AD7" si="3">+H7</f>
        <v>1600000</v>
      </c>
      <c r="AD7" s="54">
        <f t="shared" si="3"/>
        <v>1065100</v>
      </c>
      <c r="AE7" s="54">
        <f t="shared" ref="AE7" si="4">+AC7-AD7</f>
        <v>534900</v>
      </c>
      <c r="AG7" s="4"/>
      <c r="AH7" s="4"/>
      <c r="AI7" s="225"/>
      <c r="AJ7" s="226"/>
      <c r="AQ7" s="327" t="e">
        <f t="shared" ref="AQ7:AQ15" ca="1" si="5">INDIRECT("'"&amp;$D7&amp;"'!L12")</f>
        <v>#REF!</v>
      </c>
      <c r="AR7" s="157" t="e">
        <f t="shared" ref="AR7:AR15" ca="1" si="6">INDIRECT("'"&amp;$D7&amp;"'!L13")</f>
        <v>#REF!</v>
      </c>
    </row>
    <row r="8" spans="2:44" ht="15.95" customHeight="1" x14ac:dyDescent="0.25">
      <c r="C8" s="39">
        <v>2019</v>
      </c>
      <c r="D8" s="62" t="str">
        <f>+'[2]PAT-024.207 Void'!$F$4</f>
        <v>PAT-024.207</v>
      </c>
      <c r="E8" s="63" t="str">
        <f>+'[2]PAT-024.207 Void'!$F$5</f>
        <v>Rehab of Bridge Structures E &amp; W of Penn Station</v>
      </c>
      <c r="F8" s="64">
        <f>+'[2]PAT-024.207 Void'!$F$6</f>
        <v>43817</v>
      </c>
      <c r="G8" s="65"/>
      <c r="H8" s="94"/>
      <c r="I8" s="94"/>
      <c r="J8" s="94"/>
      <c r="K8" s="153"/>
      <c r="L8" s="11"/>
      <c r="M8" s="15"/>
      <c r="N8" s="35"/>
      <c r="O8" s="15"/>
      <c r="P8" s="35"/>
      <c r="Q8" s="35"/>
      <c r="R8" s="15"/>
      <c r="S8" s="24" t="s">
        <v>227</v>
      </c>
      <c r="T8" s="62"/>
      <c r="U8" s="62"/>
      <c r="V8" s="94"/>
      <c r="W8" s="199"/>
      <c r="X8" s="15"/>
      <c r="Y8" s="200"/>
      <c r="Z8" s="11"/>
      <c r="AA8" s="11"/>
      <c r="AB8" s="15"/>
      <c r="AC8" s="54"/>
      <c r="AD8" s="54"/>
      <c r="AE8" s="54"/>
      <c r="AG8" s="4"/>
      <c r="AH8" s="4"/>
      <c r="AI8" s="225"/>
      <c r="AJ8" s="226"/>
      <c r="AQ8" s="327" t="e">
        <f t="shared" ca="1" si="5"/>
        <v>#REF!</v>
      </c>
      <c r="AR8" s="157" t="e">
        <f t="shared" ca="1" si="6"/>
        <v>#REF!</v>
      </c>
    </row>
    <row r="9" spans="2:44" ht="15.95" customHeight="1" x14ac:dyDescent="0.25">
      <c r="C9" s="39">
        <v>2019</v>
      </c>
      <c r="D9" s="62" t="str">
        <f>+'[2]GWB-244.703'!$F$4</f>
        <v>GWB-244.703</v>
      </c>
      <c r="E9" s="63" t="str">
        <f>+'[2]GWB-244.703'!$F$5</f>
        <v>Repl Halon Fire System in Admin Building Computer Room</v>
      </c>
      <c r="F9" s="64">
        <f>+'[2]GWB-244.703'!$F$6</f>
        <v>43817</v>
      </c>
      <c r="G9" s="65" t="str">
        <f>+'[2]GWB-244.703'!$G$7</f>
        <v>SBE</v>
      </c>
      <c r="H9" s="94">
        <f>+'[2]GWB-244.703'!$F$7</f>
        <v>700000</v>
      </c>
      <c r="I9" s="94">
        <f>+'[2]GWB-244.703'!$F$8</f>
        <v>784102</v>
      </c>
      <c r="J9" s="404"/>
      <c r="K9" s="153">
        <f>+'[2]GWB-244.703'!$G$9</f>
        <v>0.12014571428571429</v>
      </c>
      <c r="L9" s="11" t="str">
        <f>+'[2]GWB-244.703'!$F$11</f>
        <v>FAIL</v>
      </c>
      <c r="M9" s="15">
        <f>+'[2]GWB-244.703'!$H$12</f>
        <v>5</v>
      </c>
      <c r="N9" s="35" t="s">
        <v>25</v>
      </c>
      <c r="O9" s="15">
        <v>4</v>
      </c>
      <c r="P9" s="35" t="s">
        <v>457</v>
      </c>
      <c r="Q9" s="402" t="s">
        <v>1587</v>
      </c>
      <c r="R9" s="15"/>
      <c r="S9" s="24"/>
      <c r="T9" s="62" t="str">
        <f>+'[2]GWB-244.703'!$J$4</f>
        <v>Boris Lenderman</v>
      </c>
      <c r="U9" s="62"/>
      <c r="V9" s="94">
        <f>+'[2]GWB-244.703'!$F$12</f>
        <v>999185.2</v>
      </c>
      <c r="W9" s="199">
        <f t="shared" ref="W9:W15" si="7">+I9/V9</f>
        <v>0.78474140729866704</v>
      </c>
      <c r="X9" s="15"/>
      <c r="Y9" s="200">
        <f t="shared" ref="Y9:Y15" si="8">+I9/H9</f>
        <v>1.1201457142857143</v>
      </c>
      <c r="Z9" s="11" t="str">
        <f t="shared" ref="Z9:Z15" si="9">(IF(Y9&lt;$Y$3,"FAIL",IF(Y9&gt;$Y$4,"FAIL","GOOD")))</f>
        <v>FAIL</v>
      </c>
      <c r="AA9" s="11"/>
      <c r="AB9" s="15"/>
      <c r="AC9" s="54">
        <f t="shared" ref="AC9:AD15" si="10">+H9</f>
        <v>700000</v>
      </c>
      <c r="AD9" s="54">
        <f t="shared" si="10"/>
        <v>784102</v>
      </c>
      <c r="AE9" s="54">
        <f t="shared" ref="AE9:AE15" si="11">+AC9-AD9</f>
        <v>-84102</v>
      </c>
      <c r="AG9" s="4"/>
      <c r="AH9" s="4"/>
      <c r="AI9" s="225"/>
      <c r="AJ9" s="226"/>
      <c r="AQ9" s="327" t="e">
        <f t="shared" ca="1" si="5"/>
        <v>#REF!</v>
      </c>
      <c r="AR9" s="157" t="e">
        <f t="shared" ca="1" si="6"/>
        <v>#REF!</v>
      </c>
    </row>
    <row r="10" spans="2:44" ht="15.95" customHeight="1" x14ac:dyDescent="0.25">
      <c r="C10" s="39">
        <v>2019</v>
      </c>
      <c r="D10" s="62" t="str">
        <f>+'[2]WTC-194.010'!$F$4</f>
        <v>WTC-194.010</v>
      </c>
      <c r="E10" s="63" t="str">
        <f>+'[2]WTC-194.010'!$F$5</f>
        <v>CCTV and Access Control Enhancements and Expansion</v>
      </c>
      <c r="F10" s="64">
        <f>+'[2]WTC-194.010'!$F$6</f>
        <v>43776</v>
      </c>
      <c r="G10" s="65" t="str">
        <f>+'[2]WTC-194.010'!$G$7</f>
        <v>Public</v>
      </c>
      <c r="H10" s="94">
        <f>+'[2]WTC-194.010'!$F$7</f>
        <v>3373000</v>
      </c>
      <c r="I10" s="94">
        <f>+'[2]WTC-194.010'!$F$8</f>
        <v>1396000</v>
      </c>
      <c r="J10" s="404"/>
      <c r="K10" s="153">
        <f>+'[2]WTC-194.010'!$G$9</f>
        <v>-0.58612511117699373</v>
      </c>
      <c r="L10" s="11" t="str">
        <f>+'[2]WTC-194.010'!$F$11</f>
        <v>FAIL</v>
      </c>
      <c r="M10" s="15">
        <f>+'[2]WTC-194.010'!$H$12</f>
        <v>7</v>
      </c>
      <c r="N10" s="35" t="s">
        <v>93</v>
      </c>
      <c r="O10" s="15">
        <v>4</v>
      </c>
      <c r="P10" s="35" t="s">
        <v>1474</v>
      </c>
      <c r="Q10" s="402" t="s">
        <v>1589</v>
      </c>
      <c r="R10" s="15"/>
      <c r="S10" s="24"/>
      <c r="T10" s="62" t="str">
        <f>+'[2]WTC-194.010'!$J$4</f>
        <v>Nathan Demaisip</v>
      </c>
      <c r="U10" s="62"/>
      <c r="V10" s="94">
        <f>+'[2]WTC-194.010'!$F$12</f>
        <v>2901872.1428571427</v>
      </c>
      <c r="W10" s="199">
        <f t="shared" si="7"/>
        <v>0.48106874847543002</v>
      </c>
      <c r="X10" s="15"/>
      <c r="Y10" s="200">
        <f t="shared" si="8"/>
        <v>0.41387488882300622</v>
      </c>
      <c r="Z10" s="11" t="str">
        <f t="shared" si="9"/>
        <v>FAIL</v>
      </c>
      <c r="AA10" s="11"/>
      <c r="AB10" s="15"/>
      <c r="AC10" s="54">
        <f t="shared" si="10"/>
        <v>3373000</v>
      </c>
      <c r="AD10" s="54">
        <f t="shared" si="10"/>
        <v>1396000</v>
      </c>
      <c r="AE10" s="54">
        <f t="shared" si="11"/>
        <v>1977000</v>
      </c>
      <c r="AG10" s="4"/>
      <c r="AH10" s="4"/>
      <c r="AI10" s="225"/>
      <c r="AJ10" s="226"/>
      <c r="AQ10" s="327" t="e">
        <f t="shared" ca="1" si="5"/>
        <v>#REF!</v>
      </c>
      <c r="AR10" s="157" t="e">
        <f t="shared" ca="1" si="6"/>
        <v>#REF!</v>
      </c>
    </row>
    <row r="11" spans="2:44" ht="15.95" customHeight="1" x14ac:dyDescent="0.25">
      <c r="C11" s="39">
        <v>2019</v>
      </c>
      <c r="D11" s="62" t="str">
        <f>+'[2]GWB-244.030'!$F$4</f>
        <v>GWB-244.030</v>
      </c>
      <c r="E11" s="63" t="str">
        <f>+'[2]GWB-244.030'!$F$5</f>
        <v>Main Toll House Roof Replacement</v>
      </c>
      <c r="F11" s="64">
        <f>+'[2]GWB-244.030'!$F$6</f>
        <v>43775</v>
      </c>
      <c r="G11" s="65" t="str">
        <f>+'[2]GWB-244.030'!$G$7</f>
        <v>SBE</v>
      </c>
      <c r="H11" s="94">
        <f>+'[2]GWB-244.030'!$F$7</f>
        <v>1200000</v>
      </c>
      <c r="I11" s="94">
        <f>+'[2]GWB-244.030'!$F$8</f>
        <v>1452000</v>
      </c>
      <c r="J11" s="404"/>
      <c r="K11" s="153">
        <f>+'[2]GWB-244.030'!$G$9</f>
        <v>0.21</v>
      </c>
      <c r="L11" s="11" t="str">
        <f>+'[2]GWB-244.030'!$F$11</f>
        <v>FAIL</v>
      </c>
      <c r="M11" s="15">
        <f>+'[2]GWB-244.030'!$H$12</f>
        <v>4</v>
      </c>
      <c r="N11" s="35" t="s">
        <v>25</v>
      </c>
      <c r="O11" s="15">
        <v>4</v>
      </c>
      <c r="P11" s="35" t="s">
        <v>457</v>
      </c>
      <c r="Q11" s="402" t="s">
        <v>1589</v>
      </c>
      <c r="R11" s="15"/>
      <c r="S11" s="24"/>
      <c r="T11" s="62" t="str">
        <f>+'[2]GWB-244.030'!$J$4</f>
        <v>Boris Lenderman</v>
      </c>
      <c r="U11" s="62"/>
      <c r="V11" s="94">
        <f>+'[2]GWB-244.030'!$F$12</f>
        <v>2500075.75</v>
      </c>
      <c r="W11" s="199">
        <f t="shared" si="7"/>
        <v>0.58078240229321054</v>
      </c>
      <c r="X11" s="15"/>
      <c r="Y11" s="200">
        <f t="shared" si="8"/>
        <v>1.21</v>
      </c>
      <c r="Z11" s="11" t="str">
        <f t="shared" si="9"/>
        <v>FAIL</v>
      </c>
      <c r="AA11" s="11"/>
      <c r="AB11" s="15"/>
      <c r="AC11" s="54">
        <f t="shared" si="10"/>
        <v>1200000</v>
      </c>
      <c r="AD11" s="54">
        <f t="shared" si="10"/>
        <v>1452000</v>
      </c>
      <c r="AE11" s="54">
        <f t="shared" si="11"/>
        <v>-252000</v>
      </c>
      <c r="AG11" s="4"/>
      <c r="AH11" s="4"/>
      <c r="AI11" s="225"/>
      <c r="AJ11" s="226"/>
      <c r="AQ11" s="327" t="e">
        <f t="shared" ca="1" si="5"/>
        <v>#REF!</v>
      </c>
      <c r="AR11" s="157" t="e">
        <f t="shared" ca="1" si="6"/>
        <v>#REF!</v>
      </c>
    </row>
    <row r="12" spans="2:44" ht="15.95" customHeight="1" x14ac:dyDescent="0.25">
      <c r="C12" s="39">
        <v>2019</v>
      </c>
      <c r="D12" s="62" t="str">
        <f>+'[2]LT-536'!$F$4</f>
        <v>LT-536</v>
      </c>
      <c r="E12" s="63" t="str">
        <f>+'[2]LT-536'!$F$5</f>
        <v>Bus Ramp W99 South Railing Post Repair</v>
      </c>
      <c r="F12" s="64">
        <f>+'[2]LT-536'!$F$6</f>
        <v>43774</v>
      </c>
      <c r="G12" s="65" t="str">
        <f>+'[2]LT-536'!$G$7</f>
        <v>SBE</v>
      </c>
      <c r="H12" s="94">
        <f>+'[2]LT-536'!$F$7</f>
        <v>300000</v>
      </c>
      <c r="I12" s="94">
        <f>+'[2]LT-536'!$F$8</f>
        <v>350400</v>
      </c>
      <c r="J12" s="404"/>
      <c r="K12" s="153">
        <f>+'[2]LT-536'!$G$9</f>
        <v>0.16800000000000001</v>
      </c>
      <c r="L12" s="11" t="str">
        <f>+'[2]LT-536'!$F$11</f>
        <v>FAIL</v>
      </c>
      <c r="M12" s="15">
        <f>+'[2]LT-536'!$H$12</f>
        <v>5</v>
      </c>
      <c r="N12" s="35" t="s">
        <v>93</v>
      </c>
      <c r="O12" s="15">
        <v>4</v>
      </c>
      <c r="P12" s="35" t="s">
        <v>457</v>
      </c>
      <c r="Q12" s="402" t="s">
        <v>1587</v>
      </c>
      <c r="R12" s="15"/>
      <c r="S12" s="24"/>
      <c r="T12" s="62" t="str">
        <f>+'[2]LT-536'!$J$4</f>
        <v>Tun Tun Lin</v>
      </c>
      <c r="U12" s="62"/>
      <c r="V12" s="94">
        <f>+'[2]LT-536'!$F$12</f>
        <v>481113.59999999998</v>
      </c>
      <c r="W12" s="199">
        <f t="shared" si="7"/>
        <v>0.72831032005746676</v>
      </c>
      <c r="X12" s="15"/>
      <c r="Y12" s="200">
        <f t="shared" si="8"/>
        <v>1.1679999999999999</v>
      </c>
      <c r="Z12" s="11" t="str">
        <f t="shared" si="9"/>
        <v>FAIL</v>
      </c>
      <c r="AA12" s="11"/>
      <c r="AB12" s="15"/>
      <c r="AC12" s="54">
        <f t="shared" si="10"/>
        <v>300000</v>
      </c>
      <c r="AD12" s="54">
        <f t="shared" si="10"/>
        <v>350400</v>
      </c>
      <c r="AE12" s="54">
        <f t="shared" si="11"/>
        <v>-50400</v>
      </c>
      <c r="AG12" s="4"/>
      <c r="AH12" s="4"/>
      <c r="AI12" s="225"/>
      <c r="AJ12" s="226"/>
      <c r="AQ12" s="327" t="e">
        <f t="shared" ca="1" si="5"/>
        <v>#REF!</v>
      </c>
      <c r="AR12" s="157" t="e">
        <f t="shared" ca="1" si="6"/>
        <v>#REF!</v>
      </c>
    </row>
    <row r="13" spans="2:44" ht="15.95" customHeight="1" x14ac:dyDescent="0.25">
      <c r="C13" s="39">
        <v>2019</v>
      </c>
      <c r="D13" s="62" t="str">
        <f>+'[2]EWR-154.382'!$F$4</f>
        <v>EWR-154.382</v>
      </c>
      <c r="E13" s="63" t="str">
        <f>+'[2]EWR-154.382'!$F$5</f>
        <v>Abatement and Demo of Building 331</v>
      </c>
      <c r="F13" s="64">
        <f>+'[2]EWR-154.382'!$F$6</f>
        <v>43767</v>
      </c>
      <c r="G13" s="65" t="str">
        <f>+'[2]EWR-154.382'!$G$7</f>
        <v>SBE</v>
      </c>
      <c r="H13" s="94">
        <f>+'[2]EWR-154.382'!$F$7</f>
        <v>1196000</v>
      </c>
      <c r="I13" s="94">
        <f>+'[2]EWR-154.382'!$F$8</f>
        <v>1241000</v>
      </c>
      <c r="J13" s="404"/>
      <c r="K13" s="153">
        <f>+'[2]EWR-154.382'!$G$9</f>
        <v>3.7625418060200672E-2</v>
      </c>
      <c r="L13" s="11" t="str">
        <f>+'[2]EWR-154.382'!$F$11</f>
        <v>GOOD</v>
      </c>
      <c r="M13" s="15">
        <f>+'[2]EWR-154.382'!$H$12</f>
        <v>3</v>
      </c>
      <c r="N13" s="35" t="s">
        <v>25</v>
      </c>
      <c r="O13" s="15">
        <v>4</v>
      </c>
      <c r="P13" s="35" t="s">
        <v>458</v>
      </c>
      <c r="Q13" s="402" t="s">
        <v>1589</v>
      </c>
      <c r="R13" s="15"/>
      <c r="S13" s="24"/>
      <c r="T13" s="62" t="str">
        <f>+'[2]EWR-154.382'!$J$4</f>
        <v>Steven Schwan</v>
      </c>
      <c r="U13" s="62"/>
      <c r="V13" s="94">
        <f>+'[2]EWR-154.382'!$F$12</f>
        <v>2354464</v>
      </c>
      <c r="W13" s="199">
        <f t="shared" si="7"/>
        <v>0.52708387131848267</v>
      </c>
      <c r="X13" s="15"/>
      <c r="Y13" s="200">
        <f t="shared" si="8"/>
        <v>1.0376254180602007</v>
      </c>
      <c r="Z13" s="11" t="str">
        <f t="shared" si="9"/>
        <v>FAIL</v>
      </c>
      <c r="AA13" s="11"/>
      <c r="AB13" s="15"/>
      <c r="AC13" s="54">
        <f t="shared" si="10"/>
        <v>1196000</v>
      </c>
      <c r="AD13" s="54">
        <f t="shared" si="10"/>
        <v>1241000</v>
      </c>
      <c r="AE13" s="54">
        <f t="shared" si="11"/>
        <v>-45000</v>
      </c>
      <c r="AG13" s="4"/>
      <c r="AH13" s="4"/>
      <c r="AI13" s="225"/>
      <c r="AJ13" s="226"/>
      <c r="AQ13" s="327" t="e">
        <f t="shared" ca="1" si="5"/>
        <v>#REF!</v>
      </c>
      <c r="AR13" s="157" t="e">
        <f t="shared" ca="1" si="6"/>
        <v>#REF!</v>
      </c>
    </row>
    <row r="14" spans="2:44" ht="15.95" customHeight="1" x14ac:dyDescent="0.25">
      <c r="C14" s="39">
        <v>2019</v>
      </c>
      <c r="D14" s="62" t="str">
        <f>+'[2]BT-254.183'!$F$4</f>
        <v>BT-254.183</v>
      </c>
      <c r="E14" s="63" t="str">
        <f>+'[2]BT-254.183'!$F$5</f>
        <v>PABT Replace Emergency Egress Doors</v>
      </c>
      <c r="F14" s="64">
        <f>+'[2]BT-254.183'!$F$6</f>
        <v>43740</v>
      </c>
      <c r="G14" s="65" t="str">
        <f>+'[2]BT-254.183'!$G$7</f>
        <v xml:space="preserve">Public </v>
      </c>
      <c r="H14" s="94">
        <f>+'[2]BT-254.183'!$F$7</f>
        <v>8460000</v>
      </c>
      <c r="I14" s="94">
        <f>+'[2]BT-254.183'!$F$8</f>
        <v>7795000</v>
      </c>
      <c r="J14" s="404"/>
      <c r="K14" s="153">
        <f>+'[2]BT-254.183'!$G$9</f>
        <v>-7.860520094562648E-2</v>
      </c>
      <c r="L14" s="11" t="str">
        <f>+'[2]BT-254.183'!$F$11</f>
        <v>GOOD</v>
      </c>
      <c r="M14" s="15">
        <f>+'[2]BT-254.183'!$H$12</f>
        <v>7</v>
      </c>
      <c r="N14" s="35" t="s">
        <v>93</v>
      </c>
      <c r="O14" s="15">
        <v>4</v>
      </c>
      <c r="P14" s="35" t="s">
        <v>457</v>
      </c>
      <c r="Q14" s="402" t="s">
        <v>1589</v>
      </c>
      <c r="R14" s="15"/>
      <c r="S14" s="24"/>
      <c r="T14" s="62" t="str">
        <f>+'[2]BT-254.183'!$J$4</f>
        <v>Tun Tun Lin</v>
      </c>
      <c r="U14" s="62"/>
      <c r="V14" s="94">
        <f>+'[2]BT-254.183'!$F$12</f>
        <v>12539160.857142856</v>
      </c>
      <c r="W14" s="199">
        <f t="shared" si="7"/>
        <v>0.62165244459397984</v>
      </c>
      <c r="X14" s="15"/>
      <c r="Y14" s="200">
        <f t="shared" si="8"/>
        <v>0.92139479905437349</v>
      </c>
      <c r="Z14" s="11" t="str">
        <f t="shared" si="9"/>
        <v>FAIL</v>
      </c>
      <c r="AA14" s="11"/>
      <c r="AB14" s="15"/>
      <c r="AC14" s="54">
        <f t="shared" si="10"/>
        <v>8460000</v>
      </c>
      <c r="AD14" s="54">
        <f t="shared" si="10"/>
        <v>7795000</v>
      </c>
      <c r="AE14" s="54">
        <f t="shared" si="11"/>
        <v>665000</v>
      </c>
      <c r="AG14" s="4"/>
      <c r="AH14" s="4"/>
      <c r="AI14" s="225"/>
      <c r="AJ14" s="226"/>
      <c r="AQ14" s="327" t="e">
        <f t="shared" ca="1" si="5"/>
        <v>#REF!</v>
      </c>
      <c r="AR14" s="157" t="e">
        <f t="shared" ca="1" si="6"/>
        <v>#REF!</v>
      </c>
    </row>
    <row r="15" spans="2:44" ht="15.95" customHeight="1" x14ac:dyDescent="0.25">
      <c r="B15" s="203">
        <f>(COUNTIF(L6:L15,"G*")/COUNTA(L6:L15))</f>
        <v>0.5</v>
      </c>
      <c r="C15" s="39">
        <v>2019</v>
      </c>
      <c r="D15" s="62" t="str">
        <f>+'[2]LT-924.184'!$F$4</f>
        <v>LT-924.184</v>
      </c>
      <c r="E15" s="63" t="str">
        <f>+'[2]LT-924.184'!$F$5</f>
        <v>LT Priority Repairs Phase 1</v>
      </c>
      <c r="F15" s="64">
        <f>+'[2]LT-924.184'!$F$6</f>
        <v>43740</v>
      </c>
      <c r="G15" s="65" t="str">
        <f>+'[2]LT-924.184'!$G$7</f>
        <v>SBE</v>
      </c>
      <c r="H15" s="94">
        <f>+'[2]LT-924.184'!$F$7</f>
        <v>1260000</v>
      </c>
      <c r="I15" s="94">
        <f>+'[2]LT-924.184'!$F$8</f>
        <v>1350135</v>
      </c>
      <c r="J15" s="404"/>
      <c r="K15" s="153">
        <f>+'[2]LT-924.184'!$G$9</f>
        <v>7.1535714285714286E-2</v>
      </c>
      <c r="L15" s="11" t="str">
        <f>+'[2]LT-924.184'!$F$11</f>
        <v>GOOD</v>
      </c>
      <c r="M15" s="15">
        <f>+'[2]LT-924.184'!$H$12</f>
        <v>3</v>
      </c>
      <c r="N15" s="35" t="s">
        <v>226</v>
      </c>
      <c r="O15" s="15">
        <v>4</v>
      </c>
      <c r="P15" s="35" t="s">
        <v>457</v>
      </c>
      <c r="Q15" s="402" t="s">
        <v>1587</v>
      </c>
      <c r="R15" s="15"/>
      <c r="S15" s="24"/>
      <c r="T15" s="62" t="str">
        <f>+'[2]LT-924.184'!$J$4</f>
        <v>Tun Tun Lin</v>
      </c>
      <c r="U15" s="62"/>
      <c r="V15" s="94">
        <f>+'[2]LT-924.184'!$F$12</f>
        <v>1730878.3333333333</v>
      </c>
      <c r="W15" s="199">
        <f t="shared" si="7"/>
        <v>0.78002882929379791</v>
      </c>
      <c r="X15" s="15"/>
      <c r="Y15" s="200">
        <f t="shared" si="8"/>
        <v>1.0715357142857143</v>
      </c>
      <c r="Z15" s="11" t="str">
        <f t="shared" si="9"/>
        <v>FAIL</v>
      </c>
      <c r="AA15" s="11"/>
      <c r="AB15" s="15"/>
      <c r="AC15" s="54">
        <f t="shared" si="10"/>
        <v>1260000</v>
      </c>
      <c r="AD15" s="54">
        <f t="shared" si="10"/>
        <v>1350135</v>
      </c>
      <c r="AE15" s="54">
        <f t="shared" si="11"/>
        <v>-90135</v>
      </c>
      <c r="AG15" s="4">
        <f>SUM(H6:H15)</f>
        <v>18089000</v>
      </c>
      <c r="AH15" s="4">
        <f>SUM(I6:I15)</f>
        <v>15433737</v>
      </c>
      <c r="AI15" s="204">
        <f>+AH15/AG15</f>
        <v>0.85321117806401681</v>
      </c>
      <c r="AJ15" s="1" t="s">
        <v>1240</v>
      </c>
      <c r="AK15" s="205">
        <f>+AG15+AG30+AG43+AG59</f>
        <v>920837479</v>
      </c>
      <c r="AL15" s="205">
        <f>+AH15+AH30+AH43+AH59</f>
        <v>736287302</v>
      </c>
      <c r="AM15" s="206">
        <f>+AL15/AK15</f>
        <v>0.79958442047730771</v>
      </c>
      <c r="AN15" s="207" t="s">
        <v>1475</v>
      </c>
      <c r="AO15" s="208"/>
      <c r="AQ15" s="327" t="e">
        <f t="shared" ca="1" si="5"/>
        <v>#REF!</v>
      </c>
      <c r="AR15" s="157" t="e">
        <f t="shared" ca="1" si="6"/>
        <v>#REF!</v>
      </c>
    </row>
    <row r="16" spans="2:44" ht="15.95" customHeight="1" x14ac:dyDescent="0.25">
      <c r="C16" s="39"/>
      <c r="G16" s="45"/>
      <c r="Q16" s="11"/>
      <c r="AQ16" s="328"/>
      <c r="AR16" s="329"/>
    </row>
    <row r="17" spans="2:45" ht="15.95" customHeight="1" x14ac:dyDescent="0.25">
      <c r="C17" s="39">
        <v>2019</v>
      </c>
      <c r="D17" s="62" t="str">
        <f>+'[2]JFK-944.805'!$F$4</f>
        <v>JFK-944.805</v>
      </c>
      <c r="E17" s="63" t="str">
        <f>+'[2]JFK-944.805'!$F$5</f>
        <v>Replace Switch House #1 Emergency Generator</v>
      </c>
      <c r="F17" s="64">
        <f>+'[2]JFK-944.805'!$F$6</f>
        <v>43727</v>
      </c>
      <c r="G17" s="65" t="str">
        <f>+'[2]JFK-944.805'!$G$7</f>
        <v>Public</v>
      </c>
      <c r="H17" s="94">
        <f>+'[2]JFK-944.805'!$F$7</f>
        <v>3840000</v>
      </c>
      <c r="I17" s="94">
        <f>+'[2]JFK-944.805'!$F$8</f>
        <v>2936000</v>
      </c>
      <c r="J17" s="94"/>
      <c r="K17" s="153">
        <f>+'[2]JFK-944.805'!$G$9</f>
        <v>-0.23541666666666666</v>
      </c>
      <c r="L17" s="11" t="str">
        <f>+'[2]JFK-944.805'!$F$11</f>
        <v>GOOD</v>
      </c>
      <c r="M17" s="15">
        <f>+'[2]JFK-944.805'!$H$12</f>
        <v>11</v>
      </c>
      <c r="N17" s="35" t="s">
        <v>93</v>
      </c>
      <c r="O17" s="15">
        <v>3</v>
      </c>
      <c r="P17" s="35" t="s">
        <v>458</v>
      </c>
      <c r="Q17" s="35"/>
      <c r="R17" s="15"/>
      <c r="S17" s="24"/>
      <c r="T17" s="62" t="str">
        <f>+'[2]JFK-944.805'!$J$4</f>
        <v>Steven Schwan</v>
      </c>
      <c r="U17" s="62"/>
      <c r="V17" s="94">
        <f>+'[2]JFK-944.805'!$F$12</f>
        <v>4681438.8181818184</v>
      </c>
      <c r="W17" s="199">
        <f t="shared" ref="W17:W30" si="12">+I17/V17</f>
        <v>0.62715761414997762</v>
      </c>
      <c r="X17" s="15"/>
      <c r="Y17" s="200">
        <f t="shared" ref="Y17:Y30" si="13">+I17/H17</f>
        <v>0.76458333333333328</v>
      </c>
      <c r="Z17" s="11" t="str">
        <f t="shared" ref="Z17:Z30" si="14">(IF(Y17&lt;$Y$3,"FAIL",IF(Y17&gt;$Y$4,"FAIL","GOOD")))</f>
        <v>FAIL</v>
      </c>
      <c r="AA17" s="11"/>
      <c r="AB17" s="15"/>
      <c r="AC17" s="54">
        <f t="shared" ref="AC17:AD30" si="15">+H17</f>
        <v>3840000</v>
      </c>
      <c r="AD17" s="54">
        <f t="shared" si="15"/>
        <v>2936000</v>
      </c>
      <c r="AE17" s="54">
        <f t="shared" ref="AE17:AE30" si="16">+AC17-AD17</f>
        <v>904000</v>
      </c>
      <c r="AG17" s="4"/>
      <c r="AH17" s="4"/>
      <c r="AI17" s="225"/>
      <c r="AJ17" s="226"/>
      <c r="AQ17" s="327" t="e">
        <f ca="1">INDIRECT("'"&amp;$D17&amp;"'!L12")</f>
        <v>#REF!</v>
      </c>
      <c r="AR17" s="157" t="e">
        <f ca="1">INDIRECT("'"&amp;$D17&amp;"'!L13")</f>
        <v>#REF!</v>
      </c>
    </row>
    <row r="18" spans="2:45" ht="15.95" customHeight="1" x14ac:dyDescent="0.25">
      <c r="C18" s="39">
        <v>2019</v>
      </c>
      <c r="D18" s="62" t="str">
        <f>+'[2]HT-924.110A'!$F$4</f>
        <v>HT-924.110A</v>
      </c>
      <c r="E18" s="63" t="str">
        <f>+'[2]HT-924.110A'!$F$5</f>
        <v>HT Admin Bldg - Second Means of Egress</v>
      </c>
      <c r="F18" s="64">
        <f>+'[2]HT-924.110A'!$F$6</f>
        <v>43720</v>
      </c>
      <c r="G18" s="65" t="str">
        <f>+'[2]HT-924.110A'!$G$7</f>
        <v>SBE</v>
      </c>
      <c r="H18" s="94">
        <f>+'[2]HT-924.110A'!$F$7</f>
        <v>1360000</v>
      </c>
      <c r="I18" s="94">
        <f>+'[2]HT-924.110A'!$F$8</f>
        <v>1843700</v>
      </c>
      <c r="J18" s="94"/>
      <c r="K18" s="153">
        <f>+'[2]HT-924.110A'!$G$9</f>
        <v>0.35566176470588234</v>
      </c>
      <c r="L18" s="11" t="str">
        <f>+'[2]HT-924.110A'!$F$11</f>
        <v>FAIL</v>
      </c>
      <c r="M18" s="15">
        <f>+'[2]HT-924.110A'!$H$12</f>
        <v>5</v>
      </c>
      <c r="N18" s="35" t="s">
        <v>25</v>
      </c>
      <c r="O18" s="15">
        <v>3</v>
      </c>
      <c r="P18" s="35" t="s">
        <v>457</v>
      </c>
      <c r="Q18" s="35"/>
      <c r="R18" s="15"/>
      <c r="S18" s="24"/>
      <c r="T18" s="62" t="str">
        <f>+'[2]HT-924.110A'!$J$4</f>
        <v>Ed Minall</v>
      </c>
      <c r="U18" s="62"/>
      <c r="V18" s="94">
        <f>+'[2]HT-924.110A'!$F$12</f>
        <v>2763542</v>
      </c>
      <c r="W18" s="199">
        <f t="shared" si="12"/>
        <v>0.66715106917137501</v>
      </c>
      <c r="X18" s="15"/>
      <c r="Y18" s="200">
        <f t="shared" si="13"/>
        <v>1.3556617647058824</v>
      </c>
      <c r="Z18" s="11" t="str">
        <f t="shared" si="14"/>
        <v>FAIL</v>
      </c>
      <c r="AA18" s="11"/>
      <c r="AB18" s="15"/>
      <c r="AC18" s="54">
        <f t="shared" si="15"/>
        <v>1360000</v>
      </c>
      <c r="AD18" s="54">
        <f t="shared" si="15"/>
        <v>1843700</v>
      </c>
      <c r="AE18" s="54">
        <f t="shared" si="16"/>
        <v>-483700</v>
      </c>
      <c r="AG18" s="4"/>
      <c r="AH18" s="4"/>
      <c r="AI18" s="225"/>
      <c r="AJ18" s="226"/>
      <c r="AQ18" s="327" t="e">
        <f t="shared" ref="AQ18:AQ58" ca="1" si="17">INDIRECT("'"&amp;$D18&amp;"'!L12")</f>
        <v>#REF!</v>
      </c>
      <c r="AR18" s="157" t="e">
        <f t="shared" ref="AR18:AR43" ca="1" si="18">INDIRECT("'"&amp;$D18&amp;"'!L13")</f>
        <v>#REF!</v>
      </c>
    </row>
    <row r="19" spans="2:45" ht="15.95" customHeight="1" x14ac:dyDescent="0.25">
      <c r="C19" s="39">
        <v>2019</v>
      </c>
      <c r="D19" s="62" t="str">
        <f>+'[2]JFK-1078'!$F$4</f>
        <v>JFK-1078</v>
      </c>
      <c r="E19" s="63" t="str">
        <f>+'[2]JFK-1078'!$F$5</f>
        <v>Landside Asphalt Repairs via Work Order</v>
      </c>
      <c r="F19" s="64">
        <f>+'[2]JFK-1078'!$F$6</f>
        <v>43713</v>
      </c>
      <c r="G19" s="65" t="str">
        <f>+'[2]JFK-1078'!$G$7</f>
        <v>SBE</v>
      </c>
      <c r="H19" s="94">
        <f>+'[2]JFK-1078'!$F$7</f>
        <v>2030000</v>
      </c>
      <c r="I19" s="94">
        <f>+'[2]JFK-1078'!$F$8</f>
        <v>1887810</v>
      </c>
      <c r="J19" s="94"/>
      <c r="K19" s="153">
        <f>+'[2]JFK-1078'!$G$9</f>
        <v>-7.0044334975369452E-2</v>
      </c>
      <c r="L19" s="11" t="str">
        <f>+'[2]JFK-1078'!$F$11</f>
        <v>GOOD</v>
      </c>
      <c r="M19" s="15">
        <f>+'[2]JFK-1078'!$H$12</f>
        <v>4</v>
      </c>
      <c r="N19" s="35" t="s">
        <v>93</v>
      </c>
      <c r="O19" s="15">
        <v>3</v>
      </c>
      <c r="P19" s="35" t="s">
        <v>458</v>
      </c>
      <c r="Q19" s="35"/>
      <c r="R19" s="15"/>
      <c r="S19" s="24"/>
      <c r="T19" s="62" t="str">
        <f>+'[2]JFK-1078'!$J$4</f>
        <v>Steven Schwan</v>
      </c>
      <c r="U19" s="62"/>
      <c r="V19" s="94">
        <f>+'[2]JFK-1078'!$F$12</f>
        <v>2554425</v>
      </c>
      <c r="W19" s="199">
        <f t="shared" si="12"/>
        <v>0.73903520361725239</v>
      </c>
      <c r="X19" s="15"/>
      <c r="Y19" s="200">
        <f t="shared" si="13"/>
        <v>0.92995566502463056</v>
      </c>
      <c r="Z19" s="11" t="str">
        <f t="shared" si="14"/>
        <v>FAIL</v>
      </c>
      <c r="AA19" s="11"/>
      <c r="AB19" s="15"/>
      <c r="AC19" s="54">
        <f t="shared" si="15"/>
        <v>2030000</v>
      </c>
      <c r="AD19" s="54">
        <f t="shared" si="15"/>
        <v>1887810</v>
      </c>
      <c r="AE19" s="54">
        <f t="shared" si="16"/>
        <v>142190</v>
      </c>
      <c r="AG19" s="4"/>
      <c r="AH19" s="4"/>
      <c r="AI19" s="225"/>
      <c r="AJ19" s="226"/>
      <c r="AQ19" s="327" t="e">
        <f t="shared" ca="1" si="17"/>
        <v>#REF!</v>
      </c>
      <c r="AR19" s="157" t="e">
        <f t="shared" ca="1" si="18"/>
        <v>#REF!</v>
      </c>
    </row>
    <row r="20" spans="2:45" ht="15.95" customHeight="1" x14ac:dyDescent="0.25">
      <c r="C20" s="39">
        <v>2019</v>
      </c>
      <c r="D20" s="62" t="str">
        <f>+'[2]MF-234.217'!$F$4</f>
        <v>MF-234.217</v>
      </c>
      <c r="E20" s="63" t="str">
        <f>+'[2]MF-234.217'!$F$5</f>
        <v>HT &amp; LT - Ventilation Buildings CCTV Cameras</v>
      </c>
      <c r="F20" s="64">
        <f>+'[2]MF-234.217'!$F$6</f>
        <v>43712</v>
      </c>
      <c r="G20" s="65" t="str">
        <f>+'[2]MF-234.217'!$G$7</f>
        <v>Public</v>
      </c>
      <c r="H20" s="94">
        <f>+'[2]MF-234.217'!$F$7</f>
        <v>1300000</v>
      </c>
      <c r="I20" s="94">
        <f>+'[2]MF-234.217'!$F$8</f>
        <v>919000</v>
      </c>
      <c r="J20" s="94"/>
      <c r="K20" s="153">
        <f>+'[2]MF-234.217'!$G$9</f>
        <v>-0.29307692307692307</v>
      </c>
      <c r="L20" s="11" t="str">
        <f>+'[2]MF-234.217'!$F$11</f>
        <v>GOOD</v>
      </c>
      <c r="M20" s="15">
        <f>+'[2]MF-234.217'!$H$12</f>
        <v>16</v>
      </c>
      <c r="N20" s="35" t="s">
        <v>226</v>
      </c>
      <c r="O20" s="15">
        <v>3</v>
      </c>
      <c r="P20" s="35" t="s">
        <v>457</v>
      </c>
      <c r="Q20" s="35"/>
      <c r="R20" s="15"/>
      <c r="S20" s="24"/>
      <c r="T20" s="62" t="str">
        <f>+'[2]MF-234.217'!$J$4</f>
        <v>Nathan Demaisip</v>
      </c>
      <c r="U20" s="62"/>
      <c r="V20" s="94">
        <f>+'[2]MF-234.217'!$F$12</f>
        <v>1639305.4375</v>
      </c>
      <c r="W20" s="199">
        <f t="shared" si="12"/>
        <v>0.56060327683748079</v>
      </c>
      <c r="X20" s="15"/>
      <c r="Y20" s="200">
        <f t="shared" si="13"/>
        <v>0.70692307692307688</v>
      </c>
      <c r="Z20" s="11" t="str">
        <f t="shared" si="14"/>
        <v>FAIL</v>
      </c>
      <c r="AA20" s="11"/>
      <c r="AB20" s="15"/>
      <c r="AC20" s="54">
        <f t="shared" si="15"/>
        <v>1300000</v>
      </c>
      <c r="AD20" s="54">
        <f t="shared" si="15"/>
        <v>919000</v>
      </c>
      <c r="AE20" s="54">
        <f t="shared" si="16"/>
        <v>381000</v>
      </c>
      <c r="AG20" s="4"/>
      <c r="AH20" s="4"/>
      <c r="AI20" s="225"/>
      <c r="AJ20" s="226"/>
      <c r="AQ20" s="327" t="e">
        <f t="shared" ca="1" si="17"/>
        <v>#REF!</v>
      </c>
      <c r="AR20" s="157" t="e">
        <f t="shared" ca="1" si="18"/>
        <v>#REF!</v>
      </c>
    </row>
    <row r="21" spans="2:45" ht="15.95" customHeight="1" x14ac:dyDescent="0.25">
      <c r="C21" s="39">
        <v>2019</v>
      </c>
      <c r="D21" s="62" t="str">
        <f>+'[2]PJ-664.537'!$F$4</f>
        <v>PJ-664.537</v>
      </c>
      <c r="E21" s="63" t="str">
        <f>+'[2]PJ-664.537'!$F$5</f>
        <v>Upgrade Electrical Infrastructure - Service Drops for 13.2kV Loop</v>
      </c>
      <c r="F21" s="64">
        <f>+'[2]PJ-664.537'!$F$6</f>
        <v>43704</v>
      </c>
      <c r="G21" s="65" t="str">
        <f>+'[2]PJ-664.537'!$G$7</f>
        <v>SBE</v>
      </c>
      <c r="H21" s="94">
        <f>+'[2]PJ-664.537'!$F$7</f>
        <v>1260000</v>
      </c>
      <c r="I21" s="94">
        <f>+'[2]PJ-664.537'!$F$8</f>
        <v>1201422</v>
      </c>
      <c r="J21" s="94"/>
      <c r="K21" s="153">
        <f>+'[2]PJ-664.537'!$G$9</f>
        <v>-4.6490476190476193E-2</v>
      </c>
      <c r="L21" s="11" t="str">
        <f>+'[2]PJ-664.537'!$F$11</f>
        <v>GOOD</v>
      </c>
      <c r="M21" s="15">
        <f>+'[2]PJ-664.537'!$H$12</f>
        <v>6</v>
      </c>
      <c r="N21" s="35" t="s">
        <v>25</v>
      </c>
      <c r="O21" s="15">
        <v>3</v>
      </c>
      <c r="P21" s="35" t="s">
        <v>492</v>
      </c>
      <c r="Q21" s="35"/>
      <c r="R21" s="15"/>
      <c r="S21" s="24"/>
      <c r="T21" s="62" t="str">
        <f>+'[2]PJ-664.537'!$J$4</f>
        <v>Steven Schwan</v>
      </c>
      <c r="U21" s="62"/>
      <c r="V21" s="94">
        <f>+'[2]PJ-664.537'!$F$12</f>
        <v>2091721.1666666667</v>
      </c>
      <c r="W21" s="199">
        <f t="shared" si="12"/>
        <v>0.57437005426233112</v>
      </c>
      <c r="X21" s="15"/>
      <c r="Y21" s="200">
        <f t="shared" si="13"/>
        <v>0.95350952380952381</v>
      </c>
      <c r="Z21" s="11" t="str">
        <f t="shared" si="14"/>
        <v>FAIL</v>
      </c>
      <c r="AA21" s="11"/>
      <c r="AB21" s="15"/>
      <c r="AC21" s="54">
        <f t="shared" si="15"/>
        <v>1260000</v>
      </c>
      <c r="AD21" s="54">
        <f t="shared" si="15"/>
        <v>1201422</v>
      </c>
      <c r="AE21" s="54">
        <f t="shared" si="16"/>
        <v>58578</v>
      </c>
      <c r="AG21" s="4"/>
      <c r="AH21" s="4"/>
      <c r="AI21" s="225"/>
      <c r="AJ21" s="226"/>
      <c r="AQ21" s="327" t="e">
        <f t="shared" ca="1" si="17"/>
        <v>#REF!</v>
      </c>
      <c r="AR21" s="157" t="e">
        <f t="shared" ca="1" si="18"/>
        <v>#REF!</v>
      </c>
    </row>
    <row r="22" spans="2:45" ht="15.95" customHeight="1" x14ac:dyDescent="0.25">
      <c r="C22" s="39">
        <v>2019</v>
      </c>
      <c r="D22" s="62" t="str">
        <f>+'[2]EWR-154.224A'!$F$4</f>
        <v>EWR-154.224A</v>
      </c>
      <c r="E22" s="63" t="str">
        <f>+'[2]EWR-154.224A'!$F$5</f>
        <v>Terminal B Exterior Wall Glass Upgrade</v>
      </c>
      <c r="F22" s="64">
        <f>+'[2]EWR-154.224A'!$F$6</f>
        <v>43700</v>
      </c>
      <c r="G22" s="65" t="str">
        <f>+'[2]GWB-244.112'!$G$7</f>
        <v>Public</v>
      </c>
      <c r="H22" s="94">
        <f>+'[2]EWR-154.224A'!$F$7</f>
        <v>55300000</v>
      </c>
      <c r="I22" s="94">
        <f>+'[2]EWR-154.224A'!$F$8</f>
        <v>43999000</v>
      </c>
      <c r="J22" s="94"/>
      <c r="K22" s="153">
        <f>+'[2]EWR-154.224A'!$G$9</f>
        <v>-0.20435804701627486</v>
      </c>
      <c r="L22" s="11" t="str">
        <f>+'[2]EWR-154.224A'!$F$11</f>
        <v>GOOD</v>
      </c>
      <c r="M22" s="15">
        <f>+'[2]EWR-154.224A'!$H$12</f>
        <v>5</v>
      </c>
      <c r="N22" s="35" t="s">
        <v>25</v>
      </c>
      <c r="O22" s="15">
        <v>3</v>
      </c>
      <c r="P22" s="35" t="s">
        <v>458</v>
      </c>
      <c r="Q22" s="35"/>
      <c r="R22" s="15"/>
      <c r="S22" s="24"/>
      <c r="T22" s="62" t="str">
        <f>+'[2]EWR-154.224A'!$J$4</f>
        <v>Nathan Demaisip</v>
      </c>
      <c r="U22" s="62"/>
      <c r="V22" s="94">
        <f>+'[2]EWR-154.224A'!$F$12</f>
        <v>50531448</v>
      </c>
      <c r="W22" s="199">
        <f t="shared" si="12"/>
        <v>0.87072509776486118</v>
      </c>
      <c r="X22" s="15"/>
      <c r="Y22" s="200">
        <f t="shared" si="13"/>
        <v>0.79564195298372509</v>
      </c>
      <c r="Z22" s="11" t="str">
        <f t="shared" si="14"/>
        <v>FAIL</v>
      </c>
      <c r="AA22" s="11"/>
      <c r="AB22" s="15"/>
      <c r="AC22" s="54">
        <f t="shared" si="15"/>
        <v>55300000</v>
      </c>
      <c r="AD22" s="54">
        <f t="shared" si="15"/>
        <v>43999000</v>
      </c>
      <c r="AE22" s="54">
        <f t="shared" si="16"/>
        <v>11301000</v>
      </c>
      <c r="AG22" s="4"/>
      <c r="AH22" s="4"/>
      <c r="AI22" s="225"/>
      <c r="AJ22" s="226"/>
      <c r="AQ22" s="327" t="e">
        <f t="shared" ca="1" si="17"/>
        <v>#REF!</v>
      </c>
      <c r="AR22" s="157" t="e">
        <f t="shared" ca="1" si="18"/>
        <v>#REF!</v>
      </c>
    </row>
    <row r="23" spans="2:45" ht="15.95" customHeight="1" x14ac:dyDescent="0.25">
      <c r="C23" s="39">
        <v>2019</v>
      </c>
      <c r="D23" s="62" t="str">
        <f>+'[2]GWB-244.112'!$F$4</f>
        <v>GWB-244.112</v>
      </c>
      <c r="E23" s="63" t="str">
        <f>+'[2]GWB-244.112'!$F$5</f>
        <v>Lower Level Steel, Paint and Traveller</v>
      </c>
      <c r="F23" s="64">
        <f>+'[2]GWB-244.112'!$F$6</f>
        <v>43699</v>
      </c>
      <c r="G23" s="65" t="str">
        <f>+'[2]GWB-244.112'!$G$7</f>
        <v>Public</v>
      </c>
      <c r="H23" s="94">
        <f>+'[2]GWB-244.112'!$F$7</f>
        <v>194071979</v>
      </c>
      <c r="I23" s="94">
        <f>+'[2]GWB-244.112'!$F$8</f>
        <v>171330900</v>
      </c>
      <c r="J23" s="94"/>
      <c r="K23" s="153">
        <f>+'[2]GWB-244.112'!$G$9</f>
        <v>-0.11717858042762577</v>
      </c>
      <c r="L23" s="11" t="str">
        <f>+'[2]GWB-244.112'!$F$11</f>
        <v>GOOD</v>
      </c>
      <c r="M23" s="15">
        <f>+'[2]GWB-244.112'!$H$12</f>
        <v>6</v>
      </c>
      <c r="N23" s="35" t="s">
        <v>226</v>
      </c>
      <c r="O23" s="15">
        <v>3</v>
      </c>
      <c r="P23" s="35" t="s">
        <v>457</v>
      </c>
      <c r="Q23" s="35"/>
      <c r="R23" s="15"/>
      <c r="S23" s="24" t="s">
        <v>1476</v>
      </c>
      <c r="T23" s="62" t="str">
        <f>+'[2]GWB-244.112'!$J$4</f>
        <v>Boris Lenderman</v>
      </c>
      <c r="U23" s="62"/>
      <c r="V23" s="94">
        <f>+'[2]GWB-244.112'!$F$12</f>
        <v>182690985.33333334</v>
      </c>
      <c r="W23" s="199">
        <f t="shared" si="12"/>
        <v>0.93781803019669518</v>
      </c>
      <c r="X23" s="15"/>
      <c r="Y23" s="200">
        <f t="shared" si="13"/>
        <v>0.88282141957237426</v>
      </c>
      <c r="Z23" s="11" t="str">
        <f t="shared" si="14"/>
        <v>FAIL</v>
      </c>
      <c r="AA23" s="11"/>
      <c r="AB23" s="15"/>
      <c r="AC23" s="54">
        <f t="shared" si="15"/>
        <v>194071979</v>
      </c>
      <c r="AD23" s="54">
        <f t="shared" si="15"/>
        <v>171330900</v>
      </c>
      <c r="AE23" s="54">
        <f t="shared" si="16"/>
        <v>22741079</v>
      </c>
      <c r="AG23" s="4"/>
      <c r="AH23" s="4"/>
      <c r="AI23" s="225"/>
      <c r="AJ23" s="226"/>
      <c r="AQ23" s="327" t="e">
        <f t="shared" ca="1" si="17"/>
        <v>#REF!</v>
      </c>
      <c r="AR23" s="157" t="e">
        <f t="shared" ca="1" si="18"/>
        <v>#REF!</v>
      </c>
    </row>
    <row r="24" spans="2:45" ht="15.95" customHeight="1" x14ac:dyDescent="0.25">
      <c r="C24" s="39">
        <v>2019</v>
      </c>
      <c r="D24" s="62" t="str">
        <f>+'[2]LGA-984.315'!$F$4</f>
        <v>LGA-984.315</v>
      </c>
      <c r="E24" s="63" t="str">
        <f>+'[2]LGA-984.315'!$F$5</f>
        <v>Landside Paving via Classified Work Order</v>
      </c>
      <c r="F24" s="64">
        <f>+'[2]LGA-984.315'!$F$6</f>
        <v>43699</v>
      </c>
      <c r="G24" s="65" t="str">
        <f>+'[2]LGA-984.315'!$G$7</f>
        <v>Public</v>
      </c>
      <c r="H24" s="94">
        <f>+'[2]LGA-984.315'!$F$7</f>
        <v>1980000</v>
      </c>
      <c r="I24" s="94">
        <f>+'[2]LGA-984.315'!$F$8</f>
        <v>1993000</v>
      </c>
      <c r="J24" s="94"/>
      <c r="K24" s="153">
        <f>+'[2]LGA-984.315'!$G$9</f>
        <v>6.5656565656565654E-3</v>
      </c>
      <c r="L24" s="11" t="str">
        <f>+'[2]LGA-984.315'!$F$11</f>
        <v>GOOD</v>
      </c>
      <c r="M24" s="15">
        <f>+'[2]LGA-984.315'!$H$12</f>
        <v>4</v>
      </c>
      <c r="N24" s="35" t="s">
        <v>93</v>
      </c>
      <c r="O24" s="15">
        <v>3</v>
      </c>
      <c r="P24" s="35" t="s">
        <v>458</v>
      </c>
      <c r="Q24" s="35"/>
      <c r="R24" s="15"/>
      <c r="S24" s="24"/>
      <c r="T24" s="62" t="str">
        <f>+'[2]LGA-984.315'!$J$4</f>
        <v>Joe Lucin</v>
      </c>
      <c r="U24" s="62"/>
      <c r="V24" s="94">
        <f>+'[2]LGA-984.315'!$F$12</f>
        <v>3089812.5</v>
      </c>
      <c r="W24" s="199">
        <f t="shared" si="12"/>
        <v>0.64502295851285474</v>
      </c>
      <c r="X24" s="15"/>
      <c r="Y24" s="200">
        <f t="shared" si="13"/>
        <v>1.0065656565656567</v>
      </c>
      <c r="Z24" s="11" t="str">
        <f t="shared" si="14"/>
        <v>FAIL</v>
      </c>
      <c r="AA24" s="11"/>
      <c r="AB24" s="15"/>
      <c r="AC24" s="54">
        <f t="shared" si="15"/>
        <v>1980000</v>
      </c>
      <c r="AD24" s="54">
        <f t="shared" si="15"/>
        <v>1993000</v>
      </c>
      <c r="AE24" s="54">
        <f t="shared" si="16"/>
        <v>-13000</v>
      </c>
      <c r="AG24" s="4"/>
      <c r="AH24" s="4"/>
      <c r="AI24" s="225"/>
      <c r="AJ24" s="226"/>
      <c r="AQ24" s="327" t="e">
        <f t="shared" ca="1" si="17"/>
        <v>#REF!</v>
      </c>
      <c r="AR24" s="157" t="e">
        <f t="shared" ca="1" si="18"/>
        <v>#REF!</v>
      </c>
    </row>
    <row r="25" spans="2:45" ht="15.95" customHeight="1" x14ac:dyDescent="0.25">
      <c r="C25" s="39">
        <v>2019</v>
      </c>
      <c r="D25" s="62" t="str">
        <f>+'[2]PAT-784.166'!$F$4</f>
        <v>PAT-784.166</v>
      </c>
      <c r="E25" s="63" t="str">
        <f>+'[2]PAT-784.166'!$F$5</f>
        <v>Tracks G &amp; H Permanent Flood Protection</v>
      </c>
      <c r="F25" s="64">
        <f>+'[2]PAT-784.166'!$F$6</f>
        <v>43690</v>
      </c>
      <c r="G25" s="65" t="str">
        <f>+'[2]PAT-784.166'!$G$7</f>
        <v>Public</v>
      </c>
      <c r="H25" s="94">
        <f>+'[2]PAT-784.166'!$F$7</f>
        <v>21500000</v>
      </c>
      <c r="I25" s="94">
        <f>+'[2]PAT-784.166'!$F$8</f>
        <v>23111450</v>
      </c>
      <c r="J25" s="94"/>
      <c r="K25" s="153">
        <f>+'[2]PAT-784.166'!$G$9</f>
        <v>7.4951162790697676E-2</v>
      </c>
      <c r="L25" s="11" t="str">
        <f>+'[2]PAT-784.166'!$F$11</f>
        <v>GOOD</v>
      </c>
      <c r="M25" s="15">
        <f>+'[2]PAT-784.166'!$H$12</f>
        <v>7</v>
      </c>
      <c r="N25" s="35" t="s">
        <v>25</v>
      </c>
      <c r="O25" s="15">
        <v>3</v>
      </c>
      <c r="P25" s="35" t="s">
        <v>459</v>
      </c>
      <c r="Q25" s="35"/>
      <c r="R25" s="15"/>
      <c r="S25" s="24"/>
      <c r="T25" s="62" t="str">
        <f>+'[2]PAT-784.166'!$J$4</f>
        <v>Nathan Demaisip</v>
      </c>
      <c r="U25" s="62"/>
      <c r="V25" s="94">
        <f>+'[2]PAT-784.166'!$F$12</f>
        <v>29457812.428571429</v>
      </c>
      <c r="W25" s="199">
        <f t="shared" si="12"/>
        <v>0.78456097363102129</v>
      </c>
      <c r="X25" s="15"/>
      <c r="Y25" s="200">
        <f t="shared" si="13"/>
        <v>1.0749511627906976</v>
      </c>
      <c r="Z25" s="11" t="str">
        <f t="shared" si="14"/>
        <v>FAIL</v>
      </c>
      <c r="AA25" s="11"/>
      <c r="AB25" s="15"/>
      <c r="AC25" s="54">
        <f t="shared" si="15"/>
        <v>21500000</v>
      </c>
      <c r="AD25" s="54">
        <f t="shared" si="15"/>
        <v>23111450</v>
      </c>
      <c r="AE25" s="54">
        <f t="shared" si="16"/>
        <v>-1611450</v>
      </c>
      <c r="AG25" s="4"/>
      <c r="AH25" s="4"/>
      <c r="AI25" s="225"/>
      <c r="AJ25" s="226"/>
      <c r="AQ25" s="327" t="e">
        <f t="shared" ca="1" si="17"/>
        <v>#REF!</v>
      </c>
      <c r="AR25" s="157" t="e">
        <f t="shared" ca="1" si="18"/>
        <v>#REF!</v>
      </c>
    </row>
    <row r="26" spans="2:45" ht="15.95" customHeight="1" x14ac:dyDescent="0.25">
      <c r="C26" s="39">
        <v>2019</v>
      </c>
      <c r="D26" s="62" t="str">
        <f>+'[2]HT-924.152A'!$F$4</f>
        <v>HT-924.152A</v>
      </c>
      <c r="E26" s="63" t="str">
        <f>+'[2]HT-924.152A'!$F$5</f>
        <v>Maintenance Pavement Repairs via Work Order</v>
      </c>
      <c r="F26" s="64">
        <f>+'[2]HT-924.152A'!$F$6</f>
        <v>43685</v>
      </c>
      <c r="G26" s="65" t="str">
        <f>+'[2]HT-924.152A'!$G$7</f>
        <v>PQL</v>
      </c>
      <c r="H26" s="94">
        <f>+'[2]HT-924.152A'!$F$7</f>
        <v>1755000</v>
      </c>
      <c r="I26" s="94">
        <f>+'[2]HT-924.152A'!$F$8</f>
        <v>1312300</v>
      </c>
      <c r="J26" s="94"/>
      <c r="K26" s="153">
        <f>+'[2]HT-924.152A'!$G$9</f>
        <v>-0.25225071225071227</v>
      </c>
      <c r="L26" s="11" t="str">
        <f>+'[2]HT-924.152A'!$F$11</f>
        <v>GOOD</v>
      </c>
      <c r="M26" s="15">
        <f>+'[2]HT-924.152A'!$H$12</f>
        <v>7</v>
      </c>
      <c r="N26" s="35" t="s">
        <v>226</v>
      </c>
      <c r="O26" s="15">
        <v>3</v>
      </c>
      <c r="P26" s="35" t="s">
        <v>457</v>
      </c>
      <c r="Q26" s="35"/>
      <c r="R26" s="15"/>
      <c r="S26" s="24"/>
      <c r="T26" s="62" t="str">
        <f>+'[2]HT-924.152A'!$J$4</f>
        <v>Tun Tun Lin</v>
      </c>
      <c r="U26" s="62"/>
      <c r="V26" s="94">
        <f>+'[2]HT-924.152A'!$F$12</f>
        <v>2001831.7142857143</v>
      </c>
      <c r="W26" s="199">
        <f t="shared" si="12"/>
        <v>0.65554961020699465</v>
      </c>
      <c r="X26" s="15"/>
      <c r="Y26" s="200">
        <f t="shared" si="13"/>
        <v>0.74774928774928773</v>
      </c>
      <c r="Z26" s="11" t="str">
        <f t="shared" si="14"/>
        <v>FAIL</v>
      </c>
      <c r="AA26" s="11"/>
      <c r="AB26" s="15"/>
      <c r="AC26" s="54">
        <f t="shared" si="15"/>
        <v>1755000</v>
      </c>
      <c r="AD26" s="54">
        <f t="shared" si="15"/>
        <v>1312300</v>
      </c>
      <c r="AE26" s="54">
        <f t="shared" si="16"/>
        <v>442700</v>
      </c>
      <c r="AG26" s="4"/>
      <c r="AH26" s="4"/>
      <c r="AI26" s="225"/>
      <c r="AJ26" s="226"/>
      <c r="AQ26" s="327" t="e">
        <f t="shared" ca="1" si="17"/>
        <v>#REF!</v>
      </c>
      <c r="AR26" s="157" t="e">
        <f t="shared" ca="1" si="18"/>
        <v>#REF!</v>
      </c>
    </row>
    <row r="27" spans="2:45" ht="15.95" customHeight="1" x14ac:dyDescent="0.25">
      <c r="C27" s="39">
        <v>2019</v>
      </c>
      <c r="D27" s="62" t="str">
        <f>+'[2]HT-224.130'!$F$4</f>
        <v>HT-224.130</v>
      </c>
      <c r="E27" s="63" t="str">
        <f>+'[2]HT-224.130'!$F$5</f>
        <v>Latent Salt Damage Repairs and Mitigation</v>
      </c>
      <c r="F27" s="64">
        <f>+'[2]HT-224.130'!$F$6</f>
        <v>43669</v>
      </c>
      <c r="G27" s="65" t="str">
        <f>+'[2]HT-224.130'!$G$7</f>
        <v>Public</v>
      </c>
      <c r="H27" s="94">
        <f>+'[2]HT-224.130'!$F$7</f>
        <v>249010000</v>
      </c>
      <c r="I27" s="94">
        <f>+'[2]HT-224.130'!$F$8</f>
        <v>135022488</v>
      </c>
      <c r="J27" s="94"/>
      <c r="K27" s="153">
        <f>+'[2]HT-224.130'!$G$9</f>
        <v>-0.45776278864302639</v>
      </c>
      <c r="L27" s="11" t="str">
        <f>+'[2]HT-224.130'!$F$11</f>
        <v>FAIL</v>
      </c>
      <c r="M27" s="15">
        <f>+'[2]HT-224.130'!$H$12</f>
        <v>5</v>
      </c>
      <c r="N27" s="35" t="s">
        <v>226</v>
      </c>
      <c r="O27" s="15">
        <v>3</v>
      </c>
      <c r="P27" s="35" t="s">
        <v>457</v>
      </c>
      <c r="Q27" s="35"/>
      <c r="R27" s="15"/>
      <c r="S27" s="24" t="s">
        <v>932</v>
      </c>
      <c r="T27" s="62" t="str">
        <f>+'[2]HT-224.130'!$J$4</f>
        <v>Ed Minall</v>
      </c>
      <c r="U27" s="62"/>
      <c r="V27" s="94">
        <f>+'[2]HT-224.130'!$F$12</f>
        <v>164986247.40000001</v>
      </c>
      <c r="W27" s="199">
        <f t="shared" si="12"/>
        <v>0.8183863208467641</v>
      </c>
      <c r="X27" s="15"/>
      <c r="Y27" s="200">
        <f t="shared" si="13"/>
        <v>0.54223721135697367</v>
      </c>
      <c r="Z27" s="11" t="str">
        <f t="shared" si="14"/>
        <v>FAIL</v>
      </c>
      <c r="AA27" s="11"/>
      <c r="AB27" s="15"/>
      <c r="AC27" s="54">
        <f t="shared" si="15"/>
        <v>249010000</v>
      </c>
      <c r="AD27" s="54">
        <f t="shared" si="15"/>
        <v>135022488</v>
      </c>
      <c r="AE27" s="54">
        <f t="shared" si="16"/>
        <v>113987512</v>
      </c>
      <c r="AG27" s="4"/>
      <c r="AH27" s="4"/>
      <c r="AI27" s="225"/>
      <c r="AJ27" s="226"/>
      <c r="AQ27" s="327" t="e">
        <f t="shared" ca="1" si="17"/>
        <v>#REF!</v>
      </c>
      <c r="AR27" s="157" t="e">
        <f t="shared" ca="1" si="18"/>
        <v>#REF!</v>
      </c>
    </row>
    <row r="28" spans="2:45" ht="15.95" customHeight="1" x14ac:dyDescent="0.25">
      <c r="C28" s="39">
        <v>2019</v>
      </c>
      <c r="D28" s="62" t="str">
        <f>+'[2]PJ-664.532'!$F$4</f>
        <v>PJ-664.532</v>
      </c>
      <c r="E28" s="63" t="str">
        <f>+'[2]PJ-664.532'!$F$5</f>
        <v>Construct Second Lead Track</v>
      </c>
      <c r="F28" s="64">
        <f>+'[2]PJ-664.532'!$F$6</f>
        <v>43664</v>
      </c>
      <c r="G28" s="65" t="str">
        <f>+'[2]PJ-664.532'!$G$7</f>
        <v>Public</v>
      </c>
      <c r="H28" s="94">
        <f>+'[2]PJ-664.532'!$F$7</f>
        <v>5660000</v>
      </c>
      <c r="I28" s="94">
        <f>+'[2]PJ-664.532'!$F$8</f>
        <v>3930000</v>
      </c>
      <c r="J28" s="94"/>
      <c r="K28" s="153">
        <f>+'[2]PJ-664.532'!$G$9</f>
        <v>-0.30565371024734983</v>
      </c>
      <c r="L28" s="11" t="str">
        <f>+'[2]PJ-664.532'!$F$11</f>
        <v>GOOD</v>
      </c>
      <c r="M28" s="15">
        <f>+'[2]PJ-664.532'!$H$12</f>
        <v>4</v>
      </c>
      <c r="N28" s="35" t="s">
        <v>25</v>
      </c>
      <c r="O28" s="15">
        <v>3</v>
      </c>
      <c r="P28" s="35" t="s">
        <v>492</v>
      </c>
      <c r="Q28" s="35"/>
      <c r="R28" s="15"/>
      <c r="S28" s="24"/>
      <c r="T28" s="62" t="str">
        <f>+'[2]PJ-664.532'!$J$4</f>
        <v>Tun Tun Lin</v>
      </c>
      <c r="U28" s="62"/>
      <c r="V28" s="94">
        <f>+'[2]PJ-664.532'!$F$12</f>
        <v>5605196.25</v>
      </c>
      <c r="W28" s="199">
        <f t="shared" si="12"/>
        <v>0.70113512974679526</v>
      </c>
      <c r="X28" s="15"/>
      <c r="Y28" s="200">
        <f t="shared" si="13"/>
        <v>0.69434628975265023</v>
      </c>
      <c r="Z28" s="11" t="str">
        <f t="shared" si="14"/>
        <v>FAIL</v>
      </c>
      <c r="AA28" s="11"/>
      <c r="AB28" s="15"/>
      <c r="AC28" s="54">
        <f t="shared" si="15"/>
        <v>5660000</v>
      </c>
      <c r="AD28" s="54">
        <f t="shared" si="15"/>
        <v>3930000</v>
      </c>
      <c r="AE28" s="54">
        <f t="shared" si="16"/>
        <v>1730000</v>
      </c>
      <c r="AG28" s="4"/>
      <c r="AH28" s="4"/>
      <c r="AI28" s="225"/>
      <c r="AJ28" s="226"/>
      <c r="AQ28" s="327" t="e">
        <f t="shared" ca="1" si="17"/>
        <v>#REF!</v>
      </c>
      <c r="AR28" s="157" t="e">
        <f t="shared" ca="1" si="18"/>
        <v>#REF!</v>
      </c>
    </row>
    <row r="29" spans="2:45" ht="15.95" customHeight="1" x14ac:dyDescent="0.25">
      <c r="C29" s="39">
        <v>2019</v>
      </c>
      <c r="D29" s="62" t="str">
        <f>+'[2]HT-224.141'!$F$4</f>
        <v>HT-224.141</v>
      </c>
      <c r="E29" s="63" t="str">
        <f>+'[2]HT-224.141'!$F$5</f>
        <v>Roof Replacement at NJ Service Garage</v>
      </c>
      <c r="F29" s="64">
        <f>+'[2]HT-224.141'!$F$6</f>
        <v>43662</v>
      </c>
      <c r="G29" s="65" t="str">
        <f>+'[2]HT-224.141'!$G$7</f>
        <v>SBE</v>
      </c>
      <c r="H29" s="94">
        <f>+'[2]HT-224.141'!$F$7</f>
        <v>2060000</v>
      </c>
      <c r="I29" s="94">
        <f>+'[2]HT-224.141'!$F$8</f>
        <v>2899873</v>
      </c>
      <c r="J29" s="94"/>
      <c r="K29" s="153">
        <f>+'[2]HT-224.141'!$G$9</f>
        <v>0.40770533980582524</v>
      </c>
      <c r="L29" s="11" t="str">
        <f>+'[2]HT-224.141'!$F$11</f>
        <v>FAIL</v>
      </c>
      <c r="M29" s="15">
        <f>+'[2]HT-224.141'!$H$12</f>
        <v>4</v>
      </c>
      <c r="N29" s="35" t="s">
        <v>25</v>
      </c>
      <c r="O29" s="15">
        <v>3</v>
      </c>
      <c r="P29" s="35" t="s">
        <v>457</v>
      </c>
      <c r="Q29" s="35"/>
      <c r="R29" s="15"/>
      <c r="S29" s="24"/>
      <c r="T29" s="62" t="str">
        <f>+'[2]HT-224.141'!$J$4</f>
        <v>Tun Tun Lin</v>
      </c>
      <c r="U29" s="62"/>
      <c r="V29" s="94">
        <f>+'[2]HT-224.141'!$F$12</f>
        <v>4043908.25</v>
      </c>
      <c r="W29" s="199">
        <f t="shared" si="12"/>
        <v>0.71709663541451518</v>
      </c>
      <c r="X29" s="15"/>
      <c r="Y29" s="200">
        <f t="shared" si="13"/>
        <v>1.4077053398058252</v>
      </c>
      <c r="Z29" s="11" t="str">
        <f t="shared" si="14"/>
        <v>FAIL</v>
      </c>
      <c r="AA29" s="11"/>
      <c r="AB29" s="15"/>
      <c r="AC29" s="54">
        <f t="shared" si="15"/>
        <v>2060000</v>
      </c>
      <c r="AD29" s="54">
        <f t="shared" si="15"/>
        <v>2899873</v>
      </c>
      <c r="AE29" s="54">
        <f t="shared" si="16"/>
        <v>-839873</v>
      </c>
      <c r="AG29" s="4"/>
      <c r="AH29" s="4"/>
      <c r="AI29" s="225"/>
      <c r="AJ29" s="226"/>
      <c r="AQ29" s="327" t="e">
        <f t="shared" ca="1" si="17"/>
        <v>#REF!</v>
      </c>
      <c r="AR29" s="157" t="e">
        <f t="shared" ref="AR29:AR45" ca="1" si="19">INDIRECT("'"&amp;$D29&amp;"'!P21")</f>
        <v>#REF!</v>
      </c>
    </row>
    <row r="30" spans="2:45" ht="15.95" customHeight="1" x14ac:dyDescent="0.25">
      <c r="B30" s="203">
        <f>(COUNTIF(L17:L30,"G*")/COUNTA(L17:L30))</f>
        <v>0.7857142857142857</v>
      </c>
      <c r="C30" s="39">
        <v>2019</v>
      </c>
      <c r="D30" s="62" t="str">
        <f>+'[2]HT-944.004'!$F$4</f>
        <v>HT-944.004</v>
      </c>
      <c r="E30" s="63" t="str">
        <f>+'[2]HT-944.004'!$F$5</f>
        <v>Repair of Collapsed Drain Pipe at NY Land Vent Bldg</v>
      </c>
      <c r="F30" s="64">
        <f>+'[2]HT-944.004'!$F$6</f>
        <v>43655</v>
      </c>
      <c r="G30" s="65" t="str">
        <f>+'[2]HT-944.004'!$G$7</f>
        <v>SBE</v>
      </c>
      <c r="H30" s="94">
        <f>+'[2]HT-944.004'!$F$7</f>
        <v>400000</v>
      </c>
      <c r="I30" s="94">
        <f>+'[2]HT-944.004'!$F$8</f>
        <v>396784</v>
      </c>
      <c r="J30" s="94"/>
      <c r="K30" s="153">
        <f>+'[2]HT-944.004'!$G$9</f>
        <v>-8.0400000000000003E-3</v>
      </c>
      <c r="L30" s="11" t="str">
        <f>+'[2]HT-944.004'!$F$11</f>
        <v>GOOD</v>
      </c>
      <c r="M30" s="15">
        <f>+'[2]HT-944.004'!$H$12</f>
        <v>6</v>
      </c>
      <c r="N30" s="35" t="s">
        <v>93</v>
      </c>
      <c r="O30" s="15">
        <v>3</v>
      </c>
      <c r="P30" s="35" t="s">
        <v>457</v>
      </c>
      <c r="Q30" s="35"/>
      <c r="R30" s="15"/>
      <c r="S30" s="24"/>
      <c r="T30" s="62" t="str">
        <f>+'[2]PAT-774.179'!$J$4</f>
        <v>Nathan Demaisip</v>
      </c>
      <c r="U30" s="62"/>
      <c r="V30" s="94">
        <f>+'[2]HT-944.004'!$F$12</f>
        <v>586062</v>
      </c>
      <c r="W30" s="199">
        <f t="shared" si="12"/>
        <v>0.67703417044613023</v>
      </c>
      <c r="X30" s="15"/>
      <c r="Y30" s="200">
        <f t="shared" si="13"/>
        <v>0.99195999999999995</v>
      </c>
      <c r="Z30" s="11" t="str">
        <f t="shared" si="14"/>
        <v>FAIL</v>
      </c>
      <c r="AA30" s="11"/>
      <c r="AB30" s="15"/>
      <c r="AC30" s="54">
        <f t="shared" si="15"/>
        <v>400000</v>
      </c>
      <c r="AD30" s="54">
        <f t="shared" si="15"/>
        <v>396784</v>
      </c>
      <c r="AE30" s="54">
        <f t="shared" si="16"/>
        <v>3216</v>
      </c>
      <c r="AG30" s="4">
        <f>SUM(H17:H30)</f>
        <v>541526979</v>
      </c>
      <c r="AH30" s="4">
        <f>SUM(I17:I30)</f>
        <v>392783727</v>
      </c>
      <c r="AI30" s="204">
        <f>+AH30/AG30</f>
        <v>0.7253262390090448</v>
      </c>
      <c r="AJ30" s="1" t="s">
        <v>1240</v>
      </c>
      <c r="AK30" s="205">
        <f>+AG30+AG43+AG59</f>
        <v>902748479</v>
      </c>
      <c r="AL30" s="205">
        <f>+AH30+AH43+AH59</f>
        <v>720853565</v>
      </c>
      <c r="AM30" s="206">
        <f>+AL30/AK30</f>
        <v>0.79850986378676581</v>
      </c>
      <c r="AN30" s="207" t="s">
        <v>1475</v>
      </c>
      <c r="AO30" s="208"/>
      <c r="AQ30" s="327" t="e">
        <f t="shared" ca="1" si="17"/>
        <v>#REF!</v>
      </c>
      <c r="AR30" s="157" t="e">
        <f t="shared" ca="1" si="19"/>
        <v>#REF!</v>
      </c>
      <c r="AS30" s="104"/>
    </row>
    <row r="31" spans="2:45" ht="15.95" customHeight="1" x14ac:dyDescent="0.25">
      <c r="C31" s="39"/>
      <c r="G31" s="45"/>
      <c r="Q31" s="11"/>
      <c r="AQ31" s="328"/>
      <c r="AR31" s="104"/>
      <c r="AS31" s="52"/>
    </row>
    <row r="32" spans="2:45" ht="15.95" customHeight="1" x14ac:dyDescent="0.25">
      <c r="C32" s="39">
        <v>2019</v>
      </c>
      <c r="D32" s="62" t="str">
        <f>+'[2]PN-654.072'!$F$4</f>
        <v>PN-654.072</v>
      </c>
      <c r="E32" s="63" t="str">
        <f>+'[2]PN-654.072'!$F$5</f>
        <v>Corbin St. &amp; Reconstruction of Berth 3 Culvert</v>
      </c>
      <c r="F32" s="64">
        <f>+'[2]PN-654.072'!$F$6</f>
        <v>43641</v>
      </c>
      <c r="G32" s="65" t="str">
        <f>+'[2]PN-654.072'!$G$7</f>
        <v>Public</v>
      </c>
      <c r="H32" s="94">
        <f>+'[2]PN-654.072'!$F$7</f>
        <v>5280000</v>
      </c>
      <c r="I32" s="94">
        <f>+'[2]PN-654.072'!$F$8</f>
        <v>5097757</v>
      </c>
      <c r="J32" s="94"/>
      <c r="K32" s="153">
        <f>+'[2]PN-654.072'!$G$9</f>
        <v>-3.4515719696969697E-2</v>
      </c>
      <c r="L32" s="11" t="str">
        <f>+'[2]PN-654.072'!$F$11</f>
        <v>GOOD</v>
      </c>
      <c r="M32" s="15">
        <f>+'[2]PN-654.072'!$H$12</f>
        <v>14</v>
      </c>
      <c r="N32" s="35" t="s">
        <v>25</v>
      </c>
      <c r="O32" s="15">
        <v>2</v>
      </c>
      <c r="P32" s="35" t="s">
        <v>492</v>
      </c>
      <c r="Q32" s="35"/>
      <c r="R32" s="15"/>
      <c r="S32" s="24"/>
      <c r="T32" s="62" t="str">
        <f>+'[2]PN-654.072'!$J$4</f>
        <v>Ed Minall</v>
      </c>
      <c r="U32" s="62"/>
      <c r="V32" s="94">
        <f>+'[2]PN-654.072'!$F$12</f>
        <v>7104621.7857142854</v>
      </c>
      <c r="W32" s="199">
        <f t="shared" ref="W32:W43" si="20">+I32/V32</f>
        <v>0.71752686543432675</v>
      </c>
      <c r="X32" s="15"/>
      <c r="Y32" s="200">
        <f t="shared" ref="Y32:Y43" si="21">+I32/H32</f>
        <v>0.96548428030303035</v>
      </c>
      <c r="Z32" s="11" t="str">
        <f t="shared" ref="Z32:Z43" si="22">(IF(Y32&lt;$Y$3,"FAIL",IF(Y32&gt;$Y$4,"FAIL","GOOD")))</f>
        <v>FAIL</v>
      </c>
      <c r="AA32" s="11"/>
      <c r="AB32" s="15"/>
      <c r="AC32" s="54">
        <f t="shared" ref="AC32:AD43" si="23">+H32</f>
        <v>5280000</v>
      </c>
      <c r="AD32" s="54">
        <f t="shared" si="23"/>
        <v>5097757</v>
      </c>
      <c r="AE32" s="54">
        <f t="shared" ref="AE32:AE43" si="24">+AC32-AD32</f>
        <v>182243</v>
      </c>
      <c r="AG32" s="4"/>
      <c r="AH32" s="4"/>
      <c r="AI32" s="225"/>
      <c r="AJ32" s="226"/>
      <c r="AQ32" s="327" t="e">
        <f t="shared" ca="1" si="17"/>
        <v>#REF!</v>
      </c>
      <c r="AR32" s="157" t="e">
        <f t="shared" ca="1" si="18"/>
        <v>#REF!</v>
      </c>
      <c r="AS32" s="104"/>
    </row>
    <row r="33" spans="2:45" ht="15.95" customHeight="1" x14ac:dyDescent="0.25">
      <c r="C33" s="39">
        <v>2019</v>
      </c>
      <c r="D33" s="62" t="str">
        <f>+'[2]LT-234.181'!$F$4</f>
        <v>LT-234.181</v>
      </c>
      <c r="E33" s="63" t="str">
        <f>+'[2]LT-234.181'!$F$5</f>
        <v>Admin Bldg HVAC Rehab Phase 2</v>
      </c>
      <c r="F33" s="64">
        <f>+'[2]LT-234.181'!$F$6</f>
        <v>43628</v>
      </c>
      <c r="G33" s="65" t="str">
        <f>+'[2]LT-234.181'!$G$7</f>
        <v>Public</v>
      </c>
      <c r="H33" s="94">
        <f>+'[2]LT-234.181'!$F$7</f>
        <v>3250000</v>
      </c>
      <c r="I33" s="94">
        <f>+'[2]LT-234.181'!$F$8</f>
        <v>3845000</v>
      </c>
      <c r="J33" s="94"/>
      <c r="K33" s="153">
        <f>+'[2]LT-234.181'!$G$9</f>
        <v>0.18307692307692308</v>
      </c>
      <c r="L33" s="11" t="str">
        <f>+'[2]LT-234.181'!$F$11</f>
        <v>FAIL</v>
      </c>
      <c r="M33" s="15">
        <f>+'[2]LT-234.181'!$H$12</f>
        <v>6</v>
      </c>
      <c r="N33" s="35" t="s">
        <v>25</v>
      </c>
      <c r="O33" s="15">
        <v>2</v>
      </c>
      <c r="P33" s="35" t="s">
        <v>457</v>
      </c>
      <c r="Q33" s="35"/>
      <c r="R33" s="15"/>
      <c r="S33" s="24"/>
      <c r="T33" s="62" t="str">
        <f>+'[2]LT-234.181'!$J$4</f>
        <v>Steven Schwan</v>
      </c>
      <c r="U33" s="62"/>
      <c r="V33" s="94">
        <f>+'[2]LT-234.181'!$F$12</f>
        <v>5595333.333333333</v>
      </c>
      <c r="W33" s="199">
        <f t="shared" si="20"/>
        <v>0.6871797926843799</v>
      </c>
      <c r="X33" s="15"/>
      <c r="Y33" s="200">
        <f t="shared" si="21"/>
        <v>1.1830769230769231</v>
      </c>
      <c r="Z33" s="11" t="str">
        <f t="shared" si="22"/>
        <v>FAIL</v>
      </c>
      <c r="AA33" s="11"/>
      <c r="AB33" s="15"/>
      <c r="AC33" s="54">
        <f t="shared" si="23"/>
        <v>3250000</v>
      </c>
      <c r="AD33" s="54">
        <f t="shared" si="23"/>
        <v>3845000</v>
      </c>
      <c r="AE33" s="54">
        <f t="shared" si="24"/>
        <v>-595000</v>
      </c>
      <c r="AG33" s="4"/>
      <c r="AH33" s="4"/>
      <c r="AI33" s="225"/>
      <c r="AJ33" s="226"/>
      <c r="AQ33" s="327" t="e">
        <f t="shared" ca="1" si="17"/>
        <v>#REF!</v>
      </c>
      <c r="AR33" s="157" t="e">
        <f t="shared" ca="1" si="18"/>
        <v>#REF!</v>
      </c>
      <c r="AS33" s="104"/>
    </row>
    <row r="34" spans="2:45" ht="15.95" customHeight="1" x14ac:dyDescent="0.25">
      <c r="C34" s="39">
        <v>2019</v>
      </c>
      <c r="D34" s="62" t="str">
        <f>+'[2]HT-224.134'!$F$4</f>
        <v>HT-224.134</v>
      </c>
      <c r="E34" s="63" t="str">
        <f>+'[2]HT-224.134'!$F$5</f>
        <v>Flood Protection for Ventilation Buildings</v>
      </c>
      <c r="F34" s="64">
        <f>+'[2]HT-224.134'!$F$6</f>
        <v>43622</v>
      </c>
      <c r="G34" s="65" t="str">
        <f>+'[2]HT-224.134'!$G$7</f>
        <v>Public</v>
      </c>
      <c r="H34" s="94">
        <f>+'[2]HT-224.134'!$F$7</f>
        <v>2070000</v>
      </c>
      <c r="I34" s="94">
        <f>+'[2]HT-224.134'!$F$8</f>
        <v>2112649</v>
      </c>
      <c r="J34" s="94"/>
      <c r="K34" s="153">
        <f>+'[2]HT-224.134'!$G$9</f>
        <v>2.0603381642512079E-2</v>
      </c>
      <c r="L34" s="11" t="str">
        <f>+'[2]HT-224.134'!$F$11</f>
        <v>GOOD</v>
      </c>
      <c r="M34" s="15">
        <f>+'[2]HT-224.134'!$H$12</f>
        <v>9</v>
      </c>
      <c r="N34" s="35" t="s">
        <v>226</v>
      </c>
      <c r="O34" s="15">
        <v>2</v>
      </c>
      <c r="P34" s="35" t="s">
        <v>457</v>
      </c>
      <c r="Q34" s="35"/>
      <c r="R34" s="15"/>
      <c r="S34" s="24"/>
      <c r="T34" s="62" t="str">
        <f>+'[2]HT-224.134'!$J$4</f>
        <v>Steven Schwan</v>
      </c>
      <c r="U34" s="62"/>
      <c r="V34" s="94">
        <f>+'[2]HT-224.134'!$F$12</f>
        <v>3084176.5555555555</v>
      </c>
      <c r="W34" s="199">
        <f t="shared" si="20"/>
        <v>0.68499612844617019</v>
      </c>
      <c r="X34" s="15"/>
      <c r="Y34" s="200">
        <f t="shared" si="21"/>
        <v>1.0206033816425122</v>
      </c>
      <c r="Z34" s="11" t="str">
        <f t="shared" si="22"/>
        <v>FAIL</v>
      </c>
      <c r="AA34" s="11"/>
      <c r="AB34" s="15"/>
      <c r="AC34" s="54">
        <f t="shared" si="23"/>
        <v>2070000</v>
      </c>
      <c r="AD34" s="54">
        <f t="shared" si="23"/>
        <v>2112649</v>
      </c>
      <c r="AE34" s="54">
        <f t="shared" si="24"/>
        <v>-42649</v>
      </c>
      <c r="AG34" s="4"/>
      <c r="AH34" s="4"/>
      <c r="AI34" s="225"/>
      <c r="AJ34" s="226"/>
      <c r="AQ34" s="327" t="e">
        <f t="shared" ca="1" si="17"/>
        <v>#REF!</v>
      </c>
      <c r="AR34" s="157" t="e">
        <f t="shared" ca="1" si="18"/>
        <v>#REF!</v>
      </c>
      <c r="AS34" s="104"/>
    </row>
    <row r="35" spans="2:45" ht="15.95" customHeight="1" x14ac:dyDescent="0.25">
      <c r="C35" s="39">
        <v>2019</v>
      </c>
      <c r="D35" s="62" t="str">
        <f>+'[2]LGA-124.266'!$F$4</f>
        <v>LGA-124.266</v>
      </c>
      <c r="E35" s="63" t="str">
        <f>+'[2]LGA-124.266'!$F$5</f>
        <v>Repl Taxiway A between K to E</v>
      </c>
      <c r="F35" s="64">
        <f>+'[2]LGA-124.266'!$F$6</f>
        <v>43621</v>
      </c>
      <c r="G35" s="65" t="str">
        <f>+'[2]LGA-124.266'!$G$7</f>
        <v>Public</v>
      </c>
      <c r="H35" s="94">
        <f>+'[2]LGA-124.266'!$F$7</f>
        <v>8360000</v>
      </c>
      <c r="I35" s="94">
        <f>+'[2]LGA-124.266'!$F$8</f>
        <v>8947585</v>
      </c>
      <c r="J35" s="94"/>
      <c r="K35" s="153">
        <f>+'[2]LGA-124.266'!$G$9</f>
        <v>7.0285287081339715E-2</v>
      </c>
      <c r="L35" s="11" t="str">
        <f>+'[2]LGA-124.266'!$F$11</f>
        <v>GOOD</v>
      </c>
      <c r="M35" s="15">
        <f>+'[2]LGA-124.266'!$H$12</f>
        <v>3</v>
      </c>
      <c r="N35" s="35" t="s">
        <v>93</v>
      </c>
      <c r="O35" s="15">
        <v>2</v>
      </c>
      <c r="P35" s="35" t="s">
        <v>458</v>
      </c>
      <c r="Q35" s="35"/>
      <c r="R35" s="15"/>
      <c r="S35" s="24"/>
      <c r="T35" s="62" t="str">
        <f>+'[2]LGA-124.266'!$J$4</f>
        <v>Joe Lucin</v>
      </c>
      <c r="U35" s="62"/>
      <c r="V35" s="94">
        <f>+'[2]LGA-124.266'!$F$12</f>
        <v>10801931</v>
      </c>
      <c r="W35" s="199">
        <f t="shared" si="20"/>
        <v>0.82833198990069457</v>
      </c>
      <c r="X35" s="15"/>
      <c r="Y35" s="200">
        <f t="shared" si="21"/>
        <v>1.0702852870813397</v>
      </c>
      <c r="Z35" s="11" t="str">
        <f t="shared" si="22"/>
        <v>FAIL</v>
      </c>
      <c r="AA35" s="11"/>
      <c r="AB35" s="15"/>
      <c r="AC35" s="54">
        <f t="shared" si="23"/>
        <v>8360000</v>
      </c>
      <c r="AD35" s="54">
        <f t="shared" si="23"/>
        <v>8947585</v>
      </c>
      <c r="AE35" s="54">
        <f t="shared" si="24"/>
        <v>-587585</v>
      </c>
      <c r="AG35" s="4"/>
      <c r="AH35" s="4"/>
      <c r="AI35" s="225"/>
      <c r="AJ35" s="226"/>
      <c r="AQ35" s="327" t="e">
        <f t="shared" ca="1" si="17"/>
        <v>#REF!</v>
      </c>
      <c r="AR35" s="157" t="e">
        <f t="shared" ca="1" si="18"/>
        <v>#REF!</v>
      </c>
      <c r="AS35" s="104"/>
    </row>
    <row r="36" spans="2:45" ht="15.95" customHeight="1" x14ac:dyDescent="0.25">
      <c r="C36" s="39">
        <v>2019</v>
      </c>
      <c r="D36" s="62" t="str">
        <f>+'[2]PAT-784.165'!$F$4</f>
        <v>PAT-784.165</v>
      </c>
      <c r="E36" s="63" t="str">
        <f>+'[2]PAT-784.165'!$F$5</f>
        <v>HCMF Permanent Flood Protection</v>
      </c>
      <c r="F36" s="64">
        <f>+'[2]PAT-784.165'!$F$6</f>
        <v>43593</v>
      </c>
      <c r="G36" s="65" t="str">
        <f>+'[2]PAT-784.165'!$G$7</f>
        <v>Public</v>
      </c>
      <c r="H36" s="94">
        <f>+'[2]PAT-784.165'!$F$7</f>
        <v>18800000</v>
      </c>
      <c r="I36" s="94">
        <f>+'[2]PAT-784.165'!$F$8</f>
        <v>14551682</v>
      </c>
      <c r="J36" s="94"/>
      <c r="K36" s="153">
        <f>+'[2]PAT-784.165'!$G$9</f>
        <v>-0.22597436170212765</v>
      </c>
      <c r="L36" s="11" t="str">
        <f>+'[2]PAT-784.165'!$F$11</f>
        <v>GOOD</v>
      </c>
      <c r="M36" s="15">
        <f>+'[2]PAT-784.165'!$H$12</f>
        <v>11</v>
      </c>
      <c r="N36" s="35" t="s">
        <v>25</v>
      </c>
      <c r="O36" s="15">
        <v>2</v>
      </c>
      <c r="P36" s="35" t="s">
        <v>459</v>
      </c>
      <c r="Q36" s="35"/>
      <c r="R36" s="15"/>
      <c r="S36" s="24" t="s">
        <v>1477</v>
      </c>
      <c r="T36" s="62" t="str">
        <f>+'[2]PAT-784.165'!$J$4</f>
        <v>Nathan Demaisip</v>
      </c>
      <c r="U36" s="62"/>
      <c r="V36" s="94">
        <f>+'[2]PAT-784.165'!$F$12</f>
        <v>17337811.181818184</v>
      </c>
      <c r="W36" s="199">
        <f t="shared" si="20"/>
        <v>0.83930329194379849</v>
      </c>
      <c r="X36" s="15"/>
      <c r="Y36" s="200">
        <f t="shared" si="21"/>
        <v>0.7740256382978723</v>
      </c>
      <c r="Z36" s="11" t="str">
        <f t="shared" si="22"/>
        <v>FAIL</v>
      </c>
      <c r="AA36" s="11"/>
      <c r="AB36" s="15"/>
      <c r="AC36" s="54">
        <f t="shared" si="23"/>
        <v>18800000</v>
      </c>
      <c r="AD36" s="54">
        <f t="shared" si="23"/>
        <v>14551682</v>
      </c>
      <c r="AE36" s="54">
        <f t="shared" si="24"/>
        <v>4248318</v>
      </c>
      <c r="AG36" s="4"/>
      <c r="AH36" s="4"/>
      <c r="AI36" s="225"/>
      <c r="AJ36" s="226"/>
      <c r="AQ36" s="327" t="e">
        <f t="shared" ca="1" si="17"/>
        <v>#REF!</v>
      </c>
      <c r="AR36" s="157" t="e">
        <f t="shared" ca="1" si="18"/>
        <v>#REF!</v>
      </c>
      <c r="AS36" s="104"/>
    </row>
    <row r="37" spans="2:45" ht="15.95" customHeight="1" x14ac:dyDescent="0.25">
      <c r="C37" s="39">
        <v>2019</v>
      </c>
      <c r="D37" s="62" t="str">
        <f>+'[2]PAT-774.216'!$F$4</f>
        <v>PAT-774.216</v>
      </c>
      <c r="E37" s="63" t="str">
        <f>+'[2]PAT-774.216'!$F$5</f>
        <v>Replacement of Substation 8</v>
      </c>
      <c r="F37" s="64">
        <f>+'[2]PAT-774.216'!$F$6</f>
        <v>43587</v>
      </c>
      <c r="G37" s="65" t="str">
        <f>+'[2]PAT-774.216'!$G$7</f>
        <v>PQL</v>
      </c>
      <c r="H37" s="94">
        <f>+'[2]PAT-774.216'!$F$7</f>
        <v>38200000</v>
      </c>
      <c r="I37" s="94">
        <f>+'[2]PAT-774.216'!$F$8</f>
        <v>40811000</v>
      </c>
      <c r="J37" s="94"/>
      <c r="K37" s="153">
        <f>+'[2]PAT-774.216'!$G$9</f>
        <v>6.8350785340314135E-2</v>
      </c>
      <c r="L37" s="11" t="str">
        <f>+'[2]PAT-774.216'!$F$11</f>
        <v>GOOD</v>
      </c>
      <c r="M37" s="15">
        <f>+'[2]PAT-774.216'!$H$12</f>
        <v>5</v>
      </c>
      <c r="N37" s="35" t="s">
        <v>25</v>
      </c>
      <c r="O37" s="15">
        <v>2</v>
      </c>
      <c r="P37" s="35" t="s">
        <v>459</v>
      </c>
      <c r="Q37" s="35"/>
      <c r="R37" s="15"/>
      <c r="S37" s="24"/>
      <c r="T37" s="62" t="str">
        <f>+'[2]PAT-774.216'!$J$4</f>
        <v>Nathan Demaisip</v>
      </c>
      <c r="U37" s="62"/>
      <c r="V37" s="94">
        <f>+'[2]PAT-774.216'!$F$12</f>
        <v>42801714</v>
      </c>
      <c r="W37" s="199">
        <f t="shared" si="20"/>
        <v>0.95348985323344759</v>
      </c>
      <c r="X37" s="15"/>
      <c r="Y37" s="200">
        <f t="shared" si="21"/>
        <v>1.0683507853403142</v>
      </c>
      <c r="Z37" s="11" t="str">
        <f t="shared" si="22"/>
        <v>FAIL</v>
      </c>
      <c r="AA37" s="11"/>
      <c r="AB37" s="15"/>
      <c r="AC37" s="54">
        <f t="shared" si="23"/>
        <v>38200000</v>
      </c>
      <c r="AD37" s="54">
        <f t="shared" si="23"/>
        <v>40811000</v>
      </c>
      <c r="AE37" s="54">
        <f t="shared" si="24"/>
        <v>-2611000</v>
      </c>
      <c r="AG37" s="4"/>
      <c r="AH37" s="4"/>
      <c r="AI37" s="225"/>
      <c r="AJ37" s="226"/>
      <c r="AQ37" s="327" t="e">
        <f t="shared" ca="1" si="17"/>
        <v>#REF!</v>
      </c>
      <c r="AR37" s="157" t="e">
        <f t="shared" ca="1" si="18"/>
        <v>#REF!</v>
      </c>
      <c r="AS37" s="104"/>
    </row>
    <row r="38" spans="2:45" ht="15.95" customHeight="1" x14ac:dyDescent="0.25">
      <c r="C38" s="39">
        <v>2019</v>
      </c>
      <c r="D38" s="62" t="str">
        <f>+'[2]PAT-774.217'!$F$4</f>
        <v>PAT-774.217</v>
      </c>
      <c r="E38" s="63" t="str">
        <f>+'[2]PAT-774.217'!$F$5</f>
        <v>Replacement of Substation 14</v>
      </c>
      <c r="F38" s="64">
        <f>+'[2]PAT-774.217'!$F$6</f>
        <v>43586</v>
      </c>
      <c r="G38" s="65" t="str">
        <f>+'[2]PAT-774.217'!$G$7</f>
        <v>PQL</v>
      </c>
      <c r="H38" s="94">
        <f>+'[2]PAT-774.217'!$F$7</f>
        <v>44840000</v>
      </c>
      <c r="I38" s="94">
        <f>+'[2]PAT-774.217'!$F$8</f>
        <v>48311245</v>
      </c>
      <c r="J38" s="94"/>
      <c r="K38" s="153">
        <f>+'[2]PAT-774.217'!$G$9</f>
        <v>7.741402765388046E-2</v>
      </c>
      <c r="L38" s="11" t="str">
        <f>+'[2]PAT-774.217'!$F$11</f>
        <v>GOOD</v>
      </c>
      <c r="M38" s="15">
        <f>+'[2]PAT-774.217'!$H$12</f>
        <v>7</v>
      </c>
      <c r="N38" s="35" t="s">
        <v>25</v>
      </c>
      <c r="O38" s="15">
        <v>2</v>
      </c>
      <c r="P38" s="35" t="s">
        <v>459</v>
      </c>
      <c r="Q38" s="35"/>
      <c r="R38" s="15"/>
      <c r="S38" s="24"/>
      <c r="T38" s="62" t="str">
        <f>+'[2]PAT-774.217'!$J$4</f>
        <v>Nathan Demaisip</v>
      </c>
      <c r="U38" s="62"/>
      <c r="V38" s="94">
        <f>+'[2]PAT-774.217'!$F$12</f>
        <v>57681258.285714284</v>
      </c>
      <c r="W38" s="199">
        <f t="shared" si="20"/>
        <v>0.83755532448162762</v>
      </c>
      <c r="X38" s="15"/>
      <c r="Y38" s="200">
        <f t="shared" si="21"/>
        <v>1.0774140276538804</v>
      </c>
      <c r="Z38" s="11" t="str">
        <f t="shared" si="22"/>
        <v>FAIL</v>
      </c>
      <c r="AA38" s="11"/>
      <c r="AB38" s="15"/>
      <c r="AC38" s="54">
        <f t="shared" si="23"/>
        <v>44840000</v>
      </c>
      <c r="AD38" s="54">
        <f t="shared" si="23"/>
        <v>48311245</v>
      </c>
      <c r="AE38" s="54">
        <f t="shared" si="24"/>
        <v>-3471245</v>
      </c>
      <c r="AG38" s="4"/>
      <c r="AH38" s="4"/>
      <c r="AI38" s="225"/>
      <c r="AJ38" s="226"/>
      <c r="AQ38" s="327" t="e">
        <f t="shared" ca="1" si="17"/>
        <v>#REF!</v>
      </c>
      <c r="AR38" s="157" t="e">
        <f t="shared" ca="1" si="18"/>
        <v>#REF!</v>
      </c>
      <c r="AS38" s="104"/>
    </row>
    <row r="39" spans="2:45" ht="15.95" customHeight="1" x14ac:dyDescent="0.25">
      <c r="C39" s="39">
        <v>2019</v>
      </c>
      <c r="D39" s="62" t="str">
        <f>+'[2]JFK-154.020'!$F$4</f>
        <v>JFK-154.020</v>
      </c>
      <c r="E39" s="63" t="str">
        <f>+'[2]JFK-154.020'!$F$5</f>
        <v>Cut &amp; Cover Tunnel Power Distribution Vault &amp; Pump Station Repairs</v>
      </c>
      <c r="F39" s="64">
        <f>+'[2]JFK-154.020'!$F$6</f>
        <v>43585</v>
      </c>
      <c r="G39" s="65" t="str">
        <f>+'[2]JFK-154.020'!$G$7</f>
        <v>Public</v>
      </c>
      <c r="H39" s="94">
        <f>+'[2]JFK-154.020'!$F$7</f>
        <v>6950000</v>
      </c>
      <c r="I39" s="94">
        <f>+'[2]JFK-154.020'!$F$8</f>
        <v>8720200</v>
      </c>
      <c r="J39" s="94"/>
      <c r="K39" s="153">
        <f>+'[2]JFK-154.020'!$G$9</f>
        <v>0.25470503597122301</v>
      </c>
      <c r="L39" s="11" t="str">
        <f>+'[2]JFK-154.020'!$F$11</f>
        <v>FAIL</v>
      </c>
      <c r="M39" s="15">
        <f>+'[2]JFK-154.020'!$H$12</f>
        <v>6</v>
      </c>
      <c r="N39" s="35" t="s">
        <v>93</v>
      </c>
      <c r="O39" s="15">
        <v>2</v>
      </c>
      <c r="P39" s="35" t="s">
        <v>458</v>
      </c>
      <c r="Q39" s="35"/>
      <c r="R39" s="15"/>
      <c r="S39" s="24"/>
      <c r="T39" s="62" t="str">
        <f>+'[2]JFK-154.020'!$J$4</f>
        <v>Steven Schwan</v>
      </c>
      <c r="U39" s="62"/>
      <c r="V39" s="94">
        <f>+'[2]JFK-154.020'!$F$12</f>
        <v>9982779.833333334</v>
      </c>
      <c r="W39" s="199">
        <f t="shared" si="20"/>
        <v>0.87352422327121004</v>
      </c>
      <c r="X39" s="15"/>
      <c r="Y39" s="200">
        <f t="shared" si="21"/>
        <v>1.2547050359712231</v>
      </c>
      <c r="Z39" s="11" t="str">
        <f t="shared" si="22"/>
        <v>FAIL</v>
      </c>
      <c r="AA39" s="11"/>
      <c r="AB39" s="15"/>
      <c r="AC39" s="54">
        <f t="shared" si="23"/>
        <v>6950000</v>
      </c>
      <c r="AD39" s="54">
        <f t="shared" si="23"/>
        <v>8720200</v>
      </c>
      <c r="AE39" s="54">
        <f t="shared" si="24"/>
        <v>-1770200</v>
      </c>
      <c r="AG39" s="4"/>
      <c r="AH39" s="4"/>
      <c r="AI39" s="225"/>
      <c r="AJ39" s="226"/>
      <c r="AQ39" s="327" t="e">
        <f t="shared" ca="1" si="17"/>
        <v>#REF!</v>
      </c>
      <c r="AR39" s="157" t="e">
        <f t="shared" ca="1" si="18"/>
        <v>#REF!</v>
      </c>
      <c r="AS39" s="104"/>
    </row>
    <row r="40" spans="2:45" ht="15.95" customHeight="1" x14ac:dyDescent="0.25">
      <c r="C40" s="39">
        <v>2019</v>
      </c>
      <c r="D40" s="62" t="str">
        <f>+'[2]LT-535'!$F$4</f>
        <v>LT-535</v>
      </c>
      <c r="E40" s="63" t="str">
        <f>+'[2]LT-535'!$F$5</f>
        <v>Rock Slope Priority Repairs for Slope A</v>
      </c>
      <c r="F40" s="64">
        <f>+'[2]LT-535'!$F$6</f>
        <v>43571</v>
      </c>
      <c r="G40" s="65" t="str">
        <f>+'[2]LT-535'!$G$7</f>
        <v>Public</v>
      </c>
      <c r="H40" s="94">
        <f>+'[2]LT-535'!$F$7</f>
        <v>1200000</v>
      </c>
      <c r="I40" s="94">
        <f>+'[2]LT-535'!$F$8</f>
        <v>1738750</v>
      </c>
      <c r="J40" s="94"/>
      <c r="K40" s="153">
        <f>+'[2]LT-535'!$G$9</f>
        <v>0.44895833333333335</v>
      </c>
      <c r="L40" s="11" t="str">
        <f>+'[2]LT-535'!$F$11</f>
        <v>FAIL</v>
      </c>
      <c r="M40" s="15">
        <f>+'[2]LT-535'!$H$12</f>
        <v>4</v>
      </c>
      <c r="N40" s="35" t="s">
        <v>25</v>
      </c>
      <c r="O40" s="15">
        <v>2</v>
      </c>
      <c r="P40" s="35" t="s">
        <v>457</v>
      </c>
      <c r="Q40" s="35"/>
      <c r="R40" s="15"/>
      <c r="S40" s="24"/>
      <c r="T40" s="62" t="str">
        <f>+'[2]LT-535'!$J$4</f>
        <v>Joe Lucin</v>
      </c>
      <c r="U40" s="62"/>
      <c r="V40" s="94">
        <f>+'[2]LT-535'!$F$12</f>
        <v>2084917.5</v>
      </c>
      <c r="W40" s="199">
        <f t="shared" si="20"/>
        <v>0.83396585236586096</v>
      </c>
      <c r="X40" s="15"/>
      <c r="Y40" s="200">
        <f t="shared" si="21"/>
        <v>1.4489583333333333</v>
      </c>
      <c r="Z40" s="11" t="str">
        <f t="shared" si="22"/>
        <v>FAIL</v>
      </c>
      <c r="AA40" s="11"/>
      <c r="AB40" s="15"/>
      <c r="AC40" s="54">
        <f t="shared" si="23"/>
        <v>1200000</v>
      </c>
      <c r="AD40" s="54">
        <f t="shared" si="23"/>
        <v>1738750</v>
      </c>
      <c r="AE40" s="54">
        <f t="shared" si="24"/>
        <v>-538750</v>
      </c>
      <c r="AG40" s="4"/>
      <c r="AH40" s="4"/>
      <c r="AI40" s="225"/>
      <c r="AJ40" s="226"/>
      <c r="AQ40" s="327" t="e">
        <f t="shared" ca="1" si="17"/>
        <v>#REF!</v>
      </c>
      <c r="AR40" s="157" t="e">
        <f t="shared" ca="1" si="18"/>
        <v>#REF!</v>
      </c>
      <c r="AS40" s="104"/>
    </row>
    <row r="41" spans="2:45" ht="15.95" customHeight="1" x14ac:dyDescent="0.25">
      <c r="C41" s="39">
        <v>2019</v>
      </c>
      <c r="D41" s="62" t="str">
        <f>+'[2]LGA-124.248'!$F$4</f>
        <v>LGA-124.248</v>
      </c>
      <c r="E41" s="63" t="str">
        <f>+'[2]LGA-124.248'!$F$5</f>
        <v>Pugsley Creek Wetland Mitigation</v>
      </c>
      <c r="F41" s="64">
        <f>+'[2]LGA-124.248'!$F$6</f>
        <v>43571</v>
      </c>
      <c r="G41" s="65" t="str">
        <f>+'[2]LGA-124.248'!$G$7</f>
        <v>Public</v>
      </c>
      <c r="H41" s="94">
        <f>+'[2]LGA-124.248'!$F$7</f>
        <v>9330000</v>
      </c>
      <c r="I41" s="94">
        <f>+'[2]LGA-124.248'!$F$8</f>
        <v>7407376</v>
      </c>
      <c r="J41" s="94"/>
      <c r="K41" s="153">
        <f>+'[2]LGA-124.248'!$G$9</f>
        <v>-0.2060690246516613</v>
      </c>
      <c r="L41" s="11" t="str">
        <f>+'[2]LGA-124.248'!$F$11</f>
        <v>GOOD</v>
      </c>
      <c r="M41" s="15">
        <f>+'[2]LGA-124.248'!$H$12</f>
        <v>7</v>
      </c>
      <c r="N41" s="35" t="s">
        <v>93</v>
      </c>
      <c r="O41" s="15">
        <v>2</v>
      </c>
      <c r="P41" s="35" t="s">
        <v>458</v>
      </c>
      <c r="Q41" s="35"/>
      <c r="R41" s="15"/>
      <c r="S41" s="24"/>
      <c r="T41" s="62" t="str">
        <f>+'[2]LGA-124.248'!$J$4</f>
        <v>Joe Lucin</v>
      </c>
      <c r="U41" s="62"/>
      <c r="V41" s="94">
        <f>+'[2]LGA-124.248'!$F$12</f>
        <v>9367661.4285714291</v>
      </c>
      <c r="W41" s="199">
        <f t="shared" si="20"/>
        <v>0.79073908215848343</v>
      </c>
      <c r="X41" s="15"/>
      <c r="Y41" s="200">
        <f t="shared" si="21"/>
        <v>0.79393097534833867</v>
      </c>
      <c r="Z41" s="11" t="str">
        <f t="shared" si="22"/>
        <v>FAIL</v>
      </c>
      <c r="AA41" s="11"/>
      <c r="AB41" s="15"/>
      <c r="AC41" s="54">
        <f t="shared" si="23"/>
        <v>9330000</v>
      </c>
      <c r="AD41" s="54">
        <f t="shared" si="23"/>
        <v>7407376</v>
      </c>
      <c r="AE41" s="54">
        <f t="shared" si="24"/>
        <v>1922624</v>
      </c>
      <c r="AG41" s="4"/>
      <c r="AH41" s="4"/>
      <c r="AI41" s="225"/>
      <c r="AJ41" s="226"/>
      <c r="AQ41" s="327" t="e">
        <f t="shared" ca="1" si="17"/>
        <v>#REF!</v>
      </c>
      <c r="AR41" s="157" t="e">
        <f t="shared" ca="1" si="18"/>
        <v>#REF!</v>
      </c>
      <c r="AS41" s="104"/>
    </row>
    <row r="42" spans="2:45" ht="15.95" customHeight="1" x14ac:dyDescent="0.25">
      <c r="C42" s="39">
        <v>2019</v>
      </c>
      <c r="D42" s="62" t="str">
        <f>+'[2]PAT-084.064'!$F$4</f>
        <v>PAT-084.064</v>
      </c>
      <c r="E42" s="63" t="str">
        <f>+'[2]PAT-084.064'!$F$5</f>
        <v>C-Yard CCTV</v>
      </c>
      <c r="F42" s="64">
        <f>+'[2]PAT-084.064'!$F$6</f>
        <v>43567</v>
      </c>
      <c r="G42" s="65" t="str">
        <f>+'[2]PAT-084.064'!$G$7</f>
        <v>SBE</v>
      </c>
      <c r="H42" s="94">
        <f>+'[2]PAT-084.064'!$F$7</f>
        <v>1216000</v>
      </c>
      <c r="I42" s="94">
        <f>+'[2]PAT-084.064'!$F$8</f>
        <v>1300529</v>
      </c>
      <c r="J42" s="94"/>
      <c r="K42" s="153">
        <f>+'[2]PAT-084.064'!$G$9</f>
        <v>6.9513980263157901E-2</v>
      </c>
      <c r="L42" s="11" t="str">
        <f>+'[2]PAT-084.064'!$F$11</f>
        <v>GOOD</v>
      </c>
      <c r="M42" s="15">
        <f>+'[2]PAT-084.064'!$H$12</f>
        <v>4</v>
      </c>
      <c r="N42" s="35" t="s">
        <v>25</v>
      </c>
      <c r="O42" s="15">
        <v>2</v>
      </c>
      <c r="P42" s="35" t="s">
        <v>459</v>
      </c>
      <c r="Q42" s="35"/>
      <c r="R42" s="15"/>
      <c r="S42" s="24"/>
      <c r="T42" s="62" t="str">
        <f>+'[2]PAT-084.064'!$J$4</f>
        <v>Nathan Demaisip</v>
      </c>
      <c r="U42" s="62"/>
      <c r="V42" s="94">
        <f>+'[2]PAT-084.064'!$F$12</f>
        <v>2569805</v>
      </c>
      <c r="W42" s="199">
        <f t="shared" si="20"/>
        <v>0.50608081157908869</v>
      </c>
      <c r="X42" s="15"/>
      <c r="Y42" s="200">
        <f t="shared" si="21"/>
        <v>1.0695139802631579</v>
      </c>
      <c r="Z42" s="11" t="str">
        <f t="shared" si="22"/>
        <v>FAIL</v>
      </c>
      <c r="AA42" s="11"/>
      <c r="AB42" s="15"/>
      <c r="AC42" s="54">
        <f t="shared" si="23"/>
        <v>1216000</v>
      </c>
      <c r="AD42" s="54">
        <f t="shared" si="23"/>
        <v>1300529</v>
      </c>
      <c r="AE42" s="54">
        <f t="shared" si="24"/>
        <v>-84529</v>
      </c>
      <c r="AG42" s="4"/>
      <c r="AH42" s="4"/>
      <c r="AI42" s="225"/>
      <c r="AJ42" s="226"/>
      <c r="AQ42" s="327" t="e">
        <f t="shared" ca="1" si="17"/>
        <v>#REF!</v>
      </c>
      <c r="AR42" s="157" t="e">
        <f t="shared" ca="1" si="18"/>
        <v>#REF!</v>
      </c>
      <c r="AS42" s="104"/>
    </row>
    <row r="43" spans="2:45" ht="15.95" customHeight="1" x14ac:dyDescent="0.25">
      <c r="B43" s="203">
        <f>(COUNTIF(L32:L43,"G*")/COUNTA(L32:L43))</f>
        <v>0.75</v>
      </c>
      <c r="C43" s="39">
        <v>2019</v>
      </c>
      <c r="D43" s="62" t="str">
        <f>+'[2]PAT-774.179'!$F$4</f>
        <v>PAT-774.179</v>
      </c>
      <c r="E43" s="63" t="str">
        <f>+'[2]PAT-774.179'!$F$5</f>
        <v>HCMF Sewage Ejection Pit Rehabilitation</v>
      </c>
      <c r="F43" s="64">
        <f>+'[2]PAT-774.179'!$F$6</f>
        <v>43565</v>
      </c>
      <c r="G43" s="65" t="str">
        <f>+'[2]PAT-774.179'!$G$7</f>
        <v>Public</v>
      </c>
      <c r="H43" s="94">
        <f>+'[2]PAT-774.179'!$F$7</f>
        <v>1090000</v>
      </c>
      <c r="I43" s="94">
        <f>+'[2]PAT-774.179'!$F$8</f>
        <v>1142000</v>
      </c>
      <c r="J43" s="94"/>
      <c r="K43" s="153">
        <f>+'[2]PAT-774.179'!$G$9</f>
        <v>4.7706422018348627E-2</v>
      </c>
      <c r="L43" s="11" t="str">
        <f>+'[2]PAT-774.179'!$F$11</f>
        <v>GOOD</v>
      </c>
      <c r="M43" s="15">
        <f>+'[2]PAT-774.179'!$H$12</f>
        <v>3</v>
      </c>
      <c r="N43" s="35" t="s">
        <v>25</v>
      </c>
      <c r="O43" s="15">
        <v>2</v>
      </c>
      <c r="P43" s="35" t="s">
        <v>459</v>
      </c>
      <c r="Q43" s="35"/>
      <c r="R43" s="15"/>
      <c r="S43" s="24"/>
      <c r="T43" s="62" t="str">
        <f>+'[2]PAT-774.179'!$J$4</f>
        <v>Nathan Demaisip</v>
      </c>
      <c r="U43" s="62"/>
      <c r="V43" s="94">
        <f>+'[2]PAT-774.179'!$F$12</f>
        <v>1292823.3333333333</v>
      </c>
      <c r="W43" s="199">
        <f t="shared" si="20"/>
        <v>0.88333801731094996</v>
      </c>
      <c r="X43" s="15"/>
      <c r="Y43" s="200">
        <f t="shared" si="21"/>
        <v>1.0477064220183485</v>
      </c>
      <c r="Z43" s="11" t="str">
        <f t="shared" si="22"/>
        <v>FAIL</v>
      </c>
      <c r="AA43" s="11"/>
      <c r="AB43" s="15"/>
      <c r="AC43" s="54">
        <f t="shared" si="23"/>
        <v>1090000</v>
      </c>
      <c r="AD43" s="54">
        <f t="shared" si="23"/>
        <v>1142000</v>
      </c>
      <c r="AE43" s="54">
        <f t="shared" si="24"/>
        <v>-52000</v>
      </c>
      <c r="AG43" s="4">
        <f>SUM(H32:H43)</f>
        <v>140586000</v>
      </c>
      <c r="AH43" s="4">
        <f>SUM(I32:I43)</f>
        <v>143985773</v>
      </c>
      <c r="AI43" s="204">
        <f>+AH43/AG43</f>
        <v>1.0241828702715776</v>
      </c>
      <c r="AJ43" s="1" t="s">
        <v>1240</v>
      </c>
      <c r="AK43" s="205">
        <f>+AG43+AG59</f>
        <v>361221500</v>
      </c>
      <c r="AL43" s="205">
        <f>+AH43+AH59</f>
        <v>328069838</v>
      </c>
      <c r="AM43" s="211">
        <f>+AL43/AK43</f>
        <v>0.90822345292292961</v>
      </c>
      <c r="AN43" s="212"/>
      <c r="AO43" s="213"/>
      <c r="AQ43" s="327" t="e">
        <f t="shared" ca="1" si="17"/>
        <v>#REF!</v>
      </c>
      <c r="AR43" s="157" t="e">
        <f t="shared" ca="1" si="18"/>
        <v>#REF!</v>
      </c>
      <c r="AS43" s="104"/>
    </row>
    <row r="44" spans="2:45" ht="15.95" customHeight="1" x14ac:dyDescent="0.25">
      <c r="C44" s="39"/>
      <c r="G44" s="45"/>
      <c r="Q44" s="11"/>
      <c r="AQ44" s="328"/>
      <c r="AR44" s="104"/>
    </row>
    <row r="45" spans="2:45" ht="15.95" customHeight="1" x14ac:dyDescent="0.25">
      <c r="C45" s="39">
        <v>2019</v>
      </c>
      <c r="D45" s="62" t="str">
        <f>+'[2]GWB-924.137A'!$F$4</f>
        <v>GWB-924.137A</v>
      </c>
      <c r="E45" s="63" t="str">
        <f>+'[2]GWB-924.137A'!$F$5</f>
        <v>NJ Admin Bldg Sprinkler System Rehabilitation</v>
      </c>
      <c r="F45" s="64">
        <f>+'[2]GWB-924.137A'!$F$6</f>
        <v>43545</v>
      </c>
      <c r="G45" s="65" t="str">
        <f>+'[2]GWB-924.137A'!$G$7</f>
        <v>SBE</v>
      </c>
      <c r="H45" s="94">
        <f>+'[2]GWB-924.137A'!$F$7</f>
        <v>1151000</v>
      </c>
      <c r="I45" s="94">
        <f>+'[2]GWB-924.137A'!$F$8</f>
        <v>1762891</v>
      </c>
      <c r="J45" s="94"/>
      <c r="K45" s="153">
        <f>+'[2]GWB-924.137A'!$G$9</f>
        <v>0.53161685490877497</v>
      </c>
      <c r="L45" s="11" t="str">
        <f>+'[2]GWB-924.137A'!$F$11</f>
        <v>FAIL</v>
      </c>
      <c r="M45" s="15">
        <f>+'[2]GWB-924.137A'!$H$12</f>
        <v>4</v>
      </c>
      <c r="N45" s="35" t="s">
        <v>25</v>
      </c>
      <c r="O45" s="15">
        <v>1</v>
      </c>
      <c r="P45" s="35" t="s">
        <v>457</v>
      </c>
      <c r="Q45" s="35"/>
      <c r="R45" s="15"/>
      <c r="S45" s="24"/>
      <c r="T45" s="62" t="str">
        <f>+'[2]GWB-924.137A'!$J$4</f>
        <v>Boris Lenderman</v>
      </c>
      <c r="U45" s="62"/>
      <c r="V45" s="94">
        <f>+'[2]GWB-924.137A'!$F$12</f>
        <v>2446945.25</v>
      </c>
      <c r="W45" s="199">
        <f t="shared" ref="W45:W58" si="25">+I45/V45</f>
        <v>0.72044562500938669</v>
      </c>
      <c r="X45" s="15"/>
      <c r="Y45" s="200">
        <f t="shared" ref="Y45:Y58" si="26">+I45/H45</f>
        <v>1.531616854908775</v>
      </c>
      <c r="Z45" s="11" t="str">
        <f t="shared" ref="Z45:Z58" si="27">(IF(Y45&lt;$Y$3,"FAIL",IF(Y45&gt;$Y$4,"FAIL","GOOD")))</f>
        <v>FAIL</v>
      </c>
      <c r="AA45" s="11"/>
      <c r="AB45" s="15"/>
      <c r="AC45" s="54">
        <f t="shared" ref="AC45:AD58" si="28">+H45</f>
        <v>1151000</v>
      </c>
      <c r="AD45" s="54">
        <f t="shared" si="28"/>
        <v>1762891</v>
      </c>
      <c r="AE45" s="54">
        <f t="shared" ref="AE45:AE58" si="29">+AC45-AD45</f>
        <v>-611891</v>
      </c>
      <c r="AG45" s="4"/>
      <c r="AH45" s="4"/>
      <c r="AI45" s="225"/>
      <c r="AJ45" s="226"/>
      <c r="AQ45" s="327" t="e">
        <f t="shared" ca="1" si="17"/>
        <v>#REF!</v>
      </c>
      <c r="AR45" s="157" t="e">
        <f t="shared" ca="1" si="19"/>
        <v>#REF!</v>
      </c>
    </row>
    <row r="46" spans="2:45" ht="15.95" customHeight="1" x14ac:dyDescent="0.25">
      <c r="C46" s="39">
        <v>2019</v>
      </c>
      <c r="D46" s="62" t="str">
        <f>+'[2]JFK-184.676'!$F$4</f>
        <v>JFK-184.676</v>
      </c>
      <c r="E46" s="63" t="str">
        <f>+'[2]JFK-184.676'!$F$5</f>
        <v>Building 111 Interim Unified Operations Center</v>
      </c>
      <c r="F46" s="64">
        <f>+'[2]JFK-184.676'!$F$6</f>
        <v>43543</v>
      </c>
      <c r="G46" s="65" t="str">
        <f>+'[2]JFK-184.676'!$G$7</f>
        <v>Public</v>
      </c>
      <c r="H46" s="94">
        <f>+'[2]JFK-184.676'!$F$7</f>
        <v>2390000</v>
      </c>
      <c r="I46" s="94">
        <f>+'[2]JFK-184.676'!$F$8</f>
        <v>2374684</v>
      </c>
      <c r="J46" s="94"/>
      <c r="K46" s="153">
        <f>+'[2]JFK-184.676'!$G$9</f>
        <v>-6.4083682008368205E-3</v>
      </c>
      <c r="L46" s="11" t="str">
        <f>+'[2]JFK-184.676'!$F$11</f>
        <v>GOOD</v>
      </c>
      <c r="M46" s="15">
        <f>+'[2]JFK-184.676'!$H$12</f>
        <v>5</v>
      </c>
      <c r="N46" s="35" t="s">
        <v>93</v>
      </c>
      <c r="O46" s="15">
        <v>1</v>
      </c>
      <c r="P46" s="35" t="s">
        <v>458</v>
      </c>
      <c r="Q46" s="35"/>
      <c r="R46" s="15"/>
      <c r="S46" s="24"/>
      <c r="T46" s="62" t="str">
        <f>+'[2]JFK-184.676'!$J$4</f>
        <v>Nathan Demaisip</v>
      </c>
      <c r="U46" s="62"/>
      <c r="V46" s="94">
        <f>+'[2]JFK-184.676'!$F$12</f>
        <v>3202726.8</v>
      </c>
      <c r="W46" s="199">
        <f t="shared" si="25"/>
        <v>0.7414569360084039</v>
      </c>
      <c r="X46" s="15"/>
      <c r="Y46" s="200">
        <f t="shared" si="26"/>
        <v>0.99359163179916321</v>
      </c>
      <c r="Z46" s="11" t="str">
        <f t="shared" si="27"/>
        <v>FAIL</v>
      </c>
      <c r="AA46" s="11"/>
      <c r="AB46" s="15"/>
      <c r="AC46" s="54">
        <f t="shared" si="28"/>
        <v>2390000</v>
      </c>
      <c r="AD46" s="54">
        <f t="shared" si="28"/>
        <v>2374684</v>
      </c>
      <c r="AE46" s="54">
        <f t="shared" si="29"/>
        <v>15316</v>
      </c>
      <c r="AG46" s="4"/>
      <c r="AH46" s="4"/>
      <c r="AI46" s="225"/>
      <c r="AJ46" s="226"/>
      <c r="AQ46" s="327" t="e">
        <f t="shared" ca="1" si="17"/>
        <v>#REF!</v>
      </c>
      <c r="AR46" s="157" t="e">
        <f t="shared" ref="AR46:AR58" ca="1" si="30">INDIRECT("'"&amp;$D46&amp;"'!L13")</f>
        <v>#REF!</v>
      </c>
    </row>
    <row r="47" spans="2:45" ht="15.95" customHeight="1" x14ac:dyDescent="0.25">
      <c r="C47" s="39">
        <v>2019</v>
      </c>
      <c r="D47" s="62" t="str">
        <f>+'[2]LGA-124.256'!$F$4</f>
        <v>LGA-124.256</v>
      </c>
      <c r="E47" s="63" t="str">
        <f>+'[2]LGA-124.256'!$F$5</f>
        <v>Rehab of Fuel Farm Substation</v>
      </c>
      <c r="F47" s="64">
        <f>+'[2]LGA-124.256'!$F$6</f>
        <v>43531</v>
      </c>
      <c r="G47" s="65" t="str">
        <f>+'[2]LGA-124.256'!$G$7</f>
        <v>SBE</v>
      </c>
      <c r="H47" s="94">
        <f>+'[2]LGA-124.256'!$F$7</f>
        <v>2460000</v>
      </c>
      <c r="I47" s="94">
        <f>+'[2]LGA-124.256'!$F$8</f>
        <v>2542676</v>
      </c>
      <c r="J47" s="94"/>
      <c r="K47" s="153">
        <f>+'[2]LGA-124.256'!$G$9</f>
        <v>3.3608130081300813E-2</v>
      </c>
      <c r="L47" s="11" t="str">
        <f>+'[2]LGA-124.256'!$F$11</f>
        <v>GOOD</v>
      </c>
      <c r="M47" s="15">
        <f>+'[2]LGA-124.256'!$H$12</f>
        <v>4</v>
      </c>
      <c r="N47" s="35" t="s">
        <v>93</v>
      </c>
      <c r="O47" s="15">
        <v>1</v>
      </c>
      <c r="P47" s="35" t="s">
        <v>458</v>
      </c>
      <c r="Q47" s="35"/>
      <c r="R47" s="15"/>
      <c r="S47" s="24"/>
      <c r="T47" s="62" t="str">
        <f>+'[2]LGA-124.256'!$J$4</f>
        <v>Joe Lucin</v>
      </c>
      <c r="U47" s="62"/>
      <c r="V47" s="94">
        <f>+'[2]LGA-124.256'!$F$12</f>
        <v>2777662.25</v>
      </c>
      <c r="W47" s="199">
        <f t="shared" si="25"/>
        <v>0.91540143154553799</v>
      </c>
      <c r="X47" s="15"/>
      <c r="Y47" s="200">
        <f t="shared" si="26"/>
        <v>1.0336081300813007</v>
      </c>
      <c r="Z47" s="11" t="str">
        <f t="shared" si="27"/>
        <v>FAIL</v>
      </c>
      <c r="AA47" s="11"/>
      <c r="AB47" s="15"/>
      <c r="AC47" s="54">
        <f t="shared" si="28"/>
        <v>2460000</v>
      </c>
      <c r="AD47" s="54">
        <f t="shared" si="28"/>
        <v>2542676</v>
      </c>
      <c r="AE47" s="54">
        <f t="shared" si="29"/>
        <v>-82676</v>
      </c>
      <c r="AG47" s="4"/>
      <c r="AH47" s="4"/>
      <c r="AI47" s="225"/>
      <c r="AJ47" s="226"/>
      <c r="AQ47" s="327" t="e">
        <f t="shared" ca="1" si="17"/>
        <v>#REF!</v>
      </c>
      <c r="AR47" s="157" t="e">
        <f t="shared" ca="1" si="30"/>
        <v>#REF!</v>
      </c>
    </row>
    <row r="48" spans="2:45" ht="15.95" customHeight="1" x14ac:dyDescent="0.25">
      <c r="C48" s="39">
        <v>2019</v>
      </c>
      <c r="D48" s="62" t="str">
        <f>+'[2]JFK-184.043'!$F$4</f>
        <v>JFK-184.043</v>
      </c>
      <c r="E48" s="63" t="str">
        <f>+'[2]JFK-184.043'!$F$5</f>
        <v>Taxiways CA and CB Paving &amp; Enhancements</v>
      </c>
      <c r="F48" s="64">
        <f>+'[2]JFK-184.043'!$F$6</f>
        <v>43529</v>
      </c>
      <c r="G48" s="65" t="str">
        <f>+'[2]JFK-184.043'!$G$7</f>
        <v>Public</v>
      </c>
      <c r="H48" s="94">
        <f>+'[2]JFK-184.043'!$F$7</f>
        <v>42125550</v>
      </c>
      <c r="I48" s="94">
        <f>+'[2]JFK-184.043'!$F$8</f>
        <v>34053550</v>
      </c>
      <c r="J48" s="94"/>
      <c r="K48" s="153">
        <f>+'[2]JFK-184.043'!$G$9</f>
        <v>-0.19161767620838185</v>
      </c>
      <c r="L48" s="11" t="str">
        <f>+'[2]JFK-184.043'!$F$11</f>
        <v>FAIL</v>
      </c>
      <c r="M48" s="15">
        <f>+'[2]JFK-184.043'!$H$12</f>
        <v>2</v>
      </c>
      <c r="N48" s="35" t="s">
        <v>93</v>
      </c>
      <c r="O48" s="15">
        <v>1</v>
      </c>
      <c r="P48" s="35" t="s">
        <v>458</v>
      </c>
      <c r="Q48" s="35"/>
      <c r="R48" s="15"/>
      <c r="S48" s="24"/>
      <c r="T48" s="62" t="str">
        <f>+'[2]JFK-184.043'!$J$4</f>
        <v>John Alen</v>
      </c>
      <c r="U48" s="62"/>
      <c r="V48" s="94">
        <f>+'[2]JFK-184.043'!$F$12</f>
        <v>35159386.5</v>
      </c>
      <c r="W48" s="199">
        <f t="shared" si="25"/>
        <v>0.96854790114156286</v>
      </c>
      <c r="X48" s="15"/>
      <c r="Y48" s="200">
        <f t="shared" si="26"/>
        <v>0.80838232379161812</v>
      </c>
      <c r="Z48" s="11" t="str">
        <f t="shared" si="27"/>
        <v>FAIL</v>
      </c>
      <c r="AA48" s="11"/>
      <c r="AB48" s="15"/>
      <c r="AC48" s="54">
        <f t="shared" si="28"/>
        <v>42125550</v>
      </c>
      <c r="AD48" s="54">
        <f t="shared" si="28"/>
        <v>34053550</v>
      </c>
      <c r="AE48" s="54">
        <f t="shared" si="29"/>
        <v>8072000</v>
      </c>
      <c r="AG48" s="4"/>
      <c r="AH48" s="4"/>
      <c r="AI48" s="225"/>
      <c r="AJ48" s="226"/>
      <c r="AQ48" s="327" t="e">
        <f t="shared" ca="1" si="17"/>
        <v>#REF!</v>
      </c>
      <c r="AR48" s="157" t="e">
        <f t="shared" ca="1" si="30"/>
        <v>#REF!</v>
      </c>
    </row>
    <row r="49" spans="2:44" ht="15.95" customHeight="1" x14ac:dyDescent="0.25">
      <c r="C49" s="39">
        <v>2019</v>
      </c>
      <c r="D49" s="62" t="str">
        <f>+'[2]PN-654.566'!$F$4</f>
        <v>PN-654.566</v>
      </c>
      <c r="E49" s="63" t="str">
        <f>+'[2]PN-654.566'!$F$5</f>
        <v>Rehab of Berth 25 and East End Bulkhead Extension (Grouting)</v>
      </c>
      <c r="F49" s="64">
        <f>+'[2]PN-654.566'!$F$6</f>
        <v>43517</v>
      </c>
      <c r="G49" s="65" t="str">
        <f>+'[2]PN-654.566'!$G$7</f>
        <v>Public</v>
      </c>
      <c r="H49" s="94">
        <f>+'[2]PN-654.566'!$F$7</f>
        <v>4450000</v>
      </c>
      <c r="I49" s="94">
        <f>+'[2]PN-654.566'!$F$8</f>
        <v>5282906</v>
      </c>
      <c r="J49" s="94"/>
      <c r="K49" s="153">
        <f>+'[2]PN-654.566'!$G$9</f>
        <v>0.18716988764044945</v>
      </c>
      <c r="L49" s="11" t="str">
        <f>+'[2]PN-654.566'!$F$11</f>
        <v>FAIL</v>
      </c>
      <c r="M49" s="15">
        <f>+'[2]PN-654.566'!$H$12</f>
        <v>7</v>
      </c>
      <c r="N49" s="35" t="s">
        <v>25</v>
      </c>
      <c r="O49" s="15">
        <v>1</v>
      </c>
      <c r="P49" s="35" t="s">
        <v>492</v>
      </c>
      <c r="Q49" s="35"/>
      <c r="R49" s="15"/>
      <c r="S49" s="24"/>
      <c r="T49" s="62" t="str">
        <f>+'[2]PN-654.566'!$J$4</f>
        <v>Ed Minall</v>
      </c>
      <c r="U49" s="62"/>
      <c r="V49" s="94">
        <f>+'[2]PN-654.566'!$F$12</f>
        <v>7461118.4285714282</v>
      </c>
      <c r="W49" s="199">
        <f t="shared" si="25"/>
        <v>0.70805818867179027</v>
      </c>
      <c r="X49" s="15"/>
      <c r="Y49" s="200">
        <f t="shared" si="26"/>
        <v>1.1871698876404495</v>
      </c>
      <c r="Z49" s="11" t="str">
        <f t="shared" si="27"/>
        <v>FAIL</v>
      </c>
      <c r="AA49" s="11"/>
      <c r="AB49" s="15"/>
      <c r="AC49" s="54">
        <f t="shared" si="28"/>
        <v>4450000</v>
      </c>
      <c r="AD49" s="54">
        <f t="shared" si="28"/>
        <v>5282906</v>
      </c>
      <c r="AE49" s="54">
        <f t="shared" si="29"/>
        <v>-832906</v>
      </c>
      <c r="AG49" s="4"/>
      <c r="AH49" s="4"/>
      <c r="AI49" s="225"/>
      <c r="AJ49" s="226"/>
      <c r="AQ49" s="327" t="e">
        <f t="shared" ca="1" si="17"/>
        <v>#REF!</v>
      </c>
      <c r="AR49" s="157" t="e">
        <f t="shared" ca="1" si="30"/>
        <v>#REF!</v>
      </c>
    </row>
    <row r="50" spans="2:44" ht="15.95" customHeight="1" x14ac:dyDescent="0.25">
      <c r="C50" s="39">
        <v>2019</v>
      </c>
      <c r="D50" s="62" t="str">
        <f>+'[2]GWB-984.205'!$F$4</f>
        <v>GWB-984.205</v>
      </c>
      <c r="E50" s="63" t="str">
        <f>+'[2]GWB-984.205'!$F$5</f>
        <v>GWB - Maintenance Pavement Repairs via Work Order</v>
      </c>
      <c r="F50" s="64">
        <f>+'[2]GWB-984.205'!$F$6</f>
        <v>43516</v>
      </c>
      <c r="G50" s="65" t="str">
        <f>+'[2]GWB-984.205'!$G$7</f>
        <v>PQL</v>
      </c>
      <c r="H50" s="94">
        <f>+'[2]GWB-984.205'!$F$7</f>
        <v>1790000</v>
      </c>
      <c r="I50" s="94">
        <f>+'[2]GWB-984.205'!$F$8</f>
        <v>1443785</v>
      </c>
      <c r="J50" s="94"/>
      <c r="K50" s="153">
        <f>+'[2]GWB-984.205'!$G$9</f>
        <v>-0.19341620111731844</v>
      </c>
      <c r="L50" s="11" t="str">
        <f>+'[2]GWB-984.205'!$F$11</f>
        <v>GOOD</v>
      </c>
      <c r="M50" s="15">
        <f>+'[2]GWB-984.205'!$H$12</f>
        <v>7</v>
      </c>
      <c r="N50" s="35" t="s">
        <v>226</v>
      </c>
      <c r="O50" s="15">
        <v>1</v>
      </c>
      <c r="P50" s="35" t="s">
        <v>457</v>
      </c>
      <c r="Q50" s="35"/>
      <c r="R50" s="15"/>
      <c r="S50" s="24"/>
      <c r="T50" s="62" t="str">
        <f>+'[2]GWB-984.205'!$J$4</f>
        <v>Boris Lenderman</v>
      </c>
      <c r="U50" s="62"/>
      <c r="V50" s="94">
        <f>+'[2]GWB-984.205'!$F$12</f>
        <v>3495752.1428571427</v>
      </c>
      <c r="W50" s="199">
        <f t="shared" si="25"/>
        <v>0.41301126080980327</v>
      </c>
      <c r="X50" s="15"/>
      <c r="Y50" s="200">
        <f t="shared" si="26"/>
        <v>0.80658379888268161</v>
      </c>
      <c r="Z50" s="11" t="str">
        <f t="shared" si="27"/>
        <v>FAIL</v>
      </c>
      <c r="AA50" s="11"/>
      <c r="AB50" s="15"/>
      <c r="AC50" s="54">
        <f t="shared" si="28"/>
        <v>1790000</v>
      </c>
      <c r="AD50" s="54">
        <f t="shared" si="28"/>
        <v>1443785</v>
      </c>
      <c r="AE50" s="54">
        <f t="shared" si="29"/>
        <v>346215</v>
      </c>
      <c r="AG50" s="4"/>
      <c r="AH50" s="4"/>
      <c r="AI50" s="225"/>
      <c r="AJ50" s="226"/>
      <c r="AQ50" s="327" t="e">
        <f t="shared" ca="1" si="17"/>
        <v>#REF!</v>
      </c>
      <c r="AR50" s="157" t="e">
        <f t="shared" ca="1" si="30"/>
        <v>#REF!</v>
      </c>
    </row>
    <row r="51" spans="2:44" ht="15.95" customHeight="1" x14ac:dyDescent="0.25">
      <c r="C51" s="39">
        <v>2019</v>
      </c>
      <c r="D51" s="62" t="str">
        <f>+'[2]AK-196A'!$F$4</f>
        <v>AK-196A</v>
      </c>
      <c r="E51" s="63" t="str">
        <f>+'[2]AK-196A'!$F$5</f>
        <v>SI Bridges - Maintenance Pavement Repairs via Work Order</v>
      </c>
      <c r="F51" s="64">
        <f>+'[2]AK-196A'!$F$6</f>
        <v>43516</v>
      </c>
      <c r="G51" s="65" t="str">
        <f>+'[2]AK-196A'!$G$7</f>
        <v>PQL</v>
      </c>
      <c r="H51" s="94">
        <f>+'[2]AK-196A'!$F$7</f>
        <v>1880000</v>
      </c>
      <c r="I51" s="94">
        <f>+'[2]AK-196A'!$F$8</f>
        <v>1101828</v>
      </c>
      <c r="J51" s="94"/>
      <c r="K51" s="153">
        <f>+'[2]AK-196A'!$G$9</f>
        <v>-0.41392127659574468</v>
      </c>
      <c r="L51" s="11" t="str">
        <f>+'[2]AK-196A'!$F$11</f>
        <v>GOOD</v>
      </c>
      <c r="M51" s="15">
        <f>+'[2]AK-196A'!$H$12</f>
        <v>6</v>
      </c>
      <c r="N51" s="35" t="s">
        <v>226</v>
      </c>
      <c r="O51" s="15">
        <v>1</v>
      </c>
      <c r="P51" s="35" t="s">
        <v>457</v>
      </c>
      <c r="Q51" s="35"/>
      <c r="R51" s="15"/>
      <c r="S51" s="24"/>
      <c r="T51" s="62" t="str">
        <f>+'[2]AK-196A'!$J$4</f>
        <v>Tun Tun Lin</v>
      </c>
      <c r="U51" s="62"/>
      <c r="V51" s="94">
        <f>+'[2]AK-196A'!$F$12</f>
        <v>3114163.5</v>
      </c>
      <c r="W51" s="199">
        <f t="shared" si="25"/>
        <v>0.35381186633264439</v>
      </c>
      <c r="X51" s="15"/>
      <c r="Y51" s="200">
        <f t="shared" si="26"/>
        <v>0.58607872340425526</v>
      </c>
      <c r="Z51" s="11" t="str">
        <f t="shared" si="27"/>
        <v>FAIL</v>
      </c>
      <c r="AA51" s="11"/>
      <c r="AB51" s="15"/>
      <c r="AC51" s="54">
        <f t="shared" si="28"/>
        <v>1880000</v>
      </c>
      <c r="AD51" s="54">
        <f t="shared" si="28"/>
        <v>1101828</v>
      </c>
      <c r="AE51" s="54">
        <f t="shared" si="29"/>
        <v>778172</v>
      </c>
      <c r="AG51" s="4"/>
      <c r="AH51" s="4"/>
      <c r="AI51" s="225"/>
      <c r="AJ51" s="226"/>
      <c r="AQ51" s="327" t="e">
        <f t="shared" ca="1" si="17"/>
        <v>#REF!</v>
      </c>
      <c r="AR51" s="157" t="e">
        <f t="shared" ca="1" si="30"/>
        <v>#REF!</v>
      </c>
    </row>
    <row r="52" spans="2:44" ht="15.95" customHeight="1" x14ac:dyDescent="0.25">
      <c r="C52" s="39">
        <v>2019</v>
      </c>
      <c r="D52" s="62" t="str">
        <f>+'[2]GWB-934.046'!$F$4</f>
        <v>GWB-934.046</v>
      </c>
      <c r="E52" s="63" t="str">
        <f>+'[2]GWB-934.046'!$F$5</f>
        <v>Flag Hoist System Upgrade</v>
      </c>
      <c r="F52" s="64">
        <f>+'[2]GWB-934.046'!$F$6</f>
        <v>43503</v>
      </c>
      <c r="G52" s="65" t="str">
        <f>+'[2]GWB-934.046'!$G$7</f>
        <v>SBE</v>
      </c>
      <c r="H52" s="94">
        <f>+'[2]GWB-934.046'!$F$7</f>
        <v>1130000</v>
      </c>
      <c r="I52" s="94">
        <f>+'[2]GWB-934.046'!$F$8</f>
        <v>1686000</v>
      </c>
      <c r="J52" s="94"/>
      <c r="K52" s="153">
        <f>+'[2]GWB-934.046'!$G$9</f>
        <v>0.49203539823008852</v>
      </c>
      <c r="L52" s="11" t="str">
        <f>+'[2]GWB-934.046'!$F$11</f>
        <v>FAIL</v>
      </c>
      <c r="M52" s="15">
        <f>+'[2]GWB-934.046'!$H$12</f>
        <v>2</v>
      </c>
      <c r="N52" s="35" t="s">
        <v>25</v>
      </c>
      <c r="O52" s="15">
        <v>1</v>
      </c>
      <c r="P52" s="35" t="s">
        <v>457</v>
      </c>
      <c r="Q52" s="35"/>
      <c r="R52" s="15"/>
      <c r="S52" s="24"/>
      <c r="T52" s="62" t="str">
        <f>+'[2]GWB-934.046'!$J$4</f>
        <v>Joe Lucin</v>
      </c>
      <c r="U52" s="62"/>
      <c r="V52" s="94">
        <f>+'[2]GWB-934.046'!$F$12</f>
        <v>1933500</v>
      </c>
      <c r="W52" s="199">
        <f t="shared" si="25"/>
        <v>0.8719937936384794</v>
      </c>
      <c r="X52" s="15"/>
      <c r="Y52" s="200">
        <f t="shared" si="26"/>
        <v>1.4920353982300885</v>
      </c>
      <c r="Z52" s="11" t="str">
        <f t="shared" si="27"/>
        <v>FAIL</v>
      </c>
      <c r="AA52" s="11"/>
      <c r="AB52" s="15"/>
      <c r="AC52" s="54">
        <f t="shared" si="28"/>
        <v>1130000</v>
      </c>
      <c r="AD52" s="54">
        <f t="shared" si="28"/>
        <v>1686000</v>
      </c>
      <c r="AE52" s="54">
        <f t="shared" si="29"/>
        <v>-556000</v>
      </c>
      <c r="AG52" s="4"/>
      <c r="AH52" s="4"/>
      <c r="AI52" s="225"/>
      <c r="AJ52" s="226"/>
      <c r="AQ52" s="327" t="e">
        <f t="shared" ca="1" si="17"/>
        <v>#REF!</v>
      </c>
      <c r="AR52" s="157" t="e">
        <f t="shared" ca="1" si="30"/>
        <v>#REF!</v>
      </c>
    </row>
    <row r="53" spans="2:44" ht="15.95" customHeight="1" x14ac:dyDescent="0.25">
      <c r="C53" s="39">
        <v>2019</v>
      </c>
      <c r="D53" s="62" t="str">
        <f>+'[2]LGA-124.270'!$F$4</f>
        <v>LGA-124.270</v>
      </c>
      <c r="E53" s="63" t="str">
        <f>+'[2]LGA-124.270'!$F$5</f>
        <v>Replace West Field Lighting Vault Emergency Generator</v>
      </c>
      <c r="F53" s="64">
        <f>+'[2]LGA-124.270'!$F$6</f>
        <v>43503</v>
      </c>
      <c r="G53" s="65" t="str">
        <f>+'[2]LGA-124.270'!$G$7</f>
        <v>SBE</v>
      </c>
      <c r="H53" s="94">
        <f>+'[2]LGA-124.270'!$F$7</f>
        <v>684000</v>
      </c>
      <c r="I53" s="94">
        <f>+'[2]LGA-124.270'!$F$8</f>
        <v>615000</v>
      </c>
      <c r="J53" s="94"/>
      <c r="K53" s="153">
        <f>+'[2]LGA-124.270'!$G$9</f>
        <v>-0.10087719298245613</v>
      </c>
      <c r="L53" s="11" t="str">
        <f>+'[2]LGA-124.270'!$F$11</f>
        <v>GOOD</v>
      </c>
      <c r="M53" s="15">
        <f>+'[2]LGA-124.270'!$H$12</f>
        <v>5</v>
      </c>
      <c r="N53" s="35" t="s">
        <v>93</v>
      </c>
      <c r="O53" s="15">
        <v>1</v>
      </c>
      <c r="P53" s="35" t="s">
        <v>458</v>
      </c>
      <c r="Q53" s="35"/>
      <c r="R53" s="15"/>
      <c r="S53" s="24"/>
      <c r="T53" s="62" t="str">
        <f>+'[2]LGA-124.270'!$J$4</f>
        <v>Joe Lucin</v>
      </c>
      <c r="U53" s="62"/>
      <c r="V53" s="94">
        <f>+'[2]LGA-124.270'!$F$12</f>
        <v>924493.4</v>
      </c>
      <c r="W53" s="199">
        <f t="shared" si="25"/>
        <v>0.66522919471355879</v>
      </c>
      <c r="X53" s="15"/>
      <c r="Y53" s="200">
        <f t="shared" si="26"/>
        <v>0.89912280701754388</v>
      </c>
      <c r="Z53" s="11" t="str">
        <f t="shared" si="27"/>
        <v>FAIL</v>
      </c>
      <c r="AA53" s="11"/>
      <c r="AB53" s="15"/>
      <c r="AC53" s="54">
        <f t="shared" si="28"/>
        <v>684000</v>
      </c>
      <c r="AD53" s="54">
        <f t="shared" si="28"/>
        <v>615000</v>
      </c>
      <c r="AE53" s="54">
        <f t="shared" si="29"/>
        <v>69000</v>
      </c>
      <c r="AG53" s="4"/>
      <c r="AH53" s="4"/>
      <c r="AI53" s="225"/>
      <c r="AJ53" s="226"/>
      <c r="AQ53" s="327" t="e">
        <f t="shared" ca="1" si="17"/>
        <v>#REF!</v>
      </c>
      <c r="AR53" s="157" t="e">
        <f t="shared" ca="1" si="30"/>
        <v>#REF!</v>
      </c>
    </row>
    <row r="54" spans="2:44" ht="15.95" customHeight="1" x14ac:dyDescent="0.25">
      <c r="C54" s="39">
        <v>2019</v>
      </c>
      <c r="D54" s="62" t="str">
        <f>+'[2]MFP-994.679'!$F$4</f>
        <v>MFP-994.679</v>
      </c>
      <c r="E54" s="63" t="str">
        <f>+'[2]MFP-994.679'!$F$5</f>
        <v>NJ - Maintenance Dredging via Work Order</v>
      </c>
      <c r="F54" s="64">
        <f>+'[2]MFP-994.679'!$F$6</f>
        <v>43501</v>
      </c>
      <c r="G54" s="65" t="str">
        <f>+'[2]MFP-994.679'!$G$7</f>
        <v>PQL</v>
      </c>
      <c r="H54" s="94">
        <f>+'[2]MFP-994.679'!$F$7</f>
        <v>13910000</v>
      </c>
      <c r="I54" s="94">
        <f>+'[2]MFP-994.679'!$F$8</f>
        <v>11745510</v>
      </c>
      <c r="J54" s="94"/>
      <c r="K54" s="153">
        <f>+'[2]MFP-994.679'!$G$9</f>
        <v>-0.15560675772825305</v>
      </c>
      <c r="L54" s="11" t="str">
        <f>+'[2]MFP-994.679'!$F$11</f>
        <v>GOOD</v>
      </c>
      <c r="M54" s="15">
        <f>+'[2]MFP-994.679'!$H$12</f>
        <v>4</v>
      </c>
      <c r="N54" s="35" t="s">
        <v>25</v>
      </c>
      <c r="O54" s="15">
        <v>1</v>
      </c>
      <c r="P54" s="35" t="s">
        <v>492</v>
      </c>
      <c r="Q54" s="35"/>
      <c r="R54" s="15"/>
      <c r="S54" s="24"/>
      <c r="T54" s="62" t="str">
        <f>+'[2]MFP-994.679'!$J$4</f>
        <v>Ed Minall</v>
      </c>
      <c r="U54" s="62"/>
      <c r="V54" s="94">
        <f>+'[2]MFP-994.679'!$F$12</f>
        <v>15613590</v>
      </c>
      <c r="W54" s="199">
        <f t="shared" si="25"/>
        <v>0.75226197178227427</v>
      </c>
      <c r="X54" s="15"/>
      <c r="Y54" s="200">
        <f t="shared" si="26"/>
        <v>0.84439324227174695</v>
      </c>
      <c r="Z54" s="11" t="str">
        <f t="shared" si="27"/>
        <v>FAIL</v>
      </c>
      <c r="AA54" s="11"/>
      <c r="AB54" s="15"/>
      <c r="AC54" s="54">
        <f t="shared" si="28"/>
        <v>13910000</v>
      </c>
      <c r="AD54" s="54">
        <f t="shared" si="28"/>
        <v>11745510</v>
      </c>
      <c r="AE54" s="54">
        <f t="shared" si="29"/>
        <v>2164490</v>
      </c>
      <c r="AG54" s="4"/>
      <c r="AH54" s="4"/>
      <c r="AI54" s="225"/>
      <c r="AJ54" s="226"/>
      <c r="AQ54" s="327" t="e">
        <f t="shared" ca="1" si="17"/>
        <v>#REF!</v>
      </c>
      <c r="AR54" s="157" t="e">
        <f t="shared" ca="1" si="30"/>
        <v>#REF!</v>
      </c>
    </row>
    <row r="55" spans="2:44" ht="15.95" customHeight="1" x14ac:dyDescent="0.25">
      <c r="C55" s="39">
        <v>2019</v>
      </c>
      <c r="D55" s="62" t="str">
        <f>+'[2]GWB-244.260'!$F$4</f>
        <v>GWB-244.260</v>
      </c>
      <c r="E55" s="63" t="str">
        <f>+'[2]GWB-244.260'!$F$5</f>
        <v>Main Span Upper Level Struct Stl Rehab (Phase 2) &amp; Appurtenances</v>
      </c>
      <c r="F55" s="64">
        <f>+'[2]GWB-244.260'!$F$6</f>
        <v>43496</v>
      </c>
      <c r="G55" s="65" t="str">
        <f>+'[2]GWB-244.260'!$G$7</f>
        <v>Public</v>
      </c>
      <c r="H55" s="94">
        <f>+'[2]GWB-244.260'!$F$7</f>
        <v>92495500</v>
      </c>
      <c r="I55" s="94">
        <f>+'[2]GWB-244.260'!$F$8</f>
        <v>63348000</v>
      </c>
      <c r="J55" s="94"/>
      <c r="K55" s="153">
        <f>+'[2]GWB-244.260'!$G$9</f>
        <v>-0.31512343843754559</v>
      </c>
      <c r="L55" s="11" t="str">
        <f>+'[2]GWB-244.260'!$F$11</f>
        <v>FAIL</v>
      </c>
      <c r="M55" s="15">
        <f>+'[2]GWB-244.260'!$H$12</f>
        <v>3</v>
      </c>
      <c r="N55" s="35" t="s">
        <v>226</v>
      </c>
      <c r="O55" s="15">
        <v>1</v>
      </c>
      <c r="P55" s="35" t="s">
        <v>457</v>
      </c>
      <c r="Q55" s="35"/>
      <c r="R55" s="15"/>
      <c r="S55" s="24"/>
      <c r="T55" s="62" t="str">
        <f>+'[2]GWB-244.260'!$J$4</f>
        <v>Boris Lenderman</v>
      </c>
      <c r="U55" s="62"/>
      <c r="V55" s="94">
        <f>+'[2]GWB-244.260'!$F$12</f>
        <v>68785236.666666672</v>
      </c>
      <c r="W55" s="199">
        <f t="shared" si="25"/>
        <v>0.92095343521146078</v>
      </c>
      <c r="X55" s="15"/>
      <c r="Y55" s="200">
        <f t="shared" si="26"/>
        <v>0.68487656156245436</v>
      </c>
      <c r="Z55" s="11" t="str">
        <f t="shared" si="27"/>
        <v>FAIL</v>
      </c>
      <c r="AA55" s="11"/>
      <c r="AB55" s="15"/>
      <c r="AC55" s="54">
        <f t="shared" si="28"/>
        <v>92495500</v>
      </c>
      <c r="AD55" s="54">
        <f t="shared" si="28"/>
        <v>63348000</v>
      </c>
      <c r="AE55" s="54">
        <f t="shared" si="29"/>
        <v>29147500</v>
      </c>
      <c r="AG55" s="4"/>
      <c r="AH55" s="4"/>
      <c r="AI55" s="225"/>
      <c r="AJ55" s="226"/>
      <c r="AQ55" s="327" t="e">
        <f t="shared" ca="1" si="17"/>
        <v>#REF!</v>
      </c>
      <c r="AR55" s="157" t="e">
        <f t="shared" ca="1" si="30"/>
        <v>#REF!</v>
      </c>
    </row>
    <row r="56" spans="2:44" ht="15.95" customHeight="1" x14ac:dyDescent="0.25">
      <c r="C56" s="39">
        <v>2019</v>
      </c>
      <c r="D56" s="62" t="str">
        <f>+'[2]EWR-154.306A'!$F$4</f>
        <v>EWR-154.306A</v>
      </c>
      <c r="E56" s="63" t="str">
        <f>+'[2]EWR-154.306A'!$F$5</f>
        <v>Rehab of Runway 11-29</v>
      </c>
      <c r="F56" s="64">
        <f>+'[2]EWR-154.306A'!$F$6</f>
        <v>43489</v>
      </c>
      <c r="G56" s="65" t="str">
        <f>+'[2]EWR-154.306A'!$G$7</f>
        <v>Public</v>
      </c>
      <c r="H56" s="94">
        <f>+'[2]EWR-154.306A'!$F$7</f>
        <v>23450000</v>
      </c>
      <c r="I56" s="94">
        <f>+'[2]EWR-154.306A'!$F$8</f>
        <v>25644000</v>
      </c>
      <c r="J56" s="94"/>
      <c r="K56" s="153">
        <f>+'[2]EWR-154.306A'!$G$9</f>
        <v>9.3560767590618335E-2</v>
      </c>
      <c r="L56" s="11" t="str">
        <f>+'[2]EWR-154.306A'!$F$11</f>
        <v>GOOD</v>
      </c>
      <c r="M56" s="15">
        <f>+'[2]EWR-154.306A'!$H$12</f>
        <v>2</v>
      </c>
      <c r="N56" s="35" t="s">
        <v>25</v>
      </c>
      <c r="O56" s="15">
        <v>1</v>
      </c>
      <c r="P56" s="35" t="s">
        <v>458</v>
      </c>
      <c r="Q56" s="35"/>
      <c r="R56" s="15"/>
      <c r="S56" s="24"/>
      <c r="T56" s="62" t="str">
        <f>+'[2]EWR-154.306A'!$J$4</f>
        <v>Joe Lucin</v>
      </c>
      <c r="U56" s="62"/>
      <c r="V56" s="94">
        <f>+'[2]EWR-154.306A'!$F$12</f>
        <v>28255558.5</v>
      </c>
      <c r="W56" s="199">
        <f t="shared" si="25"/>
        <v>0.9075736372367228</v>
      </c>
      <c r="X56" s="15"/>
      <c r="Y56" s="200">
        <f t="shared" si="26"/>
        <v>1.0935607675906183</v>
      </c>
      <c r="Z56" s="11" t="str">
        <f t="shared" si="27"/>
        <v>FAIL</v>
      </c>
      <c r="AA56" s="11"/>
      <c r="AB56" s="15"/>
      <c r="AC56" s="54">
        <f t="shared" si="28"/>
        <v>23450000</v>
      </c>
      <c r="AD56" s="54">
        <f t="shared" si="28"/>
        <v>25644000</v>
      </c>
      <c r="AE56" s="54">
        <f t="shared" si="29"/>
        <v>-2194000</v>
      </c>
      <c r="AG56" s="4"/>
      <c r="AH56" s="4"/>
      <c r="AI56" s="225"/>
      <c r="AJ56" s="226"/>
      <c r="AQ56" s="327" t="e">
        <f t="shared" ca="1" si="17"/>
        <v>#REF!</v>
      </c>
      <c r="AR56" s="157" t="e">
        <f t="shared" ca="1" si="30"/>
        <v>#REF!</v>
      </c>
    </row>
    <row r="57" spans="2:44" ht="15.95" customHeight="1" x14ac:dyDescent="0.25">
      <c r="C57" s="39">
        <v>2019</v>
      </c>
      <c r="D57" s="62" t="str">
        <f>+'[2]GWB-244.236'!$F$4</f>
        <v>GWB-244.236</v>
      </c>
      <c r="E57" s="63" t="str">
        <f>+'[2]GWB-244.236'!$F$5</f>
        <v>Intelligent Transportation System Repl Signs and Field Devices</v>
      </c>
      <c r="F57" s="64">
        <f>+'[2]GWB-244.236'!$F$6</f>
        <v>43488</v>
      </c>
      <c r="G57" s="65" t="str">
        <f>+'[2]GWB-244.236'!$G$7</f>
        <v>Public</v>
      </c>
      <c r="H57" s="94">
        <f>+'[2]GWB-244.236'!$F$7</f>
        <v>28219450</v>
      </c>
      <c r="I57" s="94">
        <f>+'[2]GWB-244.236'!$F$8</f>
        <v>27620150</v>
      </c>
      <c r="J57" s="94"/>
      <c r="K57" s="153">
        <f>+'[2]GWB-244.236'!$G$9</f>
        <v>-2.1237125457795953E-2</v>
      </c>
      <c r="L57" s="11" t="str">
        <f>+'[2]GWB-244.236'!$F$11</f>
        <v>GOOD</v>
      </c>
      <c r="M57" s="15">
        <f>+'[2]GWB-244.236'!$H$12</f>
        <v>6</v>
      </c>
      <c r="N57" s="35" t="s">
        <v>226</v>
      </c>
      <c r="O57" s="15">
        <v>1</v>
      </c>
      <c r="P57" s="35" t="s">
        <v>457</v>
      </c>
      <c r="Q57" s="35"/>
      <c r="R57" s="15"/>
      <c r="S57" s="24"/>
      <c r="T57" s="62" t="str">
        <f>+'[2]GWB-244.236'!$J$4</f>
        <v>Boris Lenderman</v>
      </c>
      <c r="U57" s="62"/>
      <c r="V57" s="94">
        <f>+'[2]GWB-244.236'!$F$12</f>
        <v>38331440.5</v>
      </c>
      <c r="W57" s="199">
        <f t="shared" si="25"/>
        <v>0.72056123223441082</v>
      </c>
      <c r="X57" s="15"/>
      <c r="Y57" s="200">
        <f t="shared" si="26"/>
        <v>0.97876287454220401</v>
      </c>
      <c r="Z57" s="11" t="str">
        <f t="shared" si="27"/>
        <v>FAIL</v>
      </c>
      <c r="AA57" s="11"/>
      <c r="AB57" s="15"/>
      <c r="AC57" s="54">
        <f t="shared" si="28"/>
        <v>28219450</v>
      </c>
      <c r="AD57" s="54">
        <f t="shared" si="28"/>
        <v>27620150</v>
      </c>
      <c r="AE57" s="54">
        <f t="shared" si="29"/>
        <v>599300</v>
      </c>
      <c r="AG57" s="4"/>
      <c r="AH57" s="4"/>
      <c r="AI57" s="225"/>
      <c r="AJ57" s="226"/>
      <c r="AQ57" s="327" t="e">
        <f t="shared" ca="1" si="17"/>
        <v>#REF!</v>
      </c>
      <c r="AR57" s="157" t="e">
        <f t="shared" ca="1" si="30"/>
        <v>#REF!</v>
      </c>
    </row>
    <row r="58" spans="2:44" ht="15.95" customHeight="1" x14ac:dyDescent="0.25">
      <c r="C58" s="39">
        <v>2019</v>
      </c>
      <c r="D58" s="62" t="str">
        <f>+'[2]JFK-174.016'!$F$4</f>
        <v>JFK-174.016</v>
      </c>
      <c r="E58" s="63" t="str">
        <f>+'[2]JFK-174.016'!$F$5</f>
        <v>Bridges J31 &amp; J32 Rehab - Aqueduct Road</v>
      </c>
      <c r="F58" s="64">
        <f>+'[2]JFK-174.016'!$F$6</f>
        <v>43475</v>
      </c>
      <c r="G58" s="65" t="str">
        <f>+'[2]JFK-174.016'!$G$7</f>
        <v>Public</v>
      </c>
      <c r="H58" s="94">
        <f>+'[2]JFK-174.016'!$F$7</f>
        <v>4500000</v>
      </c>
      <c r="I58" s="94">
        <f>+'[2]JFK-174.016'!$F$8</f>
        <v>4863085</v>
      </c>
      <c r="J58" s="94"/>
      <c r="K58" s="153">
        <f>+'[2]JFK-174.016'!$G$9</f>
        <v>8.0685555555555552E-2</v>
      </c>
      <c r="L58" s="11" t="str">
        <f>+'[2]JFK-174.016'!$F$11</f>
        <v>GOOD</v>
      </c>
      <c r="M58" s="15">
        <f>+'[2]JFK-174.016'!$H$12</f>
        <v>6</v>
      </c>
      <c r="N58" s="35" t="s">
        <v>93</v>
      </c>
      <c r="O58" s="15">
        <v>1</v>
      </c>
      <c r="P58" s="35" t="s">
        <v>458</v>
      </c>
      <c r="Q58" s="35"/>
      <c r="R58" s="15"/>
      <c r="S58" s="24"/>
      <c r="T58" s="62" t="str">
        <f>+'[2]JFK-174.016'!$J$4</f>
        <v>Wen Chang</v>
      </c>
      <c r="U58" s="62"/>
      <c r="V58" s="94">
        <f>+'[2]JFK-174.016'!$F$12</f>
        <v>6990880.833333333</v>
      </c>
      <c r="W58" s="199">
        <f t="shared" si="25"/>
        <v>0.69563265573234279</v>
      </c>
      <c r="X58" s="15"/>
      <c r="Y58" s="200">
        <f t="shared" si="26"/>
        <v>1.0806855555555555</v>
      </c>
      <c r="Z58" s="11" t="str">
        <f t="shared" si="27"/>
        <v>FAIL</v>
      </c>
      <c r="AA58" s="11"/>
      <c r="AB58" s="15"/>
      <c r="AC58" s="54">
        <f t="shared" si="28"/>
        <v>4500000</v>
      </c>
      <c r="AD58" s="54">
        <f t="shared" si="28"/>
        <v>4863085</v>
      </c>
      <c r="AE58" s="54">
        <f t="shared" si="29"/>
        <v>-363085</v>
      </c>
      <c r="AG58" s="4"/>
      <c r="AH58" s="4"/>
      <c r="AI58" s="225"/>
      <c r="AJ58" s="226"/>
      <c r="AQ58" s="327" t="e">
        <f t="shared" ca="1" si="17"/>
        <v>#REF!</v>
      </c>
      <c r="AR58" s="157" t="e">
        <f t="shared" ca="1" si="30"/>
        <v>#REF!</v>
      </c>
    </row>
    <row r="59" spans="2:44" ht="15.95" customHeight="1" x14ac:dyDescent="0.25">
      <c r="B59" s="203">
        <f>(COUNTIF(L45:L59,"G*")/COUNTA(L45:L59))</f>
        <v>0.6428571428571429</v>
      </c>
      <c r="C59" s="39">
        <v>2019</v>
      </c>
      <c r="D59" s="62" t="str">
        <f>+'[2]EWR-154.360 Void'!$F$4</f>
        <v>EWR-154.360</v>
      </c>
      <c r="E59" s="63" t="str">
        <f>+'[2]EWR-154.360 Void'!$F$5</f>
        <v>Bldg 76 Underground Storage Tank Repl</v>
      </c>
      <c r="F59" s="64">
        <f>+'[2]EWR-154.360 Void'!$F$6</f>
        <v>43468</v>
      </c>
      <c r="G59" s="65"/>
      <c r="H59" s="94"/>
      <c r="I59" s="94"/>
      <c r="J59" s="94"/>
      <c r="K59" s="153"/>
      <c r="L59" s="11"/>
      <c r="M59" s="15"/>
      <c r="N59" s="35"/>
      <c r="O59" s="15"/>
      <c r="P59" s="35"/>
      <c r="Q59" s="35"/>
      <c r="R59" s="15"/>
      <c r="S59" s="24" t="s">
        <v>1478</v>
      </c>
      <c r="T59" s="62"/>
      <c r="U59" s="62"/>
      <c r="V59" s="94"/>
      <c r="W59" s="199"/>
      <c r="X59" s="15"/>
      <c r="Y59" s="200"/>
      <c r="Z59" s="11"/>
      <c r="AA59" s="11"/>
      <c r="AB59" s="15"/>
      <c r="AC59" s="54"/>
      <c r="AD59" s="54"/>
      <c r="AE59" s="54"/>
      <c r="AG59" s="4">
        <f>SUM(H45:H59)</f>
        <v>220635500</v>
      </c>
      <c r="AH59" s="4">
        <f>SUM(I45:I59)</f>
        <v>184084065</v>
      </c>
      <c r="AI59" s="204">
        <f>+AH59/AG59</f>
        <v>0.83433565767974782</v>
      </c>
      <c r="AJ59" s="1" t="s">
        <v>1240</v>
      </c>
      <c r="AK59" s="205">
        <f>+AG59</f>
        <v>220635500</v>
      </c>
      <c r="AL59" s="205">
        <f>+AH59</f>
        <v>184084065</v>
      </c>
      <c r="AM59" s="211">
        <f>+AL59/AK59</f>
        <v>0.83433565767974782</v>
      </c>
      <c r="AN59" s="212"/>
      <c r="AO59" s="213"/>
      <c r="AQ59" s="330"/>
      <c r="AR59" s="104"/>
    </row>
    <row r="60" spans="2:44" x14ac:dyDescent="0.25">
      <c r="C60" s="39"/>
      <c r="D60" s="15"/>
      <c r="E60" s="24"/>
      <c r="F60" s="25"/>
      <c r="G60" s="46"/>
      <c r="H60" s="27"/>
      <c r="I60" s="27"/>
      <c r="J60" s="27"/>
      <c r="K60" s="26"/>
      <c r="L60" s="11"/>
      <c r="M60" s="62"/>
      <c r="P60" s="11"/>
      <c r="V60" s="54"/>
      <c r="W60" s="54"/>
      <c r="X60" s="54"/>
    </row>
    <row r="61" spans="2:44" x14ac:dyDescent="0.25">
      <c r="C61" s="39"/>
      <c r="D61" s="15"/>
      <c r="E61" s="24"/>
      <c r="F61" s="25"/>
      <c r="G61" s="46"/>
      <c r="H61" s="27"/>
      <c r="I61" s="27"/>
      <c r="J61" s="27"/>
      <c r="K61" s="26"/>
      <c r="L61" s="11"/>
      <c r="M61" s="15"/>
      <c r="P61" s="11"/>
      <c r="V61" s="54"/>
      <c r="W61" s="54"/>
      <c r="X61" s="54"/>
    </row>
    <row r="62" spans="2:44" x14ac:dyDescent="0.25">
      <c r="C62" s="39"/>
      <c r="D62" s="15"/>
      <c r="E62" s="24"/>
      <c r="F62" s="25"/>
      <c r="G62" s="46"/>
      <c r="H62" s="27"/>
      <c r="I62" s="27"/>
      <c r="J62" s="27"/>
      <c r="K62" s="26"/>
      <c r="L62" s="11"/>
      <c r="M62" s="15"/>
      <c r="P62" s="11"/>
      <c r="V62" s="54"/>
      <c r="W62" s="54"/>
      <c r="X62" s="54"/>
    </row>
    <row r="63" spans="2:44" x14ac:dyDescent="0.25">
      <c r="C63" s="39"/>
      <c r="G63" s="46"/>
      <c r="H63" s="68"/>
      <c r="L63">
        <f>COUNTA(L6:L59)</f>
        <v>48</v>
      </c>
      <c r="P63" s="11"/>
      <c r="V63" s="54"/>
      <c r="W63" s="54"/>
      <c r="X63" s="54"/>
    </row>
    <row r="64" spans="2:44" x14ac:dyDescent="0.25">
      <c r="C64" s="39"/>
      <c r="G64" s="45"/>
      <c r="H64" s="69"/>
      <c r="L64">
        <v>15</v>
      </c>
      <c r="M64" t="s">
        <v>789</v>
      </c>
      <c r="N64" s="76" t="s">
        <v>819</v>
      </c>
      <c r="P64" s="11"/>
      <c r="V64" s="54"/>
      <c r="W64" s="54"/>
      <c r="X64" s="54"/>
    </row>
    <row r="65" spans="3:24" x14ac:dyDescent="0.25">
      <c r="C65" s="39"/>
      <c r="G65" s="45"/>
      <c r="H65" s="69"/>
      <c r="L65">
        <f>+L63-L64</f>
        <v>33</v>
      </c>
      <c r="M65" t="s">
        <v>790</v>
      </c>
      <c r="P65" s="11"/>
      <c r="V65" s="54"/>
      <c r="W65" s="54"/>
      <c r="X65" s="54"/>
    </row>
    <row r="66" spans="3:24" x14ac:dyDescent="0.25">
      <c r="C66" s="39"/>
      <c r="G66" s="45"/>
      <c r="H66" s="67"/>
      <c r="L66">
        <f>+L65/L63</f>
        <v>0.6875</v>
      </c>
      <c r="P66" s="11"/>
    </row>
    <row r="67" spans="3:24" x14ac:dyDescent="0.25">
      <c r="C67" s="39"/>
      <c r="G67" s="45"/>
      <c r="P67" s="11"/>
    </row>
    <row r="68" spans="3:24" x14ac:dyDescent="0.25">
      <c r="C68" s="39"/>
      <c r="G68" s="45"/>
      <c r="H68" s="55">
        <f>SUM(H6:H59)</f>
        <v>920837479</v>
      </c>
      <c r="I68" s="55">
        <f>SUM(I6:I59)</f>
        <v>736287302</v>
      </c>
      <c r="J68" s="7">
        <f>+I68/H68</f>
        <v>0.79958442047730771</v>
      </c>
      <c r="L68" s="4">
        <f>COUNTA(L6:L59)-H63</f>
        <v>48</v>
      </c>
      <c r="P68" s="11"/>
    </row>
    <row r="69" spans="3:24" x14ac:dyDescent="0.25">
      <c r="C69" s="39"/>
      <c r="G69" s="45"/>
      <c r="L69">
        <f>+L64-H64</f>
        <v>15</v>
      </c>
      <c r="M69" t="s">
        <v>789</v>
      </c>
      <c r="P69" s="11"/>
    </row>
    <row r="70" spans="3:24" x14ac:dyDescent="0.25">
      <c r="C70" s="39"/>
      <c r="G70" s="45"/>
      <c r="L70">
        <f>+L65-H65</f>
        <v>33</v>
      </c>
      <c r="M70" t="s">
        <v>790</v>
      </c>
      <c r="P70" s="11"/>
    </row>
    <row r="71" spans="3:24" x14ac:dyDescent="0.25">
      <c r="C71" s="39"/>
      <c r="G71" s="45"/>
      <c r="L71">
        <f>+L70/L68</f>
        <v>0.6875</v>
      </c>
      <c r="P71" s="11"/>
    </row>
    <row r="72" spans="3:24" x14ac:dyDescent="0.25">
      <c r="C72" s="39"/>
      <c r="G72" s="45"/>
      <c r="P72" s="11"/>
    </row>
    <row r="73" spans="3:24" x14ac:dyDescent="0.25">
      <c r="C73" s="39"/>
      <c r="G73" s="45"/>
      <c r="P73" s="11"/>
    </row>
    <row r="74" spans="3:24" x14ac:dyDescent="0.25">
      <c r="C74" s="39"/>
      <c r="E74" s="125" t="s">
        <v>1168</v>
      </c>
      <c r="F74" s="70" t="str">
        <f>"'15 final"</f>
        <v>'15 final</v>
      </c>
      <c r="G74" s="70" t="str">
        <f>"'16 final"</f>
        <v>'16 final</v>
      </c>
      <c r="H74" s="121" t="str">
        <f>"'17 final"</f>
        <v>'17 final</v>
      </c>
      <c r="I74" s="121" t="str">
        <f>"'18 final"</f>
        <v>'18 final</v>
      </c>
      <c r="J74" s="121" t="str">
        <f>"'19 final"</f>
        <v>'19 final</v>
      </c>
      <c r="K74" s="121"/>
      <c r="L74" s="52"/>
      <c r="P74" s="11"/>
    </row>
    <row r="75" spans="3:24" x14ac:dyDescent="0.25">
      <c r="C75" s="39"/>
      <c r="E75" s="71" t="s">
        <v>800</v>
      </c>
      <c r="F75" s="11">
        <v>36</v>
      </c>
      <c r="G75" s="11">
        <v>43</v>
      </c>
      <c r="H75" s="104">
        <v>65</v>
      </c>
      <c r="I75" s="104">
        <v>56</v>
      </c>
      <c r="J75" s="104">
        <f>+L63</f>
        <v>48</v>
      </c>
      <c r="K75" s="52"/>
      <c r="L75" s="52"/>
      <c r="P75" s="11"/>
    </row>
    <row r="76" spans="3:24" x14ac:dyDescent="0.25">
      <c r="C76" s="39"/>
      <c r="E76" s="72" t="s">
        <v>801</v>
      </c>
      <c r="F76" s="11">
        <v>24</v>
      </c>
      <c r="G76" s="11">
        <v>36</v>
      </c>
      <c r="H76" s="104">
        <v>41</v>
      </c>
      <c r="I76" s="104">
        <v>31</v>
      </c>
      <c r="J76" s="104">
        <v>30</v>
      </c>
      <c r="K76" s="52"/>
      <c r="L76" s="52"/>
      <c r="P76" s="11"/>
    </row>
    <row r="77" spans="3:24" x14ac:dyDescent="0.25">
      <c r="C77" s="39"/>
      <c r="E77" s="72" t="s">
        <v>802</v>
      </c>
      <c r="F77" s="11">
        <v>12</v>
      </c>
      <c r="G77" s="11">
        <v>7</v>
      </c>
      <c r="H77" s="104">
        <v>24</v>
      </c>
      <c r="I77" s="104">
        <v>25</v>
      </c>
      <c r="J77" s="104">
        <v>18</v>
      </c>
      <c r="K77" s="52"/>
      <c r="L77" s="52"/>
      <c r="P77" s="11"/>
    </row>
    <row r="78" spans="3:24" x14ac:dyDescent="0.25">
      <c r="C78" s="39"/>
      <c r="E78" s="72"/>
      <c r="F78" s="11"/>
      <c r="G78" s="11"/>
      <c r="H78" s="104"/>
      <c r="I78" s="104"/>
      <c r="J78" s="104"/>
      <c r="K78" s="52"/>
      <c r="L78" s="52"/>
      <c r="P78" s="11"/>
    </row>
    <row r="79" spans="3:24" x14ac:dyDescent="0.25">
      <c r="C79" s="39"/>
      <c r="E79" s="72" t="s">
        <v>1144</v>
      </c>
      <c r="F79" s="78">
        <v>170</v>
      </c>
      <c r="G79" s="78">
        <v>348.82968799999998</v>
      </c>
      <c r="H79" s="122">
        <v>1039.196416</v>
      </c>
      <c r="I79" s="122">
        <v>925.39306199999999</v>
      </c>
      <c r="J79" s="122">
        <f>SUM(I7:I59)/1000000</f>
        <v>736.28730199999995</v>
      </c>
      <c r="K79" s="52"/>
      <c r="L79" s="52"/>
      <c r="P79" s="11"/>
    </row>
    <row r="80" spans="3:24" x14ac:dyDescent="0.25">
      <c r="C80" s="39"/>
      <c r="E80" s="72" t="s">
        <v>806</v>
      </c>
      <c r="F80" s="75">
        <v>6.416666666666667</v>
      </c>
      <c r="G80" s="75">
        <v>5.8837209302325579</v>
      </c>
      <c r="H80" s="123">
        <v>5.3076923076923075</v>
      </c>
      <c r="I80" s="123">
        <v>4.6607142857142856</v>
      </c>
      <c r="J80" s="123">
        <f>AVERAGE(M6:M59)</f>
        <v>5.666666666666667</v>
      </c>
      <c r="K80" s="331"/>
      <c r="L80" s="332"/>
      <c r="P80" s="11"/>
    </row>
    <row r="81" spans="3:19" x14ac:dyDescent="0.25">
      <c r="C81" s="39"/>
      <c r="E81" s="72" t="s">
        <v>807</v>
      </c>
      <c r="F81" s="74">
        <v>1.024</v>
      </c>
      <c r="G81" s="74">
        <v>0.83587858746624299</v>
      </c>
      <c r="H81" s="124">
        <v>0.92751521347304389</v>
      </c>
      <c r="I81" s="124">
        <v>0.795767097845131</v>
      </c>
      <c r="J81" s="124">
        <f>+J68</f>
        <v>0.79958442047730771</v>
      </c>
      <c r="K81" s="333"/>
      <c r="L81" s="332"/>
      <c r="P81" s="11"/>
    </row>
    <row r="82" spans="3:19" x14ac:dyDescent="0.25">
      <c r="C82" s="39"/>
      <c r="E82" s="72"/>
      <c r="F82" s="11"/>
      <c r="G82" s="11"/>
      <c r="H82" s="104"/>
      <c r="I82" s="104"/>
      <c r="J82" s="104"/>
      <c r="K82" s="334"/>
      <c r="L82" s="332"/>
      <c r="P82" s="11"/>
    </row>
    <row r="83" spans="3:19" x14ac:dyDescent="0.25">
      <c r="C83" s="39"/>
      <c r="E83" s="72" t="s">
        <v>803</v>
      </c>
      <c r="F83" s="74">
        <v>0.55500000000000005</v>
      </c>
      <c r="G83" s="74">
        <v>0.62790697674418605</v>
      </c>
      <c r="H83" s="124">
        <v>0.66153846153846152</v>
      </c>
      <c r="I83" s="270">
        <v>0.5892857142857143</v>
      </c>
      <c r="J83" s="151">
        <f>+L66</f>
        <v>0.6875</v>
      </c>
      <c r="K83" s="335"/>
      <c r="L83" s="332"/>
      <c r="P83" s="11"/>
    </row>
    <row r="84" spans="3:19" x14ac:dyDescent="0.25">
      <c r="C84" s="107">
        <v>10</v>
      </c>
      <c r="D84" s="52" t="s">
        <v>789</v>
      </c>
      <c r="E84" s="72" t="s">
        <v>804</v>
      </c>
      <c r="F84" s="74">
        <v>0.5</v>
      </c>
      <c r="G84" s="74">
        <v>0.63888888888888884</v>
      </c>
      <c r="H84" s="108">
        <v>0.68292682926829273</v>
      </c>
      <c r="I84" s="108">
        <v>0.54838709677419351</v>
      </c>
      <c r="J84" s="152">
        <f>(-C84+J76)/J76</f>
        <v>0.66666666666666663</v>
      </c>
      <c r="K84" s="335"/>
      <c r="L84" s="332"/>
      <c r="P84" s="11"/>
      <c r="S84" s="1" t="s">
        <v>1392</v>
      </c>
    </row>
    <row r="85" spans="3:19" x14ac:dyDescent="0.25">
      <c r="C85" s="107">
        <v>5</v>
      </c>
      <c r="D85" s="52" t="s">
        <v>789</v>
      </c>
      <c r="E85" s="72" t="s">
        <v>805</v>
      </c>
      <c r="F85" s="74">
        <v>0.66700000000000004</v>
      </c>
      <c r="G85" s="74">
        <v>0.5714285714285714</v>
      </c>
      <c r="H85" s="108">
        <v>0.625</v>
      </c>
      <c r="I85" s="108">
        <v>0.64</v>
      </c>
      <c r="J85" s="152">
        <f>(-C85+J77)/J77</f>
        <v>0.72222222222222221</v>
      </c>
      <c r="K85" s="335"/>
      <c r="L85" s="332"/>
      <c r="P85" s="11"/>
      <c r="S85" s="1" t="s">
        <v>1393</v>
      </c>
    </row>
    <row r="86" spans="3:19" x14ac:dyDescent="0.25">
      <c r="C86" s="39"/>
      <c r="E86" s="72"/>
      <c r="F86" s="11"/>
      <c r="G86" s="11"/>
      <c r="H86" s="104"/>
      <c r="I86" s="104"/>
      <c r="J86" s="104"/>
      <c r="K86" s="52"/>
      <c r="L86" s="52"/>
      <c r="P86" s="11"/>
    </row>
    <row r="87" spans="3:19" x14ac:dyDescent="0.25">
      <c r="C87" s="39"/>
      <c r="E87" s="72" t="s">
        <v>1141</v>
      </c>
      <c r="F87" s="11">
        <v>15</v>
      </c>
      <c r="G87" s="11">
        <v>13</v>
      </c>
      <c r="H87" s="104">
        <v>25</v>
      </c>
      <c r="I87" s="104">
        <v>23</v>
      </c>
      <c r="J87" s="104">
        <v>8</v>
      </c>
      <c r="K87" s="52"/>
      <c r="L87" s="52"/>
    </row>
    <row r="88" spans="3:19" x14ac:dyDescent="0.25">
      <c r="E88" s="106" t="s">
        <v>1143</v>
      </c>
      <c r="F88" s="74">
        <f>+F87/F75</f>
        <v>0.41666666666666669</v>
      </c>
      <c r="G88" s="74">
        <f>+G87/G75</f>
        <v>0.30232558139534882</v>
      </c>
      <c r="H88" s="108">
        <v>0.38461538461538464</v>
      </c>
      <c r="I88" s="108">
        <v>0.4107142857142857</v>
      </c>
      <c r="J88" s="108">
        <f>+J87/J75</f>
        <v>0.16666666666666666</v>
      </c>
      <c r="K88" s="52"/>
      <c r="L88" s="52"/>
    </row>
    <row r="89" spans="3:19" x14ac:dyDescent="0.25">
      <c r="C89" s="39"/>
      <c r="E89" s="72" t="s">
        <v>1142</v>
      </c>
      <c r="F89" s="11">
        <v>5</v>
      </c>
      <c r="G89" s="11">
        <v>3</v>
      </c>
      <c r="H89" s="104">
        <v>2</v>
      </c>
      <c r="I89" s="104">
        <v>7</v>
      </c>
      <c r="J89" s="104">
        <v>2</v>
      </c>
      <c r="K89" s="52"/>
      <c r="L89" s="52"/>
    </row>
    <row r="90" spans="3:19" x14ac:dyDescent="0.25">
      <c r="C90" s="39"/>
      <c r="E90" s="106" t="s">
        <v>1169</v>
      </c>
      <c r="F90" s="74">
        <f>+F89/F75</f>
        <v>0.1388888888888889</v>
      </c>
      <c r="G90" s="74">
        <f>+G89/G75</f>
        <v>6.9767441860465115E-2</v>
      </c>
      <c r="H90" s="108">
        <v>3.0769230769230771E-2</v>
      </c>
      <c r="I90" s="108">
        <v>0.125</v>
      </c>
      <c r="J90" s="108">
        <f>+J89/J75</f>
        <v>4.1666666666666664E-2</v>
      </c>
      <c r="K90" s="52"/>
      <c r="L90" s="52"/>
    </row>
    <row r="91" spans="3:19" x14ac:dyDescent="0.25">
      <c r="C91" s="39"/>
      <c r="E91" s="72"/>
      <c r="F91" s="11"/>
      <c r="G91" s="11"/>
    </row>
    <row r="92" spans="3:19" x14ac:dyDescent="0.25">
      <c r="C92" s="39"/>
      <c r="E92" s="72"/>
      <c r="F92" s="11"/>
      <c r="G92" s="11"/>
    </row>
    <row r="93" spans="3:19" x14ac:dyDescent="0.25">
      <c r="C93" s="79"/>
      <c r="D93" s="80"/>
      <c r="E93" s="81"/>
      <c r="F93" s="82"/>
      <c r="G93" s="82"/>
      <c r="H93" s="80"/>
      <c r="I93" s="80"/>
      <c r="J93" s="80"/>
      <c r="K93" s="80"/>
      <c r="L93" s="80"/>
      <c r="M93" s="80"/>
      <c r="N93" s="82"/>
      <c r="O93" s="80"/>
      <c r="P93" s="80"/>
      <c r="Q93" s="80"/>
      <c r="R93" s="80"/>
      <c r="S93" s="80"/>
    </row>
    <row r="94" spans="3:19" x14ac:dyDescent="0.25">
      <c r="C94" s="39"/>
      <c r="E94" s="36"/>
      <c r="G94" s="45"/>
    </row>
    <row r="95" spans="3:19" x14ac:dyDescent="0.25">
      <c r="C95" s="39"/>
      <c r="G95" s="45"/>
    </row>
    <row r="96" spans="3:19" x14ac:dyDescent="0.25">
      <c r="C96" s="39"/>
      <c r="D96" s="31" t="s">
        <v>837</v>
      </c>
      <c r="G96" s="45"/>
    </row>
    <row r="97" spans="3:45" x14ac:dyDescent="0.25">
      <c r="C97" s="39">
        <v>2019</v>
      </c>
      <c r="D97" s="62" t="s">
        <v>1479</v>
      </c>
      <c r="E97" s="63" t="s">
        <v>1480</v>
      </c>
      <c r="F97" s="64">
        <v>43817</v>
      </c>
      <c r="G97" s="65" t="s">
        <v>1225</v>
      </c>
      <c r="H97" s="94">
        <v>700000</v>
      </c>
      <c r="I97" s="94">
        <v>784102</v>
      </c>
      <c r="J97" s="94"/>
      <c r="K97" s="153">
        <v>0.12014571428571429</v>
      </c>
      <c r="L97" s="11" t="s">
        <v>465</v>
      </c>
      <c r="M97" s="15">
        <v>5</v>
      </c>
      <c r="N97" s="35" t="s">
        <v>25</v>
      </c>
      <c r="O97" s="15">
        <v>4</v>
      </c>
      <c r="P97" s="35" t="s">
        <v>457</v>
      </c>
      <c r="Q97" s="35"/>
      <c r="R97" s="15"/>
      <c r="S97" s="24"/>
      <c r="T97" s="109" t="s">
        <v>1226</v>
      </c>
      <c r="U97" s="62"/>
      <c r="V97" s="94">
        <v>999185.2</v>
      </c>
      <c r="W97" s="199">
        <v>0.78474140729866704</v>
      </c>
      <c r="X97" s="15"/>
      <c r="Y97" s="200">
        <v>1.1201457142857143</v>
      </c>
      <c r="Z97" s="11" t="s">
        <v>465</v>
      </c>
      <c r="AA97" s="11"/>
      <c r="AB97" s="15"/>
      <c r="AC97" s="54">
        <v>700000</v>
      </c>
      <c r="AD97" s="54">
        <v>784102</v>
      </c>
      <c r="AE97" s="54">
        <v>-84102</v>
      </c>
      <c r="AG97" s="4"/>
      <c r="AH97" s="4"/>
      <c r="AI97" s="225"/>
      <c r="AJ97" s="226"/>
      <c r="AQ97" s="327" t="e">
        <v>#REF!</v>
      </c>
      <c r="AR97" s="157" t="e">
        <v>#REF!</v>
      </c>
    </row>
    <row r="98" spans="3:45" x14ac:dyDescent="0.25">
      <c r="C98" s="39">
        <v>2019</v>
      </c>
      <c r="D98" s="62" t="s">
        <v>1481</v>
      </c>
      <c r="E98" s="63" t="s">
        <v>1482</v>
      </c>
      <c r="F98" s="64">
        <v>43775</v>
      </c>
      <c r="G98" s="65" t="s">
        <v>1225</v>
      </c>
      <c r="H98" s="94">
        <v>1200000</v>
      </c>
      <c r="I98" s="94">
        <v>1452000</v>
      </c>
      <c r="J98" s="94"/>
      <c r="K98" s="153">
        <v>0.21</v>
      </c>
      <c r="L98" s="11" t="s">
        <v>465</v>
      </c>
      <c r="M98" s="15">
        <v>4</v>
      </c>
      <c r="N98" s="35" t="s">
        <v>25</v>
      </c>
      <c r="O98" s="15">
        <v>4</v>
      </c>
      <c r="P98" s="35" t="s">
        <v>457</v>
      </c>
      <c r="Q98" s="35"/>
      <c r="R98" s="15"/>
      <c r="S98" s="24"/>
      <c r="T98" s="109" t="s">
        <v>1226</v>
      </c>
      <c r="U98" s="62"/>
      <c r="V98" s="94">
        <v>2500075.75</v>
      </c>
      <c r="W98" s="199">
        <v>0.58078240229321054</v>
      </c>
      <c r="X98" s="15"/>
      <c r="Y98" s="200">
        <v>1.21</v>
      </c>
      <c r="Z98" s="11" t="s">
        <v>465</v>
      </c>
      <c r="AA98" s="11"/>
      <c r="AB98" s="15"/>
      <c r="AC98" s="54">
        <v>1200000</v>
      </c>
      <c r="AD98" s="54">
        <v>1452000</v>
      </c>
      <c r="AE98" s="54">
        <v>-252000</v>
      </c>
      <c r="AG98" s="4"/>
      <c r="AH98" s="4"/>
      <c r="AI98" s="225"/>
      <c r="AJ98" s="226"/>
      <c r="AQ98" s="327" t="e">
        <v>#REF!</v>
      </c>
      <c r="AR98" s="157" t="e">
        <v>#REF!</v>
      </c>
    </row>
    <row r="99" spans="3:45" x14ac:dyDescent="0.25">
      <c r="C99" s="39">
        <v>2019</v>
      </c>
      <c r="D99" s="62" t="s">
        <v>1483</v>
      </c>
      <c r="E99" s="63" t="s">
        <v>1484</v>
      </c>
      <c r="F99" s="64">
        <v>43767</v>
      </c>
      <c r="G99" s="65" t="s">
        <v>1225</v>
      </c>
      <c r="H99" s="94">
        <v>1196000</v>
      </c>
      <c r="I99" s="94">
        <v>1241000</v>
      </c>
      <c r="J99" s="94"/>
      <c r="K99" s="153">
        <v>3.7625418060200672E-2</v>
      </c>
      <c r="L99" s="11" t="s">
        <v>464</v>
      </c>
      <c r="M99" s="15">
        <v>3</v>
      </c>
      <c r="N99" s="35" t="s">
        <v>25</v>
      </c>
      <c r="O99" s="15">
        <v>4</v>
      </c>
      <c r="P99" s="35" t="s">
        <v>458</v>
      </c>
      <c r="Q99" s="35"/>
      <c r="R99" s="15"/>
      <c r="S99" s="24"/>
      <c r="T99" s="384" t="s">
        <v>1419</v>
      </c>
      <c r="U99" s="62"/>
      <c r="V99" s="94">
        <v>2354464</v>
      </c>
      <c r="W99" s="199">
        <v>0.52708387131848267</v>
      </c>
      <c r="X99" s="15"/>
      <c r="Y99" s="200">
        <v>1.0376254180602007</v>
      </c>
      <c r="Z99" s="11" t="s">
        <v>465</v>
      </c>
      <c r="AA99" s="11"/>
      <c r="AB99" s="15"/>
      <c r="AC99" s="54">
        <v>1196000</v>
      </c>
      <c r="AD99" s="54">
        <v>1241000</v>
      </c>
      <c r="AE99" s="54">
        <v>-45000</v>
      </c>
      <c r="AG99" s="4"/>
      <c r="AH99" s="4"/>
      <c r="AI99" s="225"/>
      <c r="AJ99" s="226"/>
      <c r="AQ99" s="327" t="e">
        <v>#REF!</v>
      </c>
      <c r="AR99" s="157" t="e">
        <v>#REF!</v>
      </c>
    </row>
    <row r="100" spans="3:45" x14ac:dyDescent="0.25">
      <c r="C100" s="39">
        <v>2019</v>
      </c>
      <c r="D100" s="62" t="s">
        <v>1485</v>
      </c>
      <c r="E100" s="63" t="s">
        <v>1486</v>
      </c>
      <c r="F100" s="64">
        <v>43720</v>
      </c>
      <c r="G100" s="65" t="s">
        <v>1225</v>
      </c>
      <c r="H100" s="94">
        <v>1360000</v>
      </c>
      <c r="I100" s="94">
        <v>1843700</v>
      </c>
      <c r="J100" s="94"/>
      <c r="K100" s="153">
        <v>0.35566176470588234</v>
      </c>
      <c r="L100" s="11" t="s">
        <v>465</v>
      </c>
      <c r="M100" s="15">
        <v>5</v>
      </c>
      <c r="N100" s="35" t="s">
        <v>25</v>
      </c>
      <c r="O100" s="15">
        <v>3</v>
      </c>
      <c r="P100" s="35" t="s">
        <v>457</v>
      </c>
      <c r="Q100" s="35"/>
      <c r="R100" s="15"/>
      <c r="S100" s="24"/>
      <c r="T100" s="385" t="s">
        <v>816</v>
      </c>
      <c r="U100" s="62"/>
      <c r="V100" s="94">
        <v>2763542</v>
      </c>
      <c r="W100" s="199">
        <v>0.66715106917137501</v>
      </c>
      <c r="X100" s="15"/>
      <c r="Y100" s="200">
        <v>1.3556617647058824</v>
      </c>
      <c r="Z100" s="11" t="s">
        <v>465</v>
      </c>
      <c r="AA100" s="11"/>
      <c r="AB100" s="15"/>
      <c r="AC100" s="54">
        <v>1360000</v>
      </c>
      <c r="AD100" s="54">
        <v>1843700</v>
      </c>
      <c r="AE100" s="54">
        <v>-483700</v>
      </c>
      <c r="AG100" s="4"/>
      <c r="AH100" s="4"/>
      <c r="AI100" s="225"/>
      <c r="AJ100" s="226"/>
      <c r="AQ100" s="327" t="e">
        <v>#REF!</v>
      </c>
      <c r="AR100" s="157" t="e">
        <v>#REF!</v>
      </c>
    </row>
    <row r="101" spans="3:45" x14ac:dyDescent="0.25">
      <c r="C101" s="39">
        <v>2019</v>
      </c>
      <c r="D101" s="62" t="s">
        <v>1487</v>
      </c>
      <c r="E101" s="63" t="s">
        <v>1488</v>
      </c>
      <c r="F101" s="64">
        <v>43704</v>
      </c>
      <c r="G101" s="65" t="s">
        <v>1225</v>
      </c>
      <c r="H101" s="94">
        <v>1260000</v>
      </c>
      <c r="I101" s="94">
        <v>1201422</v>
      </c>
      <c r="J101" s="94"/>
      <c r="K101" s="153">
        <v>-4.6490476190476193E-2</v>
      </c>
      <c r="L101" s="11" t="s">
        <v>464</v>
      </c>
      <c r="M101" s="15">
        <v>6</v>
      </c>
      <c r="N101" s="35" t="s">
        <v>25</v>
      </c>
      <c r="O101" s="15">
        <v>3</v>
      </c>
      <c r="P101" s="35" t="s">
        <v>492</v>
      </c>
      <c r="Q101" s="35"/>
      <c r="R101" s="15"/>
      <c r="S101" s="24"/>
      <c r="T101" s="384" t="s">
        <v>1419</v>
      </c>
      <c r="U101" s="62"/>
      <c r="V101" s="94">
        <v>2091721.1666666667</v>
      </c>
      <c r="W101" s="199">
        <v>0.57437005426233112</v>
      </c>
      <c r="X101" s="15"/>
      <c r="Y101" s="200">
        <v>0.95350952380952381</v>
      </c>
      <c r="Z101" s="11" t="s">
        <v>465</v>
      </c>
      <c r="AA101" s="11"/>
      <c r="AB101" s="15"/>
      <c r="AC101" s="54">
        <v>1260000</v>
      </c>
      <c r="AD101" s="54">
        <v>1201422</v>
      </c>
      <c r="AE101" s="54">
        <v>58578</v>
      </c>
      <c r="AG101" s="4"/>
      <c r="AH101" s="4"/>
      <c r="AI101" s="225"/>
      <c r="AJ101" s="226"/>
      <c r="AQ101" s="327" t="e">
        <v>#REF!</v>
      </c>
      <c r="AR101" s="157" t="e">
        <v>#REF!</v>
      </c>
    </row>
    <row r="102" spans="3:45" x14ac:dyDescent="0.25">
      <c r="C102" s="39">
        <v>2019</v>
      </c>
      <c r="D102" s="62" t="s">
        <v>1489</v>
      </c>
      <c r="E102" s="63" t="s">
        <v>1490</v>
      </c>
      <c r="F102" s="64">
        <v>43700</v>
      </c>
      <c r="G102" s="65" t="s">
        <v>34</v>
      </c>
      <c r="H102" s="94">
        <v>55300000</v>
      </c>
      <c r="I102" s="94">
        <v>43999000</v>
      </c>
      <c r="J102" s="94"/>
      <c r="K102" s="153">
        <v>-0.20435804701627486</v>
      </c>
      <c r="L102" s="11" t="s">
        <v>464</v>
      </c>
      <c r="M102" s="15">
        <v>5</v>
      </c>
      <c r="N102" s="35" t="s">
        <v>25</v>
      </c>
      <c r="O102" s="15">
        <v>3</v>
      </c>
      <c r="P102" s="35" t="s">
        <v>458</v>
      </c>
      <c r="Q102" s="35"/>
      <c r="R102" s="15"/>
      <c r="S102" s="24"/>
      <c r="T102" s="386" t="s">
        <v>447</v>
      </c>
      <c r="U102" s="62"/>
      <c r="V102" s="94">
        <v>50531448</v>
      </c>
      <c r="W102" s="199">
        <v>0.87072509776486118</v>
      </c>
      <c r="X102" s="15"/>
      <c r="Y102" s="200">
        <v>0.79564195298372509</v>
      </c>
      <c r="Z102" s="11" t="s">
        <v>465</v>
      </c>
      <c r="AA102" s="11"/>
      <c r="AB102" s="15"/>
      <c r="AC102" s="54">
        <v>55300000</v>
      </c>
      <c r="AD102" s="54">
        <v>43999000</v>
      </c>
      <c r="AE102" s="54">
        <v>11301000</v>
      </c>
      <c r="AG102" s="4"/>
      <c r="AH102" s="4"/>
      <c r="AI102" s="225"/>
      <c r="AJ102" s="226"/>
      <c r="AQ102" s="327" t="e">
        <v>#REF!</v>
      </c>
      <c r="AR102" s="157" t="e">
        <v>#REF!</v>
      </c>
    </row>
    <row r="103" spans="3:45" x14ac:dyDescent="0.25">
      <c r="C103" s="39">
        <v>2019</v>
      </c>
      <c r="D103" s="62" t="s">
        <v>1491</v>
      </c>
      <c r="E103" s="63" t="s">
        <v>1492</v>
      </c>
      <c r="F103" s="64">
        <v>43690</v>
      </c>
      <c r="G103" s="65" t="s">
        <v>34</v>
      </c>
      <c r="H103" s="94">
        <v>21500000</v>
      </c>
      <c r="I103" s="94">
        <v>23111450</v>
      </c>
      <c r="J103" s="94"/>
      <c r="K103" s="153">
        <v>7.4951162790697676E-2</v>
      </c>
      <c r="L103" s="11" t="s">
        <v>464</v>
      </c>
      <c r="M103" s="15">
        <v>7</v>
      </c>
      <c r="N103" s="35" t="s">
        <v>25</v>
      </c>
      <c r="O103" s="15">
        <v>3</v>
      </c>
      <c r="P103" s="35" t="s">
        <v>459</v>
      </c>
      <c r="Q103" s="35"/>
      <c r="R103" s="15"/>
      <c r="S103" s="24"/>
      <c r="T103" s="386" t="s">
        <v>447</v>
      </c>
      <c r="U103" s="62"/>
      <c r="V103" s="94">
        <v>29457812.428571429</v>
      </c>
      <c r="W103" s="199">
        <v>0.78456097363102129</v>
      </c>
      <c r="X103" s="15"/>
      <c r="Y103" s="200">
        <v>1.0749511627906976</v>
      </c>
      <c r="Z103" s="11" t="s">
        <v>465</v>
      </c>
      <c r="AA103" s="11"/>
      <c r="AB103" s="15"/>
      <c r="AC103" s="54">
        <v>21500000</v>
      </c>
      <c r="AD103" s="54">
        <v>23111450</v>
      </c>
      <c r="AE103" s="54">
        <v>-1611450</v>
      </c>
      <c r="AG103" s="4"/>
      <c r="AH103" s="4"/>
      <c r="AI103" s="225"/>
      <c r="AJ103" s="226"/>
      <c r="AQ103" s="327" t="e">
        <v>#REF!</v>
      </c>
      <c r="AR103" s="157" t="e">
        <v>#REF!</v>
      </c>
    </row>
    <row r="104" spans="3:45" x14ac:dyDescent="0.25">
      <c r="C104" s="39">
        <v>2019</v>
      </c>
      <c r="D104" s="62" t="s">
        <v>1493</v>
      </c>
      <c r="E104" s="63" t="s">
        <v>1494</v>
      </c>
      <c r="F104" s="64">
        <v>43664</v>
      </c>
      <c r="G104" s="65" t="s">
        <v>34</v>
      </c>
      <c r="H104" s="94">
        <v>5660000</v>
      </c>
      <c r="I104" s="94">
        <v>3930000</v>
      </c>
      <c r="J104" s="94"/>
      <c r="K104" s="153">
        <v>-0.30565371024734983</v>
      </c>
      <c r="L104" s="11" t="s">
        <v>464</v>
      </c>
      <c r="M104" s="15">
        <v>4</v>
      </c>
      <c r="N104" s="35" t="s">
        <v>25</v>
      </c>
      <c r="O104" s="15">
        <v>3</v>
      </c>
      <c r="P104" s="35" t="s">
        <v>492</v>
      </c>
      <c r="Q104" s="35"/>
      <c r="R104" s="15"/>
      <c r="S104" s="24"/>
      <c r="T104" s="249" t="s">
        <v>1405</v>
      </c>
      <c r="U104" s="62"/>
      <c r="V104" s="94">
        <v>5605196.25</v>
      </c>
      <c r="W104" s="199">
        <v>0.70113512974679526</v>
      </c>
      <c r="X104" s="15"/>
      <c r="Y104" s="200">
        <v>0.69434628975265023</v>
      </c>
      <c r="Z104" s="11" t="s">
        <v>465</v>
      </c>
      <c r="AA104" s="11"/>
      <c r="AB104" s="15"/>
      <c r="AC104" s="54">
        <v>5660000</v>
      </c>
      <c r="AD104" s="54">
        <v>3930000</v>
      </c>
      <c r="AE104" s="54">
        <v>1730000</v>
      </c>
      <c r="AG104" s="4"/>
      <c r="AH104" s="4"/>
      <c r="AI104" s="225"/>
      <c r="AJ104" s="226"/>
      <c r="AQ104" s="327" t="e">
        <v>#REF!</v>
      </c>
      <c r="AR104" s="157" t="e">
        <v>#REF!</v>
      </c>
    </row>
    <row r="105" spans="3:45" x14ac:dyDescent="0.25">
      <c r="C105" s="39">
        <v>2019</v>
      </c>
      <c r="D105" s="62" t="s">
        <v>1495</v>
      </c>
      <c r="E105" s="63" t="s">
        <v>1496</v>
      </c>
      <c r="F105" s="64">
        <v>43662</v>
      </c>
      <c r="G105" s="65" t="s">
        <v>1225</v>
      </c>
      <c r="H105" s="94">
        <v>2060000</v>
      </c>
      <c r="I105" s="94">
        <v>2899873</v>
      </c>
      <c r="J105" s="94"/>
      <c r="K105" s="153">
        <v>0.40770533980582524</v>
      </c>
      <c r="L105" s="11" t="s">
        <v>465</v>
      </c>
      <c r="M105" s="15">
        <v>4</v>
      </c>
      <c r="N105" s="35" t="s">
        <v>25</v>
      </c>
      <c r="O105" s="15">
        <v>3</v>
      </c>
      <c r="P105" s="35" t="s">
        <v>457</v>
      </c>
      <c r="Q105" s="35"/>
      <c r="R105" s="15"/>
      <c r="S105" s="24"/>
      <c r="T105" s="249" t="s">
        <v>1405</v>
      </c>
      <c r="U105" s="62"/>
      <c r="V105" s="94">
        <v>4043908.25</v>
      </c>
      <c r="W105" s="199">
        <v>0.71709663541451518</v>
      </c>
      <c r="X105" s="15"/>
      <c r="Y105" s="200">
        <v>1.4077053398058252</v>
      </c>
      <c r="Z105" s="11" t="s">
        <v>465</v>
      </c>
      <c r="AA105" s="11"/>
      <c r="AB105" s="15"/>
      <c r="AC105" s="54">
        <v>2060000</v>
      </c>
      <c r="AD105" s="54">
        <v>2899873</v>
      </c>
      <c r="AE105" s="54">
        <v>-839873</v>
      </c>
      <c r="AG105" s="4"/>
      <c r="AH105" s="4"/>
      <c r="AI105" s="225"/>
      <c r="AJ105" s="226"/>
      <c r="AQ105" s="327" t="e">
        <v>#REF!</v>
      </c>
      <c r="AR105" s="157" t="e">
        <v>#REF!</v>
      </c>
    </row>
    <row r="106" spans="3:45" x14ac:dyDescent="0.25">
      <c r="C106" s="39">
        <v>2019</v>
      </c>
      <c r="D106" s="62" t="s">
        <v>1415</v>
      </c>
      <c r="E106" s="63" t="s">
        <v>1416</v>
      </c>
      <c r="F106" s="64">
        <v>43641</v>
      </c>
      <c r="G106" s="65" t="s">
        <v>34</v>
      </c>
      <c r="H106" s="94">
        <v>5280000</v>
      </c>
      <c r="I106" s="94">
        <v>5097757</v>
      </c>
      <c r="J106" s="94"/>
      <c r="K106" s="153">
        <v>-3.4515719696969697E-2</v>
      </c>
      <c r="L106" s="11" t="s">
        <v>464</v>
      </c>
      <c r="M106" s="15">
        <v>14</v>
      </c>
      <c r="N106" s="35" t="s">
        <v>25</v>
      </c>
      <c r="O106" s="15">
        <v>2</v>
      </c>
      <c r="P106" s="35" t="s">
        <v>492</v>
      </c>
      <c r="Q106" s="35"/>
      <c r="R106" s="15"/>
      <c r="S106" s="24"/>
      <c r="T106" s="385" t="s">
        <v>816</v>
      </c>
      <c r="U106" s="62"/>
      <c r="V106" s="94">
        <v>7104621.7857142854</v>
      </c>
      <c r="W106" s="199">
        <v>0.71752686543432675</v>
      </c>
      <c r="X106" s="15"/>
      <c r="Y106" s="200">
        <v>0.96548428030303035</v>
      </c>
      <c r="Z106" s="11" t="s">
        <v>465</v>
      </c>
      <c r="AA106" s="11"/>
      <c r="AB106" s="15"/>
      <c r="AC106" s="54">
        <v>5280000</v>
      </c>
      <c r="AD106" s="54">
        <v>5097757</v>
      </c>
      <c r="AE106" s="54">
        <v>182243</v>
      </c>
      <c r="AG106" s="4"/>
      <c r="AH106" s="4"/>
      <c r="AI106" s="225"/>
      <c r="AJ106" s="226"/>
      <c r="AQ106" s="327" t="e">
        <v>#REF!</v>
      </c>
      <c r="AR106" s="157" t="e">
        <v>#REF!</v>
      </c>
      <c r="AS106" s="104"/>
    </row>
    <row r="107" spans="3:45" x14ac:dyDescent="0.25">
      <c r="C107" s="39">
        <v>2019</v>
      </c>
      <c r="D107" s="62" t="s">
        <v>1417</v>
      </c>
      <c r="E107" s="63" t="s">
        <v>1418</v>
      </c>
      <c r="F107" s="64">
        <v>43628</v>
      </c>
      <c r="G107" s="65" t="s">
        <v>34</v>
      </c>
      <c r="H107" s="94">
        <v>3250000</v>
      </c>
      <c r="I107" s="94">
        <v>3845000</v>
      </c>
      <c r="J107" s="94"/>
      <c r="K107" s="153">
        <v>0.18307692307692308</v>
      </c>
      <c r="L107" s="11" t="s">
        <v>465</v>
      </c>
      <c r="M107" s="15">
        <v>6</v>
      </c>
      <c r="N107" s="35" t="s">
        <v>25</v>
      </c>
      <c r="O107" s="15">
        <v>2</v>
      </c>
      <c r="P107" s="35" t="s">
        <v>457</v>
      </c>
      <c r="Q107" s="35"/>
      <c r="R107" s="15"/>
      <c r="S107" s="24"/>
      <c r="T107" s="384" t="s">
        <v>1419</v>
      </c>
      <c r="U107" s="62"/>
      <c r="V107" s="94">
        <v>5595333.333333333</v>
      </c>
      <c r="W107" s="199">
        <v>0.6871797926843799</v>
      </c>
      <c r="X107" s="15"/>
      <c r="Y107" s="200">
        <v>1.1830769230769231</v>
      </c>
      <c r="Z107" s="11" t="s">
        <v>465</v>
      </c>
      <c r="AA107" s="11"/>
      <c r="AB107" s="15"/>
      <c r="AC107" s="54">
        <v>3250000</v>
      </c>
      <c r="AD107" s="54">
        <v>3845000</v>
      </c>
      <c r="AE107" s="54">
        <v>-595000</v>
      </c>
      <c r="AG107" s="4"/>
      <c r="AH107" s="4"/>
      <c r="AI107" s="225"/>
      <c r="AJ107" s="226"/>
      <c r="AQ107" s="327" t="e">
        <v>#REF!</v>
      </c>
      <c r="AR107" s="157" t="e">
        <v>#REF!</v>
      </c>
      <c r="AS107" s="104"/>
    </row>
    <row r="108" spans="3:45" x14ac:dyDescent="0.25">
      <c r="C108" s="39">
        <v>2019</v>
      </c>
      <c r="D108" s="62" t="s">
        <v>1424</v>
      </c>
      <c r="E108" s="63" t="s">
        <v>1425</v>
      </c>
      <c r="F108" s="64">
        <v>43593</v>
      </c>
      <c r="G108" s="65" t="s">
        <v>34</v>
      </c>
      <c r="H108" s="94">
        <v>18800000</v>
      </c>
      <c r="I108" s="94">
        <v>14551682</v>
      </c>
      <c r="J108" s="94"/>
      <c r="K108" s="153">
        <v>-0.22597436170212765</v>
      </c>
      <c r="L108" s="11" t="s">
        <v>464</v>
      </c>
      <c r="M108" s="15">
        <v>11</v>
      </c>
      <c r="N108" s="35" t="s">
        <v>25</v>
      </c>
      <c r="O108" s="15">
        <v>2</v>
      </c>
      <c r="P108" s="35" t="s">
        <v>459</v>
      </c>
      <c r="Q108" s="35"/>
      <c r="R108" s="15"/>
      <c r="S108" s="24" t="s">
        <v>1477</v>
      </c>
      <c r="T108" s="386" t="s">
        <v>447</v>
      </c>
      <c r="U108" s="62"/>
      <c r="V108" s="94">
        <v>17337811.181818184</v>
      </c>
      <c r="W108" s="199">
        <v>0.83930329194379849</v>
      </c>
      <c r="X108" s="15"/>
      <c r="Y108" s="200">
        <v>0.7740256382978723</v>
      </c>
      <c r="Z108" s="11" t="s">
        <v>465</v>
      </c>
      <c r="AA108" s="11"/>
      <c r="AB108" s="15"/>
      <c r="AC108" s="54">
        <v>18800000</v>
      </c>
      <c r="AD108" s="54">
        <v>14551682</v>
      </c>
      <c r="AE108" s="54">
        <v>4248318</v>
      </c>
      <c r="AG108" s="4"/>
      <c r="AH108" s="4"/>
      <c r="AI108" s="225"/>
      <c r="AJ108" s="226"/>
      <c r="AQ108" s="327" t="e">
        <v>#REF!</v>
      </c>
      <c r="AR108" s="157" t="e">
        <v>#REF!</v>
      </c>
      <c r="AS108" s="104"/>
    </row>
    <row r="109" spans="3:45" x14ac:dyDescent="0.25">
      <c r="C109" s="39">
        <v>2019</v>
      </c>
      <c r="D109" s="62" t="s">
        <v>1406</v>
      </c>
      <c r="E109" s="63" t="s">
        <v>1407</v>
      </c>
      <c r="F109" s="64">
        <v>43587</v>
      </c>
      <c r="G109" s="65" t="s">
        <v>190</v>
      </c>
      <c r="H109" s="94">
        <v>38200000</v>
      </c>
      <c r="I109" s="94">
        <v>40811000</v>
      </c>
      <c r="J109" s="94"/>
      <c r="K109" s="153">
        <v>6.8350785340314135E-2</v>
      </c>
      <c r="L109" s="11" t="s">
        <v>464</v>
      </c>
      <c r="M109" s="15">
        <v>5</v>
      </c>
      <c r="N109" s="35" t="s">
        <v>25</v>
      </c>
      <c r="O109" s="15">
        <v>2</v>
      </c>
      <c r="P109" s="35" t="s">
        <v>459</v>
      </c>
      <c r="Q109" s="35"/>
      <c r="R109" s="15"/>
      <c r="S109" s="24"/>
      <c r="T109" s="386" t="s">
        <v>447</v>
      </c>
      <c r="U109" s="62"/>
      <c r="V109" s="94">
        <v>42801714</v>
      </c>
      <c r="W109" s="199">
        <v>0.95348985323344759</v>
      </c>
      <c r="X109" s="15"/>
      <c r="Y109" s="200">
        <v>1.0683507853403142</v>
      </c>
      <c r="Z109" s="11" t="s">
        <v>465</v>
      </c>
      <c r="AA109" s="11"/>
      <c r="AB109" s="15"/>
      <c r="AC109" s="54">
        <v>38200000</v>
      </c>
      <c r="AD109" s="54">
        <v>40811000</v>
      </c>
      <c r="AE109" s="54">
        <v>-2611000</v>
      </c>
      <c r="AG109" s="4"/>
      <c r="AH109" s="4"/>
      <c r="AI109" s="225"/>
      <c r="AJ109" s="226"/>
      <c r="AQ109" s="327" t="e">
        <v>#REF!</v>
      </c>
      <c r="AR109" s="157" t="e">
        <v>#REF!</v>
      </c>
      <c r="AS109" s="104"/>
    </row>
    <row r="110" spans="3:45" x14ac:dyDescent="0.25">
      <c r="C110" s="39">
        <v>2019</v>
      </c>
      <c r="D110" s="62" t="s">
        <v>1408</v>
      </c>
      <c r="E110" s="63" t="s">
        <v>1409</v>
      </c>
      <c r="F110" s="64">
        <v>43586</v>
      </c>
      <c r="G110" s="65" t="s">
        <v>190</v>
      </c>
      <c r="H110" s="94">
        <v>44840000</v>
      </c>
      <c r="I110" s="94">
        <v>48311245</v>
      </c>
      <c r="J110" s="94"/>
      <c r="K110" s="153">
        <v>7.741402765388046E-2</v>
      </c>
      <c r="L110" s="11" t="s">
        <v>464</v>
      </c>
      <c r="M110" s="15">
        <v>7</v>
      </c>
      <c r="N110" s="35" t="s">
        <v>25</v>
      </c>
      <c r="O110" s="15">
        <v>2</v>
      </c>
      <c r="P110" s="35" t="s">
        <v>459</v>
      </c>
      <c r="Q110" s="35"/>
      <c r="R110" s="15"/>
      <c r="S110" s="24"/>
      <c r="T110" s="386" t="s">
        <v>447</v>
      </c>
      <c r="U110" s="62"/>
      <c r="V110" s="94">
        <v>57681258.285714284</v>
      </c>
      <c r="W110" s="199">
        <v>0.83755532448162762</v>
      </c>
      <c r="X110" s="15"/>
      <c r="Y110" s="200">
        <v>1.0774140276538804</v>
      </c>
      <c r="Z110" s="11" t="s">
        <v>465</v>
      </c>
      <c r="AA110" s="11"/>
      <c r="AB110" s="15"/>
      <c r="AC110" s="54">
        <v>44840000</v>
      </c>
      <c r="AD110" s="54">
        <v>48311245</v>
      </c>
      <c r="AE110" s="54">
        <v>-3471245</v>
      </c>
      <c r="AG110" s="4"/>
      <c r="AH110" s="4"/>
      <c r="AI110" s="225"/>
      <c r="AJ110" s="226"/>
      <c r="AQ110" s="327" t="e">
        <v>#REF!</v>
      </c>
      <c r="AR110" s="157" t="e">
        <v>#REF!</v>
      </c>
      <c r="AS110" s="104"/>
    </row>
    <row r="111" spans="3:45" x14ac:dyDescent="0.25">
      <c r="C111" s="39">
        <v>2019</v>
      </c>
      <c r="D111" s="62" t="s">
        <v>1428</v>
      </c>
      <c r="E111" s="63" t="s">
        <v>1429</v>
      </c>
      <c r="F111" s="64">
        <v>43571</v>
      </c>
      <c r="G111" s="65" t="s">
        <v>34</v>
      </c>
      <c r="H111" s="94">
        <v>1200000</v>
      </c>
      <c r="I111" s="94">
        <v>1738750</v>
      </c>
      <c r="J111" s="94"/>
      <c r="K111" s="153">
        <v>0.44895833333333335</v>
      </c>
      <c r="L111" s="11" t="s">
        <v>465</v>
      </c>
      <c r="M111" s="15">
        <v>4</v>
      </c>
      <c r="N111" s="35" t="s">
        <v>25</v>
      </c>
      <c r="O111" s="15">
        <v>2</v>
      </c>
      <c r="P111" s="35" t="s">
        <v>457</v>
      </c>
      <c r="Q111" s="35"/>
      <c r="R111" s="15"/>
      <c r="S111" s="24"/>
      <c r="T111" s="387" t="s">
        <v>784</v>
      </c>
      <c r="U111" s="62"/>
      <c r="V111" s="94">
        <v>2084917.5</v>
      </c>
      <c r="W111" s="199">
        <v>0.83396585236586096</v>
      </c>
      <c r="X111" s="15"/>
      <c r="Y111" s="200">
        <v>1.4489583333333333</v>
      </c>
      <c r="Z111" s="11" t="s">
        <v>465</v>
      </c>
      <c r="AA111" s="11"/>
      <c r="AB111" s="15"/>
      <c r="AC111" s="54">
        <v>1200000</v>
      </c>
      <c r="AD111" s="54">
        <v>1738750</v>
      </c>
      <c r="AE111" s="54">
        <v>-538750</v>
      </c>
      <c r="AG111" s="4"/>
      <c r="AH111" s="4"/>
      <c r="AI111" s="225"/>
      <c r="AJ111" s="226"/>
      <c r="AQ111" s="327" t="e">
        <v>#REF!</v>
      </c>
      <c r="AR111" s="157" t="e">
        <v>#REF!</v>
      </c>
      <c r="AS111" s="104"/>
    </row>
    <row r="112" spans="3:45" x14ac:dyDescent="0.25">
      <c r="C112" s="39">
        <v>2019</v>
      </c>
      <c r="D112" s="62" t="s">
        <v>1394</v>
      </c>
      <c r="E112" s="63" t="s">
        <v>1395</v>
      </c>
      <c r="F112" s="64">
        <v>43567</v>
      </c>
      <c r="G112" s="65" t="s">
        <v>1225</v>
      </c>
      <c r="H112" s="94">
        <v>1216000</v>
      </c>
      <c r="I112" s="94">
        <v>1300529</v>
      </c>
      <c r="J112" s="94"/>
      <c r="K112" s="153">
        <v>6.9513980263157901E-2</v>
      </c>
      <c r="L112" s="11" t="s">
        <v>464</v>
      </c>
      <c r="M112" s="15">
        <v>4</v>
      </c>
      <c r="N112" s="35" t="s">
        <v>25</v>
      </c>
      <c r="O112" s="15">
        <v>2</v>
      </c>
      <c r="P112" s="35" t="s">
        <v>459</v>
      </c>
      <c r="Q112" s="35"/>
      <c r="R112" s="15"/>
      <c r="S112" s="24"/>
      <c r="T112" s="386" t="s">
        <v>447</v>
      </c>
      <c r="U112" s="62"/>
      <c r="V112" s="94">
        <v>2569805</v>
      </c>
      <c r="W112" s="199">
        <v>0.50608081157908869</v>
      </c>
      <c r="X112" s="15"/>
      <c r="Y112" s="200">
        <v>1.0695139802631579</v>
      </c>
      <c r="Z112" s="11" t="s">
        <v>465</v>
      </c>
      <c r="AA112" s="11"/>
      <c r="AB112" s="15"/>
      <c r="AC112" s="54">
        <v>1216000</v>
      </c>
      <c r="AD112" s="54">
        <v>1300529</v>
      </c>
      <c r="AE112" s="54">
        <v>-84529</v>
      </c>
      <c r="AG112" s="4"/>
      <c r="AH112" s="4"/>
      <c r="AI112" s="225"/>
      <c r="AJ112" s="226"/>
      <c r="AQ112" s="327" t="e">
        <v>#REF!</v>
      </c>
      <c r="AR112" s="157" t="e">
        <v>#REF!</v>
      </c>
      <c r="AS112" s="104"/>
    </row>
    <row r="113" spans="2:45" x14ac:dyDescent="0.25">
      <c r="B113" s="203">
        <v>0.75</v>
      </c>
      <c r="C113" s="39">
        <v>2019</v>
      </c>
      <c r="D113" s="62" t="s">
        <v>1432</v>
      </c>
      <c r="E113" s="63" t="s">
        <v>1433</v>
      </c>
      <c r="F113" s="64">
        <v>43565</v>
      </c>
      <c r="G113" s="65" t="s">
        <v>34</v>
      </c>
      <c r="H113" s="94">
        <v>1090000</v>
      </c>
      <c r="I113" s="94">
        <v>1142000</v>
      </c>
      <c r="J113" s="94"/>
      <c r="K113" s="153">
        <v>4.7706422018348627E-2</v>
      </c>
      <c r="L113" s="11" t="s">
        <v>464</v>
      </c>
      <c r="M113" s="15">
        <v>3</v>
      </c>
      <c r="N113" s="35" t="s">
        <v>25</v>
      </c>
      <c r="O113" s="15">
        <v>2</v>
      </c>
      <c r="P113" s="35" t="s">
        <v>459</v>
      </c>
      <c r="Q113" s="35"/>
      <c r="R113" s="15"/>
      <c r="S113" s="24"/>
      <c r="T113" s="386" t="s">
        <v>447</v>
      </c>
      <c r="U113" s="62"/>
      <c r="V113" s="94">
        <v>1292823.3333333333</v>
      </c>
      <c r="W113" s="199">
        <v>0.88333801731094996</v>
      </c>
      <c r="X113" s="15"/>
      <c r="Y113" s="200">
        <v>1.0477064220183485</v>
      </c>
      <c r="Z113" s="11" t="s">
        <v>465</v>
      </c>
      <c r="AA113" s="11"/>
      <c r="AB113" s="15"/>
      <c r="AC113" s="54">
        <v>1090000</v>
      </c>
      <c r="AD113" s="54">
        <v>1142000</v>
      </c>
      <c r="AE113" s="54">
        <v>-52000</v>
      </c>
      <c r="AG113" s="4">
        <v>140586000</v>
      </c>
      <c r="AH113" s="4">
        <v>143985773</v>
      </c>
      <c r="AI113" s="204">
        <v>1.0241828702715776</v>
      </c>
      <c r="AJ113" s="1" t="s">
        <v>1240</v>
      </c>
      <c r="AK113" s="205">
        <v>361221500</v>
      </c>
      <c r="AL113" s="205">
        <v>328069838</v>
      </c>
      <c r="AM113" s="211">
        <v>0.90822345292292961</v>
      </c>
      <c r="AN113" s="212"/>
      <c r="AO113" s="213"/>
      <c r="AQ113" s="327" t="e">
        <v>#REF!</v>
      </c>
      <c r="AR113" s="157" t="e">
        <v>#REF!</v>
      </c>
      <c r="AS113" s="104"/>
    </row>
    <row r="114" spans="2:45" x14ac:dyDescent="0.25">
      <c r="C114" s="39">
        <v>2019</v>
      </c>
      <c r="D114" s="62" t="s">
        <v>1497</v>
      </c>
      <c r="E114" s="63" t="s">
        <v>1396</v>
      </c>
      <c r="F114" s="64">
        <v>43545</v>
      </c>
      <c r="G114" s="65" t="s">
        <v>1225</v>
      </c>
      <c r="H114" s="94">
        <v>1151000</v>
      </c>
      <c r="I114" s="94">
        <v>1762891</v>
      </c>
      <c r="J114" s="94"/>
      <c r="K114" s="153">
        <v>0.53161685490877497</v>
      </c>
      <c r="L114" s="11" t="s">
        <v>465</v>
      </c>
      <c r="M114" s="15">
        <v>4</v>
      </c>
      <c r="N114" s="35" t="s">
        <v>25</v>
      </c>
      <c r="O114" s="15">
        <v>1</v>
      </c>
      <c r="P114" s="35" t="s">
        <v>457</v>
      </c>
      <c r="Q114" s="35"/>
      <c r="R114" s="15"/>
      <c r="S114" s="24"/>
      <c r="T114" s="109" t="s">
        <v>1226</v>
      </c>
      <c r="U114" s="62"/>
      <c r="V114" s="94">
        <v>2446945.25</v>
      </c>
      <c r="W114" s="199">
        <v>0.72044562500938669</v>
      </c>
      <c r="X114" s="15"/>
      <c r="Y114" s="200">
        <v>1.531616854908775</v>
      </c>
      <c r="Z114" s="11" t="s">
        <v>465</v>
      </c>
      <c r="AA114" s="11"/>
      <c r="AB114" s="15"/>
      <c r="AC114" s="54">
        <v>1151000</v>
      </c>
      <c r="AD114" s="54">
        <v>1762891</v>
      </c>
      <c r="AE114" s="54">
        <v>-611891</v>
      </c>
      <c r="AG114" s="4"/>
      <c r="AH114" s="4"/>
      <c r="AI114" s="225"/>
      <c r="AJ114" s="226"/>
      <c r="AQ114" s="327" t="e">
        <v>#REF!</v>
      </c>
      <c r="AR114" s="157" t="e">
        <v>#REF!</v>
      </c>
    </row>
    <row r="115" spans="2:45" x14ac:dyDescent="0.25">
      <c r="C115" s="39">
        <v>2019</v>
      </c>
      <c r="D115" s="62" t="s">
        <v>1439</v>
      </c>
      <c r="E115" s="63" t="s">
        <v>1440</v>
      </c>
      <c r="F115" s="64">
        <v>43517</v>
      </c>
      <c r="G115" s="65" t="s">
        <v>34</v>
      </c>
      <c r="H115" s="94">
        <v>4450000</v>
      </c>
      <c r="I115" s="94">
        <v>5282906</v>
      </c>
      <c r="J115" s="94"/>
      <c r="K115" s="153">
        <v>0.18716988764044945</v>
      </c>
      <c r="L115" s="11" t="s">
        <v>465</v>
      </c>
      <c r="M115" s="15">
        <v>7</v>
      </c>
      <c r="N115" s="35" t="s">
        <v>25</v>
      </c>
      <c r="O115" s="15">
        <v>1</v>
      </c>
      <c r="P115" s="35" t="s">
        <v>492</v>
      </c>
      <c r="Q115" s="35"/>
      <c r="R115" s="15"/>
      <c r="S115" s="24"/>
      <c r="T115" s="385" t="s">
        <v>816</v>
      </c>
      <c r="U115" s="62"/>
      <c r="V115" s="94">
        <v>7461118.4285714282</v>
      </c>
      <c r="W115" s="199">
        <v>0.70805818867179027</v>
      </c>
      <c r="X115" s="15"/>
      <c r="Y115" s="200">
        <v>1.1871698876404495</v>
      </c>
      <c r="Z115" s="11" t="s">
        <v>465</v>
      </c>
      <c r="AA115" s="11"/>
      <c r="AB115" s="15"/>
      <c r="AC115" s="54">
        <v>4450000</v>
      </c>
      <c r="AD115" s="54">
        <v>5282906</v>
      </c>
      <c r="AE115" s="54">
        <v>-832906</v>
      </c>
      <c r="AG115" s="4"/>
      <c r="AH115" s="4"/>
      <c r="AI115" s="225"/>
      <c r="AJ115" s="226"/>
      <c r="AQ115" s="327" t="e">
        <v>#REF!</v>
      </c>
      <c r="AR115" s="157" t="e">
        <v>#REF!</v>
      </c>
    </row>
    <row r="116" spans="2:45" x14ac:dyDescent="0.25">
      <c r="C116" s="39">
        <v>2019</v>
      </c>
      <c r="D116" s="62" t="s">
        <v>1399</v>
      </c>
      <c r="E116" s="63" t="s">
        <v>1400</v>
      </c>
      <c r="F116" s="64">
        <v>43503</v>
      </c>
      <c r="G116" s="65" t="s">
        <v>1225</v>
      </c>
      <c r="H116" s="94">
        <v>1130000</v>
      </c>
      <c r="I116" s="94">
        <v>1686000</v>
      </c>
      <c r="J116" s="94"/>
      <c r="K116" s="153">
        <v>0.49203539823008852</v>
      </c>
      <c r="L116" s="11" t="s">
        <v>465</v>
      </c>
      <c r="M116" s="15">
        <v>2</v>
      </c>
      <c r="N116" s="35" t="s">
        <v>25</v>
      </c>
      <c r="O116" s="15">
        <v>1</v>
      </c>
      <c r="P116" s="35" t="s">
        <v>457</v>
      </c>
      <c r="Q116" s="35"/>
      <c r="R116" s="15"/>
      <c r="S116" s="24"/>
      <c r="T116" s="387" t="s">
        <v>784</v>
      </c>
      <c r="U116" s="62"/>
      <c r="V116" s="94">
        <v>1933500</v>
      </c>
      <c r="W116" s="199">
        <v>0.8719937936384794</v>
      </c>
      <c r="X116" s="15"/>
      <c r="Y116" s="200">
        <v>1.4920353982300885</v>
      </c>
      <c r="Z116" s="11" t="s">
        <v>465</v>
      </c>
      <c r="AA116" s="11"/>
      <c r="AB116" s="15"/>
      <c r="AC116" s="54">
        <v>1130000</v>
      </c>
      <c r="AD116" s="54">
        <v>1686000</v>
      </c>
      <c r="AE116" s="54">
        <v>-556000</v>
      </c>
      <c r="AG116" s="4"/>
      <c r="AH116" s="4"/>
      <c r="AI116" s="225"/>
      <c r="AJ116" s="226"/>
      <c r="AQ116" s="327" t="e">
        <v>#REF!</v>
      </c>
      <c r="AR116" s="157" t="e">
        <v>#REF!</v>
      </c>
    </row>
    <row r="117" spans="2:45" x14ac:dyDescent="0.25">
      <c r="C117" s="39">
        <v>2019</v>
      </c>
      <c r="D117" s="62" t="s">
        <v>1413</v>
      </c>
      <c r="E117" s="63" t="s">
        <v>1414</v>
      </c>
      <c r="F117" s="64">
        <v>43501</v>
      </c>
      <c r="G117" s="65" t="s">
        <v>190</v>
      </c>
      <c r="H117" s="94">
        <v>13910000</v>
      </c>
      <c r="I117" s="94">
        <v>11745510</v>
      </c>
      <c r="J117" s="94"/>
      <c r="K117" s="153">
        <v>-0.15560675772825305</v>
      </c>
      <c r="L117" s="11" t="s">
        <v>464</v>
      </c>
      <c r="M117" s="15">
        <v>4</v>
      </c>
      <c r="N117" s="35" t="s">
        <v>25</v>
      </c>
      <c r="O117" s="15">
        <v>1</v>
      </c>
      <c r="P117" s="35" t="s">
        <v>492</v>
      </c>
      <c r="Q117" s="35"/>
      <c r="R117" s="15"/>
      <c r="S117" s="24"/>
      <c r="T117" s="385" t="s">
        <v>816</v>
      </c>
      <c r="U117" s="62"/>
      <c r="V117" s="94">
        <v>15613590</v>
      </c>
      <c r="W117" s="199">
        <v>0.75226197178227427</v>
      </c>
      <c r="X117" s="15"/>
      <c r="Y117" s="200">
        <v>0.84439324227174695</v>
      </c>
      <c r="Z117" s="11" t="s">
        <v>465</v>
      </c>
      <c r="AA117" s="11"/>
      <c r="AB117" s="15"/>
      <c r="AC117" s="54">
        <v>13910000</v>
      </c>
      <c r="AD117" s="54">
        <v>11745510</v>
      </c>
      <c r="AE117" s="54">
        <v>2164490</v>
      </c>
      <c r="AG117" s="4"/>
      <c r="AH117" s="4"/>
      <c r="AI117" s="225"/>
      <c r="AJ117" s="226"/>
      <c r="AQ117" s="327" t="e">
        <v>#REF!</v>
      </c>
      <c r="AR117" s="157" t="e">
        <v>#REF!</v>
      </c>
    </row>
    <row r="118" spans="2:45" x14ac:dyDescent="0.25">
      <c r="C118" s="39">
        <v>2019</v>
      </c>
      <c r="D118" s="62" t="s">
        <v>1443</v>
      </c>
      <c r="E118" s="63" t="s">
        <v>1444</v>
      </c>
      <c r="F118" s="64">
        <v>43489</v>
      </c>
      <c r="G118" s="65" t="s">
        <v>34</v>
      </c>
      <c r="H118" s="94">
        <v>23450000</v>
      </c>
      <c r="I118" s="94">
        <v>25644000</v>
      </c>
      <c r="J118" s="94"/>
      <c r="K118" s="153">
        <v>9.3560767590618335E-2</v>
      </c>
      <c r="L118" s="11" t="s">
        <v>464</v>
      </c>
      <c r="M118" s="15">
        <v>2</v>
      </c>
      <c r="N118" s="35" t="s">
        <v>25</v>
      </c>
      <c r="O118" s="15">
        <v>1</v>
      </c>
      <c r="P118" s="35" t="s">
        <v>458</v>
      </c>
      <c r="Q118" s="35"/>
      <c r="R118" s="15"/>
      <c r="S118" s="24"/>
      <c r="T118" s="387" t="s">
        <v>784</v>
      </c>
      <c r="U118" s="62"/>
      <c r="V118" s="94">
        <v>28255558.5</v>
      </c>
      <c r="W118" s="199">
        <v>0.9075736372367228</v>
      </c>
      <c r="X118" s="15"/>
      <c r="Y118" s="200">
        <v>1.0935607675906183</v>
      </c>
      <c r="Z118" s="11" t="s">
        <v>465</v>
      </c>
      <c r="AA118" s="11"/>
      <c r="AB118" s="15"/>
      <c r="AC118" s="54">
        <v>23450000</v>
      </c>
      <c r="AD118" s="54">
        <v>25644000</v>
      </c>
      <c r="AE118" s="54">
        <v>-2194000</v>
      </c>
      <c r="AG118" s="4"/>
      <c r="AH118" s="4"/>
      <c r="AI118" s="225"/>
      <c r="AJ118" s="226"/>
      <c r="AQ118" s="327" t="e">
        <v>#REF!</v>
      </c>
      <c r="AR118" s="157" t="e">
        <v>#REF!</v>
      </c>
    </row>
    <row r="119" spans="2:45" x14ac:dyDescent="0.25">
      <c r="B119" s="52"/>
      <c r="C119" s="39"/>
      <c r="E119" s="85"/>
      <c r="F119" s="85"/>
      <c r="G119" s="85"/>
      <c r="H119" s="86">
        <f>SUM(H97:H118)</f>
        <v>248203000</v>
      </c>
      <c r="I119" s="86">
        <f>SUM(I97:I118)</f>
        <v>243381817</v>
      </c>
      <c r="J119" s="85"/>
      <c r="K119" s="87">
        <f>+I119/H119</f>
        <v>0.98057564574159051</v>
      </c>
      <c r="L119" s="85">
        <f>COUNTA(L96:L118)</f>
        <v>22</v>
      </c>
      <c r="M119" s="88">
        <f>SUM(M97:M118)/L119</f>
        <v>5.2727272727272725</v>
      </c>
      <c r="N119" s="89"/>
      <c r="O119" s="85"/>
      <c r="P119" s="233">
        <f>13/L119</f>
        <v>0.59090909090909094</v>
      </c>
      <c r="Q119" s="85"/>
    </row>
    <row r="120" spans="2:45" x14ac:dyDescent="0.25">
      <c r="B120" s="52"/>
      <c r="C120" s="39"/>
      <c r="G120" s="45"/>
    </row>
    <row r="121" spans="2:45" x14ac:dyDescent="0.25">
      <c r="B121" s="52"/>
      <c r="C121" s="39"/>
      <c r="D121" s="83" t="s">
        <v>838</v>
      </c>
      <c r="G121" s="45"/>
    </row>
    <row r="122" spans="2:45" x14ac:dyDescent="0.25">
      <c r="C122" s="39">
        <v>2019</v>
      </c>
      <c r="D122" s="62" t="s">
        <v>1498</v>
      </c>
      <c r="E122" s="63" t="s">
        <v>1499</v>
      </c>
      <c r="F122" s="64">
        <v>43776</v>
      </c>
      <c r="G122" s="65" t="s">
        <v>34</v>
      </c>
      <c r="H122" s="94">
        <v>3373000</v>
      </c>
      <c r="I122" s="94">
        <v>1396000</v>
      </c>
      <c r="J122" s="94"/>
      <c r="K122" s="153">
        <v>-0.58612511117699373</v>
      </c>
      <c r="L122" s="11" t="s">
        <v>465</v>
      </c>
      <c r="M122" s="15">
        <v>7</v>
      </c>
      <c r="N122" s="35" t="s">
        <v>93</v>
      </c>
      <c r="O122" s="15">
        <v>4</v>
      </c>
      <c r="P122" s="35" t="s">
        <v>1474</v>
      </c>
      <c r="Q122" s="35"/>
      <c r="R122" s="15"/>
      <c r="S122" s="24"/>
      <c r="T122" s="386" t="s">
        <v>447</v>
      </c>
      <c r="U122" s="62"/>
      <c r="V122" s="94">
        <v>2901872.1428571427</v>
      </c>
      <c r="W122" s="199">
        <v>0.48106874847543002</v>
      </c>
      <c r="X122" s="15"/>
      <c r="Y122" s="200">
        <v>0.41387488882300622</v>
      </c>
      <c r="Z122" s="11" t="s">
        <v>465</v>
      </c>
      <c r="AA122" s="11"/>
      <c r="AB122" s="15"/>
      <c r="AC122" s="54">
        <v>3373000</v>
      </c>
      <c r="AD122" s="54">
        <v>1396000</v>
      </c>
      <c r="AE122" s="54">
        <v>1977000</v>
      </c>
      <c r="AG122" s="4"/>
      <c r="AH122" s="4"/>
      <c r="AI122" s="225"/>
      <c r="AJ122" s="226"/>
      <c r="AQ122" s="327" t="e">
        <v>#REF!</v>
      </c>
      <c r="AR122" s="157" t="e">
        <v>#REF!</v>
      </c>
    </row>
    <row r="123" spans="2:45" x14ac:dyDescent="0.25">
      <c r="C123" s="39">
        <v>2019</v>
      </c>
      <c r="D123" s="62" t="s">
        <v>1500</v>
      </c>
      <c r="E123" s="63" t="s">
        <v>1501</v>
      </c>
      <c r="F123" s="64">
        <v>43774</v>
      </c>
      <c r="G123" s="65" t="s">
        <v>1225</v>
      </c>
      <c r="H123" s="94">
        <v>300000</v>
      </c>
      <c r="I123" s="94">
        <v>350400</v>
      </c>
      <c r="J123" s="94"/>
      <c r="K123" s="153">
        <v>0.16800000000000001</v>
      </c>
      <c r="L123" s="11" t="s">
        <v>465</v>
      </c>
      <c r="M123" s="15">
        <v>5</v>
      </c>
      <c r="N123" s="35" t="s">
        <v>93</v>
      </c>
      <c r="O123" s="15">
        <v>4</v>
      </c>
      <c r="P123" s="35" t="s">
        <v>457</v>
      </c>
      <c r="Q123" s="35"/>
      <c r="R123" s="15"/>
      <c r="S123" s="24"/>
      <c r="T123" s="249" t="s">
        <v>1405</v>
      </c>
      <c r="U123" s="62"/>
      <c r="V123" s="94">
        <v>481113.59999999998</v>
      </c>
      <c r="W123" s="199">
        <v>0.72831032005746676</v>
      </c>
      <c r="X123" s="15"/>
      <c r="Y123" s="200">
        <v>1.1679999999999999</v>
      </c>
      <c r="Z123" s="11" t="s">
        <v>465</v>
      </c>
      <c r="AA123" s="11"/>
      <c r="AB123" s="15"/>
      <c r="AC123" s="54">
        <v>300000</v>
      </c>
      <c r="AD123" s="54">
        <v>350400</v>
      </c>
      <c r="AE123" s="54">
        <v>-50400</v>
      </c>
      <c r="AG123" s="4"/>
      <c r="AH123" s="4"/>
      <c r="AI123" s="225"/>
      <c r="AJ123" s="226"/>
      <c r="AQ123" s="327" t="e">
        <v>#REF!</v>
      </c>
      <c r="AR123" s="157" t="e">
        <v>#REF!</v>
      </c>
    </row>
    <row r="124" spans="2:45" x14ac:dyDescent="0.25">
      <c r="C124" s="39">
        <v>2019</v>
      </c>
      <c r="D124" s="62" t="s">
        <v>1502</v>
      </c>
      <c r="E124" s="63" t="s">
        <v>1503</v>
      </c>
      <c r="F124" s="64">
        <v>43740</v>
      </c>
      <c r="G124" s="65" t="s">
        <v>1504</v>
      </c>
      <c r="H124" s="94">
        <v>8460000</v>
      </c>
      <c r="I124" s="94">
        <v>7795000</v>
      </c>
      <c r="J124" s="94"/>
      <c r="K124" s="153">
        <v>-7.860520094562648E-2</v>
      </c>
      <c r="L124" s="11" t="s">
        <v>464</v>
      </c>
      <c r="M124" s="15">
        <v>7</v>
      </c>
      <c r="N124" s="35" t="s">
        <v>93</v>
      </c>
      <c r="O124" s="15">
        <v>4</v>
      </c>
      <c r="P124" s="35" t="s">
        <v>457</v>
      </c>
      <c r="Q124" s="35"/>
      <c r="R124" s="15"/>
      <c r="S124" s="24"/>
      <c r="T124" s="249" t="s">
        <v>1405</v>
      </c>
      <c r="U124" s="62"/>
      <c r="V124" s="94">
        <v>12539160.857142856</v>
      </c>
      <c r="W124" s="199">
        <v>0.62165244459397984</v>
      </c>
      <c r="X124" s="15"/>
      <c r="Y124" s="200">
        <v>0.92139479905437349</v>
      </c>
      <c r="Z124" s="11" t="s">
        <v>465</v>
      </c>
      <c r="AA124" s="11"/>
      <c r="AB124" s="15"/>
      <c r="AC124" s="54">
        <v>8460000</v>
      </c>
      <c r="AD124" s="54">
        <v>7795000</v>
      </c>
      <c r="AE124" s="54">
        <v>665000</v>
      </c>
      <c r="AG124" s="4"/>
      <c r="AH124" s="4"/>
      <c r="AI124" s="225"/>
      <c r="AJ124" s="226"/>
      <c r="AQ124" s="327" t="e">
        <v>#REF!</v>
      </c>
      <c r="AR124" s="157" t="e">
        <v>#REF!</v>
      </c>
    </row>
    <row r="125" spans="2:45" x14ac:dyDescent="0.25">
      <c r="C125" s="39">
        <v>2019</v>
      </c>
      <c r="D125" s="62" t="s">
        <v>1505</v>
      </c>
      <c r="E125" s="63" t="s">
        <v>1506</v>
      </c>
      <c r="F125" s="64">
        <v>43727</v>
      </c>
      <c r="G125" s="65" t="s">
        <v>34</v>
      </c>
      <c r="H125" s="94">
        <v>3840000</v>
      </c>
      <c r="I125" s="94">
        <v>2936000</v>
      </c>
      <c r="J125" s="94"/>
      <c r="K125" s="153">
        <v>-0.23541666666666666</v>
      </c>
      <c r="L125" s="11" t="s">
        <v>464</v>
      </c>
      <c r="M125" s="15">
        <v>11</v>
      </c>
      <c r="N125" s="35" t="s">
        <v>93</v>
      </c>
      <c r="O125" s="15">
        <v>3</v>
      </c>
      <c r="P125" s="35" t="s">
        <v>458</v>
      </c>
      <c r="Q125" s="35"/>
      <c r="R125" s="15"/>
      <c r="S125" s="24"/>
      <c r="T125" s="384" t="s">
        <v>1419</v>
      </c>
      <c r="U125" s="62"/>
      <c r="V125" s="94">
        <v>4681438.8181818184</v>
      </c>
      <c r="W125" s="199">
        <v>0.62715761414997762</v>
      </c>
      <c r="X125" s="15"/>
      <c r="Y125" s="200">
        <v>0.76458333333333328</v>
      </c>
      <c r="Z125" s="11" t="s">
        <v>465</v>
      </c>
      <c r="AA125" s="11"/>
      <c r="AB125" s="15"/>
      <c r="AC125" s="54">
        <v>3840000</v>
      </c>
      <c r="AD125" s="54">
        <v>2936000</v>
      </c>
      <c r="AE125" s="54">
        <v>904000</v>
      </c>
      <c r="AG125" s="4"/>
      <c r="AH125" s="4"/>
      <c r="AI125" s="225"/>
      <c r="AJ125" s="226"/>
      <c r="AQ125" s="327" t="e">
        <v>#REF!</v>
      </c>
      <c r="AR125" s="157" t="e">
        <v>#REF!</v>
      </c>
    </row>
    <row r="126" spans="2:45" x14ac:dyDescent="0.25">
      <c r="C126" s="39">
        <v>2019</v>
      </c>
      <c r="D126" s="62" t="s">
        <v>1507</v>
      </c>
      <c r="E126" s="63" t="s">
        <v>1508</v>
      </c>
      <c r="F126" s="64">
        <v>43713</v>
      </c>
      <c r="G126" s="65" t="s">
        <v>1225</v>
      </c>
      <c r="H126" s="94">
        <v>2030000</v>
      </c>
      <c r="I126" s="94">
        <v>1887810</v>
      </c>
      <c r="J126" s="94"/>
      <c r="K126" s="153">
        <v>-7.0044334975369452E-2</v>
      </c>
      <c r="L126" s="11" t="s">
        <v>464</v>
      </c>
      <c r="M126" s="15">
        <v>4</v>
      </c>
      <c r="N126" s="35" t="s">
        <v>93</v>
      </c>
      <c r="O126" s="15">
        <v>3</v>
      </c>
      <c r="P126" s="35" t="s">
        <v>458</v>
      </c>
      <c r="Q126" s="35"/>
      <c r="R126" s="15"/>
      <c r="S126" s="24"/>
      <c r="T126" s="384" t="s">
        <v>1419</v>
      </c>
      <c r="U126" s="62"/>
      <c r="V126" s="94">
        <v>2554425</v>
      </c>
      <c r="W126" s="199">
        <v>0.73903520361725239</v>
      </c>
      <c r="X126" s="15"/>
      <c r="Y126" s="200">
        <v>0.92995566502463056</v>
      </c>
      <c r="Z126" s="11" t="s">
        <v>465</v>
      </c>
      <c r="AA126" s="11"/>
      <c r="AB126" s="15"/>
      <c r="AC126" s="54">
        <v>2030000</v>
      </c>
      <c r="AD126" s="54">
        <v>1887810</v>
      </c>
      <c r="AE126" s="54">
        <v>142190</v>
      </c>
      <c r="AG126" s="4"/>
      <c r="AH126" s="4"/>
      <c r="AI126" s="225"/>
      <c r="AJ126" s="226"/>
      <c r="AQ126" s="327" t="e">
        <v>#REF!</v>
      </c>
      <c r="AR126" s="157" t="e">
        <v>#REF!</v>
      </c>
    </row>
    <row r="127" spans="2:45" x14ac:dyDescent="0.25">
      <c r="C127" s="39">
        <v>2019</v>
      </c>
      <c r="D127" s="62" t="s">
        <v>1509</v>
      </c>
      <c r="E127" s="63" t="s">
        <v>1510</v>
      </c>
      <c r="F127" s="64">
        <v>43699</v>
      </c>
      <c r="G127" s="65" t="s">
        <v>34</v>
      </c>
      <c r="H127" s="94">
        <v>1980000</v>
      </c>
      <c r="I127" s="94">
        <v>1993000</v>
      </c>
      <c r="J127" s="94"/>
      <c r="K127" s="153">
        <v>6.5656565656565654E-3</v>
      </c>
      <c r="L127" s="11" t="s">
        <v>464</v>
      </c>
      <c r="M127" s="15">
        <v>4</v>
      </c>
      <c r="N127" s="35" t="s">
        <v>93</v>
      </c>
      <c r="O127" s="15">
        <v>3</v>
      </c>
      <c r="P127" s="35" t="s">
        <v>458</v>
      </c>
      <c r="Q127" s="35"/>
      <c r="R127" s="15"/>
      <c r="S127" s="24"/>
      <c r="T127" s="387" t="s">
        <v>784</v>
      </c>
      <c r="U127" s="62"/>
      <c r="V127" s="94">
        <v>3089812.5</v>
      </c>
      <c r="W127" s="199">
        <v>0.64502295851285474</v>
      </c>
      <c r="X127" s="15"/>
      <c r="Y127" s="200">
        <v>1.0065656565656567</v>
      </c>
      <c r="Z127" s="11" t="s">
        <v>465</v>
      </c>
      <c r="AA127" s="11"/>
      <c r="AB127" s="15"/>
      <c r="AC127" s="54">
        <v>1980000</v>
      </c>
      <c r="AD127" s="54">
        <v>1993000</v>
      </c>
      <c r="AE127" s="54">
        <v>-13000</v>
      </c>
      <c r="AG127" s="4"/>
      <c r="AH127" s="4"/>
      <c r="AI127" s="225"/>
      <c r="AJ127" s="226"/>
      <c r="AQ127" s="327" t="e">
        <v>#REF!</v>
      </c>
      <c r="AR127" s="157" t="e">
        <v>#REF!</v>
      </c>
    </row>
    <row r="128" spans="2:45" x14ac:dyDescent="0.25">
      <c r="B128" s="203">
        <v>0.7857142857142857</v>
      </c>
      <c r="C128" s="39">
        <v>2019</v>
      </c>
      <c r="D128" s="62" t="s">
        <v>1511</v>
      </c>
      <c r="E128" s="63" t="s">
        <v>1512</v>
      </c>
      <c r="F128" s="64">
        <v>43655</v>
      </c>
      <c r="G128" s="65" t="s">
        <v>1225</v>
      </c>
      <c r="H128" s="94">
        <v>400000</v>
      </c>
      <c r="I128" s="94">
        <v>396784</v>
      </c>
      <c r="J128" s="94"/>
      <c r="K128" s="153">
        <v>-8.0400000000000003E-3</v>
      </c>
      <c r="L128" s="11" t="s">
        <v>464</v>
      </c>
      <c r="M128" s="15">
        <v>6</v>
      </c>
      <c r="N128" s="35" t="s">
        <v>93</v>
      </c>
      <c r="O128" s="15">
        <v>3</v>
      </c>
      <c r="P128" s="35" t="s">
        <v>457</v>
      </c>
      <c r="Q128" s="35"/>
      <c r="R128" s="15"/>
      <c r="S128" s="24"/>
      <c r="T128" s="386" t="s">
        <v>447</v>
      </c>
      <c r="U128" s="62"/>
      <c r="V128" s="94">
        <v>586062</v>
      </c>
      <c r="W128" s="199">
        <v>0.67703417044613023</v>
      </c>
      <c r="X128" s="15"/>
      <c r="Y128" s="200">
        <v>0.99195999999999995</v>
      </c>
      <c r="Z128" s="11" t="s">
        <v>465</v>
      </c>
      <c r="AA128" s="11"/>
      <c r="AB128" s="15"/>
      <c r="AC128" s="54">
        <v>400000</v>
      </c>
      <c r="AD128" s="54">
        <v>396784</v>
      </c>
      <c r="AE128" s="54">
        <v>3216</v>
      </c>
      <c r="AG128" s="4">
        <v>541526979</v>
      </c>
      <c r="AH128" s="4">
        <v>392783727</v>
      </c>
      <c r="AI128" s="204">
        <v>0.7253262390090448</v>
      </c>
      <c r="AJ128" s="1" t="s">
        <v>1240</v>
      </c>
      <c r="AK128" s="205">
        <v>902748479</v>
      </c>
      <c r="AL128" s="205">
        <v>720853565</v>
      </c>
      <c r="AM128" s="206">
        <v>0.79850986378676581</v>
      </c>
      <c r="AN128" s="207" t="s">
        <v>1475</v>
      </c>
      <c r="AO128" s="208"/>
      <c r="AQ128" s="327" t="e">
        <v>#REF!</v>
      </c>
      <c r="AR128" s="157" t="e">
        <v>#REF!</v>
      </c>
      <c r="AS128" s="104"/>
    </row>
    <row r="129" spans="2:45" x14ac:dyDescent="0.25">
      <c r="C129" s="39">
        <v>2019</v>
      </c>
      <c r="D129" s="62" t="s">
        <v>1422</v>
      </c>
      <c r="E129" s="63" t="s">
        <v>1423</v>
      </c>
      <c r="F129" s="64">
        <v>43621</v>
      </c>
      <c r="G129" s="65" t="s">
        <v>34</v>
      </c>
      <c r="H129" s="94">
        <v>8360000</v>
      </c>
      <c r="I129" s="94">
        <v>8947585</v>
      </c>
      <c r="J129" s="94"/>
      <c r="K129" s="153">
        <v>7.0285287081339715E-2</v>
      </c>
      <c r="L129" s="11" t="s">
        <v>464</v>
      </c>
      <c r="M129" s="15">
        <v>3</v>
      </c>
      <c r="N129" s="35" t="s">
        <v>93</v>
      </c>
      <c r="O129" s="15">
        <v>2</v>
      </c>
      <c r="P129" s="35" t="s">
        <v>458</v>
      </c>
      <c r="Q129" s="35"/>
      <c r="R129" s="15"/>
      <c r="S129" s="24"/>
      <c r="T129" s="387" t="s">
        <v>784</v>
      </c>
      <c r="U129" s="62"/>
      <c r="V129" s="94">
        <v>10801931</v>
      </c>
      <c r="W129" s="199">
        <v>0.82833198990069457</v>
      </c>
      <c r="X129" s="15"/>
      <c r="Y129" s="200">
        <v>1.0702852870813397</v>
      </c>
      <c r="Z129" s="11" t="s">
        <v>465</v>
      </c>
      <c r="AA129" s="11"/>
      <c r="AB129" s="15"/>
      <c r="AC129" s="54">
        <v>8360000</v>
      </c>
      <c r="AD129" s="54">
        <v>8947585</v>
      </c>
      <c r="AE129" s="54">
        <v>-587585</v>
      </c>
      <c r="AG129" s="4"/>
      <c r="AH129" s="4"/>
      <c r="AI129" s="225"/>
      <c r="AJ129" s="226"/>
      <c r="AQ129" s="327" t="e">
        <v>#REF!</v>
      </c>
      <c r="AR129" s="157" t="e">
        <v>#REF!</v>
      </c>
      <c r="AS129" s="104"/>
    </row>
    <row r="130" spans="2:45" x14ac:dyDescent="0.25">
      <c r="C130" s="39">
        <v>2019</v>
      </c>
      <c r="D130" s="62" t="s">
        <v>1426</v>
      </c>
      <c r="E130" s="63" t="s">
        <v>1427</v>
      </c>
      <c r="F130" s="64">
        <v>43585</v>
      </c>
      <c r="G130" s="65" t="s">
        <v>34</v>
      </c>
      <c r="H130" s="94">
        <v>6950000</v>
      </c>
      <c r="I130" s="94">
        <v>8720200</v>
      </c>
      <c r="J130" s="94"/>
      <c r="K130" s="153">
        <v>0.25470503597122301</v>
      </c>
      <c r="L130" s="11" t="s">
        <v>465</v>
      </c>
      <c r="M130" s="15">
        <v>6</v>
      </c>
      <c r="N130" s="35" t="s">
        <v>93</v>
      </c>
      <c r="O130" s="15">
        <v>2</v>
      </c>
      <c r="P130" s="35" t="s">
        <v>458</v>
      </c>
      <c r="Q130" s="35"/>
      <c r="R130" s="15"/>
      <c r="S130" s="24"/>
      <c r="T130" s="384" t="s">
        <v>1419</v>
      </c>
      <c r="U130" s="62"/>
      <c r="V130" s="94">
        <v>9982779.833333334</v>
      </c>
      <c r="W130" s="199">
        <v>0.87352422327121004</v>
      </c>
      <c r="X130" s="15"/>
      <c r="Y130" s="200">
        <v>1.2547050359712231</v>
      </c>
      <c r="Z130" s="11" t="s">
        <v>465</v>
      </c>
      <c r="AA130" s="11"/>
      <c r="AB130" s="15"/>
      <c r="AC130" s="54">
        <v>6950000</v>
      </c>
      <c r="AD130" s="54">
        <v>8720200</v>
      </c>
      <c r="AE130" s="54">
        <v>-1770200</v>
      </c>
      <c r="AG130" s="4"/>
      <c r="AH130" s="4"/>
      <c r="AI130" s="225"/>
      <c r="AJ130" s="226"/>
      <c r="AQ130" s="327" t="e">
        <v>#REF!</v>
      </c>
      <c r="AR130" s="157" t="e">
        <v>#REF!</v>
      </c>
      <c r="AS130" s="104"/>
    </row>
    <row r="131" spans="2:45" x14ac:dyDescent="0.25">
      <c r="C131" s="39">
        <v>2019</v>
      </c>
      <c r="D131" s="62" t="s">
        <v>1430</v>
      </c>
      <c r="E131" s="63" t="s">
        <v>1431</v>
      </c>
      <c r="F131" s="64">
        <v>43571</v>
      </c>
      <c r="G131" s="65" t="s">
        <v>34</v>
      </c>
      <c r="H131" s="94">
        <v>9330000</v>
      </c>
      <c r="I131" s="94">
        <v>7407376</v>
      </c>
      <c r="J131" s="94"/>
      <c r="K131" s="153">
        <v>-0.2060690246516613</v>
      </c>
      <c r="L131" s="11" t="s">
        <v>464</v>
      </c>
      <c r="M131" s="15">
        <v>7</v>
      </c>
      <c r="N131" s="35" t="s">
        <v>93</v>
      </c>
      <c r="O131" s="15">
        <v>2</v>
      </c>
      <c r="P131" s="35" t="s">
        <v>458</v>
      </c>
      <c r="Q131" s="35"/>
      <c r="R131" s="15"/>
      <c r="S131" s="24"/>
      <c r="T131" s="387" t="s">
        <v>784</v>
      </c>
      <c r="U131" s="62"/>
      <c r="V131" s="94">
        <v>9367661.4285714291</v>
      </c>
      <c r="W131" s="199">
        <v>0.79073908215848343</v>
      </c>
      <c r="X131" s="15"/>
      <c r="Y131" s="200">
        <v>0.79393097534833867</v>
      </c>
      <c r="Z131" s="11" t="s">
        <v>465</v>
      </c>
      <c r="AA131" s="11"/>
      <c r="AB131" s="15"/>
      <c r="AC131" s="54">
        <v>9330000</v>
      </c>
      <c r="AD131" s="54">
        <v>7407376</v>
      </c>
      <c r="AE131" s="54">
        <v>1922624</v>
      </c>
      <c r="AG131" s="4"/>
      <c r="AH131" s="4"/>
      <c r="AI131" s="225"/>
      <c r="AJ131" s="226"/>
      <c r="AQ131" s="327" t="e">
        <v>#REF!</v>
      </c>
      <c r="AR131" s="157" t="e">
        <v>#REF!</v>
      </c>
      <c r="AS131" s="104"/>
    </row>
    <row r="132" spans="2:45" x14ac:dyDescent="0.25">
      <c r="C132" s="39">
        <v>2019</v>
      </c>
      <c r="D132" s="62" t="s">
        <v>1434</v>
      </c>
      <c r="E132" s="63" t="s">
        <v>1435</v>
      </c>
      <c r="F132" s="64">
        <v>43543</v>
      </c>
      <c r="G132" s="65" t="s">
        <v>34</v>
      </c>
      <c r="H132" s="94">
        <v>2390000</v>
      </c>
      <c r="I132" s="94">
        <v>2374684</v>
      </c>
      <c r="J132" s="94"/>
      <c r="K132" s="153">
        <v>-6.4083682008368205E-3</v>
      </c>
      <c r="L132" s="11" t="s">
        <v>464</v>
      </c>
      <c r="M132" s="15">
        <v>5</v>
      </c>
      <c r="N132" s="35" t="s">
        <v>93</v>
      </c>
      <c r="O132" s="15">
        <v>1</v>
      </c>
      <c r="P132" s="35" t="s">
        <v>458</v>
      </c>
      <c r="Q132" s="35"/>
      <c r="R132" s="15"/>
      <c r="S132" s="24"/>
      <c r="T132" s="386" t="s">
        <v>447</v>
      </c>
      <c r="U132" s="62"/>
      <c r="V132" s="94">
        <v>3202726.8</v>
      </c>
      <c r="W132" s="199">
        <v>0.7414569360084039</v>
      </c>
      <c r="X132" s="15"/>
      <c r="Y132" s="200">
        <v>0.99359163179916321</v>
      </c>
      <c r="Z132" s="11" t="s">
        <v>465</v>
      </c>
      <c r="AA132" s="11"/>
      <c r="AB132" s="15"/>
      <c r="AC132" s="54">
        <v>2390000</v>
      </c>
      <c r="AD132" s="54">
        <v>2374684</v>
      </c>
      <c r="AE132" s="54">
        <v>15316</v>
      </c>
      <c r="AG132" s="4"/>
      <c r="AH132" s="4"/>
      <c r="AI132" s="225"/>
      <c r="AJ132" s="226"/>
      <c r="AQ132" s="327" t="e">
        <v>#REF!</v>
      </c>
      <c r="AR132" s="157" t="e">
        <v>#REF!</v>
      </c>
    </row>
    <row r="133" spans="2:45" x14ac:dyDescent="0.25">
      <c r="C133" s="39">
        <v>2019</v>
      </c>
      <c r="D133" s="62" t="s">
        <v>1397</v>
      </c>
      <c r="E133" s="63" t="s">
        <v>1398</v>
      </c>
      <c r="F133" s="64">
        <v>43531</v>
      </c>
      <c r="G133" s="65" t="s">
        <v>1225</v>
      </c>
      <c r="H133" s="94">
        <v>2460000</v>
      </c>
      <c r="I133" s="94">
        <v>2542676</v>
      </c>
      <c r="J133" s="94"/>
      <c r="K133" s="153">
        <v>3.3608130081300813E-2</v>
      </c>
      <c r="L133" s="11" t="s">
        <v>464</v>
      </c>
      <c r="M133" s="15">
        <v>4</v>
      </c>
      <c r="N133" s="35" t="s">
        <v>93</v>
      </c>
      <c r="O133" s="15">
        <v>1</v>
      </c>
      <c r="P133" s="35" t="s">
        <v>458</v>
      </c>
      <c r="Q133" s="35"/>
      <c r="R133" s="15"/>
      <c r="S133" s="24"/>
      <c r="T133" s="387" t="s">
        <v>784</v>
      </c>
      <c r="U133" s="62"/>
      <c r="V133" s="94">
        <v>2777662.25</v>
      </c>
      <c r="W133" s="199">
        <v>0.91540143154553799</v>
      </c>
      <c r="X133" s="15"/>
      <c r="Y133" s="200">
        <v>1.0336081300813007</v>
      </c>
      <c r="Z133" s="11" t="s">
        <v>465</v>
      </c>
      <c r="AA133" s="11"/>
      <c r="AB133" s="15"/>
      <c r="AC133" s="54">
        <v>2460000</v>
      </c>
      <c r="AD133" s="54">
        <v>2542676</v>
      </c>
      <c r="AE133" s="54">
        <v>-82676</v>
      </c>
      <c r="AG133" s="4"/>
      <c r="AH133" s="4"/>
      <c r="AI133" s="225"/>
      <c r="AJ133" s="226"/>
      <c r="AQ133" s="327" t="e">
        <v>#REF!</v>
      </c>
      <c r="AR133" s="157" t="e">
        <v>#REF!</v>
      </c>
    </row>
    <row r="134" spans="2:45" x14ac:dyDescent="0.25">
      <c r="C134" s="39">
        <v>2019</v>
      </c>
      <c r="D134" s="62" t="s">
        <v>1436</v>
      </c>
      <c r="E134" s="63" t="s">
        <v>1437</v>
      </c>
      <c r="F134" s="64">
        <v>43529</v>
      </c>
      <c r="G134" s="65" t="s">
        <v>34</v>
      </c>
      <c r="H134" s="94">
        <v>42125550</v>
      </c>
      <c r="I134" s="94">
        <v>34053550</v>
      </c>
      <c r="J134" s="94"/>
      <c r="K134" s="153">
        <v>-0.19161767620838185</v>
      </c>
      <c r="L134" s="11" t="s">
        <v>465</v>
      </c>
      <c r="M134" s="15">
        <v>2</v>
      </c>
      <c r="N134" s="35" t="s">
        <v>93</v>
      </c>
      <c r="O134" s="15">
        <v>1</v>
      </c>
      <c r="P134" s="35" t="s">
        <v>458</v>
      </c>
      <c r="Q134" s="35"/>
      <c r="R134" s="15"/>
      <c r="S134" s="24"/>
      <c r="T134" s="62" t="s">
        <v>1438</v>
      </c>
      <c r="U134" s="62"/>
      <c r="V134" s="94">
        <v>35159386.5</v>
      </c>
      <c r="W134" s="199">
        <v>0.96854790114156286</v>
      </c>
      <c r="X134" s="15"/>
      <c r="Y134" s="200">
        <v>0.80838232379161812</v>
      </c>
      <c r="Z134" s="11" t="s">
        <v>465</v>
      </c>
      <c r="AA134" s="11"/>
      <c r="AB134" s="15"/>
      <c r="AC134" s="54">
        <v>42125550</v>
      </c>
      <c r="AD134" s="54">
        <v>34053550</v>
      </c>
      <c r="AE134" s="54">
        <v>8072000</v>
      </c>
      <c r="AG134" s="4"/>
      <c r="AH134" s="4"/>
      <c r="AI134" s="225"/>
      <c r="AJ134" s="226"/>
      <c r="AQ134" s="327" t="e">
        <v>#REF!</v>
      </c>
      <c r="AR134" s="157" t="e">
        <v>#REF!</v>
      </c>
    </row>
    <row r="135" spans="2:45" x14ac:dyDescent="0.25">
      <c r="C135" s="39">
        <v>2019</v>
      </c>
      <c r="D135" s="62" t="s">
        <v>1401</v>
      </c>
      <c r="E135" s="63" t="s">
        <v>1402</v>
      </c>
      <c r="F135" s="64">
        <v>43503</v>
      </c>
      <c r="G135" s="65" t="s">
        <v>1225</v>
      </c>
      <c r="H135" s="94">
        <v>684000</v>
      </c>
      <c r="I135" s="94">
        <v>615000</v>
      </c>
      <c r="J135" s="94"/>
      <c r="K135" s="153">
        <v>-0.10087719298245613</v>
      </c>
      <c r="L135" s="11" t="s">
        <v>464</v>
      </c>
      <c r="M135" s="15">
        <v>5</v>
      </c>
      <c r="N135" s="35" t="s">
        <v>93</v>
      </c>
      <c r="O135" s="15">
        <v>1</v>
      </c>
      <c r="P135" s="35" t="s">
        <v>458</v>
      </c>
      <c r="Q135" s="35"/>
      <c r="R135" s="15"/>
      <c r="S135" s="24"/>
      <c r="T135" s="387" t="s">
        <v>784</v>
      </c>
      <c r="U135" s="62"/>
      <c r="V135" s="94">
        <v>924493.4</v>
      </c>
      <c r="W135" s="199">
        <v>0.66522919471355879</v>
      </c>
      <c r="X135" s="15"/>
      <c r="Y135" s="200">
        <v>0.89912280701754388</v>
      </c>
      <c r="Z135" s="11" t="s">
        <v>465</v>
      </c>
      <c r="AA135" s="11"/>
      <c r="AB135" s="15"/>
      <c r="AC135" s="54">
        <v>684000</v>
      </c>
      <c r="AD135" s="54">
        <v>615000</v>
      </c>
      <c r="AE135" s="54">
        <v>69000</v>
      </c>
      <c r="AG135" s="4"/>
      <c r="AH135" s="4"/>
      <c r="AI135" s="225"/>
      <c r="AJ135" s="226"/>
      <c r="AQ135" s="327" t="e">
        <v>#REF!</v>
      </c>
      <c r="AR135" s="157" t="e">
        <v>#REF!</v>
      </c>
    </row>
    <row r="136" spans="2:45" x14ac:dyDescent="0.25">
      <c r="C136" s="39">
        <v>2019</v>
      </c>
      <c r="D136" s="62" t="s">
        <v>1447</v>
      </c>
      <c r="E136" s="63" t="s">
        <v>1448</v>
      </c>
      <c r="F136" s="64">
        <v>43475</v>
      </c>
      <c r="G136" s="65" t="s">
        <v>34</v>
      </c>
      <c r="H136" s="94">
        <v>4500000</v>
      </c>
      <c r="I136" s="94">
        <v>4863085</v>
      </c>
      <c r="J136" s="94"/>
      <c r="K136" s="153">
        <v>8.0685555555555552E-2</v>
      </c>
      <c r="L136" s="11" t="s">
        <v>464</v>
      </c>
      <c r="M136" s="15">
        <v>6</v>
      </c>
      <c r="N136" s="35" t="s">
        <v>93</v>
      </c>
      <c r="O136" s="15">
        <v>1</v>
      </c>
      <c r="P136" s="35" t="s">
        <v>458</v>
      </c>
      <c r="Q136" s="35"/>
      <c r="R136" s="15"/>
      <c r="S136" s="24"/>
      <c r="T136" s="62" t="s">
        <v>442</v>
      </c>
      <c r="U136" s="62"/>
      <c r="V136" s="94">
        <v>6990880.833333333</v>
      </c>
      <c r="W136" s="199">
        <v>0.69563265573234279</v>
      </c>
      <c r="X136" s="15"/>
      <c r="Y136" s="200">
        <v>1.0806855555555555</v>
      </c>
      <c r="Z136" s="11" t="s">
        <v>465</v>
      </c>
      <c r="AA136" s="11"/>
      <c r="AB136" s="15"/>
      <c r="AC136" s="54">
        <v>4500000</v>
      </c>
      <c r="AD136" s="54">
        <v>4863085</v>
      </c>
      <c r="AE136" s="54">
        <v>-363085</v>
      </c>
      <c r="AG136" s="4"/>
      <c r="AH136" s="4"/>
      <c r="AI136" s="225"/>
      <c r="AJ136" s="226"/>
      <c r="AQ136" s="327" t="e">
        <v>#REF!</v>
      </c>
      <c r="AR136" s="157" t="e">
        <v>#REF!</v>
      </c>
    </row>
    <row r="137" spans="2:45" x14ac:dyDescent="0.25">
      <c r="B137" s="52"/>
      <c r="C137" s="39"/>
      <c r="E137" s="85"/>
      <c r="F137" s="85"/>
      <c r="G137" s="85"/>
      <c r="H137" s="86">
        <f>SUM(H121:H136)</f>
        <v>97182550</v>
      </c>
      <c r="I137" s="86">
        <f>SUM(I121:I136)</f>
        <v>86279150</v>
      </c>
      <c r="J137" s="85"/>
      <c r="K137" s="87">
        <f>+I137/H137</f>
        <v>0.88780496087003269</v>
      </c>
      <c r="L137" s="85">
        <f>COUNTA(L121:L136)</f>
        <v>15</v>
      </c>
      <c r="M137" s="88">
        <f>SUM(M121:M136)/L137</f>
        <v>5.4666666666666668</v>
      </c>
      <c r="N137" s="89"/>
      <c r="O137" s="85"/>
      <c r="P137" s="233">
        <f>11/L137</f>
        <v>0.73333333333333328</v>
      </c>
      <c r="Q137" s="85"/>
    </row>
    <row r="138" spans="2:45" x14ac:dyDescent="0.25">
      <c r="B138" s="52"/>
      <c r="C138" s="39"/>
    </row>
    <row r="139" spans="2:45" x14ac:dyDescent="0.25">
      <c r="B139" s="52"/>
      <c r="C139" s="39"/>
      <c r="D139" s="31" t="s">
        <v>839</v>
      </c>
    </row>
    <row r="140" spans="2:45" x14ac:dyDescent="0.25">
      <c r="C140" s="39">
        <v>2019</v>
      </c>
      <c r="D140" s="62" t="s">
        <v>1513</v>
      </c>
      <c r="E140" s="63" t="s">
        <v>1514</v>
      </c>
      <c r="F140" s="64">
        <v>43818</v>
      </c>
      <c r="G140" s="65" t="s">
        <v>1225</v>
      </c>
      <c r="H140" s="94">
        <v>1600000</v>
      </c>
      <c r="I140" s="94">
        <v>1065100</v>
      </c>
      <c r="J140" s="94"/>
      <c r="K140" s="153">
        <v>-0.33431250000000001</v>
      </c>
      <c r="L140" s="11" t="s">
        <v>464</v>
      </c>
      <c r="M140" s="15">
        <v>6</v>
      </c>
      <c r="N140" s="35" t="s">
        <v>226</v>
      </c>
      <c r="O140" s="15">
        <v>4</v>
      </c>
      <c r="P140" s="35" t="s">
        <v>457</v>
      </c>
      <c r="Q140" s="35"/>
      <c r="R140" s="15"/>
      <c r="S140" s="24"/>
      <c r="T140" s="62" t="s">
        <v>1515</v>
      </c>
      <c r="U140" s="62"/>
      <c r="V140" s="94">
        <v>1575316.6666666667</v>
      </c>
      <c r="W140" s="199">
        <v>0.6761180291793184</v>
      </c>
      <c r="X140" s="15"/>
      <c r="Y140" s="200">
        <v>0.66568749999999999</v>
      </c>
      <c r="Z140" s="11" t="s">
        <v>465</v>
      </c>
      <c r="AA140" s="11"/>
      <c r="AB140" s="15"/>
      <c r="AC140" s="54">
        <v>1600000</v>
      </c>
      <c r="AD140" s="54">
        <v>1065100</v>
      </c>
      <c r="AE140" s="54">
        <v>534900</v>
      </c>
      <c r="AG140" s="4"/>
      <c r="AH140" s="4"/>
      <c r="AI140" s="225"/>
      <c r="AJ140" s="226"/>
      <c r="AQ140" s="327" t="e">
        <v>#REF!</v>
      </c>
      <c r="AR140" s="157" t="e">
        <v>#REF!</v>
      </c>
    </row>
    <row r="141" spans="2:45" x14ac:dyDescent="0.25">
      <c r="B141" s="203">
        <v>0.5</v>
      </c>
      <c r="C141" s="39">
        <v>2019</v>
      </c>
      <c r="D141" s="62" t="s">
        <v>1516</v>
      </c>
      <c r="E141" s="63" t="s">
        <v>1517</v>
      </c>
      <c r="F141" s="64">
        <v>43740</v>
      </c>
      <c r="G141" s="65" t="s">
        <v>1225</v>
      </c>
      <c r="H141" s="94">
        <v>1260000</v>
      </c>
      <c r="I141" s="94">
        <v>1350135</v>
      </c>
      <c r="J141" s="94"/>
      <c r="K141" s="153">
        <v>7.1535714285714286E-2</v>
      </c>
      <c r="L141" s="11" t="s">
        <v>464</v>
      </c>
      <c r="M141" s="15">
        <v>3</v>
      </c>
      <c r="N141" s="35" t="s">
        <v>226</v>
      </c>
      <c r="O141" s="15">
        <v>4</v>
      </c>
      <c r="P141" s="35" t="s">
        <v>457</v>
      </c>
      <c r="Q141" s="35"/>
      <c r="R141" s="15"/>
      <c r="S141" s="24"/>
      <c r="T141" s="249" t="s">
        <v>1405</v>
      </c>
      <c r="U141" s="62"/>
      <c r="V141" s="94">
        <v>1730878.3333333333</v>
      </c>
      <c r="W141" s="199">
        <v>0.78002882929379791</v>
      </c>
      <c r="X141" s="15"/>
      <c r="Y141" s="200">
        <v>1.0715357142857143</v>
      </c>
      <c r="Z141" s="11" t="s">
        <v>465</v>
      </c>
      <c r="AA141" s="11"/>
      <c r="AB141" s="15"/>
      <c r="AC141" s="54">
        <v>1260000</v>
      </c>
      <c r="AD141" s="54">
        <v>1350135</v>
      </c>
      <c r="AE141" s="54">
        <v>-90135</v>
      </c>
      <c r="AG141" s="4">
        <v>18089000</v>
      </c>
      <c r="AH141" s="4">
        <v>15433737</v>
      </c>
      <c r="AI141" s="204">
        <v>0.85321117806401681</v>
      </c>
      <c r="AJ141" s="1" t="s">
        <v>1240</v>
      </c>
      <c r="AK141" s="205">
        <v>920837479</v>
      </c>
      <c r="AL141" s="205">
        <v>736287302</v>
      </c>
      <c r="AM141" s="206">
        <v>0.79958442047730771</v>
      </c>
      <c r="AN141" s="207" t="s">
        <v>1475</v>
      </c>
      <c r="AO141" s="208"/>
      <c r="AQ141" s="327" t="e">
        <v>#REF!</v>
      </c>
      <c r="AR141" s="157" t="e">
        <v>#REF!</v>
      </c>
    </row>
    <row r="142" spans="2:45" x14ac:dyDescent="0.25">
      <c r="C142" s="39">
        <v>2019</v>
      </c>
      <c r="D142" s="62" t="s">
        <v>1518</v>
      </c>
      <c r="E142" s="63" t="s">
        <v>1519</v>
      </c>
      <c r="F142" s="64">
        <v>43712</v>
      </c>
      <c r="G142" s="65" t="s">
        <v>34</v>
      </c>
      <c r="H142" s="94">
        <v>1300000</v>
      </c>
      <c r="I142" s="94">
        <v>919000</v>
      </c>
      <c r="J142" s="94"/>
      <c r="K142" s="153">
        <v>-0.29307692307692307</v>
      </c>
      <c r="L142" s="11" t="s">
        <v>464</v>
      </c>
      <c r="M142" s="15">
        <v>16</v>
      </c>
      <c r="N142" s="35" t="s">
        <v>226</v>
      </c>
      <c r="O142" s="15">
        <v>3</v>
      </c>
      <c r="P142" s="35" t="s">
        <v>457</v>
      </c>
      <c r="Q142" s="35"/>
      <c r="R142" s="15"/>
      <c r="S142" s="24"/>
      <c r="T142" s="386" t="s">
        <v>447</v>
      </c>
      <c r="U142" s="62"/>
      <c r="V142" s="94">
        <v>1639305.4375</v>
      </c>
      <c r="W142" s="199">
        <v>0.56060327683748079</v>
      </c>
      <c r="X142" s="15"/>
      <c r="Y142" s="200">
        <v>0.70692307692307688</v>
      </c>
      <c r="Z142" s="11" t="s">
        <v>465</v>
      </c>
      <c r="AA142" s="11"/>
      <c r="AB142" s="15"/>
      <c r="AC142" s="54">
        <v>1300000</v>
      </c>
      <c r="AD142" s="54">
        <v>919000</v>
      </c>
      <c r="AE142" s="54">
        <v>381000</v>
      </c>
      <c r="AG142" s="4"/>
      <c r="AH142" s="4"/>
      <c r="AI142" s="225"/>
      <c r="AJ142" s="226"/>
      <c r="AQ142" s="327" t="e">
        <v>#REF!</v>
      </c>
      <c r="AR142" s="157" t="e">
        <v>#REF!</v>
      </c>
    </row>
    <row r="143" spans="2:45" x14ac:dyDescent="0.25">
      <c r="C143" s="39">
        <v>2019</v>
      </c>
      <c r="D143" s="62" t="s">
        <v>1520</v>
      </c>
      <c r="E143" s="63" t="s">
        <v>1521</v>
      </c>
      <c r="F143" s="64">
        <v>43699</v>
      </c>
      <c r="G143" s="65" t="s">
        <v>34</v>
      </c>
      <c r="H143" s="94">
        <v>194071979</v>
      </c>
      <c r="I143" s="94">
        <v>171330900</v>
      </c>
      <c r="J143" s="94"/>
      <c r="K143" s="153">
        <v>-0.11717858042762577</v>
      </c>
      <c r="L143" s="11" t="s">
        <v>464</v>
      </c>
      <c r="M143" s="15">
        <v>6</v>
      </c>
      <c r="N143" s="35" t="s">
        <v>226</v>
      </c>
      <c r="O143" s="15">
        <v>3</v>
      </c>
      <c r="P143" s="35" t="s">
        <v>457</v>
      </c>
      <c r="Q143" s="35"/>
      <c r="R143" s="15"/>
      <c r="S143" s="24" t="s">
        <v>1476</v>
      </c>
      <c r="T143" s="109" t="s">
        <v>1226</v>
      </c>
      <c r="U143" s="62"/>
      <c r="V143" s="94">
        <v>182690985.33333334</v>
      </c>
      <c r="W143" s="199">
        <v>0.93781803019669518</v>
      </c>
      <c r="X143" s="15"/>
      <c r="Y143" s="200">
        <v>0.88282141957237426</v>
      </c>
      <c r="Z143" s="11" t="s">
        <v>465</v>
      </c>
      <c r="AA143" s="11"/>
      <c r="AB143" s="15"/>
      <c r="AC143" s="54">
        <v>194071979</v>
      </c>
      <c r="AD143" s="54">
        <v>171330900</v>
      </c>
      <c r="AE143" s="54">
        <v>22741079</v>
      </c>
      <c r="AG143" s="4"/>
      <c r="AH143" s="4"/>
      <c r="AI143" s="225"/>
      <c r="AJ143" s="226"/>
      <c r="AQ143" s="327" t="e">
        <v>#REF!</v>
      </c>
      <c r="AR143" s="157" t="e">
        <v>#REF!</v>
      </c>
    </row>
    <row r="144" spans="2:45" x14ac:dyDescent="0.25">
      <c r="C144" s="39">
        <v>2019</v>
      </c>
      <c r="D144" s="62" t="s">
        <v>1522</v>
      </c>
      <c r="E144" s="63" t="s">
        <v>717</v>
      </c>
      <c r="F144" s="64">
        <v>43685</v>
      </c>
      <c r="G144" s="65" t="s">
        <v>190</v>
      </c>
      <c r="H144" s="94">
        <v>1755000</v>
      </c>
      <c r="I144" s="94">
        <v>1312300</v>
      </c>
      <c r="J144" s="94"/>
      <c r="K144" s="153">
        <v>-0.25225071225071227</v>
      </c>
      <c r="L144" s="11" t="s">
        <v>464</v>
      </c>
      <c r="M144" s="15">
        <v>7</v>
      </c>
      <c r="N144" s="35" t="s">
        <v>226</v>
      </c>
      <c r="O144" s="15">
        <v>3</v>
      </c>
      <c r="P144" s="35" t="s">
        <v>457</v>
      </c>
      <c r="Q144" s="35"/>
      <c r="R144" s="15"/>
      <c r="S144" s="24"/>
      <c r="T144" s="249" t="s">
        <v>1405</v>
      </c>
      <c r="U144" s="62"/>
      <c r="V144" s="94">
        <v>2001831.7142857143</v>
      </c>
      <c r="W144" s="199">
        <v>0.65554961020699465</v>
      </c>
      <c r="X144" s="15"/>
      <c r="Y144" s="200">
        <v>0.74774928774928773</v>
      </c>
      <c r="Z144" s="11" t="s">
        <v>465</v>
      </c>
      <c r="AA144" s="11"/>
      <c r="AB144" s="15"/>
      <c r="AC144" s="54">
        <v>1755000</v>
      </c>
      <c r="AD144" s="54">
        <v>1312300</v>
      </c>
      <c r="AE144" s="54">
        <v>442700</v>
      </c>
      <c r="AG144" s="4"/>
      <c r="AH144" s="4"/>
      <c r="AI144" s="225"/>
      <c r="AJ144" s="226"/>
      <c r="AQ144" s="327" t="e">
        <v>#REF!</v>
      </c>
      <c r="AR144" s="157" t="e">
        <v>#REF!</v>
      </c>
    </row>
    <row r="145" spans="2:45" x14ac:dyDescent="0.25">
      <c r="C145" s="39">
        <v>2019</v>
      </c>
      <c r="D145" s="62" t="s">
        <v>1523</v>
      </c>
      <c r="E145" s="63" t="s">
        <v>1524</v>
      </c>
      <c r="F145" s="64">
        <v>43669</v>
      </c>
      <c r="G145" s="65" t="s">
        <v>34</v>
      </c>
      <c r="H145" s="94">
        <v>249010000</v>
      </c>
      <c r="I145" s="94">
        <v>135022488</v>
      </c>
      <c r="J145" s="94"/>
      <c r="K145" s="153">
        <v>-0.45776278864302639</v>
      </c>
      <c r="L145" s="11" t="s">
        <v>465</v>
      </c>
      <c r="M145" s="15">
        <v>5</v>
      </c>
      <c r="N145" s="35" t="s">
        <v>226</v>
      </c>
      <c r="O145" s="15">
        <v>3</v>
      </c>
      <c r="P145" s="35" t="s">
        <v>457</v>
      </c>
      <c r="Q145" s="35"/>
      <c r="R145" s="15"/>
      <c r="S145" s="24" t="s">
        <v>932</v>
      </c>
      <c r="T145" s="385" t="s">
        <v>816</v>
      </c>
      <c r="U145" s="62"/>
      <c r="V145" s="94">
        <v>164986247.40000001</v>
      </c>
      <c r="W145" s="199">
        <v>0.8183863208467641</v>
      </c>
      <c r="X145" s="15"/>
      <c r="Y145" s="200">
        <v>0.54223721135697367</v>
      </c>
      <c r="Z145" s="11" t="s">
        <v>465</v>
      </c>
      <c r="AA145" s="11"/>
      <c r="AB145" s="15"/>
      <c r="AC145" s="54">
        <v>249010000</v>
      </c>
      <c r="AD145" s="54">
        <v>135022488</v>
      </c>
      <c r="AE145" s="54">
        <v>113987512</v>
      </c>
      <c r="AG145" s="4"/>
      <c r="AH145" s="4"/>
      <c r="AI145" s="225"/>
      <c r="AJ145" s="226"/>
      <c r="AQ145" s="327" t="e">
        <v>#REF!</v>
      </c>
      <c r="AR145" s="157" t="e">
        <v>#REF!</v>
      </c>
    </row>
    <row r="146" spans="2:45" x14ac:dyDescent="0.25">
      <c r="C146" s="39">
        <v>2019</v>
      </c>
      <c r="D146" s="62" t="s">
        <v>1420</v>
      </c>
      <c r="E146" s="63" t="s">
        <v>1421</v>
      </c>
      <c r="F146" s="64">
        <v>43622</v>
      </c>
      <c r="G146" s="65" t="s">
        <v>34</v>
      </c>
      <c r="H146" s="94">
        <v>2070000</v>
      </c>
      <c r="I146" s="94">
        <v>2112649</v>
      </c>
      <c r="J146" s="94"/>
      <c r="K146" s="153">
        <v>2.0603381642512079E-2</v>
      </c>
      <c r="L146" s="11" t="s">
        <v>464</v>
      </c>
      <c r="M146" s="15">
        <v>9</v>
      </c>
      <c r="N146" s="35" t="s">
        <v>226</v>
      </c>
      <c r="O146" s="15">
        <v>2</v>
      </c>
      <c r="P146" s="35" t="s">
        <v>457</v>
      </c>
      <c r="Q146" s="35"/>
      <c r="R146" s="15"/>
      <c r="S146" s="24"/>
      <c r="T146" s="384" t="s">
        <v>1419</v>
      </c>
      <c r="U146" s="62"/>
      <c r="V146" s="94">
        <v>3084176.5555555555</v>
      </c>
      <c r="W146" s="199">
        <v>0.68499612844617019</v>
      </c>
      <c r="X146" s="15"/>
      <c r="Y146" s="200">
        <v>1.0206033816425122</v>
      </c>
      <c r="Z146" s="11" t="s">
        <v>465</v>
      </c>
      <c r="AA146" s="11"/>
      <c r="AB146" s="15"/>
      <c r="AC146" s="54">
        <v>2070000</v>
      </c>
      <c r="AD146" s="54">
        <v>2112649</v>
      </c>
      <c r="AE146" s="54">
        <v>-42649</v>
      </c>
      <c r="AG146" s="4"/>
      <c r="AH146" s="4"/>
      <c r="AI146" s="225"/>
      <c r="AJ146" s="226"/>
      <c r="AQ146" s="327" t="e">
        <v>#REF!</v>
      </c>
      <c r="AR146" s="157" t="e">
        <v>#REF!</v>
      </c>
      <c r="AS146" s="104"/>
    </row>
    <row r="147" spans="2:45" x14ac:dyDescent="0.25">
      <c r="C147" s="39">
        <v>2019</v>
      </c>
      <c r="D147" s="62" t="s">
        <v>1410</v>
      </c>
      <c r="E147" s="63" t="s">
        <v>1411</v>
      </c>
      <c r="F147" s="64">
        <v>43516</v>
      </c>
      <c r="G147" s="65" t="s">
        <v>190</v>
      </c>
      <c r="H147" s="94">
        <v>1790000</v>
      </c>
      <c r="I147" s="94">
        <v>1443785</v>
      </c>
      <c r="J147" s="94"/>
      <c r="K147" s="153">
        <v>-0.19341620111731844</v>
      </c>
      <c r="L147" s="11" t="s">
        <v>464</v>
      </c>
      <c r="M147" s="15">
        <v>7</v>
      </c>
      <c r="N147" s="35" t="s">
        <v>226</v>
      </c>
      <c r="O147" s="15">
        <v>1</v>
      </c>
      <c r="P147" s="35" t="s">
        <v>457</v>
      </c>
      <c r="Q147" s="35"/>
      <c r="R147" s="15"/>
      <c r="S147" s="24"/>
      <c r="T147" s="109" t="s">
        <v>1226</v>
      </c>
      <c r="U147" s="62"/>
      <c r="V147" s="94">
        <v>3495752.1428571427</v>
      </c>
      <c r="W147" s="199">
        <v>0.41301126080980327</v>
      </c>
      <c r="X147" s="15"/>
      <c r="Y147" s="200">
        <v>0.80658379888268161</v>
      </c>
      <c r="Z147" s="11" t="s">
        <v>465</v>
      </c>
      <c r="AA147" s="11"/>
      <c r="AB147" s="15"/>
      <c r="AC147" s="54">
        <v>1790000</v>
      </c>
      <c r="AD147" s="54">
        <v>1443785</v>
      </c>
      <c r="AE147" s="54">
        <v>346215</v>
      </c>
      <c r="AG147" s="4"/>
      <c r="AH147" s="4"/>
      <c r="AI147" s="225"/>
      <c r="AJ147" s="226"/>
      <c r="AQ147" s="327" t="e">
        <v>#REF!</v>
      </c>
      <c r="AR147" s="157" t="e">
        <v>#REF!</v>
      </c>
    </row>
    <row r="148" spans="2:45" x14ac:dyDescent="0.25">
      <c r="C148" s="39">
        <v>2019</v>
      </c>
      <c r="D148" s="62" t="s">
        <v>1412</v>
      </c>
      <c r="E148" s="63" t="s">
        <v>1317</v>
      </c>
      <c r="F148" s="64">
        <v>43516</v>
      </c>
      <c r="G148" s="65" t="s">
        <v>190</v>
      </c>
      <c r="H148" s="94">
        <v>1880000</v>
      </c>
      <c r="I148" s="94">
        <v>1101828</v>
      </c>
      <c r="J148" s="94"/>
      <c r="K148" s="153">
        <v>-0.41392127659574468</v>
      </c>
      <c r="L148" s="11" t="s">
        <v>464</v>
      </c>
      <c r="M148" s="15">
        <v>6</v>
      </c>
      <c r="N148" s="35" t="s">
        <v>226</v>
      </c>
      <c r="O148" s="15">
        <v>1</v>
      </c>
      <c r="P148" s="35" t="s">
        <v>457</v>
      </c>
      <c r="Q148" s="35"/>
      <c r="R148" s="15"/>
      <c r="S148" s="24"/>
      <c r="T148" s="249" t="s">
        <v>1405</v>
      </c>
      <c r="U148" s="62"/>
      <c r="V148" s="94">
        <v>3114163.5</v>
      </c>
      <c r="W148" s="199">
        <v>0.35381186633264439</v>
      </c>
      <c r="X148" s="15"/>
      <c r="Y148" s="200">
        <v>0.58607872340425526</v>
      </c>
      <c r="Z148" s="11" t="s">
        <v>465</v>
      </c>
      <c r="AA148" s="11"/>
      <c r="AB148" s="15"/>
      <c r="AC148" s="54">
        <v>1880000</v>
      </c>
      <c r="AD148" s="54">
        <v>1101828</v>
      </c>
      <c r="AE148" s="54">
        <v>778172</v>
      </c>
      <c r="AG148" s="4"/>
      <c r="AH148" s="4"/>
      <c r="AI148" s="225"/>
      <c r="AJ148" s="226"/>
      <c r="AQ148" s="327" t="e">
        <v>#REF!</v>
      </c>
      <c r="AR148" s="157" t="e">
        <v>#REF!</v>
      </c>
    </row>
    <row r="149" spans="2:45" x14ac:dyDescent="0.25">
      <c r="C149" s="39">
        <v>2019</v>
      </c>
      <c r="D149" s="62" t="s">
        <v>1441</v>
      </c>
      <c r="E149" s="63" t="s">
        <v>1442</v>
      </c>
      <c r="F149" s="64">
        <v>43496</v>
      </c>
      <c r="G149" s="65" t="s">
        <v>34</v>
      </c>
      <c r="H149" s="94">
        <v>92495500</v>
      </c>
      <c r="I149" s="94">
        <v>63348000</v>
      </c>
      <c r="J149" s="94"/>
      <c r="K149" s="153">
        <v>-0.31512343843754559</v>
      </c>
      <c r="L149" s="11" t="s">
        <v>465</v>
      </c>
      <c r="M149" s="15">
        <v>3</v>
      </c>
      <c r="N149" s="35" t="s">
        <v>226</v>
      </c>
      <c r="O149" s="15">
        <v>1</v>
      </c>
      <c r="P149" s="35" t="s">
        <v>457</v>
      </c>
      <c r="Q149" s="35"/>
      <c r="R149" s="15"/>
      <c r="S149" s="24"/>
      <c r="T149" s="109" t="s">
        <v>1226</v>
      </c>
      <c r="U149" s="62"/>
      <c r="V149" s="94">
        <v>68785236.666666672</v>
      </c>
      <c r="W149" s="199">
        <v>0.92095343521146078</v>
      </c>
      <c r="X149" s="15"/>
      <c r="Y149" s="200">
        <v>0.68487656156245436</v>
      </c>
      <c r="Z149" s="11" t="s">
        <v>465</v>
      </c>
      <c r="AA149" s="11"/>
      <c r="AB149" s="15"/>
      <c r="AC149" s="54">
        <v>92495500</v>
      </c>
      <c r="AD149" s="54">
        <v>63348000</v>
      </c>
      <c r="AE149" s="54">
        <v>29147500</v>
      </c>
      <c r="AG149" s="4"/>
      <c r="AH149" s="4"/>
      <c r="AI149" s="225"/>
      <c r="AJ149" s="226"/>
      <c r="AQ149" s="327" t="e">
        <v>#REF!</v>
      </c>
      <c r="AR149" s="157" t="e">
        <v>#REF!</v>
      </c>
    </row>
    <row r="150" spans="2:45" x14ac:dyDescent="0.25">
      <c r="C150" s="39">
        <v>2019</v>
      </c>
      <c r="D150" s="62" t="s">
        <v>1445</v>
      </c>
      <c r="E150" s="63" t="s">
        <v>1446</v>
      </c>
      <c r="F150" s="64">
        <v>43488</v>
      </c>
      <c r="G150" s="65" t="s">
        <v>34</v>
      </c>
      <c r="H150" s="94">
        <v>28219450</v>
      </c>
      <c r="I150" s="94">
        <v>27620150</v>
      </c>
      <c r="J150" s="94"/>
      <c r="K150" s="153">
        <v>-2.1237125457795953E-2</v>
      </c>
      <c r="L150" s="11" t="s">
        <v>464</v>
      </c>
      <c r="M150" s="15">
        <v>6</v>
      </c>
      <c r="N150" s="35" t="s">
        <v>226</v>
      </c>
      <c r="O150" s="15">
        <v>1</v>
      </c>
      <c r="P150" s="35" t="s">
        <v>457</v>
      </c>
      <c r="Q150" s="35"/>
      <c r="R150" s="15"/>
      <c r="S150" s="24"/>
      <c r="T150" s="109" t="s">
        <v>1226</v>
      </c>
      <c r="U150" s="62"/>
      <c r="V150" s="94">
        <v>38331440.5</v>
      </c>
      <c r="W150" s="199">
        <v>0.72056123223441082</v>
      </c>
      <c r="X150" s="15"/>
      <c r="Y150" s="200">
        <v>0.97876287454220401</v>
      </c>
      <c r="Z150" s="11" t="s">
        <v>465</v>
      </c>
      <c r="AA150" s="11"/>
      <c r="AB150" s="15"/>
      <c r="AC150" s="54">
        <v>28219450</v>
      </c>
      <c r="AD150" s="54">
        <v>27620150</v>
      </c>
      <c r="AE150" s="54">
        <v>599300</v>
      </c>
      <c r="AG150" s="4"/>
      <c r="AH150" s="4"/>
      <c r="AI150" s="225"/>
      <c r="AJ150" s="226"/>
      <c r="AQ150" s="327" t="e">
        <v>#REF!</v>
      </c>
      <c r="AR150" s="157" t="e">
        <v>#REF!</v>
      </c>
    </row>
    <row r="151" spans="2:45" x14ac:dyDescent="0.25">
      <c r="B151" s="52"/>
      <c r="C151" s="39"/>
      <c r="E151" s="85"/>
      <c r="F151" s="85"/>
      <c r="G151" s="85"/>
      <c r="H151" s="86">
        <f>SUM(H139:H150)</f>
        <v>575451929</v>
      </c>
      <c r="I151" s="86">
        <f>SUM(I139:I150)</f>
        <v>406626335</v>
      </c>
      <c r="J151" s="85"/>
      <c r="K151" s="87">
        <f>+I151/H151</f>
        <v>0.70662085659634655</v>
      </c>
      <c r="L151" s="85">
        <f>COUNTA(L139:L150)</f>
        <v>11</v>
      </c>
      <c r="M151" s="88">
        <f>SUM(M139:M150)/L151</f>
        <v>6.7272727272727275</v>
      </c>
      <c r="N151" s="89"/>
      <c r="O151" s="85"/>
      <c r="P151" s="119">
        <f>9/L151</f>
        <v>0.81818181818181823</v>
      </c>
      <c r="Q151" s="85"/>
    </row>
    <row r="152" spans="2:45" x14ac:dyDescent="0.25">
      <c r="B152" s="52"/>
      <c r="C152" s="39"/>
    </row>
    <row r="153" spans="2:45" x14ac:dyDescent="0.25">
      <c r="B153" s="52"/>
      <c r="C153" s="39"/>
    </row>
    <row r="154" spans="2:45" x14ac:dyDescent="0.25">
      <c r="B154" s="52"/>
      <c r="C154" s="39"/>
      <c r="F154" s="31"/>
      <c r="G154" s="36" t="s">
        <v>853</v>
      </c>
      <c r="H154" s="36" t="s">
        <v>854</v>
      </c>
      <c r="I154" s="36" t="s">
        <v>59</v>
      </c>
      <c r="J154" s="36" t="s">
        <v>60</v>
      </c>
      <c r="K154" s="36" t="s">
        <v>856</v>
      </c>
      <c r="L154" s="36" t="s">
        <v>62</v>
      </c>
      <c r="M154" s="37" t="s">
        <v>855</v>
      </c>
      <c r="N154" s="36"/>
      <c r="O154" s="36"/>
      <c r="P154" s="31"/>
      <c r="Q154" s="31"/>
    </row>
    <row r="155" spans="2:45" x14ac:dyDescent="0.25">
      <c r="B155" s="52"/>
      <c r="C155" s="39"/>
      <c r="G155" t="s">
        <v>93</v>
      </c>
      <c r="H155" s="4">
        <f>+H137</f>
        <v>97182550</v>
      </c>
      <c r="I155" s="4">
        <f>+I137</f>
        <v>86279150</v>
      </c>
      <c r="J155" s="91">
        <f>+K137</f>
        <v>0.88780496087003269</v>
      </c>
      <c r="K155" s="120">
        <f>+P137</f>
        <v>0.73333333333333328</v>
      </c>
      <c r="L155">
        <f>+L137</f>
        <v>15</v>
      </c>
      <c r="M155" s="84">
        <f>+M137</f>
        <v>5.4666666666666668</v>
      </c>
    </row>
    <row r="156" spans="2:45" x14ac:dyDescent="0.25">
      <c r="B156" s="52"/>
      <c r="C156" s="39"/>
      <c r="G156" t="s">
        <v>25</v>
      </c>
      <c r="H156" s="4">
        <f>+H119</f>
        <v>248203000</v>
      </c>
      <c r="I156" s="4">
        <f>+I119</f>
        <v>243381817</v>
      </c>
      <c r="J156" s="91">
        <f>+K119</f>
        <v>0.98057564574159051</v>
      </c>
      <c r="K156" s="120">
        <f>+P119</f>
        <v>0.59090909090909094</v>
      </c>
      <c r="L156">
        <f>+L119</f>
        <v>22</v>
      </c>
      <c r="M156" s="84">
        <f>+M119</f>
        <v>5.2727272727272725</v>
      </c>
    </row>
    <row r="157" spans="2:45" s="11" customFormat="1" x14ac:dyDescent="0.25">
      <c r="B157" s="104"/>
      <c r="C157" s="39"/>
      <c r="D157"/>
      <c r="E157"/>
      <c r="F157"/>
      <c r="G157" t="s">
        <v>1373</v>
      </c>
      <c r="H157" s="4">
        <f>+H151</f>
        <v>575451929</v>
      </c>
      <c r="I157" s="4">
        <f>+I151</f>
        <v>406626335</v>
      </c>
      <c r="J157" s="91">
        <f>+K151</f>
        <v>0.70662085659634655</v>
      </c>
      <c r="K157" s="120">
        <f>+P151</f>
        <v>0.81818181818181823</v>
      </c>
      <c r="L157">
        <f>+L151</f>
        <v>11</v>
      </c>
      <c r="M157" s="84">
        <f>+M151</f>
        <v>6.7272727272727275</v>
      </c>
      <c r="O157"/>
      <c r="P157"/>
      <c r="Q157"/>
      <c r="R157"/>
      <c r="S157"/>
      <c r="T157"/>
      <c r="U157"/>
      <c r="V157"/>
      <c r="W157"/>
      <c r="X157"/>
      <c r="Y157"/>
      <c r="Z157"/>
      <c r="AA157"/>
    </row>
    <row r="158" spans="2:45" s="11" customFormat="1" x14ac:dyDescent="0.25">
      <c r="B158" s="104"/>
      <c r="C158" s="39"/>
      <c r="D158"/>
      <c r="E158"/>
      <c r="F158"/>
      <c r="G158"/>
      <c r="H158"/>
      <c r="I158"/>
      <c r="J158"/>
      <c r="K158"/>
      <c r="L158"/>
      <c r="M158"/>
      <c r="O158"/>
      <c r="P158"/>
      <c r="Q158"/>
      <c r="R158"/>
      <c r="S158"/>
      <c r="T158"/>
      <c r="U158"/>
      <c r="V158"/>
      <c r="W158"/>
      <c r="X158"/>
      <c r="Y158"/>
      <c r="Z158"/>
      <c r="AA158"/>
    </row>
    <row r="159" spans="2:45" s="11" customFormat="1" x14ac:dyDescent="0.25">
      <c r="B159" s="104"/>
      <c r="C159" s="113"/>
      <c r="D159" s="114"/>
      <c r="E159" s="114"/>
      <c r="F159" s="114"/>
      <c r="G159" s="114"/>
      <c r="H159" s="114"/>
      <c r="I159" s="114"/>
      <c r="J159" s="114"/>
      <c r="K159" s="114"/>
      <c r="L159" s="114"/>
      <c r="M159" s="114"/>
      <c r="N159" s="115"/>
      <c r="O159" s="114"/>
      <c r="P159" s="114"/>
      <c r="Q159" s="114"/>
      <c r="R159" s="114"/>
      <c r="S159" s="114"/>
      <c r="T159"/>
      <c r="U159"/>
      <c r="V159"/>
      <c r="W159"/>
      <c r="X159"/>
      <c r="Y159"/>
      <c r="Z159"/>
      <c r="AA159"/>
    </row>
    <row r="160" spans="2:45" s="11" customFormat="1" x14ac:dyDescent="0.25">
      <c r="B160" s="104"/>
      <c r="C160" s="39"/>
      <c r="D160"/>
      <c r="E160"/>
      <c r="F160"/>
      <c r="G160"/>
      <c r="H160"/>
      <c r="I160"/>
      <c r="J160"/>
      <c r="K160"/>
      <c r="L160"/>
      <c r="M160"/>
      <c r="O160"/>
      <c r="P160"/>
      <c r="Q160"/>
      <c r="R160"/>
      <c r="S160"/>
      <c r="T160"/>
      <c r="U160"/>
      <c r="V160"/>
      <c r="W160"/>
      <c r="X160"/>
      <c r="Y160"/>
      <c r="Z160"/>
      <c r="AA160"/>
    </row>
    <row r="161" spans="2:19" x14ac:dyDescent="0.25">
      <c r="B161" s="52"/>
      <c r="C161" s="39"/>
      <c r="E161" s="131" t="s">
        <v>1166</v>
      </c>
      <c r="F161" s="132" t="s">
        <v>842</v>
      </c>
      <c r="G161" s="132" t="s">
        <v>843</v>
      </c>
      <c r="H161" s="133">
        <f>SUM(F162:G172)</f>
        <v>48</v>
      </c>
      <c r="I161" s="137" t="s">
        <v>1167</v>
      </c>
      <c r="K161">
        <f>SUM(G162:G172)</f>
        <v>15</v>
      </c>
    </row>
    <row r="162" spans="2:19" x14ac:dyDescent="0.25">
      <c r="B162" s="52"/>
      <c r="C162" s="39"/>
      <c r="E162" s="133" t="s">
        <v>844</v>
      </c>
      <c r="F162" s="134">
        <v>10</v>
      </c>
      <c r="G162" s="134">
        <v>1</v>
      </c>
      <c r="H162" s="135">
        <f t="shared" ref="H162:H170" si="31">F162/(+F162+G162)</f>
        <v>0.90909090909090906</v>
      </c>
      <c r="I162" s="136">
        <f>+(F162+G162)/$H$161</f>
        <v>0.22916666666666666</v>
      </c>
    </row>
    <row r="163" spans="2:19" x14ac:dyDescent="0.25">
      <c r="B163" s="52"/>
      <c r="C163" s="39"/>
      <c r="E163" s="133" t="s">
        <v>845</v>
      </c>
      <c r="F163" s="134">
        <v>0</v>
      </c>
      <c r="G163" s="134">
        <v>0</v>
      </c>
      <c r="H163" s="138" t="s">
        <v>1165</v>
      </c>
      <c r="I163" s="136">
        <f t="shared" ref="I163:I172" si="32">+(F163+G163)/$H$161</f>
        <v>0</v>
      </c>
    </row>
    <row r="164" spans="2:19" x14ac:dyDescent="0.25">
      <c r="B164" s="52"/>
      <c r="C164" s="39"/>
      <c r="E164" s="133" t="s">
        <v>1526</v>
      </c>
      <c r="F164" s="134">
        <v>1</v>
      </c>
      <c r="G164" s="134">
        <v>0</v>
      </c>
      <c r="H164" s="135">
        <f t="shared" si="31"/>
        <v>1</v>
      </c>
      <c r="I164" s="136">
        <f t="shared" si="32"/>
        <v>2.0833333333333332E-2</v>
      </c>
    </row>
    <row r="165" spans="2:19" x14ac:dyDescent="0.25">
      <c r="C165" s="39"/>
      <c r="E165" s="133" t="s">
        <v>847</v>
      </c>
      <c r="F165" s="134">
        <v>6</v>
      </c>
      <c r="G165" s="134">
        <v>2</v>
      </c>
      <c r="H165" s="135">
        <f t="shared" si="31"/>
        <v>0.75</v>
      </c>
      <c r="I165" s="136">
        <f t="shared" si="32"/>
        <v>0.16666666666666666</v>
      </c>
    </row>
    <row r="166" spans="2:19" x14ac:dyDescent="0.25">
      <c r="C166" s="39"/>
      <c r="E166" s="133" t="s">
        <v>848</v>
      </c>
      <c r="F166" s="134">
        <v>1</v>
      </c>
      <c r="G166" s="134">
        <v>0</v>
      </c>
      <c r="H166" s="135">
        <f t="shared" si="31"/>
        <v>1</v>
      </c>
      <c r="I166" s="136">
        <f t="shared" si="32"/>
        <v>2.0833333333333332E-2</v>
      </c>
    </row>
    <row r="167" spans="2:19" x14ac:dyDescent="0.25">
      <c r="C167" s="39"/>
      <c r="E167" s="133" t="s">
        <v>849</v>
      </c>
      <c r="F167" s="134">
        <v>2</v>
      </c>
      <c r="G167" s="134">
        <v>3</v>
      </c>
      <c r="H167" s="135">
        <f t="shared" si="31"/>
        <v>0.4</v>
      </c>
      <c r="I167" s="136">
        <f t="shared" si="32"/>
        <v>0.10416666666666667</v>
      </c>
    </row>
    <row r="168" spans="2:19" x14ac:dyDescent="0.25">
      <c r="C168" s="39"/>
      <c r="E168" s="133" t="s">
        <v>1163</v>
      </c>
      <c r="F168" s="134">
        <v>3</v>
      </c>
      <c r="G168" s="134">
        <v>4</v>
      </c>
      <c r="H168" s="135">
        <f t="shared" si="31"/>
        <v>0.42857142857142855</v>
      </c>
      <c r="I168" s="136">
        <f t="shared" si="32"/>
        <v>0.14583333333333334</v>
      </c>
    </row>
    <row r="169" spans="2:19" x14ac:dyDescent="0.25">
      <c r="C169" s="39"/>
      <c r="E169" s="133" t="s">
        <v>1164</v>
      </c>
      <c r="F169" s="134">
        <v>0</v>
      </c>
      <c r="G169" s="134">
        <v>0</v>
      </c>
      <c r="H169" s="138" t="s">
        <v>1165</v>
      </c>
      <c r="I169" s="136">
        <f t="shared" si="32"/>
        <v>0</v>
      </c>
    </row>
    <row r="170" spans="2:19" x14ac:dyDescent="0.25">
      <c r="C170" s="39"/>
      <c r="E170" s="133" t="s">
        <v>1525</v>
      </c>
      <c r="F170" s="134">
        <v>5</v>
      </c>
      <c r="G170" s="134">
        <v>2</v>
      </c>
      <c r="H170" s="135">
        <f t="shared" si="31"/>
        <v>0.7142857142857143</v>
      </c>
      <c r="I170" s="136">
        <f t="shared" si="32"/>
        <v>0.14583333333333334</v>
      </c>
    </row>
    <row r="171" spans="2:19" x14ac:dyDescent="0.25">
      <c r="C171" s="39"/>
      <c r="E171" s="133" t="s">
        <v>1358</v>
      </c>
      <c r="F171" s="134">
        <v>0</v>
      </c>
      <c r="G171" s="134">
        <v>1</v>
      </c>
      <c r="H171" s="138" t="s">
        <v>1165</v>
      </c>
      <c r="I171" s="136">
        <f t="shared" ref="I171" si="33">+(F171+G171)/$H$161</f>
        <v>2.0833333333333332E-2</v>
      </c>
    </row>
    <row r="172" spans="2:19" x14ac:dyDescent="0.25">
      <c r="C172" s="39"/>
      <c r="E172" s="133" t="s">
        <v>1359</v>
      </c>
      <c r="F172" s="134">
        <v>5</v>
      </c>
      <c r="G172" s="134">
        <v>2</v>
      </c>
      <c r="H172" s="138" t="s">
        <v>1165</v>
      </c>
      <c r="I172" s="136">
        <f t="shared" si="32"/>
        <v>0.14583333333333334</v>
      </c>
    </row>
    <row r="173" spans="2:19" x14ac:dyDescent="0.25">
      <c r="C173" s="39"/>
      <c r="F173" s="11"/>
      <c r="G173" s="11"/>
    </row>
    <row r="174" spans="2:19" x14ac:dyDescent="0.25">
      <c r="B174" s="52"/>
      <c r="C174" s="39"/>
    </row>
    <row r="175" spans="2:19" x14ac:dyDescent="0.25">
      <c r="C175" s="39"/>
    </row>
    <row r="176" spans="2:19" x14ac:dyDescent="0.25">
      <c r="C176" s="116"/>
      <c r="D176" s="117"/>
      <c r="E176" s="117"/>
      <c r="F176" s="117"/>
      <c r="G176" s="117"/>
      <c r="H176" s="117"/>
      <c r="I176" s="117"/>
      <c r="J176" s="117"/>
      <c r="K176" s="117"/>
      <c r="L176" s="117"/>
      <c r="M176" s="117"/>
      <c r="N176" s="118"/>
      <c r="O176" s="117"/>
      <c r="P176" s="117"/>
      <c r="Q176" s="117"/>
      <c r="R176" s="117"/>
      <c r="S176" s="117"/>
    </row>
    <row r="177" spans="2:45" x14ac:dyDescent="0.25">
      <c r="C177" s="39"/>
    </row>
    <row r="178" spans="2:45" x14ac:dyDescent="0.25">
      <c r="C178" s="39"/>
    </row>
    <row r="179" spans="2:45" x14ac:dyDescent="0.25">
      <c r="C179" s="39">
        <v>2019</v>
      </c>
      <c r="D179" s="62" t="s">
        <v>1513</v>
      </c>
      <c r="E179" s="63" t="s">
        <v>1514</v>
      </c>
      <c r="F179" s="64">
        <v>43818</v>
      </c>
      <c r="G179" s="65" t="s">
        <v>1225</v>
      </c>
      <c r="H179" s="94">
        <v>1600000</v>
      </c>
      <c r="I179" s="94">
        <v>1065100</v>
      </c>
      <c r="J179" s="94"/>
      <c r="K179" s="153">
        <v>-0.33431250000000001</v>
      </c>
      <c r="L179" s="11" t="s">
        <v>464</v>
      </c>
      <c r="M179" s="15">
        <v>6</v>
      </c>
      <c r="N179" s="35" t="s">
        <v>226</v>
      </c>
      <c r="O179" s="15">
        <v>4</v>
      </c>
      <c r="P179" s="35" t="s">
        <v>457</v>
      </c>
      <c r="Q179" s="35"/>
      <c r="R179" s="15"/>
      <c r="S179" s="24"/>
      <c r="T179" s="62" t="s">
        <v>1515</v>
      </c>
      <c r="U179" s="62"/>
      <c r="V179" s="94">
        <v>1575316.6666666667</v>
      </c>
      <c r="W179" s="199">
        <v>0.6761180291793184</v>
      </c>
      <c r="X179" s="15"/>
      <c r="Y179" s="200">
        <v>0.66568749999999999</v>
      </c>
      <c r="Z179" s="11" t="s">
        <v>465</v>
      </c>
      <c r="AA179" s="11"/>
      <c r="AB179" s="15"/>
      <c r="AC179" s="54">
        <v>1600000</v>
      </c>
      <c r="AD179" s="54">
        <v>1065100</v>
      </c>
      <c r="AE179" s="54">
        <v>534900</v>
      </c>
      <c r="AG179" s="4"/>
      <c r="AH179" s="4"/>
      <c r="AI179" s="225"/>
      <c r="AJ179" s="226"/>
      <c r="AQ179" s="327" t="e">
        <v>#REF!</v>
      </c>
      <c r="AR179" s="157" t="e">
        <v>#REF!</v>
      </c>
    </row>
    <row r="180" spans="2:45" x14ac:dyDescent="0.25">
      <c r="C180" s="39">
        <v>2019</v>
      </c>
      <c r="D180" s="62" t="s">
        <v>1479</v>
      </c>
      <c r="E180" s="63" t="s">
        <v>1480</v>
      </c>
      <c r="F180" s="64">
        <v>43817</v>
      </c>
      <c r="G180" s="65" t="s">
        <v>1225</v>
      </c>
      <c r="H180" s="94">
        <v>700000</v>
      </c>
      <c r="I180" s="94">
        <v>784102</v>
      </c>
      <c r="J180" s="94" t="s">
        <v>519</v>
      </c>
      <c r="K180" s="153">
        <v>0.12014571428571429</v>
      </c>
      <c r="L180" s="11" t="s">
        <v>465</v>
      </c>
      <c r="M180" s="15">
        <v>5</v>
      </c>
      <c r="N180" s="35" t="s">
        <v>25</v>
      </c>
      <c r="O180" s="15">
        <v>4</v>
      </c>
      <c r="P180" s="35" t="s">
        <v>457</v>
      </c>
      <c r="Q180" s="35"/>
      <c r="R180" s="15"/>
      <c r="S180" s="24"/>
      <c r="T180" s="62" t="s">
        <v>1226</v>
      </c>
      <c r="U180" s="62"/>
      <c r="V180" s="94">
        <v>999185.2</v>
      </c>
      <c r="W180" s="199">
        <v>0.78474140729866704</v>
      </c>
      <c r="X180" s="15"/>
      <c r="Y180" s="200">
        <v>1.1201457142857143</v>
      </c>
      <c r="Z180" s="11" t="s">
        <v>465</v>
      </c>
      <c r="AA180" s="11"/>
      <c r="AB180" s="15"/>
      <c r="AC180" s="54">
        <v>700000</v>
      </c>
      <c r="AD180" s="54">
        <v>784102</v>
      </c>
      <c r="AE180" s="54">
        <v>-84102</v>
      </c>
      <c r="AG180" s="4"/>
      <c r="AH180" s="4"/>
      <c r="AI180" s="225"/>
      <c r="AJ180" s="226"/>
      <c r="AQ180" s="327" t="e">
        <v>#REF!</v>
      </c>
      <c r="AR180" s="157" t="e">
        <v>#REF!</v>
      </c>
    </row>
    <row r="181" spans="2:45" x14ac:dyDescent="0.25">
      <c r="C181" s="39">
        <v>2019</v>
      </c>
      <c r="D181" s="62" t="s">
        <v>1481</v>
      </c>
      <c r="E181" s="63" t="s">
        <v>1482</v>
      </c>
      <c r="F181" s="64">
        <v>43775</v>
      </c>
      <c r="G181" s="65" t="s">
        <v>1225</v>
      </c>
      <c r="H181" s="94">
        <v>1200000</v>
      </c>
      <c r="I181" s="94">
        <v>1452000</v>
      </c>
      <c r="J181" s="94" t="s">
        <v>519</v>
      </c>
      <c r="K181" s="153">
        <v>0.21</v>
      </c>
      <c r="L181" s="11" t="s">
        <v>465</v>
      </c>
      <c r="M181" s="15">
        <v>4</v>
      </c>
      <c r="N181" s="35" t="s">
        <v>25</v>
      </c>
      <c r="O181" s="15">
        <v>4</v>
      </c>
      <c r="P181" s="35" t="s">
        <v>457</v>
      </c>
      <c r="Q181" s="35"/>
      <c r="R181" s="15"/>
      <c r="S181" s="24"/>
      <c r="T181" s="62" t="s">
        <v>1226</v>
      </c>
      <c r="U181" s="62"/>
      <c r="V181" s="94">
        <v>2500075.75</v>
      </c>
      <c r="W181" s="199">
        <v>0.58078240229321054</v>
      </c>
      <c r="X181" s="15"/>
      <c r="Y181" s="200">
        <v>1.21</v>
      </c>
      <c r="Z181" s="11" t="s">
        <v>465</v>
      </c>
      <c r="AA181" s="11"/>
      <c r="AB181" s="15"/>
      <c r="AC181" s="54">
        <v>1200000</v>
      </c>
      <c r="AD181" s="54">
        <v>1452000</v>
      </c>
      <c r="AE181" s="54">
        <v>-252000</v>
      </c>
      <c r="AG181" s="4"/>
      <c r="AH181" s="4"/>
      <c r="AI181" s="225"/>
      <c r="AJ181" s="226"/>
      <c r="AQ181" s="327" t="e">
        <v>#REF!</v>
      </c>
      <c r="AR181" s="157" t="e">
        <v>#REF!</v>
      </c>
    </row>
    <row r="182" spans="2:45" x14ac:dyDescent="0.25">
      <c r="C182" s="39">
        <v>2019</v>
      </c>
      <c r="D182" s="62" t="s">
        <v>1500</v>
      </c>
      <c r="E182" s="63" t="s">
        <v>1501</v>
      </c>
      <c r="F182" s="64">
        <v>43774</v>
      </c>
      <c r="G182" s="65" t="s">
        <v>1225</v>
      </c>
      <c r="H182" s="94">
        <v>300000</v>
      </c>
      <c r="I182" s="94">
        <v>350400</v>
      </c>
      <c r="J182" s="94" t="s">
        <v>519</v>
      </c>
      <c r="K182" s="153">
        <v>0.16800000000000001</v>
      </c>
      <c r="L182" s="11" t="s">
        <v>465</v>
      </c>
      <c r="M182" s="15">
        <v>5</v>
      </c>
      <c r="N182" s="35" t="s">
        <v>93</v>
      </c>
      <c r="O182" s="15">
        <v>4</v>
      </c>
      <c r="P182" s="35" t="s">
        <v>457</v>
      </c>
      <c r="Q182" s="35"/>
      <c r="R182" s="15"/>
      <c r="S182" s="24"/>
      <c r="T182" s="62" t="s">
        <v>1405</v>
      </c>
      <c r="U182" s="62"/>
      <c r="V182" s="94">
        <v>481113.59999999998</v>
      </c>
      <c r="W182" s="199">
        <v>0.72831032005746676</v>
      </c>
      <c r="X182" s="15"/>
      <c r="Y182" s="200">
        <v>1.1679999999999999</v>
      </c>
      <c r="Z182" s="11" t="s">
        <v>465</v>
      </c>
      <c r="AA182" s="11"/>
      <c r="AB182" s="15"/>
      <c r="AC182" s="54">
        <v>300000</v>
      </c>
      <c r="AD182" s="54">
        <v>350400</v>
      </c>
      <c r="AE182" s="54">
        <v>-50400</v>
      </c>
      <c r="AG182" s="4"/>
      <c r="AH182" s="4"/>
      <c r="AI182" s="225"/>
      <c r="AJ182" s="226"/>
      <c r="AQ182" s="327" t="e">
        <v>#REF!</v>
      </c>
      <c r="AR182" s="157" t="e">
        <v>#REF!</v>
      </c>
    </row>
    <row r="183" spans="2:45" x14ac:dyDescent="0.25">
      <c r="C183" s="39">
        <v>2019</v>
      </c>
      <c r="D183" s="62" t="s">
        <v>1502</v>
      </c>
      <c r="E183" s="63" t="s">
        <v>1503</v>
      </c>
      <c r="F183" s="64">
        <v>43740</v>
      </c>
      <c r="G183" s="65" t="s">
        <v>1504</v>
      </c>
      <c r="H183" s="94">
        <v>8460000</v>
      </c>
      <c r="I183" s="94">
        <v>7795000</v>
      </c>
      <c r="J183" s="94"/>
      <c r="K183" s="153">
        <v>-7.860520094562648E-2</v>
      </c>
      <c r="L183" s="11" t="s">
        <v>464</v>
      </c>
      <c r="M183" s="15">
        <v>7</v>
      </c>
      <c r="N183" s="35" t="s">
        <v>93</v>
      </c>
      <c r="O183" s="15">
        <v>4</v>
      </c>
      <c r="P183" s="35" t="s">
        <v>457</v>
      </c>
      <c r="Q183" s="35"/>
      <c r="R183" s="15"/>
      <c r="S183" s="24"/>
      <c r="T183" s="62" t="s">
        <v>1405</v>
      </c>
      <c r="U183" s="62"/>
      <c r="V183" s="94">
        <v>12539160.857142856</v>
      </c>
      <c r="W183" s="199">
        <v>0.62165244459397984</v>
      </c>
      <c r="X183" s="15"/>
      <c r="Y183" s="200">
        <v>0.92139479905437349</v>
      </c>
      <c r="Z183" s="11" t="s">
        <v>465</v>
      </c>
      <c r="AA183" s="11"/>
      <c r="AB183" s="15"/>
      <c r="AC183" s="54">
        <v>8460000</v>
      </c>
      <c r="AD183" s="54">
        <v>7795000</v>
      </c>
      <c r="AE183" s="54">
        <v>665000</v>
      </c>
      <c r="AG183" s="4"/>
      <c r="AH183" s="4"/>
      <c r="AI183" s="225"/>
      <c r="AJ183" s="226"/>
      <c r="AQ183" s="327" t="e">
        <v>#REF!</v>
      </c>
      <c r="AR183" s="157" t="e">
        <v>#REF!</v>
      </c>
    </row>
    <row r="184" spans="2:45" x14ac:dyDescent="0.25">
      <c r="B184" s="203">
        <v>0.5</v>
      </c>
      <c r="C184" s="39">
        <v>2019</v>
      </c>
      <c r="D184" s="62" t="s">
        <v>1516</v>
      </c>
      <c r="E184" s="63" t="s">
        <v>1517</v>
      </c>
      <c r="F184" s="64">
        <v>43740</v>
      </c>
      <c r="G184" s="65" t="s">
        <v>1225</v>
      </c>
      <c r="H184" s="94">
        <v>1260000</v>
      </c>
      <c r="I184" s="94">
        <v>1350135</v>
      </c>
      <c r="J184" s="94"/>
      <c r="K184" s="153">
        <v>7.1535714285714286E-2</v>
      </c>
      <c r="L184" s="11" t="s">
        <v>464</v>
      </c>
      <c r="M184" s="15">
        <v>3</v>
      </c>
      <c r="N184" s="35" t="s">
        <v>226</v>
      </c>
      <c r="O184" s="15">
        <v>4</v>
      </c>
      <c r="P184" s="35" t="s">
        <v>457</v>
      </c>
      <c r="Q184" s="35"/>
      <c r="R184" s="15"/>
      <c r="S184" s="24"/>
      <c r="T184" s="62" t="s">
        <v>1405</v>
      </c>
      <c r="U184" s="62"/>
      <c r="V184" s="94">
        <v>1730878.3333333333</v>
      </c>
      <c r="W184" s="199">
        <v>0.78002882929379791</v>
      </c>
      <c r="X184" s="15"/>
      <c r="Y184" s="200">
        <v>1.0715357142857143</v>
      </c>
      <c r="Z184" s="11" t="s">
        <v>465</v>
      </c>
      <c r="AA184" s="11"/>
      <c r="AB184" s="15"/>
      <c r="AC184" s="54">
        <v>1260000</v>
      </c>
      <c r="AD184" s="54">
        <v>1350135</v>
      </c>
      <c r="AE184" s="54">
        <v>-90135</v>
      </c>
      <c r="AG184" s="4">
        <v>18089000</v>
      </c>
      <c r="AH184" s="4">
        <v>15433737</v>
      </c>
      <c r="AI184" s="204">
        <v>0.85321117806401681</v>
      </c>
      <c r="AJ184" s="1" t="s">
        <v>1240</v>
      </c>
      <c r="AK184" s="205">
        <v>920837479</v>
      </c>
      <c r="AL184" s="205">
        <v>736287302</v>
      </c>
      <c r="AM184" s="206">
        <v>0.79958442047730771</v>
      </c>
      <c r="AN184" s="207" t="s">
        <v>1475</v>
      </c>
      <c r="AO184" s="208"/>
      <c r="AQ184" s="327" t="e">
        <v>#REF!</v>
      </c>
      <c r="AR184" s="157" t="e">
        <v>#REF!</v>
      </c>
    </row>
    <row r="185" spans="2:45" x14ac:dyDescent="0.25">
      <c r="C185" s="39">
        <v>2019</v>
      </c>
      <c r="D185" s="62" t="s">
        <v>1485</v>
      </c>
      <c r="E185" s="63" t="s">
        <v>1486</v>
      </c>
      <c r="F185" s="64">
        <v>43720</v>
      </c>
      <c r="G185" s="65" t="s">
        <v>1225</v>
      </c>
      <c r="H185" s="94">
        <v>1360000</v>
      </c>
      <c r="I185" s="94">
        <v>1843700</v>
      </c>
      <c r="J185" s="94" t="s">
        <v>519</v>
      </c>
      <c r="K185" s="153">
        <v>0.35566176470588234</v>
      </c>
      <c r="L185" s="11" t="s">
        <v>465</v>
      </c>
      <c r="M185" s="15">
        <v>5</v>
      </c>
      <c r="N185" s="35" t="s">
        <v>25</v>
      </c>
      <c r="O185" s="15">
        <v>3</v>
      </c>
      <c r="P185" s="35" t="s">
        <v>457</v>
      </c>
      <c r="Q185" s="35"/>
      <c r="R185" s="15"/>
      <c r="S185" s="24"/>
      <c r="T185" s="62" t="s">
        <v>816</v>
      </c>
      <c r="U185" s="62"/>
      <c r="V185" s="94">
        <v>2763542</v>
      </c>
      <c r="W185" s="199">
        <v>0.66715106917137501</v>
      </c>
      <c r="X185" s="15"/>
      <c r="Y185" s="200">
        <v>1.3556617647058824</v>
      </c>
      <c r="Z185" s="11" t="s">
        <v>465</v>
      </c>
      <c r="AA185" s="11"/>
      <c r="AB185" s="15"/>
      <c r="AC185" s="54">
        <v>1360000</v>
      </c>
      <c r="AD185" s="54">
        <v>1843700</v>
      </c>
      <c r="AE185" s="54">
        <v>-483700</v>
      </c>
      <c r="AG185" s="4"/>
      <c r="AH185" s="4"/>
      <c r="AI185" s="225"/>
      <c r="AJ185" s="226"/>
      <c r="AQ185" s="327" t="e">
        <v>#REF!</v>
      </c>
      <c r="AR185" s="157" t="e">
        <v>#REF!</v>
      </c>
    </row>
    <row r="186" spans="2:45" x14ac:dyDescent="0.25">
      <c r="C186" s="39">
        <v>2019</v>
      </c>
      <c r="D186" s="62" t="s">
        <v>1518</v>
      </c>
      <c r="E186" s="63" t="s">
        <v>1519</v>
      </c>
      <c r="F186" s="64">
        <v>43712</v>
      </c>
      <c r="G186" s="65" t="s">
        <v>34</v>
      </c>
      <c r="H186" s="94">
        <v>1300000</v>
      </c>
      <c r="I186" s="94">
        <v>919000</v>
      </c>
      <c r="J186" s="94"/>
      <c r="K186" s="153">
        <v>-0.29307692307692307</v>
      </c>
      <c r="L186" s="11" t="s">
        <v>464</v>
      </c>
      <c r="M186" s="15">
        <v>16</v>
      </c>
      <c r="N186" s="35" t="s">
        <v>226</v>
      </c>
      <c r="O186" s="15">
        <v>3</v>
      </c>
      <c r="P186" s="35" t="s">
        <v>457</v>
      </c>
      <c r="Q186" s="35"/>
      <c r="R186" s="15"/>
      <c r="S186" s="24"/>
      <c r="T186" s="62" t="s">
        <v>447</v>
      </c>
      <c r="U186" s="62"/>
      <c r="V186" s="94">
        <v>1639305.4375</v>
      </c>
      <c r="W186" s="199">
        <v>0.56060327683748079</v>
      </c>
      <c r="X186" s="15"/>
      <c r="Y186" s="200">
        <v>0.70692307692307688</v>
      </c>
      <c r="Z186" s="11" t="s">
        <v>465</v>
      </c>
      <c r="AA186" s="11"/>
      <c r="AB186" s="15"/>
      <c r="AC186" s="54">
        <v>1300000</v>
      </c>
      <c r="AD186" s="54">
        <v>919000</v>
      </c>
      <c r="AE186" s="54">
        <v>381000</v>
      </c>
      <c r="AG186" s="4"/>
      <c r="AH186" s="4"/>
      <c r="AI186" s="225"/>
      <c r="AJ186" s="226"/>
      <c r="AQ186" s="327" t="e">
        <v>#REF!</v>
      </c>
      <c r="AR186" s="157" t="e">
        <v>#REF!</v>
      </c>
    </row>
    <row r="187" spans="2:45" x14ac:dyDescent="0.25">
      <c r="C187" s="39">
        <v>2019</v>
      </c>
      <c r="D187" s="62" t="s">
        <v>1520</v>
      </c>
      <c r="E187" s="63" t="s">
        <v>1521</v>
      </c>
      <c r="F187" s="64">
        <v>43699</v>
      </c>
      <c r="G187" s="65" t="s">
        <v>34</v>
      </c>
      <c r="H187" s="94">
        <v>194071979</v>
      </c>
      <c r="I187" s="94">
        <v>171330900</v>
      </c>
      <c r="J187" s="94"/>
      <c r="K187" s="153">
        <v>-0.11717858042762577</v>
      </c>
      <c r="L187" s="11" t="s">
        <v>464</v>
      </c>
      <c r="M187" s="15">
        <v>6</v>
      </c>
      <c r="N187" s="35" t="s">
        <v>226</v>
      </c>
      <c r="O187" s="15">
        <v>3</v>
      </c>
      <c r="P187" s="35" t="s">
        <v>457</v>
      </c>
      <c r="Q187" s="35"/>
      <c r="R187" s="15"/>
      <c r="S187" s="24" t="s">
        <v>1476</v>
      </c>
      <c r="T187" s="62" t="s">
        <v>1226</v>
      </c>
      <c r="U187" s="62"/>
      <c r="V187" s="94">
        <v>182690985.33333334</v>
      </c>
      <c r="W187" s="199">
        <v>0.93781803019669518</v>
      </c>
      <c r="X187" s="15"/>
      <c r="Y187" s="200">
        <v>0.88282141957237426</v>
      </c>
      <c r="Z187" s="11" t="s">
        <v>465</v>
      </c>
      <c r="AA187" s="11"/>
      <c r="AB187" s="15"/>
      <c r="AC187" s="54">
        <v>194071979</v>
      </c>
      <c r="AD187" s="54">
        <v>171330900</v>
      </c>
      <c r="AE187" s="54">
        <v>22741079</v>
      </c>
      <c r="AG187" s="4"/>
      <c r="AH187" s="4"/>
      <c r="AI187" s="225"/>
      <c r="AJ187" s="226"/>
      <c r="AQ187" s="327" t="e">
        <v>#REF!</v>
      </c>
      <c r="AR187" s="157" t="e">
        <v>#REF!</v>
      </c>
    </row>
    <row r="188" spans="2:45" x14ac:dyDescent="0.25">
      <c r="C188" s="39">
        <v>2019</v>
      </c>
      <c r="D188" s="62" t="s">
        <v>1522</v>
      </c>
      <c r="E188" s="63" t="s">
        <v>717</v>
      </c>
      <c r="F188" s="64">
        <v>43685</v>
      </c>
      <c r="G188" s="65" t="s">
        <v>190</v>
      </c>
      <c r="H188" s="94">
        <v>1755000</v>
      </c>
      <c r="I188" s="94">
        <v>1312300</v>
      </c>
      <c r="J188" s="94"/>
      <c r="K188" s="153">
        <v>-0.25225071225071227</v>
      </c>
      <c r="L188" s="11" t="s">
        <v>464</v>
      </c>
      <c r="M188" s="15">
        <v>7</v>
      </c>
      <c r="N188" s="35" t="s">
        <v>226</v>
      </c>
      <c r="O188" s="15">
        <v>3</v>
      </c>
      <c r="P188" s="35" t="s">
        <v>457</v>
      </c>
      <c r="Q188" s="35"/>
      <c r="R188" s="15"/>
      <c r="S188" s="24"/>
      <c r="T188" s="62" t="s">
        <v>1405</v>
      </c>
      <c r="U188" s="62"/>
      <c r="V188" s="94">
        <v>2001831.7142857143</v>
      </c>
      <c r="W188" s="199">
        <v>0.65554961020699465</v>
      </c>
      <c r="X188" s="15"/>
      <c r="Y188" s="200">
        <v>0.74774928774928773</v>
      </c>
      <c r="Z188" s="11" t="s">
        <v>465</v>
      </c>
      <c r="AA188" s="11"/>
      <c r="AB188" s="15"/>
      <c r="AC188" s="54">
        <v>1755000</v>
      </c>
      <c r="AD188" s="54">
        <v>1312300</v>
      </c>
      <c r="AE188" s="54">
        <v>442700</v>
      </c>
      <c r="AG188" s="4"/>
      <c r="AH188" s="4"/>
      <c r="AI188" s="225"/>
      <c r="AJ188" s="226"/>
      <c r="AQ188" s="327" t="e">
        <v>#REF!</v>
      </c>
      <c r="AR188" s="157" t="e">
        <v>#REF!</v>
      </c>
    </row>
    <row r="189" spans="2:45" x14ac:dyDescent="0.25">
      <c r="C189" s="39">
        <v>2019</v>
      </c>
      <c r="D189" s="62" t="s">
        <v>1523</v>
      </c>
      <c r="E189" s="63" t="s">
        <v>1524</v>
      </c>
      <c r="F189" s="64">
        <v>43669</v>
      </c>
      <c r="G189" s="65" t="s">
        <v>34</v>
      </c>
      <c r="H189" s="94">
        <v>249010000</v>
      </c>
      <c r="I189" s="94">
        <v>135022488</v>
      </c>
      <c r="J189" s="94"/>
      <c r="K189" s="153">
        <v>-0.45776278864302639</v>
      </c>
      <c r="L189" s="11" t="s">
        <v>465</v>
      </c>
      <c r="M189" s="15">
        <v>5</v>
      </c>
      <c r="N189" s="35" t="s">
        <v>226</v>
      </c>
      <c r="O189" s="15">
        <v>3</v>
      </c>
      <c r="P189" s="35" t="s">
        <v>457</v>
      </c>
      <c r="Q189" s="35"/>
      <c r="R189" s="15"/>
      <c r="S189" s="24" t="s">
        <v>932</v>
      </c>
      <c r="T189" s="62" t="s">
        <v>816</v>
      </c>
      <c r="U189" s="62"/>
      <c r="V189" s="94">
        <v>164986247.40000001</v>
      </c>
      <c r="W189" s="199">
        <v>0.8183863208467641</v>
      </c>
      <c r="X189" s="15"/>
      <c r="Y189" s="200">
        <v>0.54223721135697367</v>
      </c>
      <c r="Z189" s="11" t="s">
        <v>465</v>
      </c>
      <c r="AA189" s="11"/>
      <c r="AB189" s="15"/>
      <c r="AC189" s="54">
        <v>249010000</v>
      </c>
      <c r="AD189" s="54">
        <v>135022488</v>
      </c>
      <c r="AE189" s="54">
        <v>113987512</v>
      </c>
      <c r="AG189" s="4"/>
      <c r="AH189" s="4"/>
      <c r="AI189" s="225"/>
      <c r="AJ189" s="226"/>
      <c r="AQ189" s="327" t="e">
        <v>#REF!</v>
      </c>
      <c r="AR189" s="157" t="e">
        <v>#REF!</v>
      </c>
    </row>
    <row r="190" spans="2:45" x14ac:dyDescent="0.25">
      <c r="C190" s="39">
        <v>2019</v>
      </c>
      <c r="D190" s="62" t="s">
        <v>1495</v>
      </c>
      <c r="E190" s="63" t="s">
        <v>1496</v>
      </c>
      <c r="F190" s="64">
        <v>43662</v>
      </c>
      <c r="G190" s="65" t="s">
        <v>1225</v>
      </c>
      <c r="H190" s="94">
        <v>2060000</v>
      </c>
      <c r="I190" s="94">
        <v>2899873</v>
      </c>
      <c r="J190" s="94" t="s">
        <v>519</v>
      </c>
      <c r="K190" s="153">
        <v>0.40770533980582524</v>
      </c>
      <c r="L190" s="11" t="s">
        <v>465</v>
      </c>
      <c r="M190" s="15">
        <v>4</v>
      </c>
      <c r="N190" s="35" t="s">
        <v>25</v>
      </c>
      <c r="O190" s="15">
        <v>3</v>
      </c>
      <c r="P190" s="35" t="s">
        <v>457</v>
      </c>
      <c r="Q190" s="35"/>
      <c r="R190" s="15"/>
      <c r="S190" s="24"/>
      <c r="T190" s="62" t="s">
        <v>1405</v>
      </c>
      <c r="U190" s="62"/>
      <c r="V190" s="94">
        <v>4043908.25</v>
      </c>
      <c r="W190" s="199">
        <v>0.71709663541451518</v>
      </c>
      <c r="X190" s="15"/>
      <c r="Y190" s="200">
        <v>1.4077053398058252</v>
      </c>
      <c r="Z190" s="11" t="s">
        <v>465</v>
      </c>
      <c r="AA190" s="11"/>
      <c r="AB190" s="15"/>
      <c r="AC190" s="54">
        <v>2060000</v>
      </c>
      <c r="AD190" s="54">
        <v>2899873</v>
      </c>
      <c r="AE190" s="54">
        <v>-839873</v>
      </c>
      <c r="AG190" s="4"/>
      <c r="AH190" s="4"/>
      <c r="AI190" s="225"/>
      <c r="AJ190" s="226"/>
      <c r="AQ190" s="327" t="e">
        <v>#REF!</v>
      </c>
      <c r="AR190" s="157" t="e">
        <v>#REF!</v>
      </c>
    </row>
    <row r="191" spans="2:45" x14ac:dyDescent="0.25">
      <c r="B191" s="203">
        <v>0.7857142857142857</v>
      </c>
      <c r="C191" s="39">
        <v>2019</v>
      </c>
      <c r="D191" s="62" t="s">
        <v>1511</v>
      </c>
      <c r="E191" s="63" t="s">
        <v>1512</v>
      </c>
      <c r="F191" s="64">
        <v>43655</v>
      </c>
      <c r="G191" s="65" t="s">
        <v>1225</v>
      </c>
      <c r="H191" s="94">
        <v>400000</v>
      </c>
      <c r="I191" s="94">
        <v>396784</v>
      </c>
      <c r="J191" s="94"/>
      <c r="K191" s="153">
        <v>-8.0400000000000003E-3</v>
      </c>
      <c r="L191" s="11" t="s">
        <v>464</v>
      </c>
      <c r="M191" s="15">
        <v>6</v>
      </c>
      <c r="N191" s="35" t="s">
        <v>93</v>
      </c>
      <c r="O191" s="15">
        <v>3</v>
      </c>
      <c r="P191" s="35" t="s">
        <v>457</v>
      </c>
      <c r="Q191" s="35"/>
      <c r="R191" s="15"/>
      <c r="S191" s="24"/>
      <c r="T191" s="62" t="s">
        <v>447</v>
      </c>
      <c r="U191" s="62"/>
      <c r="V191" s="94">
        <v>586062</v>
      </c>
      <c r="W191" s="199">
        <v>0.67703417044613023</v>
      </c>
      <c r="X191" s="15"/>
      <c r="Y191" s="200">
        <v>0.99195999999999995</v>
      </c>
      <c r="Z191" s="11" t="s">
        <v>465</v>
      </c>
      <c r="AA191" s="11"/>
      <c r="AB191" s="15"/>
      <c r="AC191" s="54">
        <v>400000</v>
      </c>
      <c r="AD191" s="54">
        <v>396784</v>
      </c>
      <c r="AE191" s="54">
        <v>3216</v>
      </c>
      <c r="AG191" s="4">
        <v>541526979</v>
      </c>
      <c r="AH191" s="4">
        <v>392783727</v>
      </c>
      <c r="AI191" s="204">
        <v>0.7253262390090448</v>
      </c>
      <c r="AJ191" s="1" t="s">
        <v>1240</v>
      </c>
      <c r="AK191" s="205">
        <v>902748479</v>
      </c>
      <c r="AL191" s="205">
        <v>720853565</v>
      </c>
      <c r="AM191" s="206">
        <v>0.79850986378676581</v>
      </c>
      <c r="AN191" s="207" t="s">
        <v>1475</v>
      </c>
      <c r="AO191" s="208"/>
      <c r="AQ191" s="327" t="e">
        <v>#REF!</v>
      </c>
      <c r="AR191" s="157" t="e">
        <v>#REF!</v>
      </c>
      <c r="AS191" s="104"/>
    </row>
    <row r="192" spans="2:45" x14ac:dyDescent="0.25">
      <c r="C192" s="39">
        <v>2019</v>
      </c>
      <c r="D192" s="62" t="s">
        <v>1417</v>
      </c>
      <c r="E192" s="63" t="s">
        <v>1418</v>
      </c>
      <c r="F192" s="64">
        <v>43628</v>
      </c>
      <c r="G192" s="65" t="s">
        <v>34</v>
      </c>
      <c r="H192" s="94">
        <v>3250000</v>
      </c>
      <c r="I192" s="94">
        <v>3845000</v>
      </c>
      <c r="J192" s="94" t="s">
        <v>519</v>
      </c>
      <c r="K192" s="153">
        <v>0.18307692307692308</v>
      </c>
      <c r="L192" s="11" t="s">
        <v>465</v>
      </c>
      <c r="M192" s="15">
        <v>6</v>
      </c>
      <c r="N192" s="35" t="s">
        <v>25</v>
      </c>
      <c r="O192" s="15">
        <v>2</v>
      </c>
      <c r="P192" s="35" t="s">
        <v>457</v>
      </c>
      <c r="Q192" s="35"/>
      <c r="R192" s="15"/>
      <c r="S192" s="24"/>
      <c r="T192" s="62" t="s">
        <v>1419</v>
      </c>
      <c r="U192" s="62"/>
      <c r="V192" s="94">
        <v>5595333.333333333</v>
      </c>
      <c r="W192" s="199">
        <v>0.6871797926843799</v>
      </c>
      <c r="X192" s="15"/>
      <c r="Y192" s="200">
        <v>1.1830769230769231</v>
      </c>
      <c r="Z192" s="11" t="s">
        <v>465</v>
      </c>
      <c r="AA192" s="11"/>
      <c r="AB192" s="15"/>
      <c r="AC192" s="54">
        <v>3250000</v>
      </c>
      <c r="AD192" s="54">
        <v>3845000</v>
      </c>
      <c r="AE192" s="54">
        <v>-595000</v>
      </c>
      <c r="AG192" s="4"/>
      <c r="AH192" s="4"/>
      <c r="AI192" s="225"/>
      <c r="AJ192" s="226"/>
      <c r="AQ192" s="327" t="e">
        <v>#REF!</v>
      </c>
      <c r="AR192" s="157" t="e">
        <v>#REF!</v>
      </c>
      <c r="AS192" s="104"/>
    </row>
    <row r="193" spans="3:45" x14ac:dyDescent="0.25">
      <c r="C193" s="39">
        <v>2019</v>
      </c>
      <c r="D193" s="62" t="s">
        <v>1420</v>
      </c>
      <c r="E193" s="63" t="s">
        <v>1421</v>
      </c>
      <c r="F193" s="64">
        <v>43622</v>
      </c>
      <c r="G193" s="65" t="s">
        <v>34</v>
      </c>
      <c r="H193" s="94">
        <v>2070000</v>
      </c>
      <c r="I193" s="94">
        <v>2112649</v>
      </c>
      <c r="J193" s="94"/>
      <c r="K193" s="153">
        <v>2.0603381642512079E-2</v>
      </c>
      <c r="L193" s="11" t="s">
        <v>464</v>
      </c>
      <c r="M193" s="15">
        <v>9</v>
      </c>
      <c r="N193" s="35" t="s">
        <v>226</v>
      </c>
      <c r="O193" s="15">
        <v>2</v>
      </c>
      <c r="P193" s="35" t="s">
        <v>457</v>
      </c>
      <c r="Q193" s="35"/>
      <c r="R193" s="15"/>
      <c r="S193" s="24"/>
      <c r="T193" s="62" t="s">
        <v>1419</v>
      </c>
      <c r="U193" s="62"/>
      <c r="V193" s="94">
        <v>3084176.5555555555</v>
      </c>
      <c r="W193" s="199">
        <v>0.68499612844617019</v>
      </c>
      <c r="X193" s="15"/>
      <c r="Y193" s="200">
        <v>1.0206033816425122</v>
      </c>
      <c r="Z193" s="11" t="s">
        <v>465</v>
      </c>
      <c r="AA193" s="11"/>
      <c r="AB193" s="15"/>
      <c r="AC193" s="54">
        <v>2070000</v>
      </c>
      <c r="AD193" s="54">
        <v>2112649</v>
      </c>
      <c r="AE193" s="54">
        <v>-42649</v>
      </c>
      <c r="AG193" s="4"/>
      <c r="AH193" s="4"/>
      <c r="AI193" s="225"/>
      <c r="AJ193" s="226"/>
      <c r="AQ193" s="327" t="e">
        <v>#REF!</v>
      </c>
      <c r="AR193" s="157" t="e">
        <v>#REF!</v>
      </c>
      <c r="AS193" s="104"/>
    </row>
    <row r="194" spans="3:45" x14ac:dyDescent="0.25">
      <c r="C194" s="39">
        <v>2019</v>
      </c>
      <c r="D194" s="62" t="s">
        <v>1428</v>
      </c>
      <c r="E194" s="63" t="s">
        <v>1429</v>
      </c>
      <c r="F194" s="64">
        <v>43571</v>
      </c>
      <c r="G194" s="65" t="s">
        <v>34</v>
      </c>
      <c r="H194" s="94">
        <v>1200000</v>
      </c>
      <c r="I194" s="94">
        <v>1738750</v>
      </c>
      <c r="J194" s="94" t="s">
        <v>519</v>
      </c>
      <c r="K194" s="153">
        <v>0.44895833333333335</v>
      </c>
      <c r="L194" s="11" t="s">
        <v>465</v>
      </c>
      <c r="M194" s="15">
        <v>4</v>
      </c>
      <c r="N194" s="35" t="s">
        <v>25</v>
      </c>
      <c r="O194" s="15">
        <v>2</v>
      </c>
      <c r="P194" s="35" t="s">
        <v>457</v>
      </c>
      <c r="Q194" s="35"/>
      <c r="R194" s="15"/>
      <c r="S194" s="24"/>
      <c r="T194" s="62" t="s">
        <v>784</v>
      </c>
      <c r="U194" s="62"/>
      <c r="V194" s="94">
        <v>2084917.5</v>
      </c>
      <c r="W194" s="199">
        <v>0.83396585236586096</v>
      </c>
      <c r="X194" s="15"/>
      <c r="Y194" s="200">
        <v>1.4489583333333333</v>
      </c>
      <c r="Z194" s="11" t="s">
        <v>465</v>
      </c>
      <c r="AA194" s="11"/>
      <c r="AB194" s="15"/>
      <c r="AC194" s="54">
        <v>1200000</v>
      </c>
      <c r="AD194" s="54">
        <v>1738750</v>
      </c>
      <c r="AE194" s="54">
        <v>-538750</v>
      </c>
      <c r="AG194" s="4"/>
      <c r="AH194" s="4"/>
      <c r="AI194" s="225"/>
      <c r="AJ194" s="226"/>
      <c r="AQ194" s="327" t="e">
        <v>#REF!</v>
      </c>
      <c r="AR194" s="157" t="e">
        <v>#REF!</v>
      </c>
      <c r="AS194" s="104"/>
    </row>
    <row r="195" spans="3:45" x14ac:dyDescent="0.25">
      <c r="C195" s="39">
        <v>2019</v>
      </c>
      <c r="D195" s="62" t="s">
        <v>1497</v>
      </c>
      <c r="E195" s="63" t="s">
        <v>1396</v>
      </c>
      <c r="F195" s="64">
        <v>43545</v>
      </c>
      <c r="G195" s="65" t="s">
        <v>1225</v>
      </c>
      <c r="H195" s="94">
        <v>1151000</v>
      </c>
      <c r="I195" s="94">
        <v>1762891</v>
      </c>
      <c r="J195" s="94" t="s">
        <v>519</v>
      </c>
      <c r="K195" s="153">
        <v>0.53161685490877497</v>
      </c>
      <c r="L195" s="11" t="s">
        <v>465</v>
      </c>
      <c r="M195" s="15">
        <v>4</v>
      </c>
      <c r="N195" s="35" t="s">
        <v>25</v>
      </c>
      <c r="O195" s="15">
        <v>1</v>
      </c>
      <c r="P195" s="35" t="s">
        <v>457</v>
      </c>
      <c r="Q195" s="35"/>
      <c r="R195" s="15"/>
      <c r="S195" s="24"/>
      <c r="T195" s="62" t="s">
        <v>1226</v>
      </c>
      <c r="U195" s="62"/>
      <c r="V195" s="94">
        <v>2446945.25</v>
      </c>
      <c r="W195" s="199">
        <v>0.72044562500938669</v>
      </c>
      <c r="X195" s="15"/>
      <c r="Y195" s="200">
        <v>1.531616854908775</v>
      </c>
      <c r="Z195" s="11" t="s">
        <v>465</v>
      </c>
      <c r="AA195" s="11"/>
      <c r="AB195" s="15"/>
      <c r="AC195" s="54">
        <v>1151000</v>
      </c>
      <c r="AD195" s="54">
        <v>1762891</v>
      </c>
      <c r="AE195" s="54">
        <v>-611891</v>
      </c>
      <c r="AG195" s="4"/>
      <c r="AH195" s="4"/>
      <c r="AI195" s="225"/>
      <c r="AJ195" s="226"/>
      <c r="AQ195" s="327" t="e">
        <v>#REF!</v>
      </c>
      <c r="AR195" s="157" t="e">
        <v>#REF!</v>
      </c>
    </row>
    <row r="196" spans="3:45" x14ac:dyDescent="0.25">
      <c r="C196" s="39">
        <v>2019</v>
      </c>
      <c r="D196" s="62" t="s">
        <v>1410</v>
      </c>
      <c r="E196" s="63" t="s">
        <v>1411</v>
      </c>
      <c r="F196" s="64">
        <v>43516</v>
      </c>
      <c r="G196" s="65" t="s">
        <v>190</v>
      </c>
      <c r="H196" s="94">
        <v>1790000</v>
      </c>
      <c r="I196" s="94">
        <v>1443785</v>
      </c>
      <c r="J196" s="94"/>
      <c r="K196" s="153">
        <v>-0.19341620111731844</v>
      </c>
      <c r="L196" s="11" t="s">
        <v>464</v>
      </c>
      <c r="M196" s="15">
        <v>7</v>
      </c>
      <c r="N196" s="35" t="s">
        <v>226</v>
      </c>
      <c r="O196" s="15">
        <v>1</v>
      </c>
      <c r="P196" s="35" t="s">
        <v>457</v>
      </c>
      <c r="Q196" s="35"/>
      <c r="R196" s="15"/>
      <c r="S196" s="24"/>
      <c r="T196" s="62" t="s">
        <v>1226</v>
      </c>
      <c r="U196" s="62"/>
      <c r="V196" s="94">
        <v>3495752.1428571427</v>
      </c>
      <c r="W196" s="199">
        <v>0.41301126080980327</v>
      </c>
      <c r="X196" s="15"/>
      <c r="Y196" s="200">
        <v>0.80658379888268161</v>
      </c>
      <c r="Z196" s="11" t="s">
        <v>465</v>
      </c>
      <c r="AA196" s="11"/>
      <c r="AB196" s="15"/>
      <c r="AC196" s="54">
        <v>1790000</v>
      </c>
      <c r="AD196" s="54">
        <v>1443785</v>
      </c>
      <c r="AE196" s="54">
        <v>346215</v>
      </c>
      <c r="AG196" s="4"/>
      <c r="AH196" s="4"/>
      <c r="AI196" s="225"/>
      <c r="AJ196" s="226"/>
      <c r="AQ196" s="327" t="e">
        <v>#REF!</v>
      </c>
      <c r="AR196" s="157" t="e">
        <v>#REF!</v>
      </c>
    </row>
    <row r="197" spans="3:45" x14ac:dyDescent="0.25">
      <c r="C197" s="39">
        <v>2019</v>
      </c>
      <c r="D197" s="62" t="s">
        <v>1412</v>
      </c>
      <c r="E197" s="63" t="s">
        <v>1317</v>
      </c>
      <c r="F197" s="64">
        <v>43516</v>
      </c>
      <c r="G197" s="65" t="s">
        <v>190</v>
      </c>
      <c r="H197" s="94">
        <v>1880000</v>
      </c>
      <c r="I197" s="94">
        <v>1101828</v>
      </c>
      <c r="J197" s="94"/>
      <c r="K197" s="153">
        <v>-0.41392127659574468</v>
      </c>
      <c r="L197" s="11" t="s">
        <v>464</v>
      </c>
      <c r="M197" s="15">
        <v>6</v>
      </c>
      <c r="N197" s="35" t="s">
        <v>226</v>
      </c>
      <c r="O197" s="15">
        <v>1</v>
      </c>
      <c r="P197" s="35" t="s">
        <v>457</v>
      </c>
      <c r="Q197" s="35"/>
      <c r="R197" s="15"/>
      <c r="S197" s="24"/>
      <c r="T197" s="62" t="s">
        <v>1405</v>
      </c>
      <c r="U197" s="62"/>
      <c r="V197" s="94">
        <v>3114163.5</v>
      </c>
      <c r="W197" s="199">
        <v>0.35381186633264439</v>
      </c>
      <c r="X197" s="15"/>
      <c r="Y197" s="200">
        <v>0.58607872340425526</v>
      </c>
      <c r="Z197" s="11" t="s">
        <v>465</v>
      </c>
      <c r="AA197" s="11"/>
      <c r="AB197" s="15"/>
      <c r="AC197" s="54">
        <v>1880000</v>
      </c>
      <c r="AD197" s="54">
        <v>1101828</v>
      </c>
      <c r="AE197" s="54">
        <v>778172</v>
      </c>
      <c r="AG197" s="4"/>
      <c r="AH197" s="4"/>
      <c r="AI197" s="225"/>
      <c r="AJ197" s="226"/>
      <c r="AQ197" s="327" t="e">
        <v>#REF!</v>
      </c>
      <c r="AR197" s="157" t="e">
        <v>#REF!</v>
      </c>
    </row>
    <row r="198" spans="3:45" x14ac:dyDescent="0.25">
      <c r="C198" s="39">
        <v>2019</v>
      </c>
      <c r="D198" s="62" t="s">
        <v>1399</v>
      </c>
      <c r="E198" s="63" t="s">
        <v>1400</v>
      </c>
      <c r="F198" s="64">
        <v>43503</v>
      </c>
      <c r="G198" s="65" t="s">
        <v>1225</v>
      </c>
      <c r="H198" s="94">
        <v>1130000</v>
      </c>
      <c r="I198" s="94">
        <v>1686000</v>
      </c>
      <c r="J198" s="94" t="s">
        <v>519</v>
      </c>
      <c r="K198" s="153">
        <v>0.49203539823008852</v>
      </c>
      <c r="L198" s="11" t="s">
        <v>465</v>
      </c>
      <c r="M198" s="15">
        <v>2</v>
      </c>
      <c r="N198" s="35" t="s">
        <v>25</v>
      </c>
      <c r="O198" s="15">
        <v>1</v>
      </c>
      <c r="P198" s="35" t="s">
        <v>457</v>
      </c>
      <c r="Q198" s="35"/>
      <c r="R198" s="15"/>
      <c r="S198" s="24"/>
      <c r="T198" s="62" t="s">
        <v>784</v>
      </c>
      <c r="U198" s="62"/>
      <c r="V198" s="94">
        <v>1933500</v>
      </c>
      <c r="W198" s="199">
        <v>0.8719937936384794</v>
      </c>
      <c r="X198" s="15"/>
      <c r="Y198" s="200">
        <v>1.4920353982300885</v>
      </c>
      <c r="Z198" s="11" t="s">
        <v>465</v>
      </c>
      <c r="AA198" s="11"/>
      <c r="AB198" s="15"/>
      <c r="AC198" s="54">
        <v>1130000</v>
      </c>
      <c r="AD198" s="54">
        <v>1686000</v>
      </c>
      <c r="AE198" s="54">
        <v>-556000</v>
      </c>
      <c r="AG198" s="4"/>
      <c r="AH198" s="4"/>
      <c r="AI198" s="225"/>
      <c r="AJ198" s="226"/>
      <c r="AQ198" s="327" t="e">
        <v>#REF!</v>
      </c>
      <c r="AR198" s="157" t="e">
        <v>#REF!</v>
      </c>
    </row>
    <row r="199" spans="3:45" x14ac:dyDescent="0.25">
      <c r="C199" s="39">
        <v>2019</v>
      </c>
      <c r="D199" s="62" t="s">
        <v>1441</v>
      </c>
      <c r="E199" s="63" t="s">
        <v>1442</v>
      </c>
      <c r="F199" s="64">
        <v>43496</v>
      </c>
      <c r="G199" s="65" t="s">
        <v>34</v>
      </c>
      <c r="H199" s="94">
        <v>92495500</v>
      </c>
      <c r="I199" s="94">
        <v>63348000</v>
      </c>
      <c r="J199" s="94"/>
      <c r="K199" s="153">
        <v>-0.31512343843754559</v>
      </c>
      <c r="L199" s="11" t="s">
        <v>465</v>
      </c>
      <c r="M199" s="15">
        <v>3</v>
      </c>
      <c r="N199" s="35" t="s">
        <v>226</v>
      </c>
      <c r="O199" s="15">
        <v>1</v>
      </c>
      <c r="P199" s="35" t="s">
        <v>457</v>
      </c>
      <c r="Q199" s="35"/>
      <c r="R199" s="15"/>
      <c r="S199" s="24"/>
      <c r="T199" s="62" t="s">
        <v>1226</v>
      </c>
      <c r="U199" s="62"/>
      <c r="V199" s="94">
        <v>68785236.666666672</v>
      </c>
      <c r="W199" s="199">
        <v>0.92095343521146078</v>
      </c>
      <c r="X199" s="15"/>
      <c r="Y199" s="200">
        <v>0.68487656156245436</v>
      </c>
      <c r="Z199" s="11" t="s">
        <v>465</v>
      </c>
      <c r="AA199" s="11"/>
      <c r="AB199" s="15"/>
      <c r="AC199" s="54">
        <v>92495500</v>
      </c>
      <c r="AD199" s="54">
        <v>63348000</v>
      </c>
      <c r="AE199" s="54">
        <v>29147500</v>
      </c>
      <c r="AG199" s="4"/>
      <c r="AH199" s="4"/>
      <c r="AI199" s="225"/>
      <c r="AJ199" s="226"/>
      <c r="AQ199" s="327" t="e">
        <v>#REF!</v>
      </c>
      <c r="AR199" s="157" t="e">
        <v>#REF!</v>
      </c>
    </row>
    <row r="200" spans="3:45" x14ac:dyDescent="0.25">
      <c r="C200" s="39">
        <v>2019</v>
      </c>
      <c r="D200" s="62" t="s">
        <v>1445</v>
      </c>
      <c r="E200" s="63" t="s">
        <v>1446</v>
      </c>
      <c r="F200" s="64">
        <v>43488</v>
      </c>
      <c r="G200" s="65" t="s">
        <v>34</v>
      </c>
      <c r="H200" s="94">
        <v>28219450</v>
      </c>
      <c r="I200" s="94">
        <v>27620150</v>
      </c>
      <c r="J200" s="94"/>
      <c r="K200" s="153">
        <v>-2.1237125457795953E-2</v>
      </c>
      <c r="L200" s="11" t="s">
        <v>464</v>
      </c>
      <c r="M200" s="15">
        <v>6</v>
      </c>
      <c r="N200" s="35" t="s">
        <v>226</v>
      </c>
      <c r="O200" s="15">
        <v>1</v>
      </c>
      <c r="P200" s="35" t="s">
        <v>457</v>
      </c>
      <c r="Q200" s="35"/>
      <c r="R200" s="15"/>
      <c r="S200" s="24"/>
      <c r="T200" s="62" t="s">
        <v>1226</v>
      </c>
      <c r="U200" s="62"/>
      <c r="V200" s="94">
        <v>38331440.5</v>
      </c>
      <c r="W200" s="199">
        <v>0.72056123223441082</v>
      </c>
      <c r="X200" s="15"/>
      <c r="Y200" s="200">
        <v>0.97876287454220401</v>
      </c>
      <c r="Z200" s="11" t="s">
        <v>465</v>
      </c>
      <c r="AA200" s="11"/>
      <c r="AB200" s="15"/>
      <c r="AC200" s="54">
        <v>28219450</v>
      </c>
      <c r="AD200" s="54">
        <v>27620150</v>
      </c>
      <c r="AE200" s="54">
        <v>599300</v>
      </c>
      <c r="AG200" s="4"/>
      <c r="AH200" s="4"/>
      <c r="AI200" s="225"/>
      <c r="AJ200" s="226"/>
      <c r="AQ200" s="327" t="e">
        <v>#REF!</v>
      </c>
      <c r="AR200" s="157" t="e">
        <v>#REF!</v>
      </c>
    </row>
    <row r="201" spans="3:45" x14ac:dyDescent="0.25">
      <c r="C201" s="39"/>
      <c r="E201" s="85"/>
      <c r="F201" s="85"/>
      <c r="G201" s="85"/>
      <c r="H201" s="86">
        <f>SUM(H179:H200)</f>
        <v>596662929</v>
      </c>
      <c r="I201" s="86">
        <f>SUM(I179:I200)</f>
        <v>431180835</v>
      </c>
      <c r="J201" s="85"/>
      <c r="K201" s="87">
        <f>+I201/H201</f>
        <v>0.72265397101618822</v>
      </c>
      <c r="L201" s="85">
        <f>COUNTA(L179:L200)</f>
        <v>22</v>
      </c>
      <c r="M201" s="88">
        <f>SUM(M179:M200)/L201</f>
        <v>5.7272727272727275</v>
      </c>
      <c r="N201" s="89"/>
      <c r="O201" s="85"/>
      <c r="P201" s="119">
        <f>11/L201</f>
        <v>0.5</v>
      </c>
      <c r="Q201" s="85"/>
    </row>
    <row r="202" spans="3:45" x14ac:dyDescent="0.25">
      <c r="C202" s="39"/>
    </row>
    <row r="203" spans="3:45" x14ac:dyDescent="0.25">
      <c r="C203" s="39"/>
      <c r="E203" s="126" t="s">
        <v>1170</v>
      </c>
      <c r="F203" s="70" t="str">
        <f>"'15 final"</f>
        <v>'15 final</v>
      </c>
      <c r="G203" s="70" t="str">
        <f>"'16 final"</f>
        <v>'16 final</v>
      </c>
      <c r="H203" s="121" t="str">
        <f>"'17 final"</f>
        <v>'17 final</v>
      </c>
      <c r="I203" s="121" t="str">
        <f>"'18 final"</f>
        <v>'18 final</v>
      </c>
      <c r="J203" s="121" t="str">
        <f>"'19 final"</f>
        <v>'19 final</v>
      </c>
      <c r="P203" s="11"/>
    </row>
    <row r="204" spans="3:45" x14ac:dyDescent="0.25">
      <c r="C204" s="39"/>
      <c r="E204" s="71" t="s">
        <v>800</v>
      </c>
      <c r="F204" s="11">
        <v>9</v>
      </c>
      <c r="G204" s="11">
        <v>13</v>
      </c>
      <c r="H204" s="104">
        <v>17</v>
      </c>
      <c r="I204" s="104">
        <v>15</v>
      </c>
      <c r="J204" s="104">
        <f>+L201</f>
        <v>22</v>
      </c>
      <c r="P204" s="11"/>
    </row>
    <row r="205" spans="3:45" x14ac:dyDescent="0.25">
      <c r="C205" s="39"/>
      <c r="E205" s="72" t="s">
        <v>801</v>
      </c>
      <c r="F205" s="11">
        <v>6</v>
      </c>
      <c r="G205" s="11">
        <v>11</v>
      </c>
      <c r="H205" s="104">
        <v>14</v>
      </c>
      <c r="I205" s="104">
        <v>10</v>
      </c>
      <c r="J205" s="104">
        <f>+J204-J206</f>
        <v>17</v>
      </c>
      <c r="P205" s="11"/>
    </row>
    <row r="206" spans="3:45" x14ac:dyDescent="0.25">
      <c r="C206" s="39"/>
      <c r="E206" s="72" t="s">
        <v>802</v>
      </c>
      <c r="F206" s="11">
        <v>3</v>
      </c>
      <c r="G206" s="11">
        <v>2</v>
      </c>
      <c r="H206" s="104">
        <v>3</v>
      </c>
      <c r="I206" s="104">
        <v>5</v>
      </c>
      <c r="J206" s="104">
        <v>5</v>
      </c>
      <c r="P206" s="11"/>
    </row>
    <row r="207" spans="3:45" x14ac:dyDescent="0.25">
      <c r="C207" s="39"/>
      <c r="E207" s="72"/>
      <c r="F207" s="11"/>
      <c r="G207" s="11"/>
      <c r="H207" s="104"/>
      <c r="I207" s="104"/>
      <c r="J207" s="104"/>
      <c r="P207" s="11"/>
    </row>
    <row r="208" spans="3:45" x14ac:dyDescent="0.25">
      <c r="C208" s="39"/>
      <c r="E208" s="72" t="s">
        <v>1144</v>
      </c>
      <c r="F208" s="78">
        <v>38</v>
      </c>
      <c r="G208" s="78">
        <v>121</v>
      </c>
      <c r="H208" s="122">
        <v>651</v>
      </c>
      <c r="I208" s="122">
        <v>138</v>
      </c>
      <c r="J208" s="122">
        <f>+I201/1000000</f>
        <v>431.180835</v>
      </c>
      <c r="P208" s="11"/>
    </row>
    <row r="209" spans="2:44" x14ac:dyDescent="0.25">
      <c r="C209" s="39"/>
      <c r="E209" s="72" t="s">
        <v>806</v>
      </c>
      <c r="F209" s="75">
        <v>5</v>
      </c>
      <c r="G209" s="75">
        <v>5.9</v>
      </c>
      <c r="H209" s="123">
        <v>4.5</v>
      </c>
      <c r="I209" s="123">
        <v>4.7</v>
      </c>
      <c r="J209" s="123">
        <f>+M201</f>
        <v>5.7272727272727275</v>
      </c>
      <c r="P209" s="11"/>
    </row>
    <row r="210" spans="2:44" x14ac:dyDescent="0.25">
      <c r="C210" s="39"/>
      <c r="E210" s="72" t="s">
        <v>807</v>
      </c>
      <c r="F210" s="74">
        <v>1.016</v>
      </c>
      <c r="G210" s="74">
        <v>0.78800000000000003</v>
      </c>
      <c r="H210" s="124">
        <v>0.91900000000000004</v>
      </c>
      <c r="I210" s="124">
        <v>0.77300000000000002</v>
      </c>
      <c r="J210" s="124">
        <f>+K201</f>
        <v>0.72265397101618822</v>
      </c>
      <c r="P210" s="11"/>
    </row>
    <row r="211" spans="2:44" x14ac:dyDescent="0.25">
      <c r="C211" s="39"/>
      <c r="E211" s="72"/>
      <c r="F211" s="11"/>
      <c r="G211" s="11"/>
      <c r="H211" s="104"/>
      <c r="I211" s="104"/>
      <c r="J211" s="104"/>
      <c r="P211" s="11"/>
    </row>
    <row r="212" spans="2:44" x14ac:dyDescent="0.25">
      <c r="C212" s="39"/>
      <c r="E212" s="72" t="s">
        <v>803</v>
      </c>
      <c r="F212" s="74">
        <f>3/9</f>
        <v>0.33333333333333331</v>
      </c>
      <c r="G212" s="74">
        <f>7/13</f>
        <v>0.53846153846153844</v>
      </c>
      <c r="H212" s="108">
        <v>0.58799999999999997</v>
      </c>
      <c r="I212" s="108">
        <v>0.66700000000000004</v>
      </c>
      <c r="J212" s="108">
        <f>+P201</f>
        <v>0.5</v>
      </c>
      <c r="P212" s="11"/>
    </row>
    <row r="213" spans="2:44" x14ac:dyDescent="0.25">
      <c r="C213" s="107"/>
      <c r="D213" s="52"/>
      <c r="E213" s="72" t="s">
        <v>804</v>
      </c>
      <c r="F213" s="74">
        <f>1/6</f>
        <v>0.16666666666666666</v>
      </c>
      <c r="G213" s="74">
        <f>6/11</f>
        <v>0.54545454545454541</v>
      </c>
      <c r="H213" s="108">
        <v>0.57099999999999995</v>
      </c>
      <c r="I213" s="108">
        <v>0.5</v>
      </c>
      <c r="J213" s="108">
        <f>8/J205</f>
        <v>0.47058823529411764</v>
      </c>
      <c r="P213" s="11"/>
    </row>
    <row r="214" spans="2:44" x14ac:dyDescent="0.25">
      <c r="C214" s="107"/>
      <c r="D214" s="52"/>
      <c r="E214" s="72" t="s">
        <v>805</v>
      </c>
      <c r="F214" s="74">
        <f>2/3</f>
        <v>0.66666666666666663</v>
      </c>
      <c r="G214" s="74">
        <v>0.5</v>
      </c>
      <c r="H214" s="108">
        <v>0.66700000000000004</v>
      </c>
      <c r="I214" s="108">
        <v>1</v>
      </c>
      <c r="J214" s="108">
        <f>3/J206</f>
        <v>0.6</v>
      </c>
      <c r="P214" s="11"/>
    </row>
    <row r="215" spans="2:44" x14ac:dyDescent="0.25">
      <c r="C215" s="39"/>
      <c r="E215" s="72"/>
      <c r="F215" s="11"/>
      <c r="G215" s="11"/>
      <c r="H215" s="104"/>
      <c r="I215" s="104"/>
      <c r="J215" s="104"/>
      <c r="P215" s="11"/>
    </row>
    <row r="216" spans="2:44" x14ac:dyDescent="0.25">
      <c r="C216" s="39"/>
      <c r="E216" s="72" t="s">
        <v>1141</v>
      </c>
      <c r="F216" s="11">
        <v>3</v>
      </c>
      <c r="G216" s="11">
        <v>4</v>
      </c>
      <c r="H216" s="104">
        <v>5</v>
      </c>
      <c r="I216" s="104">
        <v>5</v>
      </c>
      <c r="J216" s="104">
        <v>3</v>
      </c>
    </row>
    <row r="217" spans="2:44" x14ac:dyDescent="0.25">
      <c r="E217" s="106" t="s">
        <v>1143</v>
      </c>
      <c r="F217" s="108">
        <f>+F216/F204</f>
        <v>0.33333333333333331</v>
      </c>
      <c r="G217" s="108">
        <f>+G216/G204</f>
        <v>0.30769230769230771</v>
      </c>
      <c r="H217" s="108">
        <v>0.29399999999999998</v>
      </c>
      <c r="I217" s="108">
        <v>0.33300000000000002</v>
      </c>
      <c r="J217" s="108">
        <f>+J216/J204</f>
        <v>0.13636363636363635</v>
      </c>
    </row>
    <row r="218" spans="2:44" x14ac:dyDescent="0.25">
      <c r="C218" s="39"/>
      <c r="E218" s="72" t="s">
        <v>1142</v>
      </c>
      <c r="F218" s="11">
        <v>1</v>
      </c>
      <c r="G218" s="11">
        <v>2</v>
      </c>
      <c r="H218" s="104">
        <v>0</v>
      </c>
      <c r="I218" s="104">
        <v>4</v>
      </c>
      <c r="J218" s="104">
        <v>0</v>
      </c>
    </row>
    <row r="219" spans="2:44" x14ac:dyDescent="0.25">
      <c r="B219" s="52"/>
      <c r="C219" s="39"/>
      <c r="E219" s="106" t="s">
        <v>1169</v>
      </c>
      <c r="F219" s="108">
        <f t="shared" ref="F219:G219" si="34">+F218/F204</f>
        <v>0.1111111111111111</v>
      </c>
      <c r="G219" s="108">
        <f t="shared" si="34"/>
        <v>0.15384615384615385</v>
      </c>
      <c r="H219" s="108">
        <v>0</v>
      </c>
      <c r="I219" s="108">
        <v>0.26700000000000002</v>
      </c>
      <c r="J219" s="108">
        <v>0</v>
      </c>
    </row>
    <row r="220" spans="2:44" x14ac:dyDescent="0.25">
      <c r="B220" s="52"/>
      <c r="C220" s="39"/>
    </row>
    <row r="221" spans="2:44" x14ac:dyDescent="0.25">
      <c r="B221" s="52"/>
      <c r="C221" s="39"/>
    </row>
    <row r="222" spans="2:44" x14ac:dyDescent="0.25">
      <c r="B222" s="52"/>
      <c r="C222" s="39"/>
    </row>
    <row r="223" spans="2:44" x14ac:dyDescent="0.25">
      <c r="C223" s="39">
        <v>2019</v>
      </c>
      <c r="D223" s="62" t="s">
        <v>1483</v>
      </c>
      <c r="E223" s="63" t="s">
        <v>1484</v>
      </c>
      <c r="F223" s="64">
        <v>43767</v>
      </c>
      <c r="G223" s="65" t="s">
        <v>1225</v>
      </c>
      <c r="H223" s="94">
        <v>1196000</v>
      </c>
      <c r="I223" s="94">
        <v>1241000</v>
      </c>
      <c r="J223" s="94"/>
      <c r="K223" s="153">
        <v>3.7625418060200672E-2</v>
      </c>
      <c r="L223" s="11" t="s">
        <v>464</v>
      </c>
      <c r="M223" s="15">
        <v>3</v>
      </c>
      <c r="N223" s="35" t="s">
        <v>25</v>
      </c>
      <c r="O223" s="15">
        <v>4</v>
      </c>
      <c r="P223" s="35" t="s">
        <v>458</v>
      </c>
      <c r="Q223" s="35"/>
      <c r="R223" s="15"/>
      <c r="S223" s="24"/>
      <c r="T223" s="62" t="s">
        <v>1419</v>
      </c>
      <c r="U223" s="62"/>
      <c r="V223" s="94">
        <v>2354464</v>
      </c>
      <c r="W223" s="199">
        <v>0.52708387131848267</v>
      </c>
      <c r="X223" s="15"/>
      <c r="Y223" s="200">
        <v>1.0376254180602007</v>
      </c>
      <c r="Z223" s="11" t="s">
        <v>465</v>
      </c>
      <c r="AA223" s="11"/>
      <c r="AB223" s="15"/>
      <c r="AC223" s="54">
        <v>1196000</v>
      </c>
      <c r="AD223" s="54">
        <v>1241000</v>
      </c>
      <c r="AE223" s="54">
        <v>-45000</v>
      </c>
      <c r="AG223" s="4"/>
      <c r="AH223" s="4"/>
      <c r="AI223" s="225"/>
      <c r="AJ223" s="226"/>
      <c r="AQ223" s="327" t="e">
        <v>#REF!</v>
      </c>
      <c r="AR223" s="157" t="e">
        <v>#REF!</v>
      </c>
    </row>
    <row r="224" spans="2:44" x14ac:dyDescent="0.25">
      <c r="C224" s="39">
        <v>2019</v>
      </c>
      <c r="D224" s="62" t="s">
        <v>1505</v>
      </c>
      <c r="E224" s="63" t="s">
        <v>1506</v>
      </c>
      <c r="F224" s="64">
        <v>43727</v>
      </c>
      <c r="G224" s="65" t="s">
        <v>34</v>
      </c>
      <c r="H224" s="94">
        <v>3840000</v>
      </c>
      <c r="I224" s="94">
        <v>2936000</v>
      </c>
      <c r="J224" s="94"/>
      <c r="K224" s="153">
        <v>-0.23541666666666666</v>
      </c>
      <c r="L224" s="11" t="s">
        <v>464</v>
      </c>
      <c r="M224" s="15">
        <v>11</v>
      </c>
      <c r="N224" s="35" t="s">
        <v>93</v>
      </c>
      <c r="O224" s="15">
        <v>3</v>
      </c>
      <c r="P224" s="35" t="s">
        <v>458</v>
      </c>
      <c r="Q224" s="35"/>
      <c r="R224" s="15"/>
      <c r="S224" s="24"/>
      <c r="T224" s="62" t="s">
        <v>1419</v>
      </c>
      <c r="U224" s="62"/>
      <c r="V224" s="94">
        <v>4681438.8181818184</v>
      </c>
      <c r="W224" s="199">
        <v>0.62715761414997762</v>
      </c>
      <c r="X224" s="15"/>
      <c r="Y224" s="200">
        <v>0.76458333333333328</v>
      </c>
      <c r="Z224" s="11" t="s">
        <v>465</v>
      </c>
      <c r="AA224" s="11"/>
      <c r="AB224" s="15"/>
      <c r="AC224" s="54">
        <v>3840000</v>
      </c>
      <c r="AD224" s="54">
        <v>2936000</v>
      </c>
      <c r="AE224" s="54">
        <v>904000</v>
      </c>
      <c r="AG224" s="4"/>
      <c r="AH224" s="4"/>
      <c r="AI224" s="225"/>
      <c r="AJ224" s="226"/>
      <c r="AQ224" s="327" t="e">
        <v>#REF!</v>
      </c>
      <c r="AR224" s="157" t="e">
        <v>#REF!</v>
      </c>
    </row>
    <row r="225" spans="2:45" x14ac:dyDescent="0.25">
      <c r="C225" s="39">
        <v>2019</v>
      </c>
      <c r="D225" s="62" t="s">
        <v>1507</v>
      </c>
      <c r="E225" s="63" t="s">
        <v>1508</v>
      </c>
      <c r="F225" s="64">
        <v>43713</v>
      </c>
      <c r="G225" s="65" t="s">
        <v>1225</v>
      </c>
      <c r="H225" s="94">
        <v>2030000</v>
      </c>
      <c r="I225" s="94">
        <v>1887810</v>
      </c>
      <c r="J225" s="94"/>
      <c r="K225" s="153">
        <v>-7.0044334975369452E-2</v>
      </c>
      <c r="L225" s="11" t="s">
        <v>464</v>
      </c>
      <c r="M225" s="15">
        <v>4</v>
      </c>
      <c r="N225" s="35" t="s">
        <v>93</v>
      </c>
      <c r="O225" s="15">
        <v>3</v>
      </c>
      <c r="P225" s="35" t="s">
        <v>458</v>
      </c>
      <c r="Q225" s="35"/>
      <c r="R225" s="15"/>
      <c r="S225" s="24"/>
      <c r="T225" s="62" t="s">
        <v>1419</v>
      </c>
      <c r="U225" s="62"/>
      <c r="V225" s="94">
        <v>2554425</v>
      </c>
      <c r="W225" s="199">
        <v>0.73903520361725239</v>
      </c>
      <c r="X225" s="15"/>
      <c r="Y225" s="200">
        <v>0.92995566502463056</v>
      </c>
      <c r="Z225" s="11" t="s">
        <v>465</v>
      </c>
      <c r="AA225" s="11"/>
      <c r="AB225" s="15"/>
      <c r="AC225" s="54">
        <v>2030000</v>
      </c>
      <c r="AD225" s="54">
        <v>1887810</v>
      </c>
      <c r="AE225" s="54">
        <v>142190</v>
      </c>
      <c r="AG225" s="4"/>
      <c r="AH225" s="4"/>
      <c r="AI225" s="225"/>
      <c r="AJ225" s="226"/>
      <c r="AQ225" s="327" t="e">
        <v>#REF!</v>
      </c>
      <c r="AR225" s="157" t="e">
        <v>#REF!</v>
      </c>
    </row>
    <row r="226" spans="2:45" x14ac:dyDescent="0.25">
      <c r="C226" s="39">
        <v>2019</v>
      </c>
      <c r="D226" s="62" t="s">
        <v>1489</v>
      </c>
      <c r="E226" s="63" t="s">
        <v>1490</v>
      </c>
      <c r="F226" s="64">
        <v>43700</v>
      </c>
      <c r="G226" s="65" t="s">
        <v>34</v>
      </c>
      <c r="H226" s="94">
        <v>55300000</v>
      </c>
      <c r="I226" s="94">
        <v>43999000</v>
      </c>
      <c r="J226" s="94"/>
      <c r="K226" s="153">
        <v>-0.20435804701627486</v>
      </c>
      <c r="L226" s="11" t="s">
        <v>464</v>
      </c>
      <c r="M226" s="15">
        <v>5</v>
      </c>
      <c r="N226" s="35" t="s">
        <v>25</v>
      </c>
      <c r="O226" s="15">
        <v>3</v>
      </c>
      <c r="P226" s="35" t="s">
        <v>458</v>
      </c>
      <c r="Q226" s="35"/>
      <c r="R226" s="15"/>
      <c r="S226" s="24"/>
      <c r="T226" s="62" t="s">
        <v>447</v>
      </c>
      <c r="U226" s="62"/>
      <c r="V226" s="94">
        <v>50531448</v>
      </c>
      <c r="W226" s="199">
        <v>0.87072509776486118</v>
      </c>
      <c r="X226" s="15"/>
      <c r="Y226" s="200">
        <v>0.79564195298372509</v>
      </c>
      <c r="Z226" s="11" t="s">
        <v>465</v>
      </c>
      <c r="AA226" s="11"/>
      <c r="AB226" s="15"/>
      <c r="AC226" s="54">
        <v>55300000</v>
      </c>
      <c r="AD226" s="54">
        <v>43999000</v>
      </c>
      <c r="AE226" s="54">
        <v>11301000</v>
      </c>
      <c r="AG226" s="4"/>
      <c r="AH226" s="4"/>
      <c r="AI226" s="225"/>
      <c r="AJ226" s="226"/>
      <c r="AQ226" s="327" t="e">
        <v>#REF!</v>
      </c>
      <c r="AR226" s="157" t="e">
        <v>#REF!</v>
      </c>
    </row>
    <row r="227" spans="2:45" x14ac:dyDescent="0.25">
      <c r="C227" s="39">
        <v>2019</v>
      </c>
      <c r="D227" s="62" t="s">
        <v>1509</v>
      </c>
      <c r="E227" s="63" t="s">
        <v>1510</v>
      </c>
      <c r="F227" s="64">
        <v>43699</v>
      </c>
      <c r="G227" s="65" t="s">
        <v>34</v>
      </c>
      <c r="H227" s="94">
        <v>1980000</v>
      </c>
      <c r="I227" s="94">
        <v>1993000</v>
      </c>
      <c r="J227" s="94"/>
      <c r="K227" s="153">
        <v>6.5656565656565654E-3</v>
      </c>
      <c r="L227" s="11" t="s">
        <v>464</v>
      </c>
      <c r="M227" s="15">
        <v>4</v>
      </c>
      <c r="N227" s="35" t="s">
        <v>93</v>
      </c>
      <c r="O227" s="15">
        <v>3</v>
      </c>
      <c r="P227" s="35" t="s">
        <v>458</v>
      </c>
      <c r="Q227" s="35"/>
      <c r="R227" s="15"/>
      <c r="S227" s="24"/>
      <c r="T227" s="62" t="s">
        <v>784</v>
      </c>
      <c r="U227" s="62"/>
      <c r="V227" s="94">
        <v>3089812.5</v>
      </c>
      <c r="W227" s="199">
        <v>0.64502295851285474</v>
      </c>
      <c r="X227" s="15"/>
      <c r="Y227" s="200">
        <v>1.0065656565656567</v>
      </c>
      <c r="Z227" s="11" t="s">
        <v>465</v>
      </c>
      <c r="AA227" s="11"/>
      <c r="AB227" s="15"/>
      <c r="AC227" s="54">
        <v>1980000</v>
      </c>
      <c r="AD227" s="54">
        <v>1993000</v>
      </c>
      <c r="AE227" s="54">
        <v>-13000</v>
      </c>
      <c r="AG227" s="4"/>
      <c r="AH227" s="4"/>
      <c r="AI227" s="225"/>
      <c r="AJ227" s="226"/>
      <c r="AQ227" s="327" t="e">
        <v>#REF!</v>
      </c>
      <c r="AR227" s="157" t="e">
        <v>#REF!</v>
      </c>
    </row>
    <row r="228" spans="2:45" x14ac:dyDescent="0.25">
      <c r="C228" s="39">
        <v>2019</v>
      </c>
      <c r="D228" s="62" t="s">
        <v>1422</v>
      </c>
      <c r="E228" s="63" t="s">
        <v>1423</v>
      </c>
      <c r="F228" s="64">
        <v>43621</v>
      </c>
      <c r="G228" s="65" t="s">
        <v>34</v>
      </c>
      <c r="H228" s="94">
        <v>8360000</v>
      </c>
      <c r="I228" s="94">
        <v>8947585</v>
      </c>
      <c r="J228" s="94"/>
      <c r="K228" s="153">
        <v>7.0285287081339715E-2</v>
      </c>
      <c r="L228" s="11" t="s">
        <v>464</v>
      </c>
      <c r="M228" s="15">
        <v>3</v>
      </c>
      <c r="N228" s="35" t="s">
        <v>93</v>
      </c>
      <c r="O228" s="15">
        <v>2</v>
      </c>
      <c r="P228" s="35" t="s">
        <v>458</v>
      </c>
      <c r="Q228" s="35"/>
      <c r="R228" s="15"/>
      <c r="S228" s="24"/>
      <c r="T228" s="62" t="s">
        <v>784</v>
      </c>
      <c r="U228" s="62"/>
      <c r="V228" s="94">
        <v>10801931</v>
      </c>
      <c r="W228" s="199">
        <v>0.82833198990069457</v>
      </c>
      <c r="X228" s="15"/>
      <c r="Y228" s="200">
        <v>1.0702852870813397</v>
      </c>
      <c r="Z228" s="11" t="s">
        <v>465</v>
      </c>
      <c r="AA228" s="11"/>
      <c r="AB228" s="15"/>
      <c r="AC228" s="54">
        <v>8360000</v>
      </c>
      <c r="AD228" s="54">
        <v>8947585</v>
      </c>
      <c r="AE228" s="54">
        <v>-587585</v>
      </c>
      <c r="AG228" s="4"/>
      <c r="AH228" s="4"/>
      <c r="AI228" s="225"/>
      <c r="AJ228" s="226"/>
      <c r="AQ228" s="327" t="e">
        <v>#REF!</v>
      </c>
      <c r="AR228" s="157" t="e">
        <v>#REF!</v>
      </c>
      <c r="AS228" s="104"/>
    </row>
    <row r="229" spans="2:45" x14ac:dyDescent="0.25">
      <c r="C229" s="39">
        <v>2019</v>
      </c>
      <c r="D229" s="62" t="s">
        <v>1426</v>
      </c>
      <c r="E229" s="63" t="s">
        <v>1427</v>
      </c>
      <c r="F229" s="64">
        <v>43585</v>
      </c>
      <c r="G229" s="65" t="s">
        <v>34</v>
      </c>
      <c r="H229" s="94">
        <v>6950000</v>
      </c>
      <c r="I229" s="94">
        <v>8720200</v>
      </c>
      <c r="J229" s="94"/>
      <c r="K229" s="153">
        <v>0.25470503597122301</v>
      </c>
      <c r="L229" s="11" t="s">
        <v>465</v>
      </c>
      <c r="M229" s="15">
        <v>6</v>
      </c>
      <c r="N229" s="35" t="s">
        <v>93</v>
      </c>
      <c r="O229" s="15">
        <v>2</v>
      </c>
      <c r="P229" s="35" t="s">
        <v>458</v>
      </c>
      <c r="Q229" s="35"/>
      <c r="R229" s="15"/>
      <c r="S229" s="24"/>
      <c r="T229" s="62" t="s">
        <v>1419</v>
      </c>
      <c r="U229" s="62"/>
      <c r="V229" s="94">
        <v>9982779.833333334</v>
      </c>
      <c r="W229" s="199">
        <v>0.87352422327121004</v>
      </c>
      <c r="X229" s="15"/>
      <c r="Y229" s="200">
        <v>1.2547050359712231</v>
      </c>
      <c r="Z229" s="11" t="s">
        <v>465</v>
      </c>
      <c r="AA229" s="11"/>
      <c r="AB229" s="15"/>
      <c r="AC229" s="54">
        <v>6950000</v>
      </c>
      <c r="AD229" s="54">
        <v>8720200</v>
      </c>
      <c r="AE229" s="54">
        <v>-1770200</v>
      </c>
      <c r="AG229" s="4"/>
      <c r="AH229" s="4"/>
      <c r="AI229" s="225"/>
      <c r="AJ229" s="226"/>
      <c r="AQ229" s="327" t="e">
        <v>#REF!</v>
      </c>
      <c r="AR229" s="157" t="e">
        <v>#REF!</v>
      </c>
      <c r="AS229" s="104"/>
    </row>
    <row r="230" spans="2:45" x14ac:dyDescent="0.25">
      <c r="C230" s="39">
        <v>2019</v>
      </c>
      <c r="D230" s="62" t="s">
        <v>1430</v>
      </c>
      <c r="E230" s="63" t="s">
        <v>1431</v>
      </c>
      <c r="F230" s="64">
        <v>43571</v>
      </c>
      <c r="G230" s="65" t="s">
        <v>34</v>
      </c>
      <c r="H230" s="94">
        <v>9330000</v>
      </c>
      <c r="I230" s="94">
        <v>7407376</v>
      </c>
      <c r="J230" s="94"/>
      <c r="K230" s="153">
        <v>-0.2060690246516613</v>
      </c>
      <c r="L230" s="11" t="s">
        <v>464</v>
      </c>
      <c r="M230" s="15">
        <v>7</v>
      </c>
      <c r="N230" s="35" t="s">
        <v>93</v>
      </c>
      <c r="O230" s="15">
        <v>2</v>
      </c>
      <c r="P230" s="35" t="s">
        <v>458</v>
      </c>
      <c r="Q230" s="35"/>
      <c r="R230" s="15"/>
      <c r="S230" s="24"/>
      <c r="T230" s="62" t="s">
        <v>784</v>
      </c>
      <c r="U230" s="62"/>
      <c r="V230" s="94">
        <v>9367661.4285714291</v>
      </c>
      <c r="W230" s="199">
        <v>0.79073908215848343</v>
      </c>
      <c r="X230" s="15"/>
      <c r="Y230" s="200">
        <v>0.79393097534833867</v>
      </c>
      <c r="Z230" s="11" t="s">
        <v>465</v>
      </c>
      <c r="AA230" s="11"/>
      <c r="AB230" s="15"/>
      <c r="AC230" s="54">
        <v>9330000</v>
      </c>
      <c r="AD230" s="54">
        <v>7407376</v>
      </c>
      <c r="AE230" s="54">
        <v>1922624</v>
      </c>
      <c r="AG230" s="4"/>
      <c r="AH230" s="4"/>
      <c r="AI230" s="225"/>
      <c r="AJ230" s="226"/>
      <c r="AQ230" s="327" t="e">
        <v>#REF!</v>
      </c>
      <c r="AR230" s="157" t="e">
        <v>#REF!</v>
      </c>
      <c r="AS230" s="104"/>
    </row>
    <row r="231" spans="2:45" x14ac:dyDescent="0.25">
      <c r="C231" s="39">
        <v>2019</v>
      </c>
      <c r="D231" s="62" t="s">
        <v>1434</v>
      </c>
      <c r="E231" s="63" t="s">
        <v>1435</v>
      </c>
      <c r="F231" s="64">
        <v>43543</v>
      </c>
      <c r="G231" s="65" t="s">
        <v>34</v>
      </c>
      <c r="H231" s="94">
        <v>2390000</v>
      </c>
      <c r="I231" s="94">
        <v>2374684</v>
      </c>
      <c r="J231" s="94"/>
      <c r="K231" s="153">
        <v>-6.4083682008368205E-3</v>
      </c>
      <c r="L231" s="11" t="s">
        <v>464</v>
      </c>
      <c r="M231" s="15">
        <v>5</v>
      </c>
      <c r="N231" s="35" t="s">
        <v>93</v>
      </c>
      <c r="O231" s="15">
        <v>1</v>
      </c>
      <c r="P231" s="35" t="s">
        <v>458</v>
      </c>
      <c r="Q231" s="35"/>
      <c r="R231" s="15"/>
      <c r="S231" s="24"/>
      <c r="T231" s="62" t="s">
        <v>447</v>
      </c>
      <c r="U231" s="62"/>
      <c r="V231" s="94">
        <v>3202726.8</v>
      </c>
      <c r="W231" s="199">
        <v>0.7414569360084039</v>
      </c>
      <c r="X231" s="15"/>
      <c r="Y231" s="200">
        <v>0.99359163179916321</v>
      </c>
      <c r="Z231" s="11" t="s">
        <v>465</v>
      </c>
      <c r="AA231" s="11"/>
      <c r="AB231" s="15"/>
      <c r="AC231" s="54">
        <v>2390000</v>
      </c>
      <c r="AD231" s="54">
        <v>2374684</v>
      </c>
      <c r="AE231" s="54">
        <v>15316</v>
      </c>
      <c r="AG231" s="4"/>
      <c r="AH231" s="4"/>
      <c r="AI231" s="225"/>
      <c r="AJ231" s="226"/>
      <c r="AQ231" s="327" t="e">
        <v>#REF!</v>
      </c>
      <c r="AR231" s="157" t="e">
        <v>#REF!</v>
      </c>
    </row>
    <row r="232" spans="2:45" x14ac:dyDescent="0.25">
      <c r="C232" s="39">
        <v>2019</v>
      </c>
      <c r="D232" s="62" t="s">
        <v>1397</v>
      </c>
      <c r="E232" s="63" t="s">
        <v>1398</v>
      </c>
      <c r="F232" s="64">
        <v>43531</v>
      </c>
      <c r="G232" s="65" t="s">
        <v>1225</v>
      </c>
      <c r="H232" s="94">
        <v>2460000</v>
      </c>
      <c r="I232" s="94">
        <v>2542676</v>
      </c>
      <c r="J232" s="94"/>
      <c r="K232" s="153">
        <v>3.3608130081300813E-2</v>
      </c>
      <c r="L232" s="11" t="s">
        <v>464</v>
      </c>
      <c r="M232" s="15">
        <v>4</v>
      </c>
      <c r="N232" s="35" t="s">
        <v>93</v>
      </c>
      <c r="O232" s="15">
        <v>1</v>
      </c>
      <c r="P232" s="35" t="s">
        <v>458</v>
      </c>
      <c r="Q232" s="35"/>
      <c r="R232" s="15"/>
      <c r="S232" s="24"/>
      <c r="T232" s="62" t="s">
        <v>784</v>
      </c>
      <c r="U232" s="62"/>
      <c r="V232" s="94">
        <v>2777662.25</v>
      </c>
      <c r="W232" s="199">
        <v>0.91540143154553799</v>
      </c>
      <c r="X232" s="15"/>
      <c r="Y232" s="200">
        <v>1.0336081300813007</v>
      </c>
      <c r="Z232" s="11" t="s">
        <v>465</v>
      </c>
      <c r="AA232" s="11"/>
      <c r="AB232" s="15"/>
      <c r="AC232" s="54">
        <v>2460000</v>
      </c>
      <c r="AD232" s="54">
        <v>2542676</v>
      </c>
      <c r="AE232" s="54">
        <v>-82676</v>
      </c>
      <c r="AG232" s="4"/>
      <c r="AH232" s="4"/>
      <c r="AI232" s="225"/>
      <c r="AJ232" s="226"/>
      <c r="AQ232" s="327" t="e">
        <v>#REF!</v>
      </c>
      <c r="AR232" s="157" t="e">
        <v>#REF!</v>
      </c>
    </row>
    <row r="233" spans="2:45" x14ac:dyDescent="0.25">
      <c r="C233" s="39">
        <v>2019</v>
      </c>
      <c r="D233" s="62" t="s">
        <v>1436</v>
      </c>
      <c r="E233" s="63" t="s">
        <v>1437</v>
      </c>
      <c r="F233" s="64">
        <v>43529</v>
      </c>
      <c r="G233" s="65" t="s">
        <v>34</v>
      </c>
      <c r="H233" s="94">
        <v>42125550</v>
      </c>
      <c r="I233" s="94">
        <v>34053550</v>
      </c>
      <c r="J233" s="94"/>
      <c r="K233" s="153">
        <v>-0.19161767620838185</v>
      </c>
      <c r="L233" s="11" t="s">
        <v>465</v>
      </c>
      <c r="M233" s="15">
        <v>2</v>
      </c>
      <c r="N233" s="35" t="s">
        <v>93</v>
      </c>
      <c r="O233" s="15">
        <v>1</v>
      </c>
      <c r="P233" s="35" t="s">
        <v>458</v>
      </c>
      <c r="Q233" s="35"/>
      <c r="R233" s="15"/>
      <c r="S233" s="24"/>
      <c r="T233" s="62" t="s">
        <v>1438</v>
      </c>
      <c r="U233" s="62"/>
      <c r="V233" s="94">
        <v>35159386.5</v>
      </c>
      <c r="W233" s="199">
        <v>0.96854790114156286</v>
      </c>
      <c r="X233" s="15"/>
      <c r="Y233" s="200">
        <v>0.80838232379161812</v>
      </c>
      <c r="Z233" s="11" t="s">
        <v>465</v>
      </c>
      <c r="AA233" s="11"/>
      <c r="AB233" s="15"/>
      <c r="AC233" s="54">
        <v>42125550</v>
      </c>
      <c r="AD233" s="54">
        <v>34053550</v>
      </c>
      <c r="AE233" s="54">
        <v>8072000</v>
      </c>
      <c r="AG233" s="4"/>
      <c r="AH233" s="4"/>
      <c r="AI233" s="225"/>
      <c r="AJ233" s="226"/>
      <c r="AQ233" s="327" t="e">
        <v>#REF!</v>
      </c>
      <c r="AR233" s="157" t="e">
        <v>#REF!</v>
      </c>
    </row>
    <row r="234" spans="2:45" x14ac:dyDescent="0.25">
      <c r="C234" s="39">
        <v>2019</v>
      </c>
      <c r="D234" s="62" t="s">
        <v>1401</v>
      </c>
      <c r="E234" s="63" t="s">
        <v>1402</v>
      </c>
      <c r="F234" s="64">
        <v>43503</v>
      </c>
      <c r="G234" s="65" t="s">
        <v>1225</v>
      </c>
      <c r="H234" s="94">
        <v>684000</v>
      </c>
      <c r="I234" s="94">
        <v>615000</v>
      </c>
      <c r="J234" s="94"/>
      <c r="K234" s="153">
        <v>-0.10087719298245613</v>
      </c>
      <c r="L234" s="11" t="s">
        <v>464</v>
      </c>
      <c r="M234" s="15">
        <v>5</v>
      </c>
      <c r="N234" s="35" t="s">
        <v>93</v>
      </c>
      <c r="O234" s="15">
        <v>1</v>
      </c>
      <c r="P234" s="35" t="s">
        <v>458</v>
      </c>
      <c r="Q234" s="35"/>
      <c r="R234" s="15"/>
      <c r="S234" s="24"/>
      <c r="T234" s="62" t="s">
        <v>784</v>
      </c>
      <c r="U234" s="62"/>
      <c r="V234" s="94">
        <v>924493.4</v>
      </c>
      <c r="W234" s="199">
        <v>0.66522919471355879</v>
      </c>
      <c r="X234" s="15"/>
      <c r="Y234" s="200">
        <v>0.89912280701754388</v>
      </c>
      <c r="Z234" s="11" t="s">
        <v>465</v>
      </c>
      <c r="AA234" s="11"/>
      <c r="AB234" s="15"/>
      <c r="AC234" s="54">
        <v>684000</v>
      </c>
      <c r="AD234" s="54">
        <v>615000</v>
      </c>
      <c r="AE234" s="54">
        <v>69000</v>
      </c>
      <c r="AG234" s="4"/>
      <c r="AH234" s="4"/>
      <c r="AI234" s="225"/>
      <c r="AJ234" s="226"/>
      <c r="AQ234" s="327" t="e">
        <v>#REF!</v>
      </c>
      <c r="AR234" s="157" t="e">
        <v>#REF!</v>
      </c>
    </row>
    <row r="235" spans="2:45" x14ac:dyDescent="0.25">
      <c r="C235" s="39">
        <v>2019</v>
      </c>
      <c r="D235" s="62" t="s">
        <v>1443</v>
      </c>
      <c r="E235" s="63" t="s">
        <v>1444</v>
      </c>
      <c r="F235" s="64">
        <v>43489</v>
      </c>
      <c r="G235" s="65" t="s">
        <v>34</v>
      </c>
      <c r="H235" s="94">
        <v>23450000</v>
      </c>
      <c r="I235" s="94">
        <v>25644000</v>
      </c>
      <c r="J235" s="94"/>
      <c r="K235" s="153">
        <v>9.3560767590618335E-2</v>
      </c>
      <c r="L235" s="11" t="s">
        <v>464</v>
      </c>
      <c r="M235" s="15">
        <v>2</v>
      </c>
      <c r="N235" s="35" t="s">
        <v>25</v>
      </c>
      <c r="O235" s="15">
        <v>1</v>
      </c>
      <c r="P235" s="35" t="s">
        <v>458</v>
      </c>
      <c r="Q235" s="35"/>
      <c r="R235" s="15"/>
      <c r="S235" s="24"/>
      <c r="T235" s="62" t="s">
        <v>784</v>
      </c>
      <c r="U235" s="62"/>
      <c r="V235" s="94">
        <v>28255558.5</v>
      </c>
      <c r="W235" s="199">
        <v>0.9075736372367228</v>
      </c>
      <c r="X235" s="15"/>
      <c r="Y235" s="200">
        <v>1.0935607675906183</v>
      </c>
      <c r="Z235" s="11" t="s">
        <v>465</v>
      </c>
      <c r="AA235" s="11"/>
      <c r="AB235" s="15"/>
      <c r="AC235" s="54">
        <v>23450000</v>
      </c>
      <c r="AD235" s="54">
        <v>25644000</v>
      </c>
      <c r="AE235" s="54">
        <v>-2194000</v>
      </c>
      <c r="AG235" s="4"/>
      <c r="AH235" s="4"/>
      <c r="AI235" s="225"/>
      <c r="AJ235" s="226"/>
      <c r="AQ235" s="327" t="e">
        <v>#REF!</v>
      </c>
      <c r="AR235" s="157" t="e">
        <v>#REF!</v>
      </c>
    </row>
    <row r="236" spans="2:45" x14ac:dyDescent="0.25">
      <c r="C236" s="39">
        <v>2019</v>
      </c>
      <c r="D236" s="62" t="s">
        <v>1447</v>
      </c>
      <c r="E236" s="63" t="s">
        <v>1448</v>
      </c>
      <c r="F236" s="64">
        <v>43475</v>
      </c>
      <c r="G236" s="65" t="s">
        <v>34</v>
      </c>
      <c r="H236" s="94">
        <v>4500000</v>
      </c>
      <c r="I236" s="94">
        <v>4863085</v>
      </c>
      <c r="J236" s="94"/>
      <c r="K236" s="153">
        <v>8.0685555555555552E-2</v>
      </c>
      <c r="L236" s="11" t="s">
        <v>464</v>
      </c>
      <c r="M236" s="15">
        <v>6</v>
      </c>
      <c r="N236" s="35" t="s">
        <v>93</v>
      </c>
      <c r="O236" s="15">
        <v>1</v>
      </c>
      <c r="P236" s="35" t="s">
        <v>458</v>
      </c>
      <c r="Q236" s="35"/>
      <c r="R236" s="15"/>
      <c r="S236" s="24"/>
      <c r="T236" s="62" t="s">
        <v>442</v>
      </c>
      <c r="U236" s="62"/>
      <c r="V236" s="94">
        <v>6990880.833333333</v>
      </c>
      <c r="W236" s="199">
        <v>0.69563265573234279</v>
      </c>
      <c r="X236" s="15"/>
      <c r="Y236" s="200">
        <v>1.0806855555555555</v>
      </c>
      <c r="Z236" s="11" t="s">
        <v>465</v>
      </c>
      <c r="AA236" s="11"/>
      <c r="AB236" s="15"/>
      <c r="AC236" s="54">
        <v>4500000</v>
      </c>
      <c r="AD236" s="54">
        <v>4863085</v>
      </c>
      <c r="AE236" s="54">
        <v>-363085</v>
      </c>
      <c r="AG236" s="4"/>
      <c r="AH236" s="4"/>
      <c r="AI236" s="225"/>
      <c r="AJ236" s="226"/>
      <c r="AQ236" s="327" t="e">
        <v>#REF!</v>
      </c>
      <c r="AR236" s="157" t="e">
        <v>#REF!</v>
      </c>
    </row>
    <row r="237" spans="2:45" x14ac:dyDescent="0.25">
      <c r="B237" s="203">
        <v>0.6428571428571429</v>
      </c>
      <c r="C237" s="39">
        <v>2019</v>
      </c>
      <c r="D237" s="62" t="s">
        <v>1403</v>
      </c>
      <c r="E237" s="63" t="s">
        <v>1404</v>
      </c>
      <c r="F237" s="64">
        <v>43468</v>
      </c>
      <c r="G237" s="65"/>
      <c r="H237" s="94"/>
      <c r="I237" s="94"/>
      <c r="J237" s="94"/>
      <c r="K237" s="153"/>
      <c r="L237" s="11"/>
      <c r="M237" s="15"/>
      <c r="N237" s="35"/>
      <c r="O237" s="15"/>
      <c r="P237" s="35"/>
      <c r="Q237" s="35"/>
      <c r="R237" s="15"/>
      <c r="S237" s="24" t="s">
        <v>1478</v>
      </c>
      <c r="T237" s="62"/>
      <c r="U237" s="62"/>
      <c r="V237" s="94"/>
      <c r="W237" s="199"/>
      <c r="X237" s="15"/>
      <c r="Y237" s="200"/>
      <c r="Z237" s="11"/>
      <c r="AA237" s="11"/>
      <c r="AB237" s="15"/>
      <c r="AC237" s="54"/>
      <c r="AD237" s="54"/>
      <c r="AE237" s="54"/>
      <c r="AG237" s="4">
        <v>220635500</v>
      </c>
      <c r="AH237" s="4">
        <v>184084065</v>
      </c>
      <c r="AI237" s="204">
        <v>0.83433565767974782</v>
      </c>
      <c r="AJ237" s="1" t="s">
        <v>1240</v>
      </c>
      <c r="AK237" s="205">
        <v>220635500</v>
      </c>
      <c r="AL237" s="205">
        <v>184084065</v>
      </c>
      <c r="AM237" s="211">
        <v>0.83433565767974782</v>
      </c>
      <c r="AN237" s="212"/>
      <c r="AO237" s="213"/>
      <c r="AQ237" s="330"/>
      <c r="AR237" s="104"/>
    </row>
    <row r="238" spans="2:45" x14ac:dyDescent="0.25">
      <c r="C238" s="39"/>
      <c r="E238" s="85"/>
      <c r="F238" s="85"/>
      <c r="G238" s="85"/>
      <c r="H238" s="86">
        <f>SUM(H223:H237)</f>
        <v>164595550</v>
      </c>
      <c r="I238" s="86">
        <f>SUM(I223:I237)</f>
        <v>147224966</v>
      </c>
      <c r="J238" s="85"/>
      <c r="K238" s="87">
        <f>+I238/H238</f>
        <v>0.8944650447718665</v>
      </c>
      <c r="L238" s="85">
        <f>COUNTA(L223:L237)</f>
        <v>14</v>
      </c>
      <c r="M238" s="88">
        <f>SUM(M223:M237)/L238</f>
        <v>4.7857142857142856</v>
      </c>
      <c r="N238" s="89"/>
      <c r="O238" s="85"/>
      <c r="P238" s="119">
        <f>12/L238</f>
        <v>0.8571428571428571</v>
      </c>
      <c r="Q238" s="85"/>
    </row>
    <row r="239" spans="2:45" x14ac:dyDescent="0.25">
      <c r="C239" s="39"/>
    </row>
    <row r="240" spans="2:45" x14ac:dyDescent="0.25">
      <c r="C240" s="39"/>
      <c r="E240" s="126" t="s">
        <v>1178</v>
      </c>
      <c r="F240" s="70" t="str">
        <f>"'15 final"</f>
        <v>'15 final</v>
      </c>
      <c r="G240" s="70" t="str">
        <f>"'16 final"</f>
        <v>'16 final</v>
      </c>
      <c r="H240" s="121" t="str">
        <f>"'17 final"</f>
        <v>'17 final</v>
      </c>
      <c r="I240" s="121" t="str">
        <f>"'18 final"</f>
        <v>'18 final</v>
      </c>
      <c r="J240" s="121" t="str">
        <f>"'19 final"</f>
        <v>'19 final</v>
      </c>
      <c r="P240" s="11"/>
    </row>
    <row r="241" spans="3:16" x14ac:dyDescent="0.25">
      <c r="C241" s="39"/>
      <c r="E241" s="71" t="s">
        <v>800</v>
      </c>
      <c r="F241" s="11">
        <v>18</v>
      </c>
      <c r="G241" s="11">
        <v>13</v>
      </c>
      <c r="H241" s="104">
        <v>34</v>
      </c>
      <c r="I241" s="104">
        <v>21</v>
      </c>
      <c r="J241" s="104">
        <f>+L238</f>
        <v>14</v>
      </c>
      <c r="P241" s="11"/>
    </row>
    <row r="242" spans="3:16" x14ac:dyDescent="0.25">
      <c r="C242" s="39"/>
      <c r="E242" s="72" t="s">
        <v>801</v>
      </c>
      <c r="F242" s="11">
        <v>14</v>
      </c>
      <c r="G242" s="11">
        <v>11</v>
      </c>
      <c r="H242" s="104">
        <v>19</v>
      </c>
      <c r="I242" s="104">
        <v>11</v>
      </c>
      <c r="J242" s="104">
        <v>8</v>
      </c>
      <c r="P242" s="11"/>
    </row>
    <row r="243" spans="3:16" x14ac:dyDescent="0.25">
      <c r="C243" s="39"/>
      <c r="E243" s="72" t="s">
        <v>802</v>
      </c>
      <c r="F243" s="11">
        <v>4</v>
      </c>
      <c r="G243" s="11">
        <v>2</v>
      </c>
      <c r="H243" s="104">
        <v>15</v>
      </c>
      <c r="I243" s="104">
        <v>10</v>
      </c>
      <c r="J243" s="104">
        <v>6</v>
      </c>
      <c r="P243" s="11"/>
    </row>
    <row r="244" spans="3:16" x14ac:dyDescent="0.25">
      <c r="C244" s="39"/>
      <c r="E244" s="72"/>
      <c r="F244" s="11"/>
      <c r="G244" s="11"/>
      <c r="H244" s="104"/>
      <c r="I244" s="104"/>
      <c r="J244" s="104"/>
      <c r="P244" s="11"/>
    </row>
    <row r="245" spans="3:16" x14ac:dyDescent="0.25">
      <c r="C245" s="39"/>
      <c r="E245" s="72" t="s">
        <v>1144</v>
      </c>
      <c r="F245" s="78">
        <v>73</v>
      </c>
      <c r="G245" s="78">
        <v>105</v>
      </c>
      <c r="H245" s="122">
        <v>269.34216099999998</v>
      </c>
      <c r="I245" s="122">
        <v>526</v>
      </c>
      <c r="J245" s="122">
        <f>+I238/1000000</f>
        <v>147.22496599999999</v>
      </c>
      <c r="P245" s="11"/>
    </row>
    <row r="246" spans="3:16" x14ac:dyDescent="0.25">
      <c r="C246" s="39"/>
      <c r="E246" s="72" t="s">
        <v>806</v>
      </c>
      <c r="F246" s="75">
        <v>6.5</v>
      </c>
      <c r="G246" s="75">
        <v>6.1</v>
      </c>
      <c r="H246" s="123">
        <v>5.6764705882352944</v>
      </c>
      <c r="I246" s="123">
        <v>5</v>
      </c>
      <c r="J246" s="123">
        <f>+M238</f>
        <v>4.7857142857142856</v>
      </c>
      <c r="P246" s="11"/>
    </row>
    <row r="247" spans="3:16" x14ac:dyDescent="0.25">
      <c r="C247" s="39"/>
      <c r="E247" s="72" t="s">
        <v>807</v>
      </c>
      <c r="F247" s="74">
        <v>0.95899999999999996</v>
      </c>
      <c r="G247" s="74">
        <v>0.88100000000000001</v>
      </c>
      <c r="H247" s="124">
        <v>0.88817047961530071</v>
      </c>
      <c r="I247" s="124">
        <v>0.86199999999999999</v>
      </c>
      <c r="J247" s="124">
        <f>+K238</f>
        <v>0.8944650447718665</v>
      </c>
      <c r="P247" s="11"/>
    </row>
    <row r="248" spans="3:16" x14ac:dyDescent="0.25">
      <c r="C248" s="39"/>
      <c r="E248" s="72"/>
      <c r="F248" s="11"/>
      <c r="G248" s="11"/>
      <c r="H248" s="104"/>
      <c r="I248" s="104"/>
      <c r="J248" s="104"/>
      <c r="P248" s="11"/>
    </row>
    <row r="249" spans="3:16" x14ac:dyDescent="0.25">
      <c r="C249" s="39"/>
      <c r="E249" s="72" t="s">
        <v>803</v>
      </c>
      <c r="F249" s="74">
        <f>9/F241</f>
        <v>0.5</v>
      </c>
      <c r="G249" s="74">
        <f>7/13</f>
        <v>0.53846153846153844</v>
      </c>
      <c r="H249" s="108">
        <v>0.61764705882352944</v>
      </c>
      <c r="I249" s="108">
        <v>0.47599999999999998</v>
      </c>
      <c r="J249" s="108">
        <f>+P238</f>
        <v>0.8571428571428571</v>
      </c>
      <c r="P249" s="11"/>
    </row>
    <row r="250" spans="3:16" x14ac:dyDescent="0.25">
      <c r="C250" s="107"/>
      <c r="D250" s="52"/>
      <c r="E250" s="72" t="s">
        <v>804</v>
      </c>
      <c r="F250" s="74">
        <v>0.5</v>
      </c>
      <c r="G250" s="74">
        <f>6/11</f>
        <v>0.54545454545454541</v>
      </c>
      <c r="H250" s="108">
        <v>0.63157894736842102</v>
      </c>
      <c r="I250" s="108">
        <v>0.45500000000000002</v>
      </c>
      <c r="J250" s="108">
        <v>1</v>
      </c>
      <c r="P250" s="11"/>
    </row>
    <row r="251" spans="3:16" x14ac:dyDescent="0.25">
      <c r="C251" s="107"/>
      <c r="D251" s="52"/>
      <c r="E251" s="72" t="s">
        <v>805</v>
      </c>
      <c r="F251" s="74">
        <v>0.5</v>
      </c>
      <c r="G251" s="74">
        <v>0.5</v>
      </c>
      <c r="H251" s="108">
        <v>0.6</v>
      </c>
      <c r="I251" s="108">
        <v>0.5</v>
      </c>
      <c r="J251" s="108">
        <f>4/J243</f>
        <v>0.66666666666666663</v>
      </c>
      <c r="P251" s="11"/>
    </row>
    <row r="252" spans="3:16" x14ac:dyDescent="0.25">
      <c r="C252" s="39"/>
      <c r="E252" s="72"/>
      <c r="F252" s="11"/>
      <c r="G252" s="11"/>
      <c r="H252" s="104"/>
      <c r="I252" s="104"/>
      <c r="J252" s="104"/>
      <c r="P252" s="11"/>
    </row>
    <row r="253" spans="3:16" x14ac:dyDescent="0.25">
      <c r="C253" s="39"/>
      <c r="E253" s="72" t="s">
        <v>1141</v>
      </c>
      <c r="F253" s="11">
        <v>6</v>
      </c>
      <c r="G253" s="11">
        <v>4</v>
      </c>
      <c r="H253" s="104">
        <v>13</v>
      </c>
      <c r="I253" s="104">
        <v>11</v>
      </c>
      <c r="J253" s="104">
        <v>4</v>
      </c>
    </row>
    <row r="254" spans="3:16" x14ac:dyDescent="0.25">
      <c r="E254" s="106" t="s">
        <v>1143</v>
      </c>
      <c r="F254" s="108">
        <f>+F253/F241</f>
        <v>0.33333333333333331</v>
      </c>
      <c r="G254" s="108">
        <f>+G253/G241</f>
        <v>0.30769230769230771</v>
      </c>
      <c r="H254" s="108">
        <v>0.38235294117647056</v>
      </c>
      <c r="I254" s="108">
        <v>0.52400000000000002</v>
      </c>
      <c r="J254" s="108">
        <f>+J253/J241</f>
        <v>0.2857142857142857</v>
      </c>
    </row>
    <row r="255" spans="3:16" x14ac:dyDescent="0.25">
      <c r="C255" s="39"/>
      <c r="E255" s="72" t="s">
        <v>1142</v>
      </c>
      <c r="F255" s="11">
        <v>2</v>
      </c>
      <c r="G255" s="11">
        <v>0</v>
      </c>
      <c r="H255" s="104">
        <v>0</v>
      </c>
      <c r="I255" s="104">
        <v>3</v>
      </c>
      <c r="J255" s="104">
        <v>1</v>
      </c>
    </row>
    <row r="256" spans="3:16" x14ac:dyDescent="0.25">
      <c r="C256" s="39"/>
      <c r="E256" s="106" t="s">
        <v>1169</v>
      </c>
      <c r="F256" s="108">
        <f t="shared" ref="F256:G256" si="35">+F255/F241</f>
        <v>0.1111111111111111</v>
      </c>
      <c r="G256" s="108">
        <f t="shared" si="35"/>
        <v>0</v>
      </c>
      <c r="H256" s="108">
        <v>0</v>
      </c>
      <c r="I256" s="108">
        <v>0.14299999999999999</v>
      </c>
      <c r="J256" s="108">
        <f>+J255/J241</f>
        <v>7.1428571428571425E-2</v>
      </c>
    </row>
    <row r="257" spans="2:45" x14ac:dyDescent="0.25">
      <c r="C257" s="39"/>
      <c r="H257" s="52"/>
    </row>
    <row r="258" spans="2:45" x14ac:dyDescent="0.25">
      <c r="B258" s="52"/>
      <c r="C258" s="39"/>
      <c r="H258" s="52"/>
    </row>
    <row r="259" spans="2:45" x14ac:dyDescent="0.25">
      <c r="C259" s="39"/>
    </row>
    <row r="260" spans="2:45" x14ac:dyDescent="0.25">
      <c r="C260" s="39">
        <v>2019</v>
      </c>
      <c r="D260" s="62" t="s">
        <v>1487</v>
      </c>
      <c r="E260" s="63" t="s">
        <v>1488</v>
      </c>
      <c r="F260" s="64">
        <v>43704</v>
      </c>
      <c r="G260" s="65" t="s">
        <v>1225</v>
      </c>
      <c r="H260" s="94">
        <v>1260000</v>
      </c>
      <c r="I260" s="94">
        <v>1201422</v>
      </c>
      <c r="J260" s="94"/>
      <c r="K260" s="153">
        <v>-4.6490476190476193E-2</v>
      </c>
      <c r="L260" s="11" t="s">
        <v>464</v>
      </c>
      <c r="M260" s="15">
        <v>6</v>
      </c>
      <c r="N260" s="35" t="s">
        <v>25</v>
      </c>
      <c r="O260" s="15">
        <v>3</v>
      </c>
      <c r="P260" s="35" t="s">
        <v>492</v>
      </c>
      <c r="Q260" s="35"/>
      <c r="R260" s="15"/>
      <c r="S260" s="24"/>
      <c r="T260" s="62" t="s">
        <v>1419</v>
      </c>
      <c r="U260" s="62"/>
      <c r="V260" s="94">
        <v>2091721.1666666667</v>
      </c>
      <c r="W260" s="199">
        <v>0.57437005426233112</v>
      </c>
      <c r="X260" s="15"/>
      <c r="Y260" s="200">
        <v>0.95350952380952381</v>
      </c>
      <c r="Z260" s="11" t="s">
        <v>465</v>
      </c>
      <c r="AA260" s="11"/>
      <c r="AB260" s="15"/>
      <c r="AC260" s="54">
        <v>1260000</v>
      </c>
      <c r="AD260" s="54">
        <v>1201422</v>
      </c>
      <c r="AE260" s="54">
        <v>58578</v>
      </c>
      <c r="AG260" s="4"/>
      <c r="AH260" s="4"/>
      <c r="AI260" s="225"/>
      <c r="AJ260" s="226"/>
      <c r="AQ260" s="327" t="e">
        <v>#REF!</v>
      </c>
      <c r="AR260" s="157" t="e">
        <v>#REF!</v>
      </c>
    </row>
    <row r="261" spans="2:45" x14ac:dyDescent="0.25">
      <c r="C261" s="39">
        <v>2019</v>
      </c>
      <c r="D261" s="62" t="s">
        <v>1493</v>
      </c>
      <c r="E261" s="63" t="s">
        <v>1494</v>
      </c>
      <c r="F261" s="64">
        <v>43664</v>
      </c>
      <c r="G261" s="65" t="s">
        <v>34</v>
      </c>
      <c r="H261" s="94">
        <v>5660000</v>
      </c>
      <c r="I261" s="94">
        <v>3930000</v>
      </c>
      <c r="J261" s="94"/>
      <c r="K261" s="153">
        <v>-0.30565371024734983</v>
      </c>
      <c r="L261" s="11" t="s">
        <v>464</v>
      </c>
      <c r="M261" s="15">
        <v>4</v>
      </c>
      <c r="N261" s="35" t="s">
        <v>25</v>
      </c>
      <c r="O261" s="15">
        <v>3</v>
      </c>
      <c r="P261" s="35" t="s">
        <v>492</v>
      </c>
      <c r="Q261" s="35"/>
      <c r="R261" s="15"/>
      <c r="S261" s="24"/>
      <c r="T261" s="62" t="s">
        <v>1405</v>
      </c>
      <c r="U261" s="62"/>
      <c r="V261" s="94">
        <v>5605196.25</v>
      </c>
      <c r="W261" s="199">
        <v>0.70113512974679526</v>
      </c>
      <c r="X261" s="15"/>
      <c r="Y261" s="200">
        <v>0.69434628975265023</v>
      </c>
      <c r="Z261" s="11" t="s">
        <v>465</v>
      </c>
      <c r="AA261" s="11"/>
      <c r="AB261" s="15"/>
      <c r="AC261" s="54">
        <v>5660000</v>
      </c>
      <c r="AD261" s="54">
        <v>3930000</v>
      </c>
      <c r="AE261" s="54">
        <v>1730000</v>
      </c>
      <c r="AG261" s="4"/>
      <c r="AH261" s="4"/>
      <c r="AI261" s="225"/>
      <c r="AJ261" s="226"/>
      <c r="AQ261" s="327" t="e">
        <v>#REF!</v>
      </c>
      <c r="AR261" s="157" t="e">
        <v>#REF!</v>
      </c>
    </row>
    <row r="262" spans="2:45" x14ac:dyDescent="0.25">
      <c r="C262" s="39">
        <v>2019</v>
      </c>
      <c r="D262" s="62" t="s">
        <v>1415</v>
      </c>
      <c r="E262" s="63" t="s">
        <v>1416</v>
      </c>
      <c r="F262" s="64">
        <v>43641</v>
      </c>
      <c r="G262" s="65" t="s">
        <v>34</v>
      </c>
      <c r="H262" s="94">
        <v>5280000</v>
      </c>
      <c r="I262" s="94">
        <v>5097757</v>
      </c>
      <c r="J262" s="94"/>
      <c r="K262" s="153">
        <v>-3.4515719696969697E-2</v>
      </c>
      <c r="L262" s="11" t="s">
        <v>464</v>
      </c>
      <c r="M262" s="15">
        <v>14</v>
      </c>
      <c r="N262" s="35" t="s">
        <v>25</v>
      </c>
      <c r="O262" s="15">
        <v>2</v>
      </c>
      <c r="P262" s="35" t="s">
        <v>492</v>
      </c>
      <c r="Q262" s="35"/>
      <c r="R262" s="15"/>
      <c r="S262" s="24"/>
      <c r="T262" s="62" t="s">
        <v>816</v>
      </c>
      <c r="U262" s="62"/>
      <c r="V262" s="94">
        <v>7104621.7857142854</v>
      </c>
      <c r="W262" s="199">
        <v>0.71752686543432675</v>
      </c>
      <c r="X262" s="15"/>
      <c r="Y262" s="200">
        <v>0.96548428030303035</v>
      </c>
      <c r="Z262" s="11" t="s">
        <v>465</v>
      </c>
      <c r="AA262" s="11"/>
      <c r="AB262" s="15"/>
      <c r="AC262" s="54">
        <v>5280000</v>
      </c>
      <c r="AD262" s="54">
        <v>5097757</v>
      </c>
      <c r="AE262" s="54">
        <v>182243</v>
      </c>
      <c r="AG262" s="4"/>
      <c r="AH262" s="4"/>
      <c r="AI262" s="225"/>
      <c r="AJ262" s="226"/>
      <c r="AQ262" s="327" t="e">
        <v>#REF!</v>
      </c>
      <c r="AR262" s="157" t="e">
        <v>#REF!</v>
      </c>
      <c r="AS262" s="104"/>
    </row>
    <row r="263" spans="2:45" x14ac:dyDescent="0.25">
      <c r="C263" s="39">
        <v>2019</v>
      </c>
      <c r="D263" s="62" t="s">
        <v>1439</v>
      </c>
      <c r="E263" s="63" t="s">
        <v>1440</v>
      </c>
      <c r="F263" s="64">
        <v>43517</v>
      </c>
      <c r="G263" s="65" t="s">
        <v>34</v>
      </c>
      <c r="H263" s="94">
        <v>4450000</v>
      </c>
      <c r="I263" s="94">
        <v>5282906</v>
      </c>
      <c r="J263" s="94"/>
      <c r="K263" s="153">
        <v>0.18716988764044945</v>
      </c>
      <c r="L263" s="11" t="s">
        <v>465</v>
      </c>
      <c r="M263" s="15">
        <v>7</v>
      </c>
      <c r="N263" s="35" t="s">
        <v>25</v>
      </c>
      <c r="O263" s="15">
        <v>1</v>
      </c>
      <c r="P263" s="35" t="s">
        <v>492</v>
      </c>
      <c r="Q263" s="35"/>
      <c r="R263" s="15"/>
      <c r="S263" s="24"/>
      <c r="T263" s="62" t="s">
        <v>816</v>
      </c>
      <c r="U263" s="62"/>
      <c r="V263" s="94">
        <v>7461118.4285714282</v>
      </c>
      <c r="W263" s="199">
        <v>0.70805818867179027</v>
      </c>
      <c r="X263" s="15"/>
      <c r="Y263" s="200">
        <v>1.1871698876404495</v>
      </c>
      <c r="Z263" s="11" t="s">
        <v>465</v>
      </c>
      <c r="AA263" s="11"/>
      <c r="AB263" s="15"/>
      <c r="AC263" s="54">
        <v>4450000</v>
      </c>
      <c r="AD263" s="54">
        <v>5282906</v>
      </c>
      <c r="AE263" s="54">
        <v>-832906</v>
      </c>
      <c r="AG263" s="4"/>
      <c r="AH263" s="4"/>
      <c r="AI263" s="225"/>
      <c r="AJ263" s="226"/>
      <c r="AQ263" s="327" t="e">
        <v>#REF!</v>
      </c>
      <c r="AR263" s="157" t="e">
        <v>#REF!</v>
      </c>
    </row>
    <row r="264" spans="2:45" x14ac:dyDescent="0.25">
      <c r="C264" s="39">
        <v>2019</v>
      </c>
      <c r="D264" s="62" t="s">
        <v>1413</v>
      </c>
      <c r="E264" s="63" t="s">
        <v>1414</v>
      </c>
      <c r="F264" s="64">
        <v>43501</v>
      </c>
      <c r="G264" s="65" t="s">
        <v>190</v>
      </c>
      <c r="H264" s="94">
        <v>13910000</v>
      </c>
      <c r="I264" s="94">
        <v>11745510</v>
      </c>
      <c r="J264" s="94"/>
      <c r="K264" s="153">
        <v>-0.15560675772825305</v>
      </c>
      <c r="L264" s="11" t="s">
        <v>464</v>
      </c>
      <c r="M264" s="15">
        <v>4</v>
      </c>
      <c r="N264" s="35" t="s">
        <v>25</v>
      </c>
      <c r="O264" s="15">
        <v>1</v>
      </c>
      <c r="P264" s="35" t="s">
        <v>492</v>
      </c>
      <c r="Q264" s="35"/>
      <c r="R264" s="15"/>
      <c r="S264" s="24"/>
      <c r="T264" s="62" t="s">
        <v>816</v>
      </c>
      <c r="U264" s="62"/>
      <c r="V264" s="94">
        <v>15613590</v>
      </c>
      <c r="W264" s="199">
        <v>0.75226197178227427</v>
      </c>
      <c r="X264" s="15"/>
      <c r="Y264" s="200">
        <v>0.84439324227174695</v>
      </c>
      <c r="Z264" s="11" t="s">
        <v>465</v>
      </c>
      <c r="AA264" s="11"/>
      <c r="AB264" s="15"/>
      <c r="AC264" s="54">
        <v>13910000</v>
      </c>
      <c r="AD264" s="54">
        <v>11745510</v>
      </c>
      <c r="AE264" s="54">
        <v>2164490</v>
      </c>
      <c r="AG264" s="4"/>
      <c r="AH264" s="4"/>
      <c r="AI264" s="225"/>
      <c r="AJ264" s="226"/>
      <c r="AQ264" s="327" t="e">
        <v>#REF!</v>
      </c>
      <c r="AR264" s="157" t="e">
        <v>#REF!</v>
      </c>
    </row>
    <row r="265" spans="2:45" x14ac:dyDescent="0.25">
      <c r="C265" s="39"/>
      <c r="E265" s="85"/>
      <c r="F265" s="85"/>
      <c r="G265" s="85"/>
      <c r="H265" s="86">
        <f>SUM(H260:H264)</f>
        <v>30560000</v>
      </c>
      <c r="I265" s="86">
        <f>SUM(I260:I264)</f>
        <v>27257595</v>
      </c>
      <c r="J265" s="85"/>
      <c r="K265" s="87">
        <f>+I265/H265</f>
        <v>0.89193700916230367</v>
      </c>
      <c r="L265" s="85">
        <f>COUNTA(L260:L264)</f>
        <v>5</v>
      </c>
      <c r="M265" s="88">
        <f>SUM(M260:M264)/L265</f>
        <v>7</v>
      </c>
      <c r="N265" s="89"/>
      <c r="O265" s="85"/>
      <c r="P265" s="119">
        <f>4/L265</f>
        <v>0.8</v>
      </c>
      <c r="Q265" s="85"/>
    </row>
    <row r="266" spans="2:45" x14ac:dyDescent="0.25">
      <c r="C266" s="39"/>
    </row>
    <row r="267" spans="2:45" x14ac:dyDescent="0.25">
      <c r="C267" s="39"/>
      <c r="E267" s="126" t="s">
        <v>1171</v>
      </c>
      <c r="F267" s="70" t="str">
        <f>"'15 final"</f>
        <v>'15 final</v>
      </c>
      <c r="G267" s="70" t="str">
        <f>"'16 final"</f>
        <v>'16 final</v>
      </c>
      <c r="H267" s="121" t="s">
        <v>1360</v>
      </c>
      <c r="I267" s="121" t="str">
        <f>"'18 final"</f>
        <v>'18 final</v>
      </c>
      <c r="J267" s="121" t="str">
        <f>"'19 final"</f>
        <v>'19 final</v>
      </c>
      <c r="P267" s="11"/>
    </row>
    <row r="268" spans="2:45" x14ac:dyDescent="0.25">
      <c r="C268" s="39"/>
      <c r="E268" s="71" t="s">
        <v>800</v>
      </c>
      <c r="F268" s="11">
        <v>8</v>
      </c>
      <c r="G268" s="11">
        <v>10</v>
      </c>
      <c r="H268" s="104">
        <v>10</v>
      </c>
      <c r="I268" s="104">
        <v>5</v>
      </c>
      <c r="J268" s="104">
        <f>+L265</f>
        <v>5</v>
      </c>
      <c r="P268" s="11"/>
    </row>
    <row r="269" spans="2:45" x14ac:dyDescent="0.25">
      <c r="C269" s="39"/>
      <c r="E269" s="72" t="s">
        <v>801</v>
      </c>
      <c r="F269" s="11">
        <v>4</v>
      </c>
      <c r="G269" s="11">
        <v>7</v>
      </c>
      <c r="H269" s="104">
        <v>7</v>
      </c>
      <c r="I269" s="104">
        <v>4</v>
      </c>
      <c r="J269" s="104">
        <v>2</v>
      </c>
      <c r="P269" s="11"/>
    </row>
    <row r="270" spans="2:45" x14ac:dyDescent="0.25">
      <c r="C270" s="39"/>
      <c r="E270" s="72" t="s">
        <v>802</v>
      </c>
      <c r="F270" s="11">
        <v>4</v>
      </c>
      <c r="G270" s="11">
        <v>3</v>
      </c>
      <c r="H270" s="104">
        <v>3</v>
      </c>
      <c r="I270" s="104">
        <v>1</v>
      </c>
      <c r="J270" s="104">
        <v>3</v>
      </c>
      <c r="P270" s="11"/>
    </row>
    <row r="271" spans="2:45" x14ac:dyDescent="0.25">
      <c r="C271" s="39"/>
      <c r="E271" s="72"/>
      <c r="F271" s="11"/>
      <c r="G271" s="11"/>
      <c r="H271" s="104"/>
      <c r="I271" s="104"/>
      <c r="J271" s="104"/>
      <c r="P271" s="11"/>
    </row>
    <row r="272" spans="2:45" x14ac:dyDescent="0.25">
      <c r="C272" s="39"/>
      <c r="E272" s="72" t="s">
        <v>1144</v>
      </c>
      <c r="F272" s="78">
        <v>53</v>
      </c>
      <c r="G272" s="78">
        <v>81</v>
      </c>
      <c r="H272" s="122">
        <v>41.790157999999998</v>
      </c>
      <c r="I272" s="122">
        <v>34</v>
      </c>
      <c r="J272" s="122">
        <f>+I265/1000000</f>
        <v>27.257594999999998</v>
      </c>
      <c r="P272" s="11"/>
    </row>
    <row r="273" spans="3:44" x14ac:dyDescent="0.25">
      <c r="C273" s="39"/>
      <c r="E273" s="72" t="s">
        <v>806</v>
      </c>
      <c r="F273" s="75">
        <v>8.75</v>
      </c>
      <c r="G273" s="75">
        <v>6.9</v>
      </c>
      <c r="H273" s="123">
        <v>5.8</v>
      </c>
      <c r="I273" s="123">
        <v>6.8</v>
      </c>
      <c r="J273" s="123">
        <f>+M265</f>
        <v>7</v>
      </c>
      <c r="P273" s="11"/>
    </row>
    <row r="274" spans="3:44" x14ac:dyDescent="0.25">
      <c r="C274" s="39"/>
      <c r="E274" s="72" t="s">
        <v>807</v>
      </c>
      <c r="F274" s="74">
        <v>0.97399999999999998</v>
      </c>
      <c r="G274" s="74">
        <v>0.81599999999999995</v>
      </c>
      <c r="H274" s="124">
        <v>0.92343736603690196</v>
      </c>
      <c r="I274" s="124">
        <v>0.85099999999999998</v>
      </c>
      <c r="J274" s="124">
        <f>+K265</f>
        <v>0.89193700916230367</v>
      </c>
      <c r="P274" s="11"/>
    </row>
    <row r="275" spans="3:44" x14ac:dyDescent="0.25">
      <c r="C275" s="39"/>
      <c r="E275" s="72"/>
      <c r="F275" s="11"/>
      <c r="G275" s="11"/>
      <c r="H275" s="104"/>
      <c r="I275" s="104"/>
      <c r="J275" s="104"/>
      <c r="P275" s="11"/>
    </row>
    <row r="276" spans="3:44" x14ac:dyDescent="0.25">
      <c r="C276" s="39"/>
      <c r="E276" s="72" t="s">
        <v>803</v>
      </c>
      <c r="F276" s="74">
        <f>7/8</f>
        <v>0.875</v>
      </c>
      <c r="G276" s="74">
        <v>0.8</v>
      </c>
      <c r="H276" s="108">
        <v>0.9</v>
      </c>
      <c r="I276" s="108">
        <v>0.8</v>
      </c>
      <c r="J276" s="108">
        <f>+P265</f>
        <v>0.8</v>
      </c>
      <c r="P276" s="11"/>
    </row>
    <row r="277" spans="3:44" x14ac:dyDescent="0.25">
      <c r="C277" s="107"/>
      <c r="D277" s="52"/>
      <c r="E277" s="72" t="s">
        <v>804</v>
      </c>
      <c r="F277" s="74">
        <v>0.75</v>
      </c>
      <c r="G277" s="74">
        <f>6/7</f>
        <v>0.8571428571428571</v>
      </c>
      <c r="H277" s="108">
        <v>1</v>
      </c>
      <c r="I277" s="108">
        <v>0.75</v>
      </c>
      <c r="J277" s="282">
        <v>1</v>
      </c>
      <c r="P277" s="11"/>
    </row>
    <row r="278" spans="3:44" x14ac:dyDescent="0.25">
      <c r="C278" s="107"/>
      <c r="D278" s="52"/>
      <c r="E278" s="72" t="s">
        <v>805</v>
      </c>
      <c r="F278" s="74">
        <v>1</v>
      </c>
      <c r="G278" s="74">
        <v>0.66700000000000004</v>
      </c>
      <c r="H278" s="108">
        <v>0.66666666666666663</v>
      </c>
      <c r="I278" s="108">
        <v>1</v>
      </c>
      <c r="J278" s="108">
        <v>0.66700000000000004</v>
      </c>
      <c r="P278" s="11"/>
    </row>
    <row r="279" spans="3:44" x14ac:dyDescent="0.25">
      <c r="C279" s="39"/>
      <c r="E279" s="72"/>
      <c r="F279" s="11"/>
      <c r="G279" s="11"/>
      <c r="H279" s="104"/>
      <c r="I279" s="104"/>
      <c r="J279" s="104"/>
      <c r="P279" s="11"/>
    </row>
    <row r="280" spans="3:44" x14ac:dyDescent="0.25">
      <c r="C280" s="39"/>
      <c r="E280" s="72" t="s">
        <v>1141</v>
      </c>
      <c r="F280" s="11">
        <v>1</v>
      </c>
      <c r="G280" s="11">
        <v>0</v>
      </c>
      <c r="H280" s="104">
        <v>4</v>
      </c>
      <c r="I280" s="104">
        <v>0</v>
      </c>
      <c r="J280" s="104">
        <v>0</v>
      </c>
    </row>
    <row r="281" spans="3:44" x14ac:dyDescent="0.25">
      <c r="E281" s="106" t="s">
        <v>1143</v>
      </c>
      <c r="F281" s="108">
        <f>+F280/F268</f>
        <v>0.125</v>
      </c>
      <c r="G281" s="74">
        <v>0</v>
      </c>
      <c r="H281" s="108">
        <v>0.4</v>
      </c>
      <c r="I281" s="108">
        <f>+I280/I268</f>
        <v>0</v>
      </c>
      <c r="J281" s="108">
        <v>0</v>
      </c>
    </row>
    <row r="282" spans="3:44" x14ac:dyDescent="0.25">
      <c r="C282" s="39"/>
      <c r="E282" s="72" t="s">
        <v>1142</v>
      </c>
      <c r="F282" s="11">
        <v>1</v>
      </c>
      <c r="G282" s="11">
        <v>0</v>
      </c>
      <c r="H282" s="104">
        <v>1</v>
      </c>
      <c r="I282" s="104">
        <v>0</v>
      </c>
      <c r="J282" s="104">
        <v>0</v>
      </c>
    </row>
    <row r="283" spans="3:44" x14ac:dyDescent="0.25">
      <c r="C283" s="39"/>
      <c r="E283" s="106" t="s">
        <v>1169</v>
      </c>
      <c r="F283" s="108">
        <f t="shared" ref="F283:G283" si="36">+F282/F268</f>
        <v>0.125</v>
      </c>
      <c r="G283" s="108">
        <f t="shared" si="36"/>
        <v>0</v>
      </c>
      <c r="H283" s="108">
        <v>0.1</v>
      </c>
      <c r="I283" s="108">
        <f>+I282/I268</f>
        <v>0</v>
      </c>
      <c r="J283" s="108">
        <v>0</v>
      </c>
    </row>
    <row r="284" spans="3:44" x14ac:dyDescent="0.25">
      <c r="C284" s="39"/>
    </row>
    <row r="285" spans="3:44" x14ac:dyDescent="0.25">
      <c r="C285" s="39"/>
    </row>
    <row r="286" spans="3:44" x14ac:dyDescent="0.25">
      <c r="C286" s="39"/>
    </row>
    <row r="287" spans="3:44" x14ac:dyDescent="0.25">
      <c r="C287" s="39">
        <v>2019</v>
      </c>
      <c r="D287" s="62" t="s">
        <v>1424</v>
      </c>
      <c r="E287" s="63" t="s">
        <v>1425</v>
      </c>
      <c r="F287" s="64">
        <v>43593</v>
      </c>
      <c r="G287" s="65" t="s">
        <v>34</v>
      </c>
      <c r="H287" s="94">
        <v>18800000</v>
      </c>
      <c r="I287" s="94">
        <v>14551682</v>
      </c>
      <c r="J287" s="94"/>
      <c r="K287" s="153">
        <v>-0.22597436170212765</v>
      </c>
      <c r="L287" s="11" t="s">
        <v>464</v>
      </c>
      <c r="M287" s="15">
        <v>11</v>
      </c>
      <c r="N287" s="35" t="s">
        <v>25</v>
      </c>
      <c r="O287" s="15">
        <v>2</v>
      </c>
      <c r="P287" s="35" t="s">
        <v>459</v>
      </c>
      <c r="Q287" s="35"/>
      <c r="R287" s="15"/>
      <c r="S287" s="24"/>
      <c r="T287" s="62" t="s">
        <v>447</v>
      </c>
      <c r="U287" s="62"/>
      <c r="V287" s="94">
        <v>17337811.181818184</v>
      </c>
      <c r="W287" s="199">
        <v>0.83930329194379849</v>
      </c>
      <c r="X287" s="15"/>
      <c r="Y287" s="200">
        <v>0.7740256382978723</v>
      </c>
      <c r="Z287" s="11" t="s">
        <v>465</v>
      </c>
      <c r="AA287" s="11"/>
      <c r="AB287" s="15"/>
      <c r="AC287" s="54">
        <v>18800000</v>
      </c>
      <c r="AD287" s="54">
        <v>14551682</v>
      </c>
      <c r="AE287" s="54">
        <v>4248318</v>
      </c>
      <c r="AG287" s="4"/>
      <c r="AH287" s="4"/>
      <c r="AI287" s="225"/>
      <c r="AJ287" s="226"/>
    </row>
    <row r="288" spans="3:44" x14ac:dyDescent="0.25">
      <c r="C288" s="39">
        <v>2019</v>
      </c>
      <c r="D288" s="62" t="str">
        <f>+'[2]PAT-784.166'!$F$4</f>
        <v>PAT-784.166</v>
      </c>
      <c r="E288" s="63" t="str">
        <f>+'[2]PAT-784.166'!$F$5</f>
        <v>Tracks G &amp; H Permanent Flood Protection</v>
      </c>
      <c r="F288" s="64">
        <f>+'[2]PAT-784.166'!$F$6</f>
        <v>43690</v>
      </c>
      <c r="G288" s="65" t="str">
        <f>+'[2]PAT-784.166'!$G$7</f>
        <v>Public</v>
      </c>
      <c r="H288" s="94">
        <f>+'[2]PAT-784.166'!$F$7</f>
        <v>21500000</v>
      </c>
      <c r="I288" s="94">
        <f>+'[2]PAT-784.166'!$F$8</f>
        <v>23111450</v>
      </c>
      <c r="J288" s="94"/>
      <c r="K288" s="153">
        <f>+'[2]PAT-784.166'!$G$9</f>
        <v>7.4951162790697676E-2</v>
      </c>
      <c r="L288" s="11" t="str">
        <f>+'[2]PAT-784.166'!$F$11</f>
        <v>GOOD</v>
      </c>
      <c r="M288" s="15">
        <f>+'[2]PAT-784.166'!$H$12</f>
        <v>7</v>
      </c>
      <c r="N288" s="35" t="s">
        <v>25</v>
      </c>
      <c r="O288" s="15">
        <v>3</v>
      </c>
      <c r="P288" s="35" t="s">
        <v>459</v>
      </c>
      <c r="Q288" s="35"/>
      <c r="R288" s="15"/>
      <c r="S288" s="24"/>
      <c r="T288" s="62" t="str">
        <f>+'[2]PAT-784.166'!$J$4</f>
        <v>Nathan Demaisip</v>
      </c>
      <c r="U288" s="62"/>
      <c r="V288" s="94">
        <f>+'[2]PAT-784.166'!$F$12</f>
        <v>29457812.428571429</v>
      </c>
      <c r="W288" s="199">
        <f t="shared" ref="W288" si="37">+I288/V288</f>
        <v>0.78456097363102129</v>
      </c>
      <c r="X288" s="15"/>
      <c r="Y288" s="200">
        <f t="shared" ref="Y288" si="38">+I288/H288</f>
        <v>1.0749511627906976</v>
      </c>
      <c r="Z288" s="11" t="str">
        <f t="shared" ref="Z288" si="39">(IF(Y288&lt;$Y$3,"FAIL",IF(Y288&gt;$Y$4,"FAIL","GOOD")))</f>
        <v>FAIL</v>
      </c>
      <c r="AA288" s="11"/>
      <c r="AB288" s="15"/>
      <c r="AC288" s="54">
        <f t="shared" ref="AC288" si="40">+H288</f>
        <v>21500000</v>
      </c>
      <c r="AD288" s="54">
        <f t="shared" ref="AD288" si="41">+I288</f>
        <v>23111450</v>
      </c>
      <c r="AE288" s="54">
        <f t="shared" ref="AE288" si="42">+AC288-AD288</f>
        <v>-1611450</v>
      </c>
      <c r="AG288" s="4"/>
      <c r="AH288" s="4"/>
      <c r="AI288" s="225"/>
      <c r="AJ288" s="226"/>
      <c r="AQ288" s="327" t="e">
        <f t="shared" ref="AQ288" ca="1" si="43">INDIRECT("'"&amp;$D288&amp;"'!L12")</f>
        <v>#REF!</v>
      </c>
      <c r="AR288" s="157" t="e">
        <f t="shared" ref="AR288" ca="1" si="44">INDIRECT("'"&amp;$D288&amp;"'!L13")</f>
        <v>#REF!</v>
      </c>
    </row>
    <row r="289" spans="2:43" x14ac:dyDescent="0.25">
      <c r="C289" s="39">
        <v>2019</v>
      </c>
      <c r="D289" s="62" t="s">
        <v>1406</v>
      </c>
      <c r="E289" s="63" t="s">
        <v>1407</v>
      </c>
      <c r="F289" s="64">
        <v>43587</v>
      </c>
      <c r="G289" s="65" t="s">
        <v>190</v>
      </c>
      <c r="H289" s="94">
        <v>38200000</v>
      </c>
      <c r="I289" s="94">
        <v>40811000</v>
      </c>
      <c r="J289" s="94"/>
      <c r="K289" s="153">
        <v>6.8350785340314135E-2</v>
      </c>
      <c r="L289" s="11" t="s">
        <v>464</v>
      </c>
      <c r="M289" s="15">
        <v>5</v>
      </c>
      <c r="N289" s="35" t="s">
        <v>25</v>
      </c>
      <c r="O289" s="15">
        <v>2</v>
      </c>
      <c r="P289" s="35" t="s">
        <v>459</v>
      </c>
      <c r="Q289" s="35"/>
      <c r="R289" s="15"/>
      <c r="S289" s="24"/>
      <c r="T289" s="62" t="s">
        <v>447</v>
      </c>
      <c r="U289" s="62"/>
      <c r="V289" s="94">
        <v>42801714</v>
      </c>
      <c r="W289" s="199">
        <v>0.95348985323344759</v>
      </c>
      <c r="X289" s="15"/>
      <c r="Y289" s="200">
        <v>1.0683507853403142</v>
      </c>
      <c r="Z289" s="11" t="s">
        <v>465</v>
      </c>
      <c r="AA289" s="11"/>
      <c r="AB289" s="15"/>
      <c r="AC289" s="54">
        <v>38200000</v>
      </c>
      <c r="AD289" s="54">
        <v>40811000</v>
      </c>
      <c r="AE289" s="54">
        <v>-2611000</v>
      </c>
      <c r="AG289" s="4"/>
      <c r="AH289" s="4"/>
      <c r="AI289" s="225"/>
      <c r="AJ289" s="226"/>
    </row>
    <row r="290" spans="2:43" x14ac:dyDescent="0.25">
      <c r="C290" s="39">
        <v>2019</v>
      </c>
      <c r="D290" s="62" t="s">
        <v>1408</v>
      </c>
      <c r="E290" s="63" t="s">
        <v>1409</v>
      </c>
      <c r="F290" s="64">
        <v>43586</v>
      </c>
      <c r="G290" s="65" t="s">
        <v>190</v>
      </c>
      <c r="H290" s="94">
        <v>44840000</v>
      </c>
      <c r="I290" s="94">
        <v>48311245</v>
      </c>
      <c r="J290" s="94"/>
      <c r="K290" s="153">
        <v>7.741402765388046E-2</v>
      </c>
      <c r="L290" s="11" t="s">
        <v>464</v>
      </c>
      <c r="M290" s="15">
        <v>7</v>
      </c>
      <c r="N290" s="35" t="s">
        <v>25</v>
      </c>
      <c r="O290" s="15">
        <v>2</v>
      </c>
      <c r="P290" s="35" t="s">
        <v>459</v>
      </c>
      <c r="Q290" s="35"/>
      <c r="R290" s="15"/>
      <c r="S290" s="24"/>
      <c r="T290" s="62" t="s">
        <v>447</v>
      </c>
      <c r="U290" s="62"/>
      <c r="V290" s="94">
        <v>57681258.285714284</v>
      </c>
      <c r="W290" s="199">
        <v>0.83755532448162762</v>
      </c>
      <c r="X290" s="15"/>
      <c r="Y290" s="200">
        <v>1.0774140276538804</v>
      </c>
      <c r="Z290" s="11" t="s">
        <v>465</v>
      </c>
      <c r="AA290" s="11"/>
      <c r="AB290" s="15"/>
      <c r="AC290" s="54">
        <v>44840000</v>
      </c>
      <c r="AD290" s="54">
        <v>48311245</v>
      </c>
      <c r="AE290" s="54">
        <v>-3471245</v>
      </c>
      <c r="AG290" s="4"/>
      <c r="AH290" s="4"/>
      <c r="AI290" s="225"/>
      <c r="AJ290" s="226"/>
    </row>
    <row r="291" spans="2:43" x14ac:dyDescent="0.25">
      <c r="C291" s="39">
        <v>2019</v>
      </c>
      <c r="D291" s="62" t="s">
        <v>1394</v>
      </c>
      <c r="E291" s="63" t="s">
        <v>1395</v>
      </c>
      <c r="F291" s="64">
        <v>43567</v>
      </c>
      <c r="G291" s="65" t="s">
        <v>1225</v>
      </c>
      <c r="H291" s="94">
        <v>1216000</v>
      </c>
      <c r="I291" s="94">
        <v>1300529</v>
      </c>
      <c r="J291" s="94" t="s">
        <v>519</v>
      </c>
      <c r="K291" s="153">
        <v>6.9513980263157901E-2</v>
      </c>
      <c r="L291" s="11" t="s">
        <v>464</v>
      </c>
      <c r="M291" s="15">
        <v>4</v>
      </c>
      <c r="N291" s="35" t="s">
        <v>25</v>
      </c>
      <c r="O291" s="15">
        <v>2</v>
      </c>
      <c r="P291" s="35" t="s">
        <v>459</v>
      </c>
      <c r="Q291" s="35"/>
      <c r="R291" s="15"/>
      <c r="S291" s="24"/>
      <c r="T291" s="62" t="s">
        <v>447</v>
      </c>
      <c r="U291" s="62"/>
      <c r="V291" s="94">
        <v>2569805</v>
      </c>
      <c r="W291" s="199">
        <v>0.50608081157908869</v>
      </c>
      <c r="X291" s="15"/>
      <c r="Y291" s="200">
        <v>1.0695139802631579</v>
      </c>
      <c r="Z291" s="11" t="s">
        <v>465</v>
      </c>
      <c r="AA291" s="11"/>
      <c r="AB291" s="15"/>
      <c r="AC291" s="54">
        <v>1216000</v>
      </c>
      <c r="AD291" s="54">
        <v>1300529</v>
      </c>
      <c r="AE291" s="54">
        <v>-84529</v>
      </c>
      <c r="AG291" s="4"/>
      <c r="AH291" s="4"/>
      <c r="AI291" s="225"/>
      <c r="AJ291" s="226"/>
    </row>
    <row r="292" spans="2:43" x14ac:dyDescent="0.25">
      <c r="B292" s="203">
        <v>0.75</v>
      </c>
      <c r="C292" s="39">
        <v>2019</v>
      </c>
      <c r="D292" s="62" t="s">
        <v>1432</v>
      </c>
      <c r="E292" s="63" t="s">
        <v>1433</v>
      </c>
      <c r="F292" s="64">
        <v>43565</v>
      </c>
      <c r="G292" s="65" t="s">
        <v>34</v>
      </c>
      <c r="H292" s="94">
        <v>1090000</v>
      </c>
      <c r="I292" s="94">
        <v>1142000</v>
      </c>
      <c r="J292" s="94" t="s">
        <v>519</v>
      </c>
      <c r="K292" s="153">
        <v>4.7706422018348627E-2</v>
      </c>
      <c r="L292" s="11" t="s">
        <v>464</v>
      </c>
      <c r="M292" s="15">
        <v>3</v>
      </c>
      <c r="N292" s="35" t="s">
        <v>25</v>
      </c>
      <c r="O292" s="15">
        <v>2</v>
      </c>
      <c r="P292" s="35" t="s">
        <v>459</v>
      </c>
      <c r="Q292" s="35"/>
      <c r="R292" s="15"/>
      <c r="S292" s="24"/>
      <c r="T292" s="62" t="s">
        <v>447</v>
      </c>
      <c r="U292" s="62"/>
      <c r="V292" s="94">
        <v>1292823.3333333333</v>
      </c>
      <c r="W292" s="199">
        <v>0.88333801731094996</v>
      </c>
      <c r="X292" s="15"/>
      <c r="Y292" s="200">
        <v>1.0477064220183485</v>
      </c>
      <c r="Z292" s="11" t="s">
        <v>465</v>
      </c>
      <c r="AA292" s="11"/>
      <c r="AB292" s="15"/>
      <c r="AC292" s="54">
        <v>1090000</v>
      </c>
      <c r="AD292" s="54">
        <v>1142000</v>
      </c>
      <c r="AE292" s="54">
        <v>-52000</v>
      </c>
      <c r="AG292" s="4">
        <v>140236000</v>
      </c>
      <c r="AH292" s="4">
        <v>143985773</v>
      </c>
      <c r="AI292" s="204">
        <v>1.0267390185116518</v>
      </c>
      <c r="AJ292" s="1" t="s">
        <v>1240</v>
      </c>
      <c r="AK292" s="205">
        <v>361297500</v>
      </c>
      <c r="AL292" s="205">
        <v>328815688</v>
      </c>
      <c r="AM292" s="206">
        <v>0.9100967706668327</v>
      </c>
      <c r="AN292" s="207" t="s">
        <v>1241</v>
      </c>
      <c r="AO292" s="208"/>
      <c r="AQ292" s="224"/>
    </row>
    <row r="293" spans="2:43" x14ac:dyDescent="0.25">
      <c r="C293" s="39"/>
      <c r="E293" s="85"/>
      <c r="F293" s="85"/>
      <c r="G293" s="85"/>
      <c r="H293" s="86">
        <f>SUM(H287:H292)</f>
        <v>125646000</v>
      </c>
      <c r="I293" s="86">
        <f>SUM(I287:I292)</f>
        <v>129227906</v>
      </c>
      <c r="J293" s="85"/>
      <c r="K293" s="87">
        <f>+I293/H293</f>
        <v>1.0285079190742243</v>
      </c>
      <c r="L293" s="85">
        <f>COUNTA(L287:L292)</f>
        <v>6</v>
      </c>
      <c r="M293" s="88">
        <f>SUM(M287:M292)/L293</f>
        <v>6.166666666666667</v>
      </c>
      <c r="N293" s="89"/>
      <c r="O293" s="85"/>
      <c r="P293" s="119">
        <f>6/L293</f>
        <v>1</v>
      </c>
      <c r="Q293" s="85"/>
    </row>
    <row r="294" spans="2:43" x14ac:dyDescent="0.25">
      <c r="C294" s="39"/>
    </row>
    <row r="295" spans="2:43" x14ac:dyDescent="0.25">
      <c r="C295" s="39"/>
      <c r="E295" s="126" t="s">
        <v>1172</v>
      </c>
      <c r="F295" s="70" t="str">
        <f>"'15 final"</f>
        <v>'15 final</v>
      </c>
      <c r="G295" s="70" t="str">
        <f>"'16 final"</f>
        <v>'16 final</v>
      </c>
      <c r="H295" s="121" t="s">
        <v>1360</v>
      </c>
      <c r="I295" s="121" t="str">
        <f>"'18 final"</f>
        <v>'18 final</v>
      </c>
      <c r="J295" s="121" t="str">
        <f>"'19 final"</f>
        <v>'19 final</v>
      </c>
      <c r="P295" s="11"/>
    </row>
    <row r="296" spans="2:43" x14ac:dyDescent="0.25">
      <c r="C296" s="39"/>
      <c r="E296" s="71" t="s">
        <v>800</v>
      </c>
      <c r="F296" s="11">
        <v>4</v>
      </c>
      <c r="G296" s="11">
        <v>6</v>
      </c>
      <c r="H296" s="104">
        <v>4</v>
      </c>
      <c r="I296" s="104">
        <v>15</v>
      </c>
      <c r="J296" s="104">
        <f>+L293</f>
        <v>6</v>
      </c>
      <c r="P296" s="11"/>
    </row>
    <row r="297" spans="2:43" x14ac:dyDescent="0.25">
      <c r="C297" s="39"/>
      <c r="E297" s="72" t="s">
        <v>801</v>
      </c>
      <c r="F297" s="11">
        <v>4</v>
      </c>
      <c r="G297" s="11">
        <v>5</v>
      </c>
      <c r="H297" s="104">
        <v>2</v>
      </c>
      <c r="I297" s="104">
        <v>8</v>
      </c>
      <c r="J297" s="104">
        <v>2</v>
      </c>
      <c r="P297" s="11"/>
    </row>
    <row r="298" spans="2:43" x14ac:dyDescent="0.25">
      <c r="C298" s="39"/>
      <c r="E298" s="72" t="s">
        <v>802</v>
      </c>
      <c r="F298" s="11">
        <v>0</v>
      </c>
      <c r="G298" s="11">
        <v>1</v>
      </c>
      <c r="H298" s="104">
        <v>2</v>
      </c>
      <c r="I298" s="104">
        <v>7</v>
      </c>
      <c r="J298" s="104">
        <v>4</v>
      </c>
      <c r="P298" s="11"/>
    </row>
    <row r="299" spans="2:43" x14ac:dyDescent="0.25">
      <c r="C299" s="39"/>
      <c r="E299" s="72"/>
      <c r="F299" s="11"/>
      <c r="G299" s="11"/>
      <c r="H299" s="104"/>
      <c r="I299" s="104"/>
      <c r="J299" s="104"/>
      <c r="P299" s="11"/>
    </row>
    <row r="300" spans="2:43" x14ac:dyDescent="0.25">
      <c r="C300" s="39"/>
      <c r="E300" s="72" t="s">
        <v>1144</v>
      </c>
      <c r="F300" s="78">
        <v>14</v>
      </c>
      <c r="G300" s="78">
        <v>32</v>
      </c>
      <c r="H300" s="122">
        <v>76.745751999999996</v>
      </c>
      <c r="I300" s="122">
        <v>227.78145499999999</v>
      </c>
      <c r="J300" s="122">
        <f>+I293/1000000</f>
        <v>129.22790599999999</v>
      </c>
      <c r="P300" s="11"/>
    </row>
    <row r="301" spans="2:43" x14ac:dyDescent="0.25">
      <c r="C301" s="39"/>
      <c r="E301" s="72" t="s">
        <v>806</v>
      </c>
      <c r="F301" s="75">
        <v>2.8</v>
      </c>
      <c r="G301" s="75">
        <v>4.33</v>
      </c>
      <c r="H301" s="123">
        <v>4.5</v>
      </c>
      <c r="I301" s="123">
        <v>3.5333333333333332</v>
      </c>
      <c r="J301" s="123">
        <f>+M293</f>
        <v>6.166666666666667</v>
      </c>
      <c r="P301" s="11"/>
    </row>
    <row r="302" spans="2:43" x14ac:dyDescent="0.25">
      <c r="C302" s="39"/>
      <c r="E302" s="72" t="s">
        <v>807</v>
      </c>
      <c r="F302" s="74">
        <v>1.3169999999999999</v>
      </c>
      <c r="G302" s="74">
        <v>0.90100000000000002</v>
      </c>
      <c r="H302" s="124">
        <v>1.2098520036573446</v>
      </c>
      <c r="I302" s="124">
        <v>0.68017204259334463</v>
      </c>
      <c r="J302" s="124">
        <f>+K293</f>
        <v>1.0285079190742243</v>
      </c>
      <c r="P302" s="11"/>
    </row>
    <row r="303" spans="2:43" x14ac:dyDescent="0.25">
      <c r="C303" s="39"/>
      <c r="E303" s="72"/>
      <c r="F303" s="11"/>
      <c r="G303" s="11"/>
      <c r="H303" s="104"/>
      <c r="I303" s="104"/>
      <c r="J303" s="104"/>
      <c r="P303" s="11"/>
    </row>
    <row r="304" spans="2:43" x14ac:dyDescent="0.25">
      <c r="C304" s="39"/>
      <c r="E304" s="72" t="s">
        <v>803</v>
      </c>
      <c r="F304" s="74">
        <v>0.25</v>
      </c>
      <c r="G304" s="74">
        <f>4/6</f>
        <v>0.66666666666666663</v>
      </c>
      <c r="H304" s="108">
        <v>0.5</v>
      </c>
      <c r="I304" s="108">
        <v>0.6</v>
      </c>
      <c r="J304" s="108">
        <v>1</v>
      </c>
      <c r="P304" s="11"/>
    </row>
    <row r="305" spans="3:16" x14ac:dyDescent="0.25">
      <c r="C305" s="107"/>
      <c r="D305" s="52"/>
      <c r="E305" s="72" t="s">
        <v>804</v>
      </c>
      <c r="F305" s="74">
        <v>0.25</v>
      </c>
      <c r="G305" s="74">
        <f>3/5</f>
        <v>0.6</v>
      </c>
      <c r="H305" s="108">
        <v>0.5</v>
      </c>
      <c r="I305" s="108">
        <v>0.625</v>
      </c>
      <c r="J305" s="282">
        <v>1</v>
      </c>
      <c r="P305" s="11"/>
    </row>
    <row r="306" spans="3:16" x14ac:dyDescent="0.25">
      <c r="C306" s="107"/>
      <c r="D306" s="52"/>
      <c r="E306" s="72" t="s">
        <v>805</v>
      </c>
      <c r="F306" s="127" t="s">
        <v>1173</v>
      </c>
      <c r="G306" s="74">
        <v>1</v>
      </c>
      <c r="H306" s="108">
        <v>0.5</v>
      </c>
      <c r="I306" s="108">
        <v>0.5714285714285714</v>
      </c>
      <c r="J306" s="108">
        <v>1</v>
      </c>
      <c r="P306" s="11"/>
    </row>
    <row r="307" spans="3:16" x14ac:dyDescent="0.25">
      <c r="C307" s="39"/>
      <c r="E307" s="72"/>
      <c r="F307" s="11"/>
      <c r="G307" s="11"/>
      <c r="H307" s="104"/>
      <c r="I307" s="104"/>
      <c r="J307" s="104"/>
      <c r="P307" s="11"/>
    </row>
    <row r="308" spans="3:16" x14ac:dyDescent="0.25">
      <c r="C308" s="39"/>
      <c r="E308" s="72" t="s">
        <v>1141</v>
      </c>
      <c r="F308" s="11">
        <v>4</v>
      </c>
      <c r="G308" s="11">
        <v>3</v>
      </c>
      <c r="H308" s="104">
        <v>2</v>
      </c>
      <c r="I308" s="104">
        <v>7</v>
      </c>
      <c r="J308" s="104">
        <v>0</v>
      </c>
    </row>
    <row r="309" spans="3:16" x14ac:dyDescent="0.25">
      <c r="E309" s="106" t="s">
        <v>1143</v>
      </c>
      <c r="F309" s="74">
        <f>F308/F296</f>
        <v>1</v>
      </c>
      <c r="G309" s="74">
        <f>G308/G296</f>
        <v>0.5</v>
      </c>
      <c r="H309" s="108">
        <v>0.5</v>
      </c>
      <c r="I309" s="108">
        <v>0.46666666666666667</v>
      </c>
      <c r="J309" s="108">
        <f>+J308/J296</f>
        <v>0</v>
      </c>
    </row>
    <row r="310" spans="3:16" x14ac:dyDescent="0.25">
      <c r="C310" s="39"/>
      <c r="E310" s="72" t="s">
        <v>1142</v>
      </c>
      <c r="F310" s="11">
        <v>1</v>
      </c>
      <c r="G310" s="11">
        <v>1</v>
      </c>
      <c r="H310" s="104">
        <v>0</v>
      </c>
      <c r="I310" s="104">
        <v>0</v>
      </c>
      <c r="J310" s="104">
        <v>1</v>
      </c>
    </row>
    <row r="311" spans="3:16" x14ac:dyDescent="0.25">
      <c r="C311" s="39"/>
      <c r="E311" s="106" t="s">
        <v>1169</v>
      </c>
      <c r="F311" s="108">
        <f t="shared" ref="F311:G311" si="45">+F310/F296</f>
        <v>0.25</v>
      </c>
      <c r="G311" s="108">
        <f t="shared" si="45"/>
        <v>0.16666666666666666</v>
      </c>
      <c r="H311" s="108">
        <v>0</v>
      </c>
      <c r="I311" s="108">
        <v>0</v>
      </c>
      <c r="J311" s="108">
        <f>+J310/J296</f>
        <v>0.16666666666666666</v>
      </c>
    </row>
    <row r="312" spans="3:16" x14ac:dyDescent="0.25">
      <c r="C312" s="39"/>
    </row>
    <row r="313" spans="3:16" x14ac:dyDescent="0.25">
      <c r="C313" s="39"/>
    </row>
    <row r="314" spans="3:16" x14ac:dyDescent="0.25">
      <c r="C314" s="39"/>
    </row>
    <row r="315" spans="3:16" x14ac:dyDescent="0.25">
      <c r="C315" s="39"/>
      <c r="E315" s="126" t="s">
        <v>1527</v>
      </c>
      <c r="F315" s="70" t="s">
        <v>1390</v>
      </c>
      <c r="G315" s="70" t="s">
        <v>457</v>
      </c>
      <c r="H315" s="121" t="s">
        <v>459</v>
      </c>
      <c r="I315" s="121" t="s">
        <v>492</v>
      </c>
      <c r="P315" s="11"/>
    </row>
    <row r="316" spans="3:16" x14ac:dyDescent="0.25">
      <c r="C316" s="39"/>
      <c r="E316" s="71" t="s">
        <v>800</v>
      </c>
      <c r="F316" s="90">
        <f>+J241</f>
        <v>14</v>
      </c>
      <c r="G316" s="90">
        <f>+J204</f>
        <v>22</v>
      </c>
      <c r="H316" s="264">
        <f>+J296</f>
        <v>6</v>
      </c>
      <c r="I316" s="264">
        <f>+J268</f>
        <v>5</v>
      </c>
      <c r="P316" s="11"/>
    </row>
    <row r="317" spans="3:16" x14ac:dyDescent="0.25">
      <c r="C317" s="39"/>
      <c r="E317" s="72" t="s">
        <v>801</v>
      </c>
      <c r="F317" s="11">
        <f>+J242</f>
        <v>8</v>
      </c>
      <c r="G317" s="11">
        <f>+J205</f>
        <v>17</v>
      </c>
      <c r="H317" s="104">
        <f>+J297</f>
        <v>2</v>
      </c>
      <c r="I317" s="104">
        <f>+J269</f>
        <v>2</v>
      </c>
      <c r="P317" s="11"/>
    </row>
    <row r="318" spans="3:16" x14ac:dyDescent="0.25">
      <c r="C318" s="39"/>
      <c r="E318" s="72" t="s">
        <v>802</v>
      </c>
      <c r="F318" s="11">
        <f>+J243</f>
        <v>6</v>
      </c>
      <c r="G318" s="11">
        <f>+J206</f>
        <v>5</v>
      </c>
      <c r="H318" s="104">
        <f>+J298</f>
        <v>4</v>
      </c>
      <c r="I318" s="104">
        <f>+J270</f>
        <v>3</v>
      </c>
      <c r="P318" s="11"/>
    </row>
    <row r="319" spans="3:16" x14ac:dyDescent="0.25">
      <c r="C319" s="39"/>
      <c r="E319" s="72"/>
      <c r="F319" s="11"/>
      <c r="G319" s="11"/>
      <c r="H319" s="104"/>
      <c r="I319" s="104"/>
      <c r="P319" s="11"/>
    </row>
    <row r="320" spans="3:16" x14ac:dyDescent="0.25">
      <c r="C320" s="39"/>
      <c r="E320" s="72" t="s">
        <v>1144</v>
      </c>
      <c r="F320" s="265">
        <f>+J245</f>
        <v>147.22496599999999</v>
      </c>
      <c r="G320" s="265">
        <f>+J208</f>
        <v>431.180835</v>
      </c>
      <c r="H320" s="265">
        <f>+J300</f>
        <v>129.22790599999999</v>
      </c>
      <c r="I320" s="265">
        <f>+J272</f>
        <v>27.257594999999998</v>
      </c>
      <c r="J320" s="260"/>
      <c r="P320" s="11"/>
    </row>
    <row r="321" spans="3:16" x14ac:dyDescent="0.25">
      <c r="C321" s="39"/>
      <c r="E321" s="72" t="s">
        <v>806</v>
      </c>
      <c r="F321" s="123">
        <f>+J246</f>
        <v>4.7857142857142856</v>
      </c>
      <c r="G321" s="123">
        <f>+J209</f>
        <v>5.7272727272727275</v>
      </c>
      <c r="H321" s="123">
        <f>+J301</f>
        <v>6.166666666666667</v>
      </c>
      <c r="I321" s="123">
        <f>+J273</f>
        <v>7</v>
      </c>
      <c r="P321" s="11"/>
    </row>
    <row r="322" spans="3:16" x14ac:dyDescent="0.25">
      <c r="C322" s="39"/>
      <c r="E322" s="72" t="s">
        <v>807</v>
      </c>
      <c r="F322" s="269">
        <f>+J247</f>
        <v>0.8944650447718665</v>
      </c>
      <c r="G322" s="269">
        <f>+J210</f>
        <v>0.72265397101618822</v>
      </c>
      <c r="H322" s="269">
        <f>+J302</f>
        <v>1.0285079190742243</v>
      </c>
      <c r="I322" s="269">
        <f>+J274</f>
        <v>0.89193700916230367</v>
      </c>
      <c r="P322" s="11"/>
    </row>
    <row r="323" spans="3:16" x14ac:dyDescent="0.25">
      <c r="C323" s="39"/>
      <c r="E323" s="72"/>
      <c r="F323" s="104"/>
      <c r="G323" s="104"/>
      <c r="H323" s="104"/>
      <c r="I323" s="104"/>
      <c r="P323" s="11"/>
    </row>
    <row r="324" spans="3:16" x14ac:dyDescent="0.25">
      <c r="C324" s="39"/>
      <c r="E324" s="72" t="s">
        <v>803</v>
      </c>
      <c r="F324" s="269">
        <f>+J249</f>
        <v>0.8571428571428571</v>
      </c>
      <c r="G324" s="269">
        <f>+J212</f>
        <v>0.5</v>
      </c>
      <c r="H324" s="269">
        <f>+J304</f>
        <v>1</v>
      </c>
      <c r="I324" s="269">
        <f>+J276</f>
        <v>0.8</v>
      </c>
      <c r="P324" s="11"/>
    </row>
    <row r="325" spans="3:16" x14ac:dyDescent="0.25">
      <c r="C325" s="107"/>
      <c r="D325" s="52"/>
      <c r="E325" s="72" t="s">
        <v>804</v>
      </c>
      <c r="F325" s="108">
        <f>+J250</f>
        <v>1</v>
      </c>
      <c r="G325" s="108">
        <f>+J213</f>
        <v>0.47058823529411764</v>
      </c>
      <c r="H325" s="108">
        <f>+J305</f>
        <v>1</v>
      </c>
      <c r="I325" s="108">
        <f>+J277</f>
        <v>1</v>
      </c>
      <c r="P325" s="11"/>
    </row>
    <row r="326" spans="3:16" x14ac:dyDescent="0.25">
      <c r="C326" s="107"/>
      <c r="D326" s="52"/>
      <c r="E326" s="72" t="s">
        <v>805</v>
      </c>
      <c r="F326" s="108">
        <f>+J251</f>
        <v>0.66666666666666663</v>
      </c>
      <c r="G326" s="108">
        <f>+J214</f>
        <v>0.6</v>
      </c>
      <c r="H326" s="108">
        <f>+J306</f>
        <v>1</v>
      </c>
      <c r="I326" s="108">
        <f>+J278</f>
        <v>0.66700000000000004</v>
      </c>
      <c r="P326" s="11"/>
    </row>
    <row r="327" spans="3:16" x14ac:dyDescent="0.25">
      <c r="C327" s="39"/>
      <c r="E327" s="72"/>
      <c r="F327" s="104"/>
      <c r="G327" s="104"/>
      <c r="H327" s="104"/>
      <c r="I327" s="104"/>
      <c r="P327" s="11"/>
    </row>
    <row r="328" spans="3:16" x14ac:dyDescent="0.25">
      <c r="C328" s="39"/>
      <c r="E328" s="72" t="s">
        <v>1141</v>
      </c>
      <c r="F328" s="104">
        <f>+J253</f>
        <v>4</v>
      </c>
      <c r="G328" s="104">
        <f>+J216</f>
        <v>3</v>
      </c>
      <c r="H328" s="104">
        <f>+J308</f>
        <v>0</v>
      </c>
      <c r="I328" s="104">
        <f>+J280</f>
        <v>0</v>
      </c>
    </row>
    <row r="329" spans="3:16" x14ac:dyDescent="0.25">
      <c r="E329" s="106" t="s">
        <v>1143</v>
      </c>
      <c r="F329" s="269">
        <f>+J254</f>
        <v>0.2857142857142857</v>
      </c>
      <c r="G329" s="269">
        <f>+J217</f>
        <v>0.13636363636363635</v>
      </c>
      <c r="H329" s="269">
        <f>+J309</f>
        <v>0</v>
      </c>
      <c r="I329" s="269">
        <f>+J281</f>
        <v>0</v>
      </c>
    </row>
    <row r="330" spans="3:16" x14ac:dyDescent="0.25">
      <c r="C330" s="39"/>
      <c r="E330" s="72" t="s">
        <v>1142</v>
      </c>
      <c r="F330" s="11">
        <f>+J255</f>
        <v>1</v>
      </c>
      <c r="G330" s="11">
        <f>+J218</f>
        <v>0</v>
      </c>
      <c r="H330" s="104">
        <v>1</v>
      </c>
      <c r="I330" s="104">
        <f>+J282</f>
        <v>0</v>
      </c>
    </row>
    <row r="331" spans="3:16" x14ac:dyDescent="0.25">
      <c r="C331" s="39"/>
      <c r="E331" s="106" t="s">
        <v>1169</v>
      </c>
      <c r="F331" s="74">
        <f>+J256</f>
        <v>7.1428571428571425E-2</v>
      </c>
      <c r="G331" s="74">
        <f>+J219</f>
        <v>0</v>
      </c>
      <c r="H331" s="108">
        <f>+J311</f>
        <v>0.16666666666666666</v>
      </c>
      <c r="I331" s="108">
        <f>+J283</f>
        <v>0</v>
      </c>
    </row>
    <row r="332" spans="3:16" x14ac:dyDescent="0.25">
      <c r="C332" s="39"/>
    </row>
    <row r="333" spans="3:16" x14ac:dyDescent="0.25">
      <c r="C333" s="39"/>
    </row>
    <row r="334" spans="3:16" x14ac:dyDescent="0.25">
      <c r="C334" s="39"/>
    </row>
    <row r="335" spans="3:16" x14ac:dyDescent="0.25">
      <c r="C335" s="39"/>
    </row>
    <row r="336" spans="3:16" x14ac:dyDescent="0.25">
      <c r="C336" s="39"/>
    </row>
    <row r="337" spans="2:24" x14ac:dyDescent="0.25">
      <c r="C337" s="39"/>
    </row>
    <row r="338" spans="2:24" x14ac:dyDescent="0.25">
      <c r="C338" s="39"/>
    </row>
    <row r="339" spans="2:24" x14ac:dyDescent="0.25">
      <c r="C339" s="39"/>
    </row>
    <row r="340" spans="2:24" x14ac:dyDescent="0.25">
      <c r="C340" s="39"/>
    </row>
    <row r="341" spans="2:24" x14ac:dyDescent="0.25">
      <c r="C341" s="39"/>
    </row>
    <row r="342" spans="2:24" x14ac:dyDescent="0.25">
      <c r="C342" s="39"/>
    </row>
    <row r="343" spans="2:24" x14ac:dyDescent="0.25">
      <c r="C343" s="39"/>
    </row>
    <row r="344" spans="2:24" x14ac:dyDescent="0.25">
      <c r="C344" s="39"/>
    </row>
    <row r="345" spans="2:24" x14ac:dyDescent="0.25">
      <c r="C345" s="39"/>
    </row>
    <row r="346" spans="2:24" x14ac:dyDescent="0.25">
      <c r="B346" s="128"/>
      <c r="C346" s="129"/>
      <c r="D346" s="128"/>
      <c r="E346" s="128"/>
      <c r="F346" s="128"/>
      <c r="G346" s="128"/>
      <c r="H346" s="128"/>
      <c r="I346" s="128"/>
      <c r="J346" s="128"/>
      <c r="K346" s="128"/>
      <c r="L346" s="128"/>
      <c r="M346" s="128"/>
      <c r="N346" s="130"/>
      <c r="O346" s="128"/>
      <c r="P346" s="128"/>
      <c r="Q346" s="128"/>
      <c r="R346" s="128"/>
    </row>
    <row r="347" spans="2:24" x14ac:dyDescent="0.25">
      <c r="C347" s="39"/>
    </row>
    <row r="348" spans="2:24" x14ac:dyDescent="0.25">
      <c r="C348" s="39"/>
    </row>
    <row r="349" spans="2:24" x14ac:dyDescent="0.25">
      <c r="C349" s="39"/>
      <c r="D349" s="15"/>
      <c r="E349" s="24"/>
      <c r="F349" s="25"/>
      <c r="G349" s="46"/>
      <c r="H349" s="27"/>
      <c r="I349" s="27"/>
      <c r="J349" s="27"/>
      <c r="K349" s="26"/>
      <c r="L349" s="11"/>
      <c r="M349" s="62"/>
      <c r="P349" s="11"/>
      <c r="V349" s="54"/>
      <c r="W349" s="54"/>
      <c r="X349" s="54"/>
    </row>
    <row r="350" spans="2:24" x14ac:dyDescent="0.25">
      <c r="C350" s="39"/>
    </row>
    <row r="351" spans="2:24" x14ac:dyDescent="0.25">
      <c r="C351" s="39"/>
    </row>
    <row r="352" spans="2:24" x14ac:dyDescent="0.25">
      <c r="C352" s="39"/>
    </row>
    <row r="353" spans="2:45" x14ac:dyDescent="0.25">
      <c r="C353" s="39">
        <v>2019</v>
      </c>
      <c r="D353" s="62" t="s">
        <v>1436</v>
      </c>
      <c r="E353" s="63" t="s">
        <v>1437</v>
      </c>
      <c r="F353" s="64">
        <v>43529</v>
      </c>
      <c r="G353" s="65" t="s">
        <v>34</v>
      </c>
      <c r="H353" s="94">
        <v>42125550</v>
      </c>
      <c r="I353" s="94">
        <v>34053550</v>
      </c>
      <c r="J353" s="94"/>
      <c r="K353" s="153">
        <v>-0.19161767620838185</v>
      </c>
      <c r="L353" s="11" t="s">
        <v>465</v>
      </c>
      <c r="M353" s="15">
        <v>2</v>
      </c>
      <c r="N353" s="35" t="s">
        <v>93</v>
      </c>
      <c r="O353" s="15">
        <v>1</v>
      </c>
      <c r="P353" s="35" t="s">
        <v>458</v>
      </c>
      <c r="Q353" s="35"/>
      <c r="R353" s="15"/>
      <c r="S353" s="24"/>
      <c r="T353" s="62" t="s">
        <v>1438</v>
      </c>
      <c r="U353" s="62"/>
      <c r="V353" s="94">
        <v>35159386.5</v>
      </c>
      <c r="W353" s="199">
        <v>0.96854790114156286</v>
      </c>
      <c r="X353" s="15"/>
      <c r="Y353" s="200">
        <v>0.80838232379161812</v>
      </c>
      <c r="Z353" s="11" t="s">
        <v>465</v>
      </c>
      <c r="AA353" s="11"/>
      <c r="AB353" s="15"/>
      <c r="AC353" s="54">
        <v>42125550</v>
      </c>
      <c r="AD353" s="54">
        <v>34053550</v>
      </c>
      <c r="AE353" s="54">
        <v>8072000</v>
      </c>
      <c r="AG353" s="4"/>
      <c r="AH353" s="4"/>
      <c r="AI353" s="225"/>
      <c r="AJ353" s="226"/>
      <c r="AQ353" s="327" t="e">
        <v>#REF!</v>
      </c>
      <c r="AR353" s="157" t="e">
        <v>#REF!</v>
      </c>
    </row>
    <row r="354" spans="2:45" x14ac:dyDescent="0.25">
      <c r="C354" s="39">
        <v>2019</v>
      </c>
      <c r="D354" s="62" t="s">
        <v>1399</v>
      </c>
      <c r="E354" s="63" t="s">
        <v>1400</v>
      </c>
      <c r="F354" s="64">
        <v>43503</v>
      </c>
      <c r="G354" s="65" t="s">
        <v>1225</v>
      </c>
      <c r="H354" s="94">
        <v>1130000</v>
      </c>
      <c r="I354" s="94">
        <v>1686000</v>
      </c>
      <c r="J354" s="94"/>
      <c r="K354" s="153">
        <v>0.49203539823008852</v>
      </c>
      <c r="L354" s="11" t="s">
        <v>465</v>
      </c>
      <c r="M354" s="15">
        <v>2</v>
      </c>
      <c r="N354" s="35" t="s">
        <v>25</v>
      </c>
      <c r="O354" s="15">
        <v>1</v>
      </c>
      <c r="P354" s="35" t="s">
        <v>457</v>
      </c>
      <c r="Q354" s="35"/>
      <c r="R354" s="15"/>
      <c r="S354" s="24"/>
      <c r="T354" s="62" t="s">
        <v>784</v>
      </c>
      <c r="U354" s="62"/>
      <c r="V354" s="94">
        <v>1933500</v>
      </c>
      <c r="W354" s="199">
        <v>0.8719937936384794</v>
      </c>
      <c r="X354" s="15"/>
      <c r="Y354" s="200">
        <v>1.4920353982300885</v>
      </c>
      <c r="Z354" s="11" t="s">
        <v>465</v>
      </c>
      <c r="AA354" s="11"/>
      <c r="AB354" s="15"/>
      <c r="AC354" s="54">
        <v>1130000</v>
      </c>
      <c r="AD354" s="54">
        <v>1686000</v>
      </c>
      <c r="AE354" s="54">
        <v>-556000</v>
      </c>
      <c r="AG354" s="4"/>
      <c r="AH354" s="4"/>
      <c r="AI354" s="225"/>
      <c r="AJ354" s="226"/>
      <c r="AQ354" s="327" t="e">
        <v>#REF!</v>
      </c>
      <c r="AR354" s="157" t="e">
        <v>#REF!</v>
      </c>
    </row>
    <row r="355" spans="2:45" x14ac:dyDescent="0.25">
      <c r="C355" s="39">
        <v>2019</v>
      </c>
      <c r="D355" s="62" t="s">
        <v>1443</v>
      </c>
      <c r="E355" s="63" t="s">
        <v>1444</v>
      </c>
      <c r="F355" s="64">
        <v>43489</v>
      </c>
      <c r="G355" s="65" t="s">
        <v>34</v>
      </c>
      <c r="H355" s="94">
        <v>23450000</v>
      </c>
      <c r="I355" s="94">
        <v>25644000</v>
      </c>
      <c r="J355" s="94"/>
      <c r="K355" s="153">
        <v>9.3560767590618335E-2</v>
      </c>
      <c r="L355" s="11" t="s">
        <v>464</v>
      </c>
      <c r="M355" s="15">
        <v>2</v>
      </c>
      <c r="N355" s="35" t="s">
        <v>25</v>
      </c>
      <c r="O355" s="15">
        <v>1</v>
      </c>
      <c r="P355" s="35" t="s">
        <v>458</v>
      </c>
      <c r="Q355" s="35"/>
      <c r="R355" s="15"/>
      <c r="S355" s="24"/>
      <c r="T355" s="62" t="s">
        <v>784</v>
      </c>
      <c r="U355" s="62"/>
      <c r="V355" s="94">
        <v>28255558.5</v>
      </c>
      <c r="W355" s="199">
        <v>0.9075736372367228</v>
      </c>
      <c r="X355" s="15"/>
      <c r="Y355" s="200">
        <v>1.0935607675906183</v>
      </c>
      <c r="Z355" s="11" t="s">
        <v>465</v>
      </c>
      <c r="AA355" s="11"/>
      <c r="AB355" s="15"/>
      <c r="AC355" s="54">
        <v>23450000</v>
      </c>
      <c r="AD355" s="54">
        <v>25644000</v>
      </c>
      <c r="AE355" s="54">
        <v>-2194000</v>
      </c>
      <c r="AG355" s="4"/>
      <c r="AH355" s="4"/>
      <c r="AI355" s="225"/>
      <c r="AJ355" s="226"/>
      <c r="AQ355" s="327" t="e">
        <v>#REF!</v>
      </c>
      <c r="AR355" s="157" t="e">
        <v>#REF!</v>
      </c>
    </row>
    <row r="356" spans="2:45" x14ac:dyDescent="0.25">
      <c r="C356" s="39"/>
    </row>
    <row r="357" spans="2:45" x14ac:dyDescent="0.25">
      <c r="C357" s="39"/>
    </row>
    <row r="358" spans="2:45" x14ac:dyDescent="0.25">
      <c r="C358" s="39">
        <v>2019</v>
      </c>
      <c r="D358" s="62" t="s">
        <v>1483</v>
      </c>
      <c r="E358" s="63" t="s">
        <v>1484</v>
      </c>
      <c r="F358" s="64">
        <v>43767</v>
      </c>
      <c r="G358" s="65" t="s">
        <v>1225</v>
      </c>
      <c r="H358" s="94">
        <v>1196000</v>
      </c>
      <c r="I358" s="94">
        <v>1241000</v>
      </c>
      <c r="J358" s="94"/>
      <c r="K358" s="153">
        <v>3.7625418060200672E-2</v>
      </c>
      <c r="L358" s="11" t="s">
        <v>464</v>
      </c>
      <c r="M358" s="15">
        <v>3</v>
      </c>
      <c r="N358" s="35" t="s">
        <v>25</v>
      </c>
      <c r="O358" s="15">
        <v>4</v>
      </c>
      <c r="P358" s="35" t="s">
        <v>458</v>
      </c>
      <c r="Q358" s="35"/>
      <c r="R358" s="15"/>
      <c r="S358" s="24"/>
      <c r="T358" s="62" t="s">
        <v>1419</v>
      </c>
      <c r="U358" s="62"/>
      <c r="V358" s="94">
        <v>2354464</v>
      </c>
      <c r="W358" s="199">
        <v>0.52708387131848267</v>
      </c>
      <c r="X358" s="15"/>
      <c r="Y358" s="200">
        <v>1.0376254180602007</v>
      </c>
      <c r="Z358" s="11" t="s">
        <v>465</v>
      </c>
      <c r="AA358" s="11"/>
      <c r="AB358" s="15"/>
      <c r="AC358" s="54">
        <v>1196000</v>
      </c>
      <c r="AD358" s="54">
        <v>1241000</v>
      </c>
      <c r="AE358" s="54">
        <v>-45000</v>
      </c>
      <c r="AG358" s="4"/>
      <c r="AH358" s="4"/>
      <c r="AI358" s="225"/>
      <c r="AJ358" s="226"/>
      <c r="AQ358" s="327" t="e">
        <v>#REF!</v>
      </c>
      <c r="AR358" s="157" t="e">
        <v>#REF!</v>
      </c>
    </row>
    <row r="359" spans="2:45" x14ac:dyDescent="0.25">
      <c r="B359" s="203">
        <v>0.5</v>
      </c>
      <c r="C359" s="39">
        <v>2019</v>
      </c>
      <c r="D359" s="62" t="s">
        <v>1516</v>
      </c>
      <c r="E359" s="63" t="s">
        <v>1517</v>
      </c>
      <c r="F359" s="64">
        <v>43740</v>
      </c>
      <c r="G359" s="65" t="s">
        <v>1225</v>
      </c>
      <c r="H359" s="94">
        <v>1260000</v>
      </c>
      <c r="I359" s="94">
        <v>1350135</v>
      </c>
      <c r="J359" s="94"/>
      <c r="K359" s="153">
        <v>7.1535714285714286E-2</v>
      </c>
      <c r="L359" s="11" t="s">
        <v>464</v>
      </c>
      <c r="M359" s="15">
        <v>3</v>
      </c>
      <c r="N359" s="35" t="s">
        <v>226</v>
      </c>
      <c r="O359" s="15">
        <v>4</v>
      </c>
      <c r="P359" s="35" t="s">
        <v>457</v>
      </c>
      <c r="Q359" s="35"/>
      <c r="R359" s="15"/>
      <c r="S359" s="24"/>
      <c r="T359" s="62" t="s">
        <v>1405</v>
      </c>
      <c r="U359" s="62"/>
      <c r="V359" s="94">
        <v>1730878.3333333333</v>
      </c>
      <c r="W359" s="199">
        <v>0.78002882929379791</v>
      </c>
      <c r="X359" s="15"/>
      <c r="Y359" s="200">
        <v>1.0715357142857143</v>
      </c>
      <c r="Z359" s="11" t="s">
        <v>465</v>
      </c>
      <c r="AA359" s="11"/>
      <c r="AB359" s="15"/>
      <c r="AC359" s="54">
        <v>1260000</v>
      </c>
      <c r="AD359" s="54">
        <v>1350135</v>
      </c>
      <c r="AE359" s="54">
        <v>-90135</v>
      </c>
      <c r="AG359" s="4">
        <v>18089000</v>
      </c>
      <c r="AH359" s="4">
        <v>15433737</v>
      </c>
      <c r="AI359" s="204">
        <v>0.85321117806401681</v>
      </c>
      <c r="AJ359" s="1" t="s">
        <v>1240</v>
      </c>
      <c r="AK359" s="205">
        <v>920837479</v>
      </c>
      <c r="AL359" s="205">
        <v>736287302</v>
      </c>
      <c r="AM359" s="206">
        <v>0.79958442047730771</v>
      </c>
      <c r="AN359" s="207" t="s">
        <v>1475</v>
      </c>
      <c r="AO359" s="208"/>
      <c r="AQ359" s="327" t="e">
        <v>#REF!</v>
      </c>
      <c r="AR359" s="157" t="e">
        <v>#REF!</v>
      </c>
    </row>
    <row r="360" spans="2:45" x14ac:dyDescent="0.25">
      <c r="C360" s="39">
        <v>2019</v>
      </c>
      <c r="D360" s="62" t="s">
        <v>1422</v>
      </c>
      <c r="E360" s="63" t="s">
        <v>1423</v>
      </c>
      <c r="F360" s="64">
        <v>43621</v>
      </c>
      <c r="G360" s="65" t="s">
        <v>34</v>
      </c>
      <c r="H360" s="94">
        <v>8360000</v>
      </c>
      <c r="I360" s="94">
        <v>8947585</v>
      </c>
      <c r="J360" s="94"/>
      <c r="K360" s="153">
        <v>7.0285287081339715E-2</v>
      </c>
      <c r="L360" s="11" t="s">
        <v>464</v>
      </c>
      <c r="M360" s="15">
        <v>3</v>
      </c>
      <c r="N360" s="35" t="s">
        <v>93</v>
      </c>
      <c r="O360" s="15">
        <v>2</v>
      </c>
      <c r="P360" s="35" t="s">
        <v>458</v>
      </c>
      <c r="Q360" s="35"/>
      <c r="R360" s="15"/>
      <c r="S360" s="24"/>
      <c r="T360" s="62" t="s">
        <v>784</v>
      </c>
      <c r="U360" s="62"/>
      <c r="V360" s="94">
        <v>10801931</v>
      </c>
      <c r="W360" s="199">
        <v>0.82833198990069457</v>
      </c>
      <c r="X360" s="15"/>
      <c r="Y360" s="200">
        <v>1.0702852870813397</v>
      </c>
      <c r="Z360" s="11" t="s">
        <v>465</v>
      </c>
      <c r="AA360" s="11"/>
      <c r="AB360" s="15"/>
      <c r="AC360" s="54">
        <v>8360000</v>
      </c>
      <c r="AD360" s="54">
        <v>8947585</v>
      </c>
      <c r="AE360" s="54">
        <v>-587585</v>
      </c>
      <c r="AG360" s="4"/>
      <c r="AH360" s="4"/>
      <c r="AI360" s="225"/>
      <c r="AJ360" s="226"/>
      <c r="AQ360" s="327" t="e">
        <v>#REF!</v>
      </c>
      <c r="AR360" s="157" t="e">
        <v>#REF!</v>
      </c>
      <c r="AS360" s="104"/>
    </row>
    <row r="361" spans="2:45" x14ac:dyDescent="0.25">
      <c r="B361" s="203">
        <v>0.75</v>
      </c>
      <c r="C361" s="39">
        <v>2019</v>
      </c>
      <c r="D361" s="62" t="s">
        <v>1432</v>
      </c>
      <c r="E361" s="63" t="s">
        <v>1433</v>
      </c>
      <c r="F361" s="64">
        <v>43565</v>
      </c>
      <c r="G361" s="65" t="s">
        <v>34</v>
      </c>
      <c r="H361" s="94">
        <v>1090000</v>
      </c>
      <c r="I361" s="94">
        <v>1142000</v>
      </c>
      <c r="J361" s="94"/>
      <c r="K361" s="153">
        <v>4.7706422018348627E-2</v>
      </c>
      <c r="L361" s="11" t="s">
        <v>464</v>
      </c>
      <c r="M361" s="15">
        <v>3</v>
      </c>
      <c r="N361" s="35" t="s">
        <v>25</v>
      </c>
      <c r="O361" s="15">
        <v>2</v>
      </c>
      <c r="P361" s="35" t="s">
        <v>459</v>
      </c>
      <c r="Q361" s="35"/>
      <c r="R361" s="15"/>
      <c r="S361" s="24"/>
      <c r="T361" s="62" t="s">
        <v>447</v>
      </c>
      <c r="U361" s="62"/>
      <c r="V361" s="94">
        <v>1292823.3333333333</v>
      </c>
      <c r="W361" s="199">
        <v>0.88333801731094996</v>
      </c>
      <c r="X361" s="15"/>
      <c r="Y361" s="200">
        <v>1.0477064220183485</v>
      </c>
      <c r="Z361" s="11" t="s">
        <v>465</v>
      </c>
      <c r="AA361" s="11"/>
      <c r="AB361" s="15"/>
      <c r="AC361" s="54">
        <v>1090000</v>
      </c>
      <c r="AD361" s="54">
        <v>1142000</v>
      </c>
      <c r="AE361" s="54">
        <v>-52000</v>
      </c>
      <c r="AG361" s="4">
        <v>140586000</v>
      </c>
      <c r="AH361" s="4">
        <v>143985773</v>
      </c>
      <c r="AI361" s="204">
        <v>1.0241828702715776</v>
      </c>
      <c r="AJ361" s="1" t="s">
        <v>1240</v>
      </c>
      <c r="AK361" s="205">
        <v>361221500</v>
      </c>
      <c r="AL361" s="205">
        <v>328069838</v>
      </c>
      <c r="AM361" s="211">
        <v>0.90822345292292961</v>
      </c>
      <c r="AN361" s="212"/>
      <c r="AO361" s="213"/>
      <c r="AQ361" s="327" t="e">
        <v>#REF!</v>
      </c>
      <c r="AR361" s="157" t="e">
        <v>#REF!</v>
      </c>
      <c r="AS361" s="104"/>
    </row>
    <row r="362" spans="2:45" x14ac:dyDescent="0.25">
      <c r="C362" s="39">
        <v>2019</v>
      </c>
      <c r="D362" s="62" t="s">
        <v>1441</v>
      </c>
      <c r="E362" s="63" t="s">
        <v>1442</v>
      </c>
      <c r="F362" s="64">
        <v>43496</v>
      </c>
      <c r="G362" s="65" t="s">
        <v>34</v>
      </c>
      <c r="H362" s="94">
        <v>92495500</v>
      </c>
      <c r="I362" s="94">
        <v>63348000</v>
      </c>
      <c r="J362" s="94"/>
      <c r="K362" s="153">
        <v>-0.31512343843754559</v>
      </c>
      <c r="L362" s="11" t="s">
        <v>465</v>
      </c>
      <c r="M362" s="15">
        <v>3</v>
      </c>
      <c r="N362" s="35" t="s">
        <v>226</v>
      </c>
      <c r="O362" s="15">
        <v>1</v>
      </c>
      <c r="P362" s="35" t="s">
        <v>457</v>
      </c>
      <c r="Q362" s="35"/>
      <c r="R362" s="15"/>
      <c r="S362" s="24"/>
      <c r="T362" s="62" t="s">
        <v>1226</v>
      </c>
      <c r="U362" s="62"/>
      <c r="V362" s="94">
        <v>68785236.666666672</v>
      </c>
      <c r="W362" s="199">
        <v>0.92095343521146078</v>
      </c>
      <c r="X362" s="15"/>
      <c r="Y362" s="200">
        <v>0.68487656156245436</v>
      </c>
      <c r="Z362" s="11" t="s">
        <v>465</v>
      </c>
      <c r="AA362" s="11"/>
      <c r="AB362" s="15"/>
      <c r="AC362" s="54">
        <v>92495500</v>
      </c>
      <c r="AD362" s="54">
        <v>63348000</v>
      </c>
      <c r="AE362" s="54">
        <v>29147500</v>
      </c>
      <c r="AG362" s="4"/>
      <c r="AH362" s="4"/>
      <c r="AI362" s="225"/>
      <c r="AJ362" s="226"/>
      <c r="AQ362" s="327" t="e">
        <v>#REF!</v>
      </c>
      <c r="AR362" s="157" t="e">
        <v>#REF!</v>
      </c>
    </row>
    <row r="363" spans="2:45" x14ac:dyDescent="0.25">
      <c r="C363" s="39"/>
      <c r="L363" s="11"/>
    </row>
    <row r="364" spans="2:45" x14ac:dyDescent="0.25">
      <c r="C364" s="39"/>
      <c r="L364" s="11"/>
    </row>
    <row r="365" spans="2:45" x14ac:dyDescent="0.25">
      <c r="C365" s="39">
        <v>2019</v>
      </c>
      <c r="D365" s="62" t="s">
        <v>1481</v>
      </c>
      <c r="E365" s="63" t="s">
        <v>1482</v>
      </c>
      <c r="F365" s="64">
        <v>43775</v>
      </c>
      <c r="G365" s="65" t="s">
        <v>1225</v>
      </c>
      <c r="H365" s="94">
        <v>1200000</v>
      </c>
      <c r="I365" s="94">
        <v>1452000</v>
      </c>
      <c r="J365" s="94"/>
      <c r="K365" s="153">
        <v>0.21</v>
      </c>
      <c r="L365" s="11" t="s">
        <v>465</v>
      </c>
      <c r="M365" s="15">
        <v>4</v>
      </c>
      <c r="N365" s="35" t="s">
        <v>25</v>
      </c>
      <c r="O365" s="15">
        <v>4</v>
      </c>
      <c r="P365" s="35" t="s">
        <v>457</v>
      </c>
      <c r="Q365" s="35"/>
      <c r="R365" s="15"/>
      <c r="S365" s="24"/>
      <c r="T365" s="62" t="s">
        <v>1226</v>
      </c>
      <c r="U365" s="62"/>
      <c r="V365" s="94">
        <v>2500075.75</v>
      </c>
      <c r="W365" s="199">
        <v>0.58078240229321054</v>
      </c>
      <c r="X365" s="15"/>
      <c r="Y365" s="200">
        <v>1.21</v>
      </c>
      <c r="Z365" s="11" t="s">
        <v>465</v>
      </c>
      <c r="AA365" s="11"/>
      <c r="AB365" s="15"/>
      <c r="AC365" s="54">
        <v>1200000</v>
      </c>
      <c r="AD365" s="54">
        <v>1452000</v>
      </c>
      <c r="AE365" s="54">
        <v>-252000</v>
      </c>
      <c r="AG365" s="4"/>
      <c r="AH365" s="4"/>
      <c r="AI365" s="225"/>
      <c r="AJ365" s="226"/>
      <c r="AQ365" s="327" t="e">
        <v>#REF!</v>
      </c>
      <c r="AR365" s="157" t="e">
        <v>#REF!</v>
      </c>
    </row>
    <row r="366" spans="2:45" x14ac:dyDescent="0.25">
      <c r="C366" s="39">
        <v>2019</v>
      </c>
      <c r="D366" s="62" t="s">
        <v>1507</v>
      </c>
      <c r="E366" s="63" t="s">
        <v>1508</v>
      </c>
      <c r="F366" s="64">
        <v>43713</v>
      </c>
      <c r="G366" s="65" t="s">
        <v>1225</v>
      </c>
      <c r="H366" s="94">
        <v>2030000</v>
      </c>
      <c r="I366" s="94">
        <v>1887810</v>
      </c>
      <c r="J366" s="94"/>
      <c r="K366" s="153">
        <v>-7.0044334975369452E-2</v>
      </c>
      <c r="L366" s="11" t="s">
        <v>464</v>
      </c>
      <c r="M366" s="15">
        <v>4</v>
      </c>
      <c r="N366" s="35" t="s">
        <v>93</v>
      </c>
      <c r="O366" s="15">
        <v>3</v>
      </c>
      <c r="P366" s="35" t="s">
        <v>458</v>
      </c>
      <c r="Q366" s="35"/>
      <c r="R366" s="15"/>
      <c r="S366" s="24"/>
      <c r="T366" s="62" t="s">
        <v>1419</v>
      </c>
      <c r="U366" s="62"/>
      <c r="V366" s="94">
        <v>2554425</v>
      </c>
      <c r="W366" s="199">
        <v>0.73903520361725239</v>
      </c>
      <c r="X366" s="15"/>
      <c r="Y366" s="200">
        <v>0.92995566502463056</v>
      </c>
      <c r="Z366" s="11" t="s">
        <v>465</v>
      </c>
      <c r="AA366" s="11"/>
      <c r="AB366" s="15"/>
      <c r="AC366" s="54">
        <v>2030000</v>
      </c>
      <c r="AD366" s="54">
        <v>1887810</v>
      </c>
      <c r="AE366" s="54">
        <v>142190</v>
      </c>
      <c r="AG366" s="4"/>
      <c r="AH366" s="4"/>
      <c r="AI366" s="225"/>
      <c r="AJ366" s="226"/>
      <c r="AQ366" s="327" t="e">
        <v>#REF!</v>
      </c>
      <c r="AR366" s="157" t="e">
        <v>#REF!</v>
      </c>
    </row>
    <row r="367" spans="2:45" x14ac:dyDescent="0.25">
      <c r="C367" s="39">
        <v>2019</v>
      </c>
      <c r="D367" s="62" t="s">
        <v>1509</v>
      </c>
      <c r="E367" s="63" t="s">
        <v>1510</v>
      </c>
      <c r="F367" s="64">
        <v>43699</v>
      </c>
      <c r="G367" s="65" t="s">
        <v>34</v>
      </c>
      <c r="H367" s="94">
        <v>1980000</v>
      </c>
      <c r="I367" s="94">
        <v>1993000</v>
      </c>
      <c r="J367" s="94"/>
      <c r="K367" s="153">
        <v>6.5656565656565654E-3</v>
      </c>
      <c r="L367" s="11" t="s">
        <v>464</v>
      </c>
      <c r="M367" s="15">
        <v>4</v>
      </c>
      <c r="N367" s="35" t="s">
        <v>93</v>
      </c>
      <c r="O367" s="15">
        <v>3</v>
      </c>
      <c r="P367" s="35" t="s">
        <v>458</v>
      </c>
      <c r="Q367" s="35"/>
      <c r="R367" s="15"/>
      <c r="S367" s="24"/>
      <c r="T367" s="62" t="s">
        <v>784</v>
      </c>
      <c r="U367" s="62"/>
      <c r="V367" s="94">
        <v>3089812.5</v>
      </c>
      <c r="W367" s="199">
        <v>0.64502295851285474</v>
      </c>
      <c r="X367" s="15"/>
      <c r="Y367" s="200">
        <v>1.0065656565656567</v>
      </c>
      <c r="Z367" s="11" t="s">
        <v>465</v>
      </c>
      <c r="AA367" s="11"/>
      <c r="AB367" s="15"/>
      <c r="AC367" s="54">
        <v>1980000</v>
      </c>
      <c r="AD367" s="54">
        <v>1993000</v>
      </c>
      <c r="AE367" s="54">
        <v>-13000</v>
      </c>
      <c r="AG367" s="4"/>
      <c r="AH367" s="4"/>
      <c r="AI367" s="225"/>
      <c r="AJ367" s="226"/>
      <c r="AQ367" s="327" t="e">
        <v>#REF!</v>
      </c>
      <c r="AR367" s="157" t="e">
        <v>#REF!</v>
      </c>
    </row>
    <row r="368" spans="2:45" x14ac:dyDescent="0.25">
      <c r="C368" s="39">
        <v>2019</v>
      </c>
      <c r="D368" s="62" t="s">
        <v>1493</v>
      </c>
      <c r="E368" s="63" t="s">
        <v>1494</v>
      </c>
      <c r="F368" s="64">
        <v>43664</v>
      </c>
      <c r="G368" s="65" t="s">
        <v>34</v>
      </c>
      <c r="H368" s="94">
        <v>5660000</v>
      </c>
      <c r="I368" s="94">
        <v>3930000</v>
      </c>
      <c r="J368" s="94"/>
      <c r="K368" s="153">
        <v>-0.30565371024734983</v>
      </c>
      <c r="L368" s="11" t="s">
        <v>464</v>
      </c>
      <c r="M368" s="15">
        <v>4</v>
      </c>
      <c r="N368" s="35" t="s">
        <v>25</v>
      </c>
      <c r="O368" s="15">
        <v>3</v>
      </c>
      <c r="P368" s="35" t="s">
        <v>492</v>
      </c>
      <c r="Q368" s="35"/>
      <c r="R368" s="15"/>
      <c r="S368" s="24"/>
      <c r="T368" s="62" t="s">
        <v>1405</v>
      </c>
      <c r="U368" s="62"/>
      <c r="V368" s="94">
        <v>5605196.25</v>
      </c>
      <c r="W368" s="199">
        <v>0.70113512974679526</v>
      </c>
      <c r="X368" s="15"/>
      <c r="Y368" s="200">
        <v>0.69434628975265023</v>
      </c>
      <c r="Z368" s="11" t="s">
        <v>465</v>
      </c>
      <c r="AA368" s="11"/>
      <c r="AB368" s="15"/>
      <c r="AC368" s="54">
        <v>5660000</v>
      </c>
      <c r="AD368" s="54">
        <v>3930000</v>
      </c>
      <c r="AE368" s="54">
        <v>1730000</v>
      </c>
      <c r="AG368" s="4"/>
      <c r="AH368" s="4"/>
      <c r="AI368" s="225"/>
      <c r="AJ368" s="226"/>
      <c r="AQ368" s="327" t="e">
        <v>#REF!</v>
      </c>
      <c r="AR368" s="157" t="e">
        <v>#REF!</v>
      </c>
    </row>
    <row r="369" spans="3:45" x14ac:dyDescent="0.25">
      <c r="C369" s="39">
        <v>2019</v>
      </c>
      <c r="D369" s="62" t="s">
        <v>1495</v>
      </c>
      <c r="E369" s="63" t="s">
        <v>1496</v>
      </c>
      <c r="F369" s="64">
        <v>43662</v>
      </c>
      <c r="G369" s="65" t="s">
        <v>1225</v>
      </c>
      <c r="H369" s="94">
        <v>2060000</v>
      </c>
      <c r="I369" s="94">
        <v>2899873</v>
      </c>
      <c r="J369" s="94"/>
      <c r="K369" s="153">
        <v>0.40770533980582524</v>
      </c>
      <c r="L369" s="11" t="s">
        <v>465</v>
      </c>
      <c r="M369" s="15">
        <v>4</v>
      </c>
      <c r="N369" s="35" t="s">
        <v>25</v>
      </c>
      <c r="O369" s="15">
        <v>3</v>
      </c>
      <c r="P369" s="35" t="s">
        <v>457</v>
      </c>
      <c r="Q369" s="35"/>
      <c r="R369" s="15"/>
      <c r="S369" s="24"/>
      <c r="T369" s="62" t="s">
        <v>1405</v>
      </c>
      <c r="U369" s="62"/>
      <c r="V369" s="94">
        <v>4043908.25</v>
      </c>
      <c r="W369" s="199">
        <v>0.71709663541451518</v>
      </c>
      <c r="X369" s="15"/>
      <c r="Y369" s="200">
        <v>1.4077053398058252</v>
      </c>
      <c r="Z369" s="11" t="s">
        <v>465</v>
      </c>
      <c r="AA369" s="11"/>
      <c r="AB369" s="15"/>
      <c r="AC369" s="54">
        <v>2060000</v>
      </c>
      <c r="AD369" s="54">
        <v>2899873</v>
      </c>
      <c r="AE369" s="54">
        <v>-839873</v>
      </c>
      <c r="AG369" s="4"/>
      <c r="AH369" s="4"/>
      <c r="AI369" s="225"/>
      <c r="AJ369" s="226"/>
      <c r="AQ369" s="327" t="e">
        <v>#REF!</v>
      </c>
      <c r="AR369" s="157" t="e">
        <v>#REF!</v>
      </c>
    </row>
    <row r="370" spans="3:45" x14ac:dyDescent="0.25">
      <c r="C370" s="39">
        <v>2019</v>
      </c>
      <c r="D370" s="62" t="s">
        <v>1428</v>
      </c>
      <c r="E370" s="63" t="s">
        <v>1429</v>
      </c>
      <c r="F370" s="64">
        <v>43571</v>
      </c>
      <c r="G370" s="65" t="s">
        <v>34</v>
      </c>
      <c r="H370" s="94">
        <v>1200000</v>
      </c>
      <c r="I370" s="94">
        <v>1738750</v>
      </c>
      <c r="J370" s="94"/>
      <c r="K370" s="153">
        <v>0.44895833333333335</v>
      </c>
      <c r="L370" s="11" t="s">
        <v>465</v>
      </c>
      <c r="M370" s="15">
        <v>4</v>
      </c>
      <c r="N370" s="35" t="s">
        <v>25</v>
      </c>
      <c r="O370" s="15">
        <v>2</v>
      </c>
      <c r="P370" s="35" t="s">
        <v>457</v>
      </c>
      <c r="Q370" s="35"/>
      <c r="R370" s="15"/>
      <c r="S370" s="24"/>
      <c r="T370" s="62" t="s">
        <v>784</v>
      </c>
      <c r="U370" s="62"/>
      <c r="V370" s="94">
        <v>2084917.5</v>
      </c>
      <c r="W370" s="199">
        <v>0.83396585236586096</v>
      </c>
      <c r="X370" s="15"/>
      <c r="Y370" s="200">
        <v>1.4489583333333333</v>
      </c>
      <c r="Z370" s="11" t="s">
        <v>465</v>
      </c>
      <c r="AA370" s="11"/>
      <c r="AB370" s="15"/>
      <c r="AC370" s="54">
        <v>1200000</v>
      </c>
      <c r="AD370" s="54">
        <v>1738750</v>
      </c>
      <c r="AE370" s="54">
        <v>-538750</v>
      </c>
      <c r="AG370" s="4"/>
      <c r="AH370" s="4"/>
      <c r="AI370" s="225"/>
      <c r="AJ370" s="226"/>
      <c r="AQ370" s="327" t="e">
        <v>#REF!</v>
      </c>
      <c r="AR370" s="157" t="e">
        <v>#REF!</v>
      </c>
      <c r="AS370" s="104"/>
    </row>
    <row r="371" spans="3:45" x14ac:dyDescent="0.25">
      <c r="C371" s="39">
        <v>2019</v>
      </c>
      <c r="D371" s="62" t="s">
        <v>1394</v>
      </c>
      <c r="E371" s="63" t="s">
        <v>1395</v>
      </c>
      <c r="F371" s="64">
        <v>43567</v>
      </c>
      <c r="G371" s="65" t="s">
        <v>1225</v>
      </c>
      <c r="H371" s="94">
        <v>1216000</v>
      </c>
      <c r="I371" s="94">
        <v>1300529</v>
      </c>
      <c r="J371" s="94"/>
      <c r="K371" s="153">
        <v>6.9513980263157901E-2</v>
      </c>
      <c r="L371" s="11" t="s">
        <v>464</v>
      </c>
      <c r="M371" s="15">
        <v>4</v>
      </c>
      <c r="N371" s="35" t="s">
        <v>25</v>
      </c>
      <c r="O371" s="15">
        <v>2</v>
      </c>
      <c r="P371" s="35" t="s">
        <v>459</v>
      </c>
      <c r="Q371" s="35"/>
      <c r="R371" s="15"/>
      <c r="S371" s="24"/>
      <c r="T371" s="62" t="s">
        <v>447</v>
      </c>
      <c r="U371" s="62"/>
      <c r="V371" s="94">
        <v>2569805</v>
      </c>
      <c r="W371" s="199">
        <v>0.50608081157908869</v>
      </c>
      <c r="X371" s="15"/>
      <c r="Y371" s="200">
        <v>1.0695139802631579</v>
      </c>
      <c r="Z371" s="11" t="s">
        <v>465</v>
      </c>
      <c r="AA371" s="11"/>
      <c r="AB371" s="15"/>
      <c r="AC371" s="54">
        <v>1216000</v>
      </c>
      <c r="AD371" s="54">
        <v>1300529</v>
      </c>
      <c r="AE371" s="54">
        <v>-84529</v>
      </c>
      <c r="AG371" s="4"/>
      <c r="AH371" s="4"/>
      <c r="AI371" s="225"/>
      <c r="AJ371" s="226"/>
      <c r="AQ371" s="327" t="e">
        <v>#REF!</v>
      </c>
      <c r="AR371" s="157" t="e">
        <v>#REF!</v>
      </c>
      <c r="AS371" s="104"/>
    </row>
    <row r="372" spans="3:45" x14ac:dyDescent="0.25">
      <c r="C372" s="39">
        <v>2019</v>
      </c>
      <c r="D372" s="62" t="s">
        <v>1497</v>
      </c>
      <c r="E372" s="63" t="s">
        <v>1396</v>
      </c>
      <c r="F372" s="64">
        <v>43545</v>
      </c>
      <c r="G372" s="65" t="s">
        <v>1225</v>
      </c>
      <c r="H372" s="94">
        <v>1151000</v>
      </c>
      <c r="I372" s="94">
        <v>1762891</v>
      </c>
      <c r="J372" s="94"/>
      <c r="K372" s="153">
        <v>0.53161685490877497</v>
      </c>
      <c r="L372" s="11" t="s">
        <v>465</v>
      </c>
      <c r="M372" s="15">
        <v>4</v>
      </c>
      <c r="N372" s="35" t="s">
        <v>25</v>
      </c>
      <c r="O372" s="15">
        <v>1</v>
      </c>
      <c r="P372" s="35" t="s">
        <v>457</v>
      </c>
      <c r="Q372" s="35"/>
      <c r="R372" s="15"/>
      <c r="S372" s="24"/>
      <c r="T372" s="62" t="s">
        <v>1226</v>
      </c>
      <c r="U372" s="62"/>
      <c r="V372" s="94">
        <v>2446945.25</v>
      </c>
      <c r="W372" s="199">
        <v>0.72044562500938669</v>
      </c>
      <c r="X372" s="15"/>
      <c r="Y372" s="200">
        <v>1.531616854908775</v>
      </c>
      <c r="Z372" s="11" t="s">
        <v>465</v>
      </c>
      <c r="AA372" s="11"/>
      <c r="AB372" s="15"/>
      <c r="AC372" s="54">
        <v>1151000</v>
      </c>
      <c r="AD372" s="54">
        <v>1762891</v>
      </c>
      <c r="AE372" s="54">
        <v>-611891</v>
      </c>
      <c r="AG372" s="4"/>
      <c r="AH372" s="4"/>
      <c r="AI372" s="225"/>
      <c r="AJ372" s="226"/>
      <c r="AQ372" s="327" t="e">
        <v>#REF!</v>
      </c>
      <c r="AR372" s="157" t="e">
        <v>#REF!</v>
      </c>
    </row>
    <row r="373" spans="3:45" x14ac:dyDescent="0.25">
      <c r="C373" s="39">
        <v>2019</v>
      </c>
      <c r="D373" s="62" t="s">
        <v>1397</v>
      </c>
      <c r="E373" s="63" t="s">
        <v>1398</v>
      </c>
      <c r="F373" s="64">
        <v>43531</v>
      </c>
      <c r="G373" s="65" t="s">
        <v>1225</v>
      </c>
      <c r="H373" s="94">
        <v>2460000</v>
      </c>
      <c r="I373" s="94">
        <v>2542676</v>
      </c>
      <c r="J373" s="94"/>
      <c r="K373" s="153">
        <v>3.3608130081300813E-2</v>
      </c>
      <c r="L373" s="11" t="s">
        <v>464</v>
      </c>
      <c r="M373" s="15">
        <v>4</v>
      </c>
      <c r="N373" s="35" t="s">
        <v>93</v>
      </c>
      <c r="O373" s="15">
        <v>1</v>
      </c>
      <c r="P373" s="35" t="s">
        <v>458</v>
      </c>
      <c r="Q373" s="35"/>
      <c r="R373" s="15"/>
      <c r="S373" s="24"/>
      <c r="T373" s="62" t="s">
        <v>784</v>
      </c>
      <c r="U373" s="62"/>
      <c r="V373" s="94">
        <v>2777662.25</v>
      </c>
      <c r="W373" s="199">
        <v>0.91540143154553799</v>
      </c>
      <c r="X373" s="15"/>
      <c r="Y373" s="200">
        <v>1.0336081300813007</v>
      </c>
      <c r="Z373" s="11" t="s">
        <v>465</v>
      </c>
      <c r="AA373" s="11"/>
      <c r="AB373" s="15"/>
      <c r="AC373" s="54">
        <v>2460000</v>
      </c>
      <c r="AD373" s="54">
        <v>2542676</v>
      </c>
      <c r="AE373" s="54">
        <v>-82676</v>
      </c>
      <c r="AG373" s="4"/>
      <c r="AH373" s="4"/>
      <c r="AI373" s="225"/>
      <c r="AJ373" s="226"/>
      <c r="AQ373" s="327" t="e">
        <v>#REF!</v>
      </c>
      <c r="AR373" s="157" t="e">
        <v>#REF!</v>
      </c>
    </row>
    <row r="374" spans="3:45" x14ac:dyDescent="0.25">
      <c r="C374" s="39">
        <v>2019</v>
      </c>
      <c r="D374" s="62" t="s">
        <v>1413</v>
      </c>
      <c r="E374" s="63" t="s">
        <v>1414</v>
      </c>
      <c r="F374" s="64">
        <v>43501</v>
      </c>
      <c r="G374" s="65" t="s">
        <v>190</v>
      </c>
      <c r="H374" s="94">
        <v>13910000</v>
      </c>
      <c r="I374" s="94">
        <v>11745510</v>
      </c>
      <c r="J374" s="94"/>
      <c r="K374" s="153">
        <v>-0.15560675772825305</v>
      </c>
      <c r="L374" s="11" t="s">
        <v>464</v>
      </c>
      <c r="M374" s="15">
        <v>4</v>
      </c>
      <c r="N374" s="35" t="s">
        <v>25</v>
      </c>
      <c r="O374" s="15">
        <v>1</v>
      </c>
      <c r="P374" s="35" t="s">
        <v>492</v>
      </c>
      <c r="Q374" s="35"/>
      <c r="R374" s="15"/>
      <c r="S374" s="24"/>
      <c r="T374" s="62" t="s">
        <v>816</v>
      </c>
      <c r="U374" s="62"/>
      <c r="V374" s="94">
        <v>15613590</v>
      </c>
      <c r="W374" s="199">
        <v>0.75226197178227427</v>
      </c>
      <c r="X374" s="15"/>
      <c r="Y374" s="200">
        <v>0.84439324227174695</v>
      </c>
      <c r="Z374" s="11" t="s">
        <v>465</v>
      </c>
      <c r="AA374" s="11"/>
      <c r="AB374" s="15"/>
      <c r="AC374" s="54">
        <v>13910000</v>
      </c>
      <c r="AD374" s="54">
        <v>11745510</v>
      </c>
      <c r="AE374" s="54">
        <v>2164490</v>
      </c>
      <c r="AG374" s="4"/>
      <c r="AH374" s="4"/>
      <c r="AI374" s="225"/>
      <c r="AJ374" s="226"/>
      <c r="AQ374" s="327" t="e">
        <v>#REF!</v>
      </c>
      <c r="AR374" s="157" t="e">
        <v>#REF!</v>
      </c>
    </row>
    <row r="375" spans="3:45" s="52" customFormat="1" x14ac:dyDescent="0.25">
      <c r="C375" s="101"/>
      <c r="L375" s="104"/>
      <c r="N375" s="104"/>
    </row>
    <row r="376" spans="3:45" s="52" customFormat="1" x14ac:dyDescent="0.25">
      <c r="C376" s="101"/>
      <c r="L376" s="104"/>
      <c r="N376" s="104"/>
    </row>
    <row r="377" spans="3:45" x14ac:dyDescent="0.25">
      <c r="C377" s="39">
        <v>2019</v>
      </c>
      <c r="D377" s="62" t="s">
        <v>1479</v>
      </c>
      <c r="E377" s="63" t="s">
        <v>1480</v>
      </c>
      <c r="F377" s="64">
        <v>43817</v>
      </c>
      <c r="G377" s="65" t="s">
        <v>1225</v>
      </c>
      <c r="H377" s="94">
        <v>700000</v>
      </c>
      <c r="I377" s="94">
        <v>784102</v>
      </c>
      <c r="J377" s="94"/>
      <c r="K377" s="153">
        <v>0.12014571428571429</v>
      </c>
      <c r="L377" s="11" t="s">
        <v>465</v>
      </c>
      <c r="M377" s="15">
        <v>5</v>
      </c>
      <c r="N377" s="35" t="s">
        <v>25</v>
      </c>
      <c r="O377" s="15">
        <v>4</v>
      </c>
      <c r="P377" s="35" t="s">
        <v>457</v>
      </c>
      <c r="Q377" s="35"/>
      <c r="R377" s="15"/>
      <c r="S377" s="24"/>
      <c r="T377" s="62" t="s">
        <v>1226</v>
      </c>
      <c r="U377" s="62"/>
      <c r="V377" s="94">
        <v>999185.2</v>
      </c>
      <c r="W377" s="199">
        <v>0.78474140729866704</v>
      </c>
      <c r="X377" s="15"/>
      <c r="Y377" s="200">
        <v>1.1201457142857143</v>
      </c>
      <c r="Z377" s="11" t="s">
        <v>465</v>
      </c>
      <c r="AA377" s="11"/>
      <c r="AB377" s="15"/>
      <c r="AC377" s="54">
        <v>700000</v>
      </c>
      <c r="AD377" s="54">
        <v>784102</v>
      </c>
      <c r="AE377" s="54">
        <v>-84102</v>
      </c>
      <c r="AG377" s="4"/>
      <c r="AH377" s="4"/>
      <c r="AI377" s="225"/>
      <c r="AJ377" s="226"/>
      <c r="AQ377" s="327" t="e">
        <v>#REF!</v>
      </c>
      <c r="AR377" s="157" t="e">
        <v>#REF!</v>
      </c>
    </row>
    <row r="378" spans="3:45" x14ac:dyDescent="0.25">
      <c r="C378" s="39">
        <v>2019</v>
      </c>
      <c r="D378" s="62" t="s">
        <v>1500</v>
      </c>
      <c r="E378" s="63" t="s">
        <v>1501</v>
      </c>
      <c r="F378" s="64">
        <v>43774</v>
      </c>
      <c r="G378" s="65" t="s">
        <v>1225</v>
      </c>
      <c r="H378" s="94">
        <v>300000</v>
      </c>
      <c r="I378" s="94">
        <v>350400</v>
      </c>
      <c r="J378" s="94"/>
      <c r="K378" s="153">
        <v>0.16800000000000001</v>
      </c>
      <c r="L378" s="11" t="s">
        <v>465</v>
      </c>
      <c r="M378" s="15">
        <v>5</v>
      </c>
      <c r="N378" s="35" t="s">
        <v>93</v>
      </c>
      <c r="O378" s="15">
        <v>4</v>
      </c>
      <c r="P378" s="35" t="s">
        <v>457</v>
      </c>
      <c r="Q378" s="35"/>
      <c r="R378" s="15"/>
      <c r="S378" s="24"/>
      <c r="T378" s="62" t="s">
        <v>1405</v>
      </c>
      <c r="U378" s="62"/>
      <c r="V378" s="94">
        <v>481113.59999999998</v>
      </c>
      <c r="W378" s="199">
        <v>0.72831032005746676</v>
      </c>
      <c r="X378" s="15"/>
      <c r="Y378" s="200">
        <v>1.1679999999999999</v>
      </c>
      <c r="Z378" s="11" t="s">
        <v>465</v>
      </c>
      <c r="AA378" s="11"/>
      <c r="AB378" s="15"/>
      <c r="AC378" s="54">
        <v>300000</v>
      </c>
      <c r="AD378" s="54">
        <v>350400</v>
      </c>
      <c r="AE378" s="54">
        <v>-50400</v>
      </c>
      <c r="AG378" s="4"/>
      <c r="AH378" s="4"/>
      <c r="AI378" s="225"/>
      <c r="AJ378" s="226"/>
      <c r="AQ378" s="327" t="e">
        <v>#REF!</v>
      </c>
      <c r="AR378" s="157" t="e">
        <v>#REF!</v>
      </c>
    </row>
    <row r="379" spans="3:45" x14ac:dyDescent="0.25">
      <c r="C379" s="39">
        <v>2019</v>
      </c>
      <c r="D379" s="62" t="s">
        <v>1485</v>
      </c>
      <c r="E379" s="63" t="s">
        <v>1486</v>
      </c>
      <c r="F379" s="64">
        <v>43720</v>
      </c>
      <c r="G379" s="65" t="s">
        <v>1225</v>
      </c>
      <c r="H379" s="94">
        <v>1360000</v>
      </c>
      <c r="I379" s="94">
        <v>1843700</v>
      </c>
      <c r="J379" s="94"/>
      <c r="K379" s="153">
        <v>0.35566176470588234</v>
      </c>
      <c r="L379" s="11" t="s">
        <v>465</v>
      </c>
      <c r="M379" s="15">
        <v>5</v>
      </c>
      <c r="N379" s="35" t="s">
        <v>25</v>
      </c>
      <c r="O379" s="15">
        <v>3</v>
      </c>
      <c r="P379" s="35" t="s">
        <v>457</v>
      </c>
      <c r="Q379" s="35"/>
      <c r="R379" s="15"/>
      <c r="S379" s="24"/>
      <c r="T379" s="62" t="s">
        <v>816</v>
      </c>
      <c r="U379" s="62"/>
      <c r="V379" s="94">
        <v>2763542</v>
      </c>
      <c r="W379" s="199">
        <v>0.66715106917137501</v>
      </c>
      <c r="X379" s="15"/>
      <c r="Y379" s="200">
        <v>1.3556617647058824</v>
      </c>
      <c r="Z379" s="11" t="s">
        <v>465</v>
      </c>
      <c r="AA379" s="11"/>
      <c r="AB379" s="15"/>
      <c r="AC379" s="54">
        <v>1360000</v>
      </c>
      <c r="AD379" s="54">
        <v>1843700</v>
      </c>
      <c r="AE379" s="54">
        <v>-483700</v>
      </c>
      <c r="AG379" s="4"/>
      <c r="AH379" s="4"/>
      <c r="AI379" s="225"/>
      <c r="AJ379" s="226"/>
      <c r="AQ379" s="327" t="e">
        <v>#REF!</v>
      </c>
      <c r="AR379" s="157" t="e">
        <v>#REF!</v>
      </c>
    </row>
    <row r="380" spans="3:45" x14ac:dyDescent="0.25">
      <c r="C380" s="39">
        <v>2019</v>
      </c>
      <c r="D380" s="62" t="s">
        <v>1489</v>
      </c>
      <c r="E380" s="63" t="s">
        <v>1490</v>
      </c>
      <c r="F380" s="64">
        <v>43700</v>
      </c>
      <c r="G380" s="65" t="s">
        <v>34</v>
      </c>
      <c r="H380" s="94">
        <v>55300000</v>
      </c>
      <c r="I380" s="94">
        <v>43999000</v>
      </c>
      <c r="J380" s="94"/>
      <c r="K380" s="153">
        <v>-0.20435804701627486</v>
      </c>
      <c r="L380" s="11" t="s">
        <v>464</v>
      </c>
      <c r="M380" s="15">
        <v>5</v>
      </c>
      <c r="N380" s="35" t="s">
        <v>25</v>
      </c>
      <c r="O380" s="15">
        <v>3</v>
      </c>
      <c r="P380" s="35" t="s">
        <v>458</v>
      </c>
      <c r="Q380" s="35"/>
      <c r="R380" s="15"/>
      <c r="S380" s="24"/>
      <c r="T380" s="62" t="s">
        <v>447</v>
      </c>
      <c r="U380" s="62"/>
      <c r="V380" s="94">
        <v>50531448</v>
      </c>
      <c r="W380" s="199">
        <v>0.87072509776486118</v>
      </c>
      <c r="X380" s="15"/>
      <c r="Y380" s="200">
        <v>0.79564195298372509</v>
      </c>
      <c r="Z380" s="11" t="s">
        <v>465</v>
      </c>
      <c r="AA380" s="11"/>
      <c r="AB380" s="15"/>
      <c r="AC380" s="54">
        <v>55300000</v>
      </c>
      <c r="AD380" s="54">
        <v>43999000</v>
      </c>
      <c r="AE380" s="54">
        <v>11301000</v>
      </c>
      <c r="AG380" s="4"/>
      <c r="AH380" s="4"/>
      <c r="AI380" s="225"/>
      <c r="AJ380" s="226"/>
      <c r="AQ380" s="327" t="e">
        <v>#REF!</v>
      </c>
      <c r="AR380" s="157" t="e">
        <v>#REF!</v>
      </c>
    </row>
    <row r="381" spans="3:45" x14ac:dyDescent="0.25">
      <c r="C381" s="39">
        <v>2019</v>
      </c>
      <c r="D381" s="62" t="s">
        <v>1523</v>
      </c>
      <c r="E381" s="63" t="s">
        <v>1524</v>
      </c>
      <c r="F381" s="64">
        <v>43669</v>
      </c>
      <c r="G381" s="65" t="s">
        <v>34</v>
      </c>
      <c r="H381" s="94">
        <v>249010000</v>
      </c>
      <c r="I381" s="94">
        <v>135022488</v>
      </c>
      <c r="J381" s="94"/>
      <c r="K381" s="153">
        <v>-0.45776278864302639</v>
      </c>
      <c r="L381" s="11" t="s">
        <v>465</v>
      </c>
      <c r="M381" s="15">
        <v>5</v>
      </c>
      <c r="N381" s="35" t="s">
        <v>226</v>
      </c>
      <c r="O381" s="15">
        <v>3</v>
      </c>
      <c r="P381" s="35" t="s">
        <v>457</v>
      </c>
      <c r="Q381" s="35"/>
      <c r="R381" s="15"/>
      <c r="S381" s="24" t="s">
        <v>932</v>
      </c>
      <c r="T381" s="62" t="s">
        <v>816</v>
      </c>
      <c r="U381" s="62"/>
      <c r="V381" s="94">
        <v>164986247.40000001</v>
      </c>
      <c r="W381" s="199">
        <v>0.8183863208467641</v>
      </c>
      <c r="X381" s="15"/>
      <c r="Y381" s="200">
        <v>0.54223721135697367</v>
      </c>
      <c r="Z381" s="11" t="s">
        <v>465</v>
      </c>
      <c r="AA381" s="11"/>
      <c r="AB381" s="15"/>
      <c r="AC381" s="54">
        <v>249010000</v>
      </c>
      <c r="AD381" s="54">
        <v>135022488</v>
      </c>
      <c r="AE381" s="54">
        <v>113987512</v>
      </c>
      <c r="AG381" s="4"/>
      <c r="AH381" s="4"/>
      <c r="AI381" s="225"/>
      <c r="AJ381" s="226"/>
      <c r="AQ381" s="327" t="e">
        <v>#REF!</v>
      </c>
      <c r="AR381" s="157" t="e">
        <v>#REF!</v>
      </c>
    </row>
    <row r="382" spans="3:45" x14ac:dyDescent="0.25">
      <c r="C382" s="39">
        <v>2019</v>
      </c>
      <c r="D382" s="62" t="s">
        <v>1406</v>
      </c>
      <c r="E382" s="63" t="s">
        <v>1407</v>
      </c>
      <c r="F382" s="64">
        <v>43587</v>
      </c>
      <c r="G382" s="65" t="s">
        <v>190</v>
      </c>
      <c r="H382" s="94">
        <v>38200000</v>
      </c>
      <c r="I382" s="94">
        <v>40811000</v>
      </c>
      <c r="J382" s="94"/>
      <c r="K382" s="153">
        <v>6.8350785340314135E-2</v>
      </c>
      <c r="L382" s="11" t="s">
        <v>464</v>
      </c>
      <c r="M382" s="15">
        <v>5</v>
      </c>
      <c r="N382" s="35" t="s">
        <v>25</v>
      </c>
      <c r="O382" s="15">
        <v>2</v>
      </c>
      <c r="P382" s="35" t="s">
        <v>459</v>
      </c>
      <c r="Q382" s="35"/>
      <c r="R382" s="15"/>
      <c r="S382" s="24"/>
      <c r="T382" s="62" t="s">
        <v>447</v>
      </c>
      <c r="U382" s="62"/>
      <c r="V382" s="94">
        <v>42801714</v>
      </c>
      <c r="W382" s="199">
        <v>0.95348985323344759</v>
      </c>
      <c r="X382" s="15"/>
      <c r="Y382" s="200">
        <v>1.0683507853403142</v>
      </c>
      <c r="Z382" s="11" t="s">
        <v>465</v>
      </c>
      <c r="AA382" s="11"/>
      <c r="AB382" s="15"/>
      <c r="AC382" s="54">
        <v>38200000</v>
      </c>
      <c r="AD382" s="54">
        <v>40811000</v>
      </c>
      <c r="AE382" s="54">
        <v>-2611000</v>
      </c>
      <c r="AG382" s="4"/>
      <c r="AH382" s="4"/>
      <c r="AI382" s="225"/>
      <c r="AJ382" s="226"/>
      <c r="AQ382" s="327" t="e">
        <v>#REF!</v>
      </c>
      <c r="AR382" s="157" t="e">
        <v>#REF!</v>
      </c>
      <c r="AS382" s="104"/>
    </row>
    <row r="383" spans="3:45" x14ac:dyDescent="0.25">
      <c r="C383" s="39">
        <v>2019</v>
      </c>
      <c r="D383" s="62" t="s">
        <v>1434</v>
      </c>
      <c r="E383" s="63" t="s">
        <v>1435</v>
      </c>
      <c r="F383" s="64">
        <v>43543</v>
      </c>
      <c r="G383" s="65" t="s">
        <v>34</v>
      </c>
      <c r="H383" s="94">
        <v>2390000</v>
      </c>
      <c r="I383" s="94">
        <v>2374684</v>
      </c>
      <c r="J383" s="94"/>
      <c r="K383" s="153">
        <v>-6.4083682008368205E-3</v>
      </c>
      <c r="L383" s="11" t="s">
        <v>464</v>
      </c>
      <c r="M383" s="15">
        <v>5</v>
      </c>
      <c r="N383" s="35" t="s">
        <v>93</v>
      </c>
      <c r="O383" s="15">
        <v>1</v>
      </c>
      <c r="P383" s="35" t="s">
        <v>458</v>
      </c>
      <c r="Q383" s="35"/>
      <c r="R383" s="15"/>
      <c r="S383" s="24"/>
      <c r="T383" s="62" t="s">
        <v>447</v>
      </c>
      <c r="U383" s="62"/>
      <c r="V383" s="94">
        <v>3202726.8</v>
      </c>
      <c r="W383" s="199">
        <v>0.7414569360084039</v>
      </c>
      <c r="X383" s="15"/>
      <c r="Y383" s="200">
        <v>0.99359163179916321</v>
      </c>
      <c r="Z383" s="11" t="s">
        <v>465</v>
      </c>
      <c r="AA383" s="11"/>
      <c r="AB383" s="15"/>
      <c r="AC383" s="54">
        <v>2390000</v>
      </c>
      <c r="AD383" s="54">
        <v>2374684</v>
      </c>
      <c r="AE383" s="54">
        <v>15316</v>
      </c>
      <c r="AG383" s="4"/>
      <c r="AH383" s="4"/>
      <c r="AI383" s="225"/>
      <c r="AJ383" s="226"/>
      <c r="AQ383" s="327" t="e">
        <v>#REF!</v>
      </c>
      <c r="AR383" s="157" t="e">
        <v>#REF!</v>
      </c>
    </row>
    <row r="384" spans="3:45" x14ac:dyDescent="0.25">
      <c r="C384" s="39">
        <v>2019</v>
      </c>
      <c r="D384" s="62" t="s">
        <v>1401</v>
      </c>
      <c r="E384" s="63" t="s">
        <v>1402</v>
      </c>
      <c r="F384" s="64">
        <v>43503</v>
      </c>
      <c r="G384" s="65" t="s">
        <v>1225</v>
      </c>
      <c r="H384" s="94">
        <v>684000</v>
      </c>
      <c r="I384" s="94">
        <v>615000</v>
      </c>
      <c r="J384" s="94"/>
      <c r="K384" s="153">
        <v>-0.10087719298245613</v>
      </c>
      <c r="L384" s="11" t="s">
        <v>464</v>
      </c>
      <c r="M384" s="15">
        <v>5</v>
      </c>
      <c r="N384" s="35" t="s">
        <v>93</v>
      </c>
      <c r="O384" s="15">
        <v>1</v>
      </c>
      <c r="P384" s="35" t="s">
        <v>458</v>
      </c>
      <c r="Q384" s="35"/>
      <c r="R384" s="15"/>
      <c r="S384" s="24"/>
      <c r="T384" s="62" t="s">
        <v>784</v>
      </c>
      <c r="U384" s="62"/>
      <c r="V384" s="94">
        <v>924493.4</v>
      </c>
      <c r="W384" s="199">
        <v>0.66522919471355879</v>
      </c>
      <c r="X384" s="15"/>
      <c r="Y384" s="200">
        <v>0.89912280701754388</v>
      </c>
      <c r="Z384" s="11" t="s">
        <v>465</v>
      </c>
      <c r="AA384" s="11"/>
      <c r="AB384" s="15"/>
      <c r="AC384" s="54">
        <v>684000</v>
      </c>
      <c r="AD384" s="54">
        <v>615000</v>
      </c>
      <c r="AE384" s="54">
        <v>69000</v>
      </c>
      <c r="AG384" s="4"/>
      <c r="AH384" s="4"/>
      <c r="AI384" s="225"/>
      <c r="AJ384" s="226"/>
      <c r="AQ384" s="327" t="e">
        <v>#REF!</v>
      </c>
      <c r="AR384" s="157" t="e">
        <v>#REF!</v>
      </c>
    </row>
    <row r="385" spans="2:45" s="52" customFormat="1" x14ac:dyDescent="0.25">
      <c r="C385" s="101"/>
      <c r="L385" s="104"/>
      <c r="N385" s="104"/>
    </row>
    <row r="386" spans="2:45" s="52" customFormat="1" x14ac:dyDescent="0.25">
      <c r="C386" s="101"/>
      <c r="L386" s="104"/>
      <c r="N386" s="104"/>
    </row>
    <row r="387" spans="2:45" x14ac:dyDescent="0.25">
      <c r="C387" s="39">
        <v>2019</v>
      </c>
      <c r="D387" s="62" t="s">
        <v>1513</v>
      </c>
      <c r="E387" s="63" t="s">
        <v>1514</v>
      </c>
      <c r="F387" s="64">
        <v>43818</v>
      </c>
      <c r="G387" s="65" t="s">
        <v>1225</v>
      </c>
      <c r="H387" s="94">
        <v>1600000</v>
      </c>
      <c r="I387" s="94">
        <v>1065100</v>
      </c>
      <c r="J387" s="94"/>
      <c r="K387" s="153">
        <v>-0.33431250000000001</v>
      </c>
      <c r="L387" s="11" t="s">
        <v>464</v>
      </c>
      <c r="M387" s="15">
        <v>6</v>
      </c>
      <c r="N387" s="35" t="s">
        <v>226</v>
      </c>
      <c r="O387" s="15">
        <v>4</v>
      </c>
      <c r="P387" s="35" t="s">
        <v>457</v>
      </c>
      <c r="Q387" s="35"/>
      <c r="R387" s="15"/>
      <c r="S387" s="24"/>
      <c r="T387" s="62" t="s">
        <v>1515</v>
      </c>
      <c r="U387" s="62"/>
      <c r="V387" s="94">
        <v>1575316.6666666667</v>
      </c>
      <c r="W387" s="199">
        <v>0.6761180291793184</v>
      </c>
      <c r="X387" s="15"/>
      <c r="Y387" s="200">
        <v>0.66568749999999999</v>
      </c>
      <c r="Z387" s="11" t="s">
        <v>465</v>
      </c>
      <c r="AA387" s="11"/>
      <c r="AB387" s="15"/>
      <c r="AC387" s="54">
        <v>1600000</v>
      </c>
      <c r="AD387" s="54">
        <v>1065100</v>
      </c>
      <c r="AE387" s="54">
        <v>534900</v>
      </c>
      <c r="AG387" s="4"/>
      <c r="AH387" s="4"/>
      <c r="AI387" s="225"/>
      <c r="AJ387" s="226"/>
      <c r="AQ387" s="327" t="e">
        <v>#REF!</v>
      </c>
      <c r="AR387" s="157" t="e">
        <v>#REF!</v>
      </c>
    </row>
    <row r="388" spans="2:45" x14ac:dyDescent="0.25">
      <c r="C388" s="39">
        <v>2019</v>
      </c>
      <c r="D388" s="62" t="s">
        <v>1487</v>
      </c>
      <c r="E388" s="63" t="s">
        <v>1488</v>
      </c>
      <c r="F388" s="64">
        <v>43704</v>
      </c>
      <c r="G388" s="65" t="s">
        <v>1225</v>
      </c>
      <c r="H388" s="94">
        <v>1260000</v>
      </c>
      <c r="I388" s="94">
        <v>1201422</v>
      </c>
      <c r="J388" s="94"/>
      <c r="K388" s="153">
        <v>-4.6490476190476193E-2</v>
      </c>
      <c r="L388" s="11" t="s">
        <v>464</v>
      </c>
      <c r="M388" s="15">
        <v>6</v>
      </c>
      <c r="N388" s="35" t="s">
        <v>25</v>
      </c>
      <c r="O388" s="15">
        <v>3</v>
      </c>
      <c r="P388" s="35" t="s">
        <v>492</v>
      </c>
      <c r="Q388" s="35"/>
      <c r="R388" s="15"/>
      <c r="S388" s="24"/>
      <c r="T388" s="62" t="s">
        <v>1419</v>
      </c>
      <c r="U388" s="62"/>
      <c r="V388" s="94">
        <v>2091721.1666666667</v>
      </c>
      <c r="W388" s="199">
        <v>0.57437005426233112</v>
      </c>
      <c r="X388" s="15"/>
      <c r="Y388" s="200">
        <v>0.95350952380952381</v>
      </c>
      <c r="Z388" s="11" t="s">
        <v>465</v>
      </c>
      <c r="AA388" s="11"/>
      <c r="AB388" s="15"/>
      <c r="AC388" s="54">
        <v>1260000</v>
      </c>
      <c r="AD388" s="54">
        <v>1201422</v>
      </c>
      <c r="AE388" s="54">
        <v>58578</v>
      </c>
      <c r="AG388" s="4"/>
      <c r="AH388" s="4"/>
      <c r="AI388" s="225"/>
      <c r="AJ388" s="226"/>
      <c r="AQ388" s="327" t="e">
        <v>#REF!</v>
      </c>
      <c r="AR388" s="157" t="e">
        <v>#REF!</v>
      </c>
    </row>
    <row r="389" spans="2:45" x14ac:dyDescent="0.25">
      <c r="C389" s="39">
        <v>2019</v>
      </c>
      <c r="D389" s="62" t="s">
        <v>1520</v>
      </c>
      <c r="E389" s="63" t="s">
        <v>1521</v>
      </c>
      <c r="F389" s="64">
        <v>43699</v>
      </c>
      <c r="G389" s="65" t="s">
        <v>34</v>
      </c>
      <c r="H389" s="94">
        <v>194071979</v>
      </c>
      <c r="I389" s="94">
        <v>171330900</v>
      </c>
      <c r="J389" s="94"/>
      <c r="K389" s="153">
        <v>-0.11717858042762577</v>
      </c>
      <c r="L389" s="11" t="s">
        <v>464</v>
      </c>
      <c r="M389" s="15">
        <v>6</v>
      </c>
      <c r="N389" s="35" t="s">
        <v>226</v>
      </c>
      <c r="O389" s="15">
        <v>3</v>
      </c>
      <c r="P389" s="35" t="s">
        <v>457</v>
      </c>
      <c r="Q389" s="35"/>
      <c r="R389" s="15"/>
      <c r="S389" s="24" t="s">
        <v>1476</v>
      </c>
      <c r="T389" s="62" t="s">
        <v>1226</v>
      </c>
      <c r="U389" s="62"/>
      <c r="V389" s="94">
        <v>182690985.33333334</v>
      </c>
      <c r="W389" s="199">
        <v>0.93781803019669518</v>
      </c>
      <c r="X389" s="15"/>
      <c r="Y389" s="200">
        <v>0.88282141957237426</v>
      </c>
      <c r="Z389" s="11" t="s">
        <v>465</v>
      </c>
      <c r="AA389" s="11"/>
      <c r="AB389" s="15"/>
      <c r="AC389" s="54">
        <v>194071979</v>
      </c>
      <c r="AD389" s="54">
        <v>171330900</v>
      </c>
      <c r="AE389" s="54">
        <v>22741079</v>
      </c>
      <c r="AG389" s="4"/>
      <c r="AH389" s="4"/>
      <c r="AI389" s="225"/>
      <c r="AJ389" s="226"/>
      <c r="AQ389" s="327" t="e">
        <v>#REF!</v>
      </c>
      <c r="AR389" s="157" t="e">
        <v>#REF!</v>
      </c>
    </row>
    <row r="390" spans="2:45" x14ac:dyDescent="0.25">
      <c r="B390" s="203">
        <v>0.7857142857142857</v>
      </c>
      <c r="C390" s="39">
        <v>2019</v>
      </c>
      <c r="D390" s="62" t="s">
        <v>1511</v>
      </c>
      <c r="E390" s="63" t="s">
        <v>1512</v>
      </c>
      <c r="F390" s="64">
        <v>43655</v>
      </c>
      <c r="G390" s="65" t="s">
        <v>1225</v>
      </c>
      <c r="H390" s="94">
        <v>400000</v>
      </c>
      <c r="I390" s="94">
        <v>396784</v>
      </c>
      <c r="J390" s="94"/>
      <c r="K390" s="153">
        <v>-8.0400000000000003E-3</v>
      </c>
      <c r="L390" s="11" t="s">
        <v>464</v>
      </c>
      <c r="M390" s="15">
        <v>6</v>
      </c>
      <c r="N390" s="35" t="s">
        <v>93</v>
      </c>
      <c r="O390" s="15">
        <v>3</v>
      </c>
      <c r="P390" s="35" t="s">
        <v>457</v>
      </c>
      <c r="Q390" s="35"/>
      <c r="R390" s="15"/>
      <c r="S390" s="24"/>
      <c r="T390" s="62" t="s">
        <v>447</v>
      </c>
      <c r="U390" s="62"/>
      <c r="V390" s="94">
        <v>586062</v>
      </c>
      <c r="W390" s="199">
        <v>0.67703417044613023</v>
      </c>
      <c r="X390" s="15"/>
      <c r="Y390" s="200">
        <v>0.99195999999999995</v>
      </c>
      <c r="Z390" s="11" t="s">
        <v>465</v>
      </c>
      <c r="AA390" s="11"/>
      <c r="AB390" s="15"/>
      <c r="AC390" s="54">
        <v>400000</v>
      </c>
      <c r="AD390" s="54">
        <v>396784</v>
      </c>
      <c r="AE390" s="54">
        <v>3216</v>
      </c>
      <c r="AG390" s="4">
        <v>541526979</v>
      </c>
      <c r="AH390" s="4">
        <v>392783727</v>
      </c>
      <c r="AI390" s="204">
        <v>0.7253262390090448</v>
      </c>
      <c r="AJ390" s="1" t="s">
        <v>1240</v>
      </c>
      <c r="AK390" s="205">
        <v>902748479</v>
      </c>
      <c r="AL390" s="205">
        <v>720853565</v>
      </c>
      <c r="AM390" s="206">
        <v>0.79850986378676581</v>
      </c>
      <c r="AN390" s="207" t="s">
        <v>1475</v>
      </c>
      <c r="AO390" s="208"/>
      <c r="AQ390" s="327" t="e">
        <v>#REF!</v>
      </c>
      <c r="AR390" s="157" t="e">
        <v>#REF!</v>
      </c>
      <c r="AS390" s="104"/>
    </row>
    <row r="391" spans="2:45" x14ac:dyDescent="0.25">
      <c r="C391" s="39">
        <v>2019</v>
      </c>
      <c r="D391" s="62" t="s">
        <v>1417</v>
      </c>
      <c r="E391" s="63" t="s">
        <v>1418</v>
      </c>
      <c r="F391" s="64">
        <v>43628</v>
      </c>
      <c r="G391" s="65" t="s">
        <v>34</v>
      </c>
      <c r="H391" s="94">
        <v>3250000</v>
      </c>
      <c r="I391" s="94">
        <v>3845000</v>
      </c>
      <c r="J391" s="94"/>
      <c r="K391" s="153">
        <v>0.18307692307692308</v>
      </c>
      <c r="L391" s="11" t="s">
        <v>465</v>
      </c>
      <c r="M391" s="15">
        <v>6</v>
      </c>
      <c r="N391" s="35" t="s">
        <v>25</v>
      </c>
      <c r="O391" s="15">
        <v>2</v>
      </c>
      <c r="P391" s="35" t="s">
        <v>457</v>
      </c>
      <c r="Q391" s="35"/>
      <c r="R391" s="15"/>
      <c r="S391" s="24"/>
      <c r="T391" s="62" t="s">
        <v>1419</v>
      </c>
      <c r="U391" s="62"/>
      <c r="V391" s="94">
        <v>5595333.333333333</v>
      </c>
      <c r="W391" s="199">
        <v>0.6871797926843799</v>
      </c>
      <c r="X391" s="15"/>
      <c r="Y391" s="200">
        <v>1.1830769230769231</v>
      </c>
      <c r="Z391" s="11" t="s">
        <v>465</v>
      </c>
      <c r="AA391" s="11"/>
      <c r="AB391" s="15"/>
      <c r="AC391" s="54">
        <v>3250000</v>
      </c>
      <c r="AD391" s="54">
        <v>3845000</v>
      </c>
      <c r="AE391" s="54">
        <v>-595000</v>
      </c>
      <c r="AG391" s="4"/>
      <c r="AH391" s="4"/>
      <c r="AI391" s="225"/>
      <c r="AJ391" s="226"/>
      <c r="AQ391" s="327" t="e">
        <v>#REF!</v>
      </c>
      <c r="AR391" s="157" t="e">
        <v>#REF!</v>
      </c>
      <c r="AS391" s="104"/>
    </row>
    <row r="392" spans="2:45" x14ac:dyDescent="0.25">
      <c r="C392" s="39">
        <v>2019</v>
      </c>
      <c r="D392" s="62" t="s">
        <v>1426</v>
      </c>
      <c r="E392" s="63" t="s">
        <v>1427</v>
      </c>
      <c r="F392" s="64">
        <v>43585</v>
      </c>
      <c r="G392" s="65" t="s">
        <v>34</v>
      </c>
      <c r="H392" s="94">
        <v>6950000</v>
      </c>
      <c r="I392" s="94">
        <v>8720200</v>
      </c>
      <c r="J392" s="94"/>
      <c r="K392" s="153">
        <v>0.25470503597122301</v>
      </c>
      <c r="L392" s="11" t="s">
        <v>465</v>
      </c>
      <c r="M392" s="15">
        <v>6</v>
      </c>
      <c r="N392" s="35" t="s">
        <v>93</v>
      </c>
      <c r="O392" s="15">
        <v>2</v>
      </c>
      <c r="P392" s="35" t="s">
        <v>458</v>
      </c>
      <c r="Q392" s="35"/>
      <c r="R392" s="15"/>
      <c r="S392" s="24"/>
      <c r="T392" s="62" t="s">
        <v>1419</v>
      </c>
      <c r="U392" s="62"/>
      <c r="V392" s="94">
        <v>9982779.833333334</v>
      </c>
      <c r="W392" s="199">
        <v>0.87352422327121004</v>
      </c>
      <c r="X392" s="15"/>
      <c r="Y392" s="200">
        <v>1.2547050359712231</v>
      </c>
      <c r="Z392" s="11" t="s">
        <v>465</v>
      </c>
      <c r="AA392" s="11"/>
      <c r="AB392" s="15"/>
      <c r="AC392" s="54">
        <v>6950000</v>
      </c>
      <c r="AD392" s="54">
        <v>8720200</v>
      </c>
      <c r="AE392" s="54">
        <v>-1770200</v>
      </c>
      <c r="AG392" s="4"/>
      <c r="AH392" s="4"/>
      <c r="AI392" s="225"/>
      <c r="AJ392" s="226"/>
      <c r="AQ392" s="327" t="e">
        <v>#REF!</v>
      </c>
      <c r="AR392" s="157" t="e">
        <v>#REF!</v>
      </c>
      <c r="AS392" s="104"/>
    </row>
    <row r="393" spans="2:45" x14ac:dyDescent="0.25">
      <c r="C393" s="39">
        <v>2019</v>
      </c>
      <c r="D393" s="62" t="s">
        <v>1412</v>
      </c>
      <c r="E393" s="63" t="s">
        <v>1317</v>
      </c>
      <c r="F393" s="64">
        <v>43516</v>
      </c>
      <c r="G393" s="65" t="s">
        <v>190</v>
      </c>
      <c r="H393" s="94">
        <v>1880000</v>
      </c>
      <c r="I393" s="94">
        <v>1101828</v>
      </c>
      <c r="J393" s="94"/>
      <c r="K393" s="153">
        <v>-0.41392127659574468</v>
      </c>
      <c r="L393" s="11" t="s">
        <v>464</v>
      </c>
      <c r="M393" s="15">
        <v>6</v>
      </c>
      <c r="N393" s="35" t="s">
        <v>226</v>
      </c>
      <c r="O393" s="15">
        <v>1</v>
      </c>
      <c r="P393" s="35" t="s">
        <v>457</v>
      </c>
      <c r="Q393" s="35"/>
      <c r="R393" s="15"/>
      <c r="S393" s="24"/>
      <c r="T393" s="62" t="s">
        <v>1405</v>
      </c>
      <c r="U393" s="62"/>
      <c r="V393" s="94">
        <v>3114163.5</v>
      </c>
      <c r="W393" s="199">
        <v>0.35381186633264439</v>
      </c>
      <c r="X393" s="15"/>
      <c r="Y393" s="200">
        <v>0.58607872340425526</v>
      </c>
      <c r="Z393" s="11" t="s">
        <v>465</v>
      </c>
      <c r="AA393" s="11"/>
      <c r="AB393" s="15"/>
      <c r="AC393" s="54">
        <v>1880000</v>
      </c>
      <c r="AD393" s="54">
        <v>1101828</v>
      </c>
      <c r="AE393" s="54">
        <v>778172</v>
      </c>
      <c r="AG393" s="4"/>
      <c r="AH393" s="4"/>
      <c r="AI393" s="225"/>
      <c r="AJ393" s="226"/>
      <c r="AQ393" s="327" t="e">
        <v>#REF!</v>
      </c>
      <c r="AR393" s="157" t="e">
        <v>#REF!</v>
      </c>
    </row>
    <row r="394" spans="2:45" x14ac:dyDescent="0.25">
      <c r="C394" s="39">
        <v>2019</v>
      </c>
      <c r="D394" s="62" t="s">
        <v>1445</v>
      </c>
      <c r="E394" s="63" t="s">
        <v>1446</v>
      </c>
      <c r="F394" s="64">
        <v>43488</v>
      </c>
      <c r="G394" s="65" t="s">
        <v>34</v>
      </c>
      <c r="H394" s="94">
        <v>28219450</v>
      </c>
      <c r="I394" s="94">
        <v>27620150</v>
      </c>
      <c r="J394" s="94"/>
      <c r="K394" s="153">
        <v>-2.1237125457795953E-2</v>
      </c>
      <c r="L394" s="11" t="s">
        <v>464</v>
      </c>
      <c r="M394" s="15">
        <v>6</v>
      </c>
      <c r="N394" s="35" t="s">
        <v>226</v>
      </c>
      <c r="O394" s="15">
        <v>1</v>
      </c>
      <c r="P394" s="35" t="s">
        <v>457</v>
      </c>
      <c r="Q394" s="35"/>
      <c r="R394" s="15"/>
      <c r="S394" s="24"/>
      <c r="T394" s="62" t="s">
        <v>1226</v>
      </c>
      <c r="U394" s="62"/>
      <c r="V394" s="94">
        <v>38331440.5</v>
      </c>
      <c r="W394" s="199">
        <v>0.72056123223441082</v>
      </c>
      <c r="X394" s="15"/>
      <c r="Y394" s="200">
        <v>0.97876287454220401</v>
      </c>
      <c r="Z394" s="11" t="s">
        <v>465</v>
      </c>
      <c r="AA394" s="11"/>
      <c r="AB394" s="15"/>
      <c r="AC394" s="54">
        <v>28219450</v>
      </c>
      <c r="AD394" s="54">
        <v>27620150</v>
      </c>
      <c r="AE394" s="54">
        <v>599300</v>
      </c>
      <c r="AG394" s="4"/>
      <c r="AH394" s="4"/>
      <c r="AI394" s="225"/>
      <c r="AJ394" s="226"/>
      <c r="AQ394" s="327" t="e">
        <v>#REF!</v>
      </c>
      <c r="AR394" s="157" t="e">
        <v>#REF!</v>
      </c>
    </row>
    <row r="395" spans="2:45" x14ac:dyDescent="0.25">
      <c r="C395" s="39">
        <v>2019</v>
      </c>
      <c r="D395" s="62" t="s">
        <v>1447</v>
      </c>
      <c r="E395" s="63" t="s">
        <v>1448</v>
      </c>
      <c r="F395" s="64">
        <v>43475</v>
      </c>
      <c r="G395" s="65" t="s">
        <v>34</v>
      </c>
      <c r="H395" s="94">
        <v>4500000</v>
      </c>
      <c r="I395" s="94">
        <v>4863085</v>
      </c>
      <c r="J395" s="94"/>
      <c r="K395" s="153">
        <v>8.0685555555555552E-2</v>
      </c>
      <c r="L395" s="11" t="s">
        <v>464</v>
      </c>
      <c r="M395" s="15">
        <v>6</v>
      </c>
      <c r="N395" s="35" t="s">
        <v>93</v>
      </c>
      <c r="O395" s="15">
        <v>1</v>
      </c>
      <c r="P395" s="35" t="s">
        <v>458</v>
      </c>
      <c r="Q395" s="35"/>
      <c r="R395" s="15"/>
      <c r="S395" s="24"/>
      <c r="T395" s="62" t="s">
        <v>442</v>
      </c>
      <c r="U395" s="62"/>
      <c r="V395" s="94">
        <v>6990880.833333333</v>
      </c>
      <c r="W395" s="199">
        <v>0.69563265573234279</v>
      </c>
      <c r="X395" s="15"/>
      <c r="Y395" s="200">
        <v>1.0806855555555555</v>
      </c>
      <c r="Z395" s="11" t="s">
        <v>465</v>
      </c>
      <c r="AA395" s="11"/>
      <c r="AB395" s="15"/>
      <c r="AC395" s="54">
        <v>4500000</v>
      </c>
      <c r="AD395" s="54">
        <v>4863085</v>
      </c>
      <c r="AE395" s="54">
        <v>-363085</v>
      </c>
      <c r="AG395" s="4"/>
      <c r="AH395" s="4"/>
      <c r="AI395" s="225"/>
      <c r="AJ395" s="226"/>
      <c r="AQ395" s="327" t="e">
        <v>#REF!</v>
      </c>
      <c r="AR395" s="157" t="e">
        <v>#REF!</v>
      </c>
    </row>
    <row r="396" spans="2:45" s="52" customFormat="1" x14ac:dyDescent="0.25">
      <c r="C396" s="101"/>
      <c r="L396" s="104"/>
      <c r="N396" s="104"/>
    </row>
    <row r="397" spans="2:45" s="52" customFormat="1" x14ac:dyDescent="0.25">
      <c r="C397" s="101"/>
      <c r="L397" s="104"/>
      <c r="N397" s="104"/>
    </row>
    <row r="398" spans="2:45" x14ac:dyDescent="0.25">
      <c r="C398" s="39">
        <v>2019</v>
      </c>
      <c r="D398" s="62" t="s">
        <v>1498</v>
      </c>
      <c r="E398" s="63" t="s">
        <v>1499</v>
      </c>
      <c r="F398" s="64">
        <v>43776</v>
      </c>
      <c r="G398" s="65" t="s">
        <v>34</v>
      </c>
      <c r="H398" s="94">
        <v>3373000</v>
      </c>
      <c r="I398" s="94">
        <v>1396000</v>
      </c>
      <c r="J398" s="94"/>
      <c r="K398" s="153">
        <v>-0.58612511117699373</v>
      </c>
      <c r="L398" s="11" t="s">
        <v>465</v>
      </c>
      <c r="M398" s="15">
        <v>7</v>
      </c>
      <c r="N398" s="35" t="s">
        <v>93</v>
      </c>
      <c r="O398" s="15">
        <v>4</v>
      </c>
      <c r="P398" s="35" t="s">
        <v>1474</v>
      </c>
      <c r="Q398" s="35"/>
      <c r="R398" s="15"/>
      <c r="S398" s="24"/>
      <c r="T398" s="62" t="s">
        <v>447</v>
      </c>
      <c r="U398" s="62"/>
      <c r="V398" s="94">
        <v>2901872.1428571427</v>
      </c>
      <c r="W398" s="199">
        <v>0.48106874847543002</v>
      </c>
      <c r="X398" s="15"/>
      <c r="Y398" s="200">
        <v>0.41387488882300622</v>
      </c>
      <c r="Z398" s="11" t="s">
        <v>465</v>
      </c>
      <c r="AA398" s="11"/>
      <c r="AB398" s="15"/>
      <c r="AC398" s="54">
        <v>3373000</v>
      </c>
      <c r="AD398" s="54">
        <v>1396000</v>
      </c>
      <c r="AE398" s="54">
        <v>1977000</v>
      </c>
      <c r="AG398" s="4"/>
      <c r="AH398" s="4"/>
      <c r="AI398" s="225"/>
      <c r="AJ398" s="226"/>
      <c r="AQ398" s="327" t="e">
        <v>#REF!</v>
      </c>
      <c r="AR398" s="157" t="e">
        <v>#REF!</v>
      </c>
    </row>
    <row r="399" spans="2:45" x14ac:dyDescent="0.25">
      <c r="C399" s="39">
        <v>2019</v>
      </c>
      <c r="D399" s="62" t="s">
        <v>1502</v>
      </c>
      <c r="E399" s="63" t="s">
        <v>1503</v>
      </c>
      <c r="F399" s="64">
        <v>43740</v>
      </c>
      <c r="G399" s="65" t="s">
        <v>1504</v>
      </c>
      <c r="H399" s="94">
        <v>8460000</v>
      </c>
      <c r="I399" s="94">
        <v>7795000</v>
      </c>
      <c r="J399" s="94"/>
      <c r="K399" s="153">
        <v>-7.860520094562648E-2</v>
      </c>
      <c r="L399" s="11" t="s">
        <v>464</v>
      </c>
      <c r="M399" s="15">
        <v>7</v>
      </c>
      <c r="N399" s="35" t="s">
        <v>93</v>
      </c>
      <c r="O399" s="15">
        <v>4</v>
      </c>
      <c r="P399" s="35" t="s">
        <v>457</v>
      </c>
      <c r="Q399" s="35"/>
      <c r="R399" s="15"/>
      <c r="S399" s="24"/>
      <c r="T399" s="62" t="s">
        <v>1405</v>
      </c>
      <c r="U399" s="62"/>
      <c r="V399" s="94">
        <v>12539160.857142856</v>
      </c>
      <c r="W399" s="199">
        <v>0.62165244459397984</v>
      </c>
      <c r="X399" s="15"/>
      <c r="Y399" s="200">
        <v>0.92139479905437349</v>
      </c>
      <c r="Z399" s="11" t="s">
        <v>465</v>
      </c>
      <c r="AA399" s="11"/>
      <c r="AB399" s="15"/>
      <c r="AC399" s="54">
        <v>8460000</v>
      </c>
      <c r="AD399" s="54">
        <v>7795000</v>
      </c>
      <c r="AE399" s="54">
        <v>665000</v>
      </c>
      <c r="AG399" s="4"/>
      <c r="AH399" s="4"/>
      <c r="AI399" s="225"/>
      <c r="AJ399" s="226"/>
      <c r="AQ399" s="327" t="e">
        <v>#REF!</v>
      </c>
      <c r="AR399" s="157" t="e">
        <v>#REF!</v>
      </c>
    </row>
    <row r="400" spans="2:45" x14ac:dyDescent="0.25">
      <c r="C400" s="39">
        <v>2019</v>
      </c>
      <c r="D400" s="62" t="s">
        <v>1491</v>
      </c>
      <c r="E400" s="63" t="s">
        <v>1492</v>
      </c>
      <c r="F400" s="64">
        <v>43690</v>
      </c>
      <c r="G400" s="65" t="s">
        <v>34</v>
      </c>
      <c r="H400" s="94">
        <v>21500000</v>
      </c>
      <c r="I400" s="94">
        <v>23111450</v>
      </c>
      <c r="J400" s="94"/>
      <c r="K400" s="153">
        <v>7.4951162790697676E-2</v>
      </c>
      <c r="L400" s="11" t="s">
        <v>464</v>
      </c>
      <c r="M400" s="15">
        <v>7</v>
      </c>
      <c r="N400" s="35" t="s">
        <v>25</v>
      </c>
      <c r="O400" s="15">
        <v>3</v>
      </c>
      <c r="P400" s="35" t="s">
        <v>459</v>
      </c>
      <c r="Q400" s="35"/>
      <c r="R400" s="15"/>
      <c r="S400" s="24"/>
      <c r="T400" s="62" t="s">
        <v>447</v>
      </c>
      <c r="U400" s="62"/>
      <c r="V400" s="94">
        <v>29457812.428571429</v>
      </c>
      <c r="W400" s="199">
        <v>0.78456097363102129</v>
      </c>
      <c r="X400" s="15"/>
      <c r="Y400" s="200">
        <v>1.0749511627906976</v>
      </c>
      <c r="Z400" s="11" t="s">
        <v>465</v>
      </c>
      <c r="AA400" s="11"/>
      <c r="AB400" s="15"/>
      <c r="AC400" s="54">
        <v>21500000</v>
      </c>
      <c r="AD400" s="54">
        <v>23111450</v>
      </c>
      <c r="AE400" s="54">
        <v>-1611450</v>
      </c>
      <c r="AG400" s="4"/>
      <c r="AH400" s="4"/>
      <c r="AI400" s="225"/>
      <c r="AJ400" s="226"/>
      <c r="AQ400" s="327" t="e">
        <v>#REF!</v>
      </c>
      <c r="AR400" s="157" t="e">
        <v>#REF!</v>
      </c>
    </row>
    <row r="401" spans="3:45" x14ac:dyDescent="0.25">
      <c r="C401" s="39">
        <v>2019</v>
      </c>
      <c r="D401" s="62" t="s">
        <v>1522</v>
      </c>
      <c r="E401" s="63" t="s">
        <v>717</v>
      </c>
      <c r="F401" s="64">
        <v>43685</v>
      </c>
      <c r="G401" s="65" t="s">
        <v>190</v>
      </c>
      <c r="H401" s="94">
        <v>1755000</v>
      </c>
      <c r="I401" s="94">
        <v>1312300</v>
      </c>
      <c r="J401" s="94"/>
      <c r="K401" s="153">
        <v>-0.25225071225071227</v>
      </c>
      <c r="L401" s="11" t="s">
        <v>464</v>
      </c>
      <c r="M401" s="15">
        <v>7</v>
      </c>
      <c r="N401" s="35" t="s">
        <v>226</v>
      </c>
      <c r="O401" s="15">
        <v>3</v>
      </c>
      <c r="P401" s="35" t="s">
        <v>457</v>
      </c>
      <c r="Q401" s="35"/>
      <c r="R401" s="15"/>
      <c r="S401" s="24"/>
      <c r="T401" s="62" t="s">
        <v>1405</v>
      </c>
      <c r="U401" s="62"/>
      <c r="V401" s="94">
        <v>2001831.7142857143</v>
      </c>
      <c r="W401" s="199">
        <v>0.65554961020699465</v>
      </c>
      <c r="X401" s="15"/>
      <c r="Y401" s="200">
        <v>0.74774928774928773</v>
      </c>
      <c r="Z401" s="11" t="s">
        <v>465</v>
      </c>
      <c r="AA401" s="11"/>
      <c r="AB401" s="15"/>
      <c r="AC401" s="54">
        <v>1755000</v>
      </c>
      <c r="AD401" s="54">
        <v>1312300</v>
      </c>
      <c r="AE401" s="54">
        <v>442700</v>
      </c>
      <c r="AG401" s="4"/>
      <c r="AH401" s="4"/>
      <c r="AI401" s="225"/>
      <c r="AJ401" s="226"/>
      <c r="AQ401" s="327" t="e">
        <v>#REF!</v>
      </c>
      <c r="AR401" s="157" t="e">
        <v>#REF!</v>
      </c>
    </row>
    <row r="402" spans="3:45" x14ac:dyDescent="0.25">
      <c r="C402" s="39">
        <v>2019</v>
      </c>
      <c r="D402" s="62" t="s">
        <v>1408</v>
      </c>
      <c r="E402" s="63" t="s">
        <v>1409</v>
      </c>
      <c r="F402" s="64">
        <v>43586</v>
      </c>
      <c r="G402" s="65" t="s">
        <v>190</v>
      </c>
      <c r="H402" s="94">
        <v>44840000</v>
      </c>
      <c r="I402" s="94">
        <v>48311245</v>
      </c>
      <c r="J402" s="94"/>
      <c r="K402" s="153">
        <v>7.741402765388046E-2</v>
      </c>
      <c r="L402" s="11" t="s">
        <v>464</v>
      </c>
      <c r="M402" s="15">
        <v>7</v>
      </c>
      <c r="N402" s="35" t="s">
        <v>25</v>
      </c>
      <c r="O402" s="15">
        <v>2</v>
      </c>
      <c r="P402" s="35" t="s">
        <v>459</v>
      </c>
      <c r="Q402" s="35"/>
      <c r="R402" s="15"/>
      <c r="S402" s="24"/>
      <c r="T402" s="62" t="s">
        <v>447</v>
      </c>
      <c r="U402" s="62"/>
      <c r="V402" s="94">
        <v>57681258.285714284</v>
      </c>
      <c r="W402" s="199">
        <v>0.83755532448162762</v>
      </c>
      <c r="X402" s="15"/>
      <c r="Y402" s="200">
        <v>1.0774140276538804</v>
      </c>
      <c r="Z402" s="11" t="s">
        <v>465</v>
      </c>
      <c r="AA402" s="11"/>
      <c r="AB402" s="15"/>
      <c r="AC402" s="54">
        <v>44840000</v>
      </c>
      <c r="AD402" s="54">
        <v>48311245</v>
      </c>
      <c r="AE402" s="54">
        <v>-3471245</v>
      </c>
      <c r="AG402" s="4"/>
      <c r="AH402" s="4"/>
      <c r="AI402" s="225"/>
      <c r="AJ402" s="226"/>
      <c r="AQ402" s="327" t="e">
        <v>#REF!</v>
      </c>
      <c r="AR402" s="157" t="e">
        <v>#REF!</v>
      </c>
      <c r="AS402" s="104"/>
    </row>
    <row r="403" spans="3:45" x14ac:dyDescent="0.25">
      <c r="C403" s="39">
        <v>2019</v>
      </c>
      <c r="D403" s="62" t="s">
        <v>1430</v>
      </c>
      <c r="E403" s="63" t="s">
        <v>1431</v>
      </c>
      <c r="F403" s="64">
        <v>43571</v>
      </c>
      <c r="G403" s="65" t="s">
        <v>34</v>
      </c>
      <c r="H403" s="94">
        <v>9330000</v>
      </c>
      <c r="I403" s="94">
        <v>7407376</v>
      </c>
      <c r="J403" s="94"/>
      <c r="K403" s="153">
        <v>-0.2060690246516613</v>
      </c>
      <c r="L403" s="11" t="s">
        <v>464</v>
      </c>
      <c r="M403" s="15">
        <v>7</v>
      </c>
      <c r="N403" s="35" t="s">
        <v>93</v>
      </c>
      <c r="O403" s="15">
        <v>2</v>
      </c>
      <c r="P403" s="35" t="s">
        <v>458</v>
      </c>
      <c r="Q403" s="35"/>
      <c r="R403" s="15"/>
      <c r="S403" s="24"/>
      <c r="T403" s="62" t="s">
        <v>784</v>
      </c>
      <c r="U403" s="62"/>
      <c r="V403" s="94">
        <v>9367661.4285714291</v>
      </c>
      <c r="W403" s="199">
        <v>0.79073908215848343</v>
      </c>
      <c r="X403" s="15"/>
      <c r="Y403" s="200">
        <v>0.79393097534833867</v>
      </c>
      <c r="Z403" s="11" t="s">
        <v>465</v>
      </c>
      <c r="AA403" s="11"/>
      <c r="AB403" s="15"/>
      <c r="AC403" s="54">
        <v>9330000</v>
      </c>
      <c r="AD403" s="54">
        <v>7407376</v>
      </c>
      <c r="AE403" s="54">
        <v>1922624</v>
      </c>
      <c r="AG403" s="4"/>
      <c r="AH403" s="4"/>
      <c r="AI403" s="225"/>
      <c r="AJ403" s="226"/>
      <c r="AQ403" s="327" t="e">
        <v>#REF!</v>
      </c>
      <c r="AR403" s="157" t="e">
        <v>#REF!</v>
      </c>
      <c r="AS403" s="104"/>
    </row>
    <row r="404" spans="3:45" x14ac:dyDescent="0.25">
      <c r="C404" s="39">
        <v>2019</v>
      </c>
      <c r="D404" s="62" t="s">
        <v>1439</v>
      </c>
      <c r="E404" s="63" t="s">
        <v>1440</v>
      </c>
      <c r="F404" s="64">
        <v>43517</v>
      </c>
      <c r="G404" s="65" t="s">
        <v>34</v>
      </c>
      <c r="H404" s="94">
        <v>4450000</v>
      </c>
      <c r="I404" s="94">
        <v>5282906</v>
      </c>
      <c r="J404" s="94"/>
      <c r="K404" s="153">
        <v>0.18716988764044945</v>
      </c>
      <c r="L404" s="11" t="s">
        <v>465</v>
      </c>
      <c r="M404" s="15">
        <v>7</v>
      </c>
      <c r="N404" s="35" t="s">
        <v>25</v>
      </c>
      <c r="O404" s="15">
        <v>1</v>
      </c>
      <c r="P404" s="35" t="s">
        <v>492</v>
      </c>
      <c r="Q404" s="35"/>
      <c r="R404" s="15"/>
      <c r="S404" s="24"/>
      <c r="T404" s="62" t="s">
        <v>816</v>
      </c>
      <c r="U404" s="62"/>
      <c r="V404" s="94">
        <v>7461118.4285714282</v>
      </c>
      <c r="W404" s="199">
        <v>0.70805818867179027</v>
      </c>
      <c r="X404" s="15"/>
      <c r="Y404" s="200">
        <v>1.1871698876404495</v>
      </c>
      <c r="Z404" s="11" t="s">
        <v>465</v>
      </c>
      <c r="AA404" s="11"/>
      <c r="AB404" s="15"/>
      <c r="AC404" s="54">
        <v>4450000</v>
      </c>
      <c r="AD404" s="54">
        <v>5282906</v>
      </c>
      <c r="AE404" s="54">
        <v>-832906</v>
      </c>
      <c r="AG404" s="4"/>
      <c r="AH404" s="4"/>
      <c r="AI404" s="225"/>
      <c r="AJ404" s="226"/>
      <c r="AQ404" s="327" t="e">
        <v>#REF!</v>
      </c>
      <c r="AR404" s="157" t="e">
        <v>#REF!</v>
      </c>
    </row>
    <row r="405" spans="3:45" x14ac:dyDescent="0.25">
      <c r="C405" s="39">
        <v>2019</v>
      </c>
      <c r="D405" s="62" t="s">
        <v>1410</v>
      </c>
      <c r="E405" s="63" t="s">
        <v>1411</v>
      </c>
      <c r="F405" s="64">
        <v>43516</v>
      </c>
      <c r="G405" s="65" t="s">
        <v>190</v>
      </c>
      <c r="H405" s="94">
        <v>1790000</v>
      </c>
      <c r="I405" s="94">
        <v>1443785</v>
      </c>
      <c r="J405" s="94"/>
      <c r="K405" s="153">
        <v>-0.19341620111731844</v>
      </c>
      <c r="L405" s="11" t="s">
        <v>464</v>
      </c>
      <c r="M405" s="15">
        <v>7</v>
      </c>
      <c r="N405" s="35" t="s">
        <v>226</v>
      </c>
      <c r="O405" s="15">
        <v>1</v>
      </c>
      <c r="P405" s="35" t="s">
        <v>457</v>
      </c>
      <c r="Q405" s="35"/>
      <c r="R405" s="15"/>
      <c r="S405" s="24"/>
      <c r="T405" s="62" t="s">
        <v>1226</v>
      </c>
      <c r="U405" s="62"/>
      <c r="V405" s="94">
        <v>3495752.1428571427</v>
      </c>
      <c r="W405" s="199">
        <v>0.41301126080980327</v>
      </c>
      <c r="X405" s="15"/>
      <c r="Y405" s="200">
        <v>0.80658379888268161</v>
      </c>
      <c r="Z405" s="11" t="s">
        <v>465</v>
      </c>
      <c r="AA405" s="11"/>
      <c r="AB405" s="15"/>
      <c r="AC405" s="54">
        <v>1790000</v>
      </c>
      <c r="AD405" s="54">
        <v>1443785</v>
      </c>
      <c r="AE405" s="54">
        <v>346215</v>
      </c>
      <c r="AG405" s="4"/>
      <c r="AH405" s="4"/>
      <c r="AI405" s="225"/>
      <c r="AJ405" s="226"/>
      <c r="AQ405" s="327" t="e">
        <v>#REF!</v>
      </c>
      <c r="AR405" s="157" t="e">
        <v>#REF!</v>
      </c>
    </row>
    <row r="406" spans="3:45" s="52" customFormat="1" x14ac:dyDescent="0.25">
      <c r="C406" s="101"/>
      <c r="L406" s="104"/>
      <c r="N406" s="104"/>
    </row>
    <row r="407" spans="3:45" s="52" customFormat="1" x14ac:dyDescent="0.25">
      <c r="C407" s="101"/>
      <c r="L407" s="104"/>
      <c r="N407" s="104"/>
    </row>
    <row r="408" spans="3:45" x14ac:dyDescent="0.25">
      <c r="C408" s="39">
        <v>2019</v>
      </c>
      <c r="D408" s="62" t="str">
        <f>+'[2]HT-224.134'!$F$4</f>
        <v>HT-224.134</v>
      </c>
      <c r="E408" s="63" t="str">
        <f>+'[2]HT-224.134'!$F$5</f>
        <v>Flood Protection for Ventilation Buildings</v>
      </c>
      <c r="F408" s="64">
        <f>+'[2]HT-224.134'!$F$6</f>
        <v>43622</v>
      </c>
      <c r="G408" s="65" t="str">
        <f>+'[2]HT-224.134'!$G$7</f>
        <v>Public</v>
      </c>
      <c r="H408" s="94">
        <f>+'[2]HT-224.134'!$F$7</f>
        <v>2070000</v>
      </c>
      <c r="I408" s="94">
        <f>+'[2]HT-224.134'!$F$8</f>
        <v>2112649</v>
      </c>
      <c r="J408" s="94"/>
      <c r="K408" s="153">
        <f>+'[2]HT-224.134'!$G$9</f>
        <v>2.0603381642512079E-2</v>
      </c>
      <c r="L408" s="11" t="str">
        <f>+'[2]HT-224.134'!$F$11</f>
        <v>GOOD</v>
      </c>
      <c r="M408" s="15">
        <f>+'[2]HT-224.134'!$H$12</f>
        <v>9</v>
      </c>
      <c r="N408" s="35" t="s">
        <v>226</v>
      </c>
      <c r="O408" s="15">
        <v>2</v>
      </c>
      <c r="P408" s="35" t="s">
        <v>457</v>
      </c>
      <c r="Q408" s="35"/>
      <c r="R408" s="15"/>
      <c r="S408" s="24"/>
      <c r="T408" s="62" t="str">
        <f>+'[2]HT-224.134'!$J$4</f>
        <v>Steven Schwan</v>
      </c>
      <c r="U408" s="62"/>
      <c r="V408" s="94">
        <f>+'[2]HT-224.134'!$F$12</f>
        <v>3084176.5555555555</v>
      </c>
      <c r="W408" s="199">
        <f t="shared" ref="W408" si="46">+I408/V408</f>
        <v>0.68499612844617019</v>
      </c>
      <c r="X408" s="15"/>
      <c r="Y408" s="200">
        <f t="shared" ref="Y408" si="47">+I408/H408</f>
        <v>1.0206033816425122</v>
      </c>
      <c r="Z408" s="11" t="str">
        <f t="shared" ref="Z408" si="48">(IF(Y408&lt;$Y$3,"FAIL",IF(Y408&gt;$Y$4,"FAIL","GOOD")))</f>
        <v>FAIL</v>
      </c>
      <c r="AA408" s="11"/>
      <c r="AB408" s="15"/>
      <c r="AC408" s="54">
        <f t="shared" ref="AC408" si="49">+H408</f>
        <v>2070000</v>
      </c>
      <c r="AD408" s="54">
        <f t="shared" ref="AD408" si="50">+I408</f>
        <v>2112649</v>
      </c>
      <c r="AE408" s="54">
        <f t="shared" ref="AE408" si="51">+AC408-AD408</f>
        <v>-42649</v>
      </c>
      <c r="AG408" s="4"/>
      <c r="AH408" s="4"/>
      <c r="AI408" s="225"/>
      <c r="AJ408" s="226"/>
      <c r="AQ408" s="327" t="e">
        <f t="shared" ref="AQ408" ca="1" si="52">INDIRECT("'"&amp;$D408&amp;"'!L12")</f>
        <v>#REF!</v>
      </c>
      <c r="AR408" s="157" t="e">
        <f t="shared" ref="AR408" ca="1" si="53">INDIRECT("'"&amp;$D408&amp;"'!L13")</f>
        <v>#REF!</v>
      </c>
      <c r="AS408" s="104"/>
    </row>
    <row r="409" spans="3:45" s="52" customFormat="1" x14ac:dyDescent="0.25">
      <c r="C409" s="101"/>
      <c r="L409" s="104"/>
      <c r="N409" s="104"/>
    </row>
    <row r="410" spans="3:45" s="52" customFormat="1" x14ac:dyDescent="0.25">
      <c r="C410" s="101"/>
      <c r="L410" s="104"/>
      <c r="N410" s="104"/>
    </row>
    <row r="411" spans="3:45" x14ac:dyDescent="0.25">
      <c r="C411" s="39">
        <v>2019</v>
      </c>
      <c r="D411" s="62" t="s">
        <v>1505</v>
      </c>
      <c r="E411" s="63" t="s">
        <v>1506</v>
      </c>
      <c r="F411" s="64">
        <v>43727</v>
      </c>
      <c r="G411" s="65" t="s">
        <v>34</v>
      </c>
      <c r="H411" s="94">
        <v>3840000</v>
      </c>
      <c r="I411" s="94">
        <v>2936000</v>
      </c>
      <c r="J411" s="94"/>
      <c r="K411" s="153">
        <v>-0.23541666666666666</v>
      </c>
      <c r="L411" s="11" t="s">
        <v>464</v>
      </c>
      <c r="M411" s="15">
        <v>11</v>
      </c>
      <c r="N411" s="35" t="s">
        <v>93</v>
      </c>
      <c r="O411" s="15">
        <v>3</v>
      </c>
      <c r="P411" s="35" t="s">
        <v>458</v>
      </c>
      <c r="Q411" s="35"/>
      <c r="R411" s="15"/>
      <c r="S411" s="24"/>
      <c r="T411" s="62" t="s">
        <v>1419</v>
      </c>
      <c r="U411" s="62"/>
      <c r="V411" s="94">
        <v>4681438.8181818184</v>
      </c>
      <c r="W411" s="199">
        <v>0.62715761414997762</v>
      </c>
      <c r="X411" s="15"/>
      <c r="Y411" s="200">
        <v>0.76458333333333328</v>
      </c>
      <c r="Z411" s="11" t="s">
        <v>465</v>
      </c>
      <c r="AA411" s="11"/>
      <c r="AB411" s="15"/>
      <c r="AC411" s="54">
        <v>3840000</v>
      </c>
      <c r="AD411" s="54">
        <v>2936000</v>
      </c>
      <c r="AE411" s="54">
        <v>904000</v>
      </c>
      <c r="AG411" s="4"/>
      <c r="AH411" s="4"/>
      <c r="AI411" s="225"/>
      <c r="AJ411" s="226"/>
      <c r="AQ411" s="327" t="e">
        <v>#REF!</v>
      </c>
      <c r="AR411" s="157" t="e">
        <v>#REF!</v>
      </c>
    </row>
    <row r="412" spans="3:45" x14ac:dyDescent="0.25">
      <c r="C412" s="39">
        <v>2019</v>
      </c>
      <c r="D412" s="62" t="s">
        <v>1424</v>
      </c>
      <c r="E412" s="63" t="s">
        <v>1425</v>
      </c>
      <c r="F412" s="64">
        <v>43593</v>
      </c>
      <c r="G412" s="65" t="s">
        <v>34</v>
      </c>
      <c r="H412" s="94">
        <v>18800000</v>
      </c>
      <c r="I412" s="94">
        <v>14551682</v>
      </c>
      <c r="J412" s="94"/>
      <c r="K412" s="153">
        <v>-0.22597436170212765</v>
      </c>
      <c r="L412" s="11" t="s">
        <v>464</v>
      </c>
      <c r="M412" s="15">
        <v>11</v>
      </c>
      <c r="N412" s="35" t="s">
        <v>25</v>
      </c>
      <c r="O412" s="15">
        <v>2</v>
      </c>
      <c r="P412" s="35" t="s">
        <v>459</v>
      </c>
      <c r="Q412" s="35"/>
      <c r="R412" s="15"/>
      <c r="S412" s="24" t="s">
        <v>1477</v>
      </c>
      <c r="T412" s="62" t="s">
        <v>447</v>
      </c>
      <c r="U412" s="62"/>
      <c r="V412" s="94">
        <v>17337811.181818184</v>
      </c>
      <c r="W412" s="199">
        <v>0.83930329194379849</v>
      </c>
      <c r="X412" s="15"/>
      <c r="Y412" s="200">
        <v>0.7740256382978723</v>
      </c>
      <c r="Z412" s="11" t="s">
        <v>465</v>
      </c>
      <c r="AA412" s="11"/>
      <c r="AB412" s="15"/>
      <c r="AC412" s="54">
        <v>18800000</v>
      </c>
      <c r="AD412" s="54">
        <v>14551682</v>
      </c>
      <c r="AE412" s="54">
        <v>4248318</v>
      </c>
      <c r="AG412" s="4"/>
      <c r="AH412" s="4"/>
      <c r="AI412" s="225"/>
      <c r="AJ412" s="226"/>
      <c r="AQ412" s="327" t="e">
        <v>#REF!</v>
      </c>
      <c r="AR412" s="157" t="e">
        <v>#REF!</v>
      </c>
      <c r="AS412" s="104"/>
    </row>
    <row r="413" spans="3:45" x14ac:dyDescent="0.25">
      <c r="C413" s="39">
        <v>2019</v>
      </c>
      <c r="D413" s="62" t="s">
        <v>1415</v>
      </c>
      <c r="E413" s="63" t="s">
        <v>1416</v>
      </c>
      <c r="F413" s="64">
        <v>43641</v>
      </c>
      <c r="G413" s="65" t="s">
        <v>34</v>
      </c>
      <c r="H413" s="94">
        <v>5280000</v>
      </c>
      <c r="I413" s="94">
        <v>5097757</v>
      </c>
      <c r="J413" s="94"/>
      <c r="K413" s="153">
        <v>-3.4515719696969697E-2</v>
      </c>
      <c r="L413" s="11" t="s">
        <v>464</v>
      </c>
      <c r="M413" s="15">
        <v>14</v>
      </c>
      <c r="N413" s="35" t="s">
        <v>25</v>
      </c>
      <c r="O413" s="15">
        <v>2</v>
      </c>
      <c r="P413" s="35" t="s">
        <v>492</v>
      </c>
      <c r="Q413" s="35"/>
      <c r="R413" s="15"/>
      <c r="S413" s="24"/>
      <c r="T413" s="62" t="s">
        <v>816</v>
      </c>
      <c r="U413" s="62"/>
      <c r="V413" s="94">
        <v>7104621.7857142854</v>
      </c>
      <c r="W413" s="199">
        <v>0.71752686543432675</v>
      </c>
      <c r="X413" s="15"/>
      <c r="Y413" s="200">
        <v>0.96548428030303035</v>
      </c>
      <c r="Z413" s="11" t="s">
        <v>465</v>
      </c>
      <c r="AA413" s="11"/>
      <c r="AB413" s="15"/>
      <c r="AC413" s="54">
        <v>5280000</v>
      </c>
      <c r="AD413" s="54">
        <v>5097757</v>
      </c>
      <c r="AE413" s="54">
        <v>182243</v>
      </c>
      <c r="AG413" s="4"/>
      <c r="AH413" s="4"/>
      <c r="AI413" s="225"/>
      <c r="AJ413" s="226"/>
      <c r="AQ413" s="327" t="e">
        <v>#REF!</v>
      </c>
      <c r="AR413" s="157" t="e">
        <v>#REF!</v>
      </c>
      <c r="AS413" s="104"/>
    </row>
    <row r="414" spans="3:45" x14ac:dyDescent="0.25">
      <c r="C414" s="39">
        <v>2019</v>
      </c>
      <c r="D414" s="62" t="s">
        <v>1518</v>
      </c>
      <c r="E414" s="63" t="s">
        <v>1519</v>
      </c>
      <c r="F414" s="64">
        <v>43712</v>
      </c>
      <c r="G414" s="65" t="s">
        <v>34</v>
      </c>
      <c r="H414" s="94">
        <v>1300000</v>
      </c>
      <c r="I414" s="94">
        <v>919000</v>
      </c>
      <c r="J414" s="94"/>
      <c r="K414" s="153">
        <v>-0.29307692307692307</v>
      </c>
      <c r="L414" s="11" t="s">
        <v>464</v>
      </c>
      <c r="M414" s="15">
        <v>16</v>
      </c>
      <c r="N414" s="35" t="s">
        <v>226</v>
      </c>
      <c r="O414" s="15">
        <v>3</v>
      </c>
      <c r="P414" s="35" t="s">
        <v>457</v>
      </c>
      <c r="Q414" s="35"/>
      <c r="R414" s="15"/>
      <c r="S414" s="24"/>
      <c r="T414" s="62" t="s">
        <v>447</v>
      </c>
      <c r="U414" s="62"/>
      <c r="V414" s="94">
        <v>1639305.4375</v>
      </c>
      <c r="W414" s="199">
        <v>0.56060327683748079</v>
      </c>
      <c r="X414" s="15"/>
      <c r="Y414" s="200">
        <v>0.70692307692307688</v>
      </c>
      <c r="Z414" s="11" t="s">
        <v>465</v>
      </c>
      <c r="AA414" s="11"/>
      <c r="AB414" s="15"/>
      <c r="AC414" s="54">
        <v>1300000</v>
      </c>
      <c r="AD414" s="54">
        <v>919000</v>
      </c>
      <c r="AE414" s="54">
        <v>381000</v>
      </c>
      <c r="AG414" s="4"/>
      <c r="AH414" s="4"/>
      <c r="AI414" s="225"/>
      <c r="AJ414" s="226"/>
      <c r="AQ414" s="327" t="e">
        <v>#REF!</v>
      </c>
      <c r="AR414" s="157" t="e">
        <v>#REF!</v>
      </c>
    </row>
    <row r="415" spans="3:45" s="52" customFormat="1" x14ac:dyDescent="0.25">
      <c r="C415" s="101"/>
      <c r="N415" s="104"/>
    </row>
    <row r="416" spans="3:45" x14ac:dyDescent="0.25">
      <c r="C416" s="39"/>
    </row>
    <row r="417" spans="3:54" x14ac:dyDescent="0.25">
      <c r="C417" s="39"/>
      <c r="K417" s="11"/>
    </row>
    <row r="418" spans="3:54" ht="15" customHeight="1" x14ac:dyDescent="0.25">
      <c r="C418" s="39"/>
      <c r="AR418" s="241" t="s">
        <v>1363</v>
      </c>
      <c r="AS418" s="393" t="s">
        <v>1361</v>
      </c>
      <c r="AT418" s="393"/>
      <c r="AU418" s="393"/>
      <c r="AV418" s="394" t="s">
        <v>1362</v>
      </c>
      <c r="AW418" s="394"/>
      <c r="AX418" s="394"/>
      <c r="AY418" s="388" t="s">
        <v>1528</v>
      </c>
      <c r="AZ418" s="388"/>
      <c r="BA418" s="388"/>
      <c r="BB418" s="242"/>
    </row>
    <row r="419" spans="3:54" x14ac:dyDescent="0.25">
      <c r="C419" s="39"/>
      <c r="AR419" s="239" t="s">
        <v>1364</v>
      </c>
      <c r="AS419" s="159" t="s">
        <v>1194</v>
      </c>
      <c r="AT419" s="159" t="s">
        <v>39</v>
      </c>
      <c r="AU419" s="160" t="s">
        <v>842</v>
      </c>
      <c r="AV419" s="235" t="s">
        <v>1194</v>
      </c>
      <c r="AW419" s="235" t="s">
        <v>39</v>
      </c>
      <c r="AX419" s="236" t="s">
        <v>842</v>
      </c>
      <c r="AY419" s="273" t="s">
        <v>1194</v>
      </c>
      <c r="AZ419" s="273" t="s">
        <v>39</v>
      </c>
      <c r="BA419" s="274" t="s">
        <v>842</v>
      </c>
      <c r="BB419" s="239"/>
    </row>
    <row r="420" spans="3:54" x14ac:dyDescent="0.25">
      <c r="C420" s="39"/>
      <c r="AR420" s="240" t="s">
        <v>1184</v>
      </c>
      <c r="AS420" s="162">
        <v>0</v>
      </c>
      <c r="AT420" s="156">
        <v>1</v>
      </c>
      <c r="AU420" s="157">
        <v>0</v>
      </c>
      <c r="AV420" s="237">
        <f t="shared" ref="AV420:AV429" si="54">AX420/AW420</f>
        <v>1</v>
      </c>
      <c r="AW420" s="234">
        <v>1</v>
      </c>
      <c r="AX420" s="238">
        <v>1</v>
      </c>
      <c r="AY420" s="275" t="s">
        <v>1450</v>
      </c>
      <c r="AZ420" s="276" t="s">
        <v>1450</v>
      </c>
      <c r="BA420" s="277" t="s">
        <v>1450</v>
      </c>
      <c r="BB420" s="243">
        <f>+(AU420+AX420)/(AT420+AW420)</f>
        <v>0.5</v>
      </c>
    </row>
    <row r="421" spans="3:54" x14ac:dyDescent="0.25">
      <c r="C421" s="39"/>
      <c r="AR421" s="240" t="s">
        <v>1185</v>
      </c>
      <c r="AS421" s="162">
        <v>0.5</v>
      </c>
      <c r="AT421" s="156">
        <v>8</v>
      </c>
      <c r="AU421" s="157">
        <v>4</v>
      </c>
      <c r="AV421" s="237">
        <f t="shared" si="54"/>
        <v>0.66666666666666663</v>
      </c>
      <c r="AW421" s="234">
        <v>12</v>
      </c>
      <c r="AX421" s="238">
        <v>8</v>
      </c>
      <c r="AY421" s="278">
        <f t="shared" ref="AY421:AY426" si="55">BA421/AZ421</f>
        <v>0.33333333333333331</v>
      </c>
      <c r="AZ421" s="279">
        <v>3</v>
      </c>
      <c r="BA421" s="280">
        <v>1</v>
      </c>
      <c r="BB421" s="243">
        <f>+(AU421+AX421+BA421)/(AT421+AW421+AZ421)</f>
        <v>0.56521739130434778</v>
      </c>
    </row>
    <row r="422" spans="3:54" x14ac:dyDescent="0.25">
      <c r="C422" s="39"/>
      <c r="E422" s="281" t="s">
        <v>1451</v>
      </c>
      <c r="AR422" s="240" t="s">
        <v>1186</v>
      </c>
      <c r="AS422" s="162">
        <v>0.6428571428571429</v>
      </c>
      <c r="AT422" s="156">
        <v>14</v>
      </c>
      <c r="AU422" s="157">
        <v>9</v>
      </c>
      <c r="AV422" s="237">
        <f t="shared" si="54"/>
        <v>0.2</v>
      </c>
      <c r="AW422" s="234">
        <v>10</v>
      </c>
      <c r="AX422" s="238">
        <v>2</v>
      </c>
      <c r="AY422" s="278">
        <f t="shared" si="55"/>
        <v>0.8</v>
      </c>
      <c r="AZ422" s="279">
        <v>5</v>
      </c>
      <c r="BA422" s="280">
        <v>4</v>
      </c>
      <c r="BB422" s="243">
        <f t="shared" ref="BB422:BB429" si="56">+(AU422+AX422+BA422)/(AT422+AW422+AZ422)</f>
        <v>0.51724137931034486</v>
      </c>
    </row>
    <row r="423" spans="3:54" x14ac:dyDescent="0.25">
      <c r="C423" s="39"/>
      <c r="AR423" s="240" t="s">
        <v>1187</v>
      </c>
      <c r="AS423" s="162">
        <v>0.66666666666666663</v>
      </c>
      <c r="AT423" s="156">
        <v>9</v>
      </c>
      <c r="AU423" s="157">
        <v>6</v>
      </c>
      <c r="AV423" s="237">
        <f t="shared" si="54"/>
        <v>0.55555555555555558</v>
      </c>
      <c r="AW423" s="234">
        <v>9</v>
      </c>
      <c r="AX423" s="238">
        <v>5</v>
      </c>
      <c r="AY423" s="278">
        <f t="shared" si="55"/>
        <v>0.6</v>
      </c>
      <c r="AZ423" s="279">
        <v>10</v>
      </c>
      <c r="BA423" s="280">
        <v>6</v>
      </c>
      <c r="BB423" s="243">
        <f t="shared" si="56"/>
        <v>0.6071428571428571</v>
      </c>
    </row>
    <row r="424" spans="3:54" x14ac:dyDescent="0.25">
      <c r="C424" s="39"/>
      <c r="AR424" s="240" t="s">
        <v>1188</v>
      </c>
      <c r="AS424" s="162">
        <v>0.5</v>
      </c>
      <c r="AT424" s="156">
        <v>8</v>
      </c>
      <c r="AU424" s="157">
        <v>4</v>
      </c>
      <c r="AV424" s="237">
        <f t="shared" si="54"/>
        <v>0.5714285714285714</v>
      </c>
      <c r="AW424" s="234">
        <v>7</v>
      </c>
      <c r="AX424" s="238">
        <v>4</v>
      </c>
      <c r="AY424" s="278">
        <f t="shared" si="55"/>
        <v>0.5</v>
      </c>
      <c r="AZ424" s="279">
        <v>8</v>
      </c>
      <c r="BA424" s="280">
        <v>4</v>
      </c>
      <c r="BB424" s="243">
        <f t="shared" si="56"/>
        <v>0.52173913043478259</v>
      </c>
    </row>
    <row r="425" spans="3:54" x14ac:dyDescent="0.25">
      <c r="C425" s="39"/>
      <c r="AR425" s="240" t="s">
        <v>1189</v>
      </c>
      <c r="AS425" s="162">
        <v>0.625</v>
      </c>
      <c r="AT425" s="156">
        <v>8</v>
      </c>
      <c r="AU425" s="157">
        <v>5</v>
      </c>
      <c r="AV425" s="237">
        <f t="shared" si="54"/>
        <v>0.875</v>
      </c>
      <c r="AW425" s="234">
        <v>8</v>
      </c>
      <c r="AX425" s="238">
        <v>7</v>
      </c>
      <c r="AY425" s="278">
        <f t="shared" si="55"/>
        <v>0.77777777777777779</v>
      </c>
      <c r="AZ425" s="279">
        <v>9</v>
      </c>
      <c r="BA425" s="280">
        <v>7</v>
      </c>
      <c r="BB425" s="243">
        <f t="shared" si="56"/>
        <v>0.76</v>
      </c>
    </row>
    <row r="426" spans="3:54" x14ac:dyDescent="0.25">
      <c r="C426" s="39"/>
      <c r="AR426" s="240" t="s">
        <v>1190</v>
      </c>
      <c r="AS426" s="162">
        <v>1</v>
      </c>
      <c r="AT426" s="156">
        <v>4</v>
      </c>
      <c r="AU426" s="157">
        <v>4</v>
      </c>
      <c r="AV426" s="237">
        <f t="shared" si="54"/>
        <v>0</v>
      </c>
      <c r="AW426" s="234">
        <v>1</v>
      </c>
      <c r="AX426" s="238">
        <v>0</v>
      </c>
      <c r="AY426" s="278">
        <f t="shared" si="55"/>
        <v>0.75</v>
      </c>
      <c r="AZ426" s="279">
        <v>8</v>
      </c>
      <c r="BA426" s="280">
        <v>6</v>
      </c>
      <c r="BB426" s="243">
        <f t="shared" si="56"/>
        <v>0.76923076923076927</v>
      </c>
    </row>
    <row r="427" spans="3:54" x14ac:dyDescent="0.25">
      <c r="C427" s="39"/>
      <c r="AR427" s="240" t="s">
        <v>1191</v>
      </c>
      <c r="AS427" s="162">
        <v>1</v>
      </c>
      <c r="AT427" s="156">
        <v>3</v>
      </c>
      <c r="AU427" s="157">
        <v>3</v>
      </c>
      <c r="AV427" s="237">
        <f t="shared" si="54"/>
        <v>0.66666666666666663</v>
      </c>
      <c r="AW427" s="234">
        <v>3</v>
      </c>
      <c r="AX427" s="238">
        <v>2</v>
      </c>
      <c r="AY427" s="275" t="s">
        <v>1450</v>
      </c>
      <c r="AZ427" s="276" t="s">
        <v>1450</v>
      </c>
      <c r="BA427" s="277" t="s">
        <v>1450</v>
      </c>
      <c r="BB427" s="243">
        <f>+(AU427+AX427)/(AT427+AW427)</f>
        <v>0.83333333333333337</v>
      </c>
    </row>
    <row r="428" spans="3:54" x14ac:dyDescent="0.25">
      <c r="C428" s="39"/>
      <c r="AR428" s="240" t="s">
        <v>1192</v>
      </c>
      <c r="AS428" s="162">
        <v>1</v>
      </c>
      <c r="AT428" s="156">
        <v>5</v>
      </c>
      <c r="AU428" s="157">
        <v>5</v>
      </c>
      <c r="AV428" s="237">
        <f t="shared" si="54"/>
        <v>1</v>
      </c>
      <c r="AW428" s="234">
        <v>1</v>
      </c>
      <c r="AX428" s="238">
        <v>1</v>
      </c>
      <c r="AY428" s="278">
        <f>BA428/AZ428</f>
        <v>1</v>
      </c>
      <c r="AZ428" s="279">
        <f>COUNTA(#REF!)</f>
        <v>1</v>
      </c>
      <c r="BA428" s="280">
        <v>1</v>
      </c>
      <c r="BB428" s="243">
        <f t="shared" si="56"/>
        <v>1</v>
      </c>
    </row>
    <row r="429" spans="3:54" x14ac:dyDescent="0.25">
      <c r="C429" s="39"/>
      <c r="AR429" s="240" t="s">
        <v>1193</v>
      </c>
      <c r="AS429" s="162">
        <v>0.6</v>
      </c>
      <c r="AT429" s="156">
        <v>5</v>
      </c>
      <c r="AU429" s="157">
        <v>3</v>
      </c>
      <c r="AV429" s="237">
        <f t="shared" si="54"/>
        <v>0.75</v>
      </c>
      <c r="AW429" s="234">
        <v>4</v>
      </c>
      <c r="AX429" s="238">
        <v>3</v>
      </c>
      <c r="AY429" s="278">
        <f>BA429/AZ429</f>
        <v>1</v>
      </c>
      <c r="AZ429" s="279">
        <v>4</v>
      </c>
      <c r="BA429" s="280">
        <v>4</v>
      </c>
      <c r="BB429" s="243">
        <f t="shared" si="56"/>
        <v>0.76923076923076927</v>
      </c>
    </row>
    <row r="430" spans="3:54" x14ac:dyDescent="0.25">
      <c r="C430" s="39"/>
      <c r="K430" s="52"/>
    </row>
    <row r="431" spans="3:54" x14ac:dyDescent="0.25">
      <c r="C431" s="39"/>
      <c r="K431" s="52"/>
    </row>
    <row r="432" spans="3:54" x14ac:dyDescent="0.25">
      <c r="C432" s="39"/>
    </row>
    <row r="433" spans="2:45" x14ac:dyDescent="0.25">
      <c r="C433" s="39"/>
    </row>
    <row r="434" spans="2:45" x14ac:dyDescent="0.25">
      <c r="B434" s="139"/>
      <c r="C434" s="140"/>
      <c r="D434" s="139"/>
      <c r="E434" s="139"/>
      <c r="F434" s="139"/>
      <c r="G434" s="139"/>
      <c r="H434" s="139"/>
      <c r="I434" s="139"/>
      <c r="J434" s="139"/>
      <c r="K434" s="139"/>
      <c r="L434" s="139"/>
      <c r="M434" s="139"/>
      <c r="N434" s="141"/>
      <c r="O434" s="139"/>
      <c r="P434" s="139"/>
      <c r="Q434" s="139"/>
      <c r="R434" s="139"/>
      <c r="S434" s="139"/>
    </row>
    <row r="435" spans="2:45" x14ac:dyDescent="0.25">
      <c r="C435" s="39"/>
    </row>
    <row r="436" spans="2:45" x14ac:dyDescent="0.25">
      <c r="B436" s="52"/>
      <c r="C436" s="39"/>
    </row>
    <row r="437" spans="2:45" x14ac:dyDescent="0.25">
      <c r="B437" s="52"/>
      <c r="C437" s="39"/>
    </row>
    <row r="438" spans="2:45" x14ac:dyDescent="0.25">
      <c r="C438" s="39">
        <v>2019</v>
      </c>
      <c r="D438" s="62" t="s">
        <v>1513</v>
      </c>
      <c r="E438" s="63" t="s">
        <v>1514</v>
      </c>
      <c r="F438" s="64">
        <v>43818</v>
      </c>
      <c r="G438" s="65" t="s">
        <v>1225</v>
      </c>
      <c r="H438" s="94">
        <v>1600000</v>
      </c>
      <c r="I438" s="94">
        <v>1065100</v>
      </c>
      <c r="J438" s="94"/>
      <c r="K438" s="153">
        <v>-0.33431250000000001</v>
      </c>
      <c r="L438" s="11" t="s">
        <v>464</v>
      </c>
      <c r="M438" s="15">
        <v>6</v>
      </c>
      <c r="N438" s="35" t="s">
        <v>226</v>
      </c>
      <c r="O438" s="15">
        <v>4</v>
      </c>
      <c r="P438" s="35" t="s">
        <v>457</v>
      </c>
      <c r="Q438" s="35"/>
      <c r="R438" s="15"/>
      <c r="S438" s="24"/>
      <c r="T438" s="62" t="s">
        <v>1515</v>
      </c>
      <c r="U438" s="62"/>
      <c r="V438" s="94">
        <v>1575316.6666666667</v>
      </c>
      <c r="W438" s="199">
        <v>0.6761180291793184</v>
      </c>
      <c r="X438" s="15"/>
      <c r="Y438" s="200">
        <v>0.66568749999999999</v>
      </c>
      <c r="Z438" s="11" t="s">
        <v>465</v>
      </c>
      <c r="AA438" s="11"/>
      <c r="AB438" s="15"/>
      <c r="AC438" s="54">
        <v>1600000</v>
      </c>
      <c r="AD438" s="54">
        <v>1065100</v>
      </c>
      <c r="AE438" s="54">
        <v>534900</v>
      </c>
      <c r="AG438" s="4"/>
      <c r="AH438" s="4"/>
      <c r="AI438" s="225"/>
      <c r="AJ438" s="226"/>
      <c r="AQ438" s="327" t="e">
        <v>#REF!</v>
      </c>
      <c r="AR438" s="157" t="e">
        <v>#REF!</v>
      </c>
    </row>
    <row r="439" spans="2:45" x14ac:dyDescent="0.25">
      <c r="C439" s="39">
        <v>2019</v>
      </c>
      <c r="D439" s="62" t="s">
        <v>1479</v>
      </c>
      <c r="E439" s="63" t="s">
        <v>1480</v>
      </c>
      <c r="F439" s="64">
        <v>43817</v>
      </c>
      <c r="G439" s="65" t="s">
        <v>1225</v>
      </c>
      <c r="H439" s="94">
        <v>700000</v>
      </c>
      <c r="I439" s="94">
        <v>784102</v>
      </c>
      <c r="J439" s="94"/>
      <c r="K439" s="153">
        <v>0.12014571428571429</v>
      </c>
      <c r="L439" s="11" t="s">
        <v>465</v>
      </c>
      <c r="M439" s="15">
        <v>5</v>
      </c>
      <c r="N439" s="35" t="s">
        <v>25</v>
      </c>
      <c r="O439" s="15">
        <v>4</v>
      </c>
      <c r="P439" s="35" t="s">
        <v>457</v>
      </c>
      <c r="Q439" s="35"/>
      <c r="R439" s="15"/>
      <c r="S439" s="24"/>
      <c r="T439" s="62" t="s">
        <v>1226</v>
      </c>
      <c r="U439" s="62"/>
      <c r="V439" s="94">
        <v>999185.2</v>
      </c>
      <c r="W439" s="199">
        <v>0.78474140729866704</v>
      </c>
      <c r="X439" s="15"/>
      <c r="Y439" s="200">
        <v>1.1201457142857143</v>
      </c>
      <c r="Z439" s="11" t="s">
        <v>465</v>
      </c>
      <c r="AA439" s="11"/>
      <c r="AB439" s="15"/>
      <c r="AC439" s="54">
        <v>700000</v>
      </c>
      <c r="AD439" s="54">
        <v>784102</v>
      </c>
      <c r="AE439" s="54">
        <v>-84102</v>
      </c>
      <c r="AG439" s="4"/>
      <c r="AH439" s="4"/>
      <c r="AI439" s="225"/>
      <c r="AJ439" s="226"/>
      <c r="AQ439" s="327" t="e">
        <v>#REF!</v>
      </c>
      <c r="AR439" s="157" t="e">
        <v>#REF!</v>
      </c>
    </row>
    <row r="440" spans="2:45" x14ac:dyDescent="0.25">
      <c r="C440" s="39">
        <v>2019</v>
      </c>
      <c r="D440" s="62" t="s">
        <v>1481</v>
      </c>
      <c r="E440" s="63" t="s">
        <v>1482</v>
      </c>
      <c r="F440" s="64">
        <v>43775</v>
      </c>
      <c r="G440" s="65" t="s">
        <v>1225</v>
      </c>
      <c r="H440" s="94">
        <v>1200000</v>
      </c>
      <c r="I440" s="94">
        <v>1452000</v>
      </c>
      <c r="J440" s="94"/>
      <c r="K440" s="153">
        <v>0.21</v>
      </c>
      <c r="L440" s="11" t="s">
        <v>465</v>
      </c>
      <c r="M440" s="15">
        <v>4</v>
      </c>
      <c r="N440" s="35" t="s">
        <v>25</v>
      </c>
      <c r="O440" s="15">
        <v>4</v>
      </c>
      <c r="P440" s="35" t="s">
        <v>457</v>
      </c>
      <c r="Q440" s="35"/>
      <c r="R440" s="15"/>
      <c r="S440" s="24"/>
      <c r="T440" s="62" t="s">
        <v>1226</v>
      </c>
      <c r="U440" s="62"/>
      <c r="V440" s="94">
        <v>2500075.75</v>
      </c>
      <c r="W440" s="199">
        <v>0.58078240229321054</v>
      </c>
      <c r="X440" s="15"/>
      <c r="Y440" s="200">
        <v>1.21</v>
      </c>
      <c r="Z440" s="11" t="s">
        <v>465</v>
      </c>
      <c r="AA440" s="11"/>
      <c r="AB440" s="15"/>
      <c r="AC440" s="54">
        <v>1200000</v>
      </c>
      <c r="AD440" s="54">
        <v>1452000</v>
      </c>
      <c r="AE440" s="54">
        <v>-252000</v>
      </c>
      <c r="AG440" s="4"/>
      <c r="AH440" s="4"/>
      <c r="AI440" s="225"/>
      <c r="AJ440" s="226"/>
      <c r="AQ440" s="327" t="e">
        <v>#REF!</v>
      </c>
      <c r="AR440" s="157" t="e">
        <v>#REF!</v>
      </c>
    </row>
    <row r="441" spans="2:45" x14ac:dyDescent="0.25">
      <c r="C441" s="39">
        <v>2019</v>
      </c>
      <c r="D441" s="62" t="s">
        <v>1500</v>
      </c>
      <c r="E441" s="63" t="s">
        <v>1501</v>
      </c>
      <c r="F441" s="64">
        <v>43774</v>
      </c>
      <c r="G441" s="65" t="s">
        <v>1225</v>
      </c>
      <c r="H441" s="94">
        <v>300000</v>
      </c>
      <c r="I441" s="94">
        <v>350400</v>
      </c>
      <c r="J441" s="94"/>
      <c r="K441" s="153">
        <v>0.16800000000000001</v>
      </c>
      <c r="L441" s="11" t="s">
        <v>465</v>
      </c>
      <c r="M441" s="15">
        <v>5</v>
      </c>
      <c r="N441" s="35" t="s">
        <v>93</v>
      </c>
      <c r="O441" s="15">
        <v>4</v>
      </c>
      <c r="P441" s="35" t="s">
        <v>457</v>
      </c>
      <c r="Q441" s="35"/>
      <c r="R441" s="15"/>
      <c r="S441" s="24"/>
      <c r="T441" s="62" t="s">
        <v>1405</v>
      </c>
      <c r="U441" s="62"/>
      <c r="V441" s="94">
        <v>481113.59999999998</v>
      </c>
      <c r="W441" s="199">
        <v>0.72831032005746676</v>
      </c>
      <c r="X441" s="15"/>
      <c r="Y441" s="200">
        <v>1.1679999999999999</v>
      </c>
      <c r="Z441" s="11" t="s">
        <v>465</v>
      </c>
      <c r="AA441" s="11"/>
      <c r="AB441" s="15"/>
      <c r="AC441" s="54">
        <v>300000</v>
      </c>
      <c r="AD441" s="54">
        <v>350400</v>
      </c>
      <c r="AE441" s="54">
        <v>-50400</v>
      </c>
      <c r="AG441" s="4"/>
      <c r="AH441" s="4"/>
      <c r="AI441" s="225"/>
      <c r="AJ441" s="226"/>
      <c r="AQ441" s="327" t="e">
        <v>#REF!</v>
      </c>
      <c r="AR441" s="157" t="e">
        <v>#REF!</v>
      </c>
    </row>
    <row r="442" spans="2:45" x14ac:dyDescent="0.25">
      <c r="C442" s="39">
        <v>2019</v>
      </c>
      <c r="D442" s="62" t="s">
        <v>1483</v>
      </c>
      <c r="E442" s="63" t="s">
        <v>1484</v>
      </c>
      <c r="F442" s="64">
        <v>43767</v>
      </c>
      <c r="G442" s="65" t="s">
        <v>1225</v>
      </c>
      <c r="H442" s="94">
        <v>1196000</v>
      </c>
      <c r="I442" s="94">
        <v>1241000</v>
      </c>
      <c r="J442" s="94"/>
      <c r="K442" s="153">
        <v>3.7625418060200672E-2</v>
      </c>
      <c r="L442" s="11" t="s">
        <v>464</v>
      </c>
      <c r="M442" s="15">
        <v>3</v>
      </c>
      <c r="N442" s="35" t="s">
        <v>25</v>
      </c>
      <c r="O442" s="15">
        <v>4</v>
      </c>
      <c r="P442" s="35" t="s">
        <v>458</v>
      </c>
      <c r="Q442" s="35"/>
      <c r="R442" s="15"/>
      <c r="S442" s="24"/>
      <c r="T442" s="62" t="s">
        <v>1419</v>
      </c>
      <c r="U442" s="62"/>
      <c r="V442" s="94">
        <v>2354464</v>
      </c>
      <c r="W442" s="199">
        <v>0.52708387131848267</v>
      </c>
      <c r="X442" s="15"/>
      <c r="Y442" s="200">
        <v>1.0376254180602007</v>
      </c>
      <c r="Z442" s="11" t="s">
        <v>465</v>
      </c>
      <c r="AA442" s="11"/>
      <c r="AB442" s="15"/>
      <c r="AC442" s="54">
        <v>1196000</v>
      </c>
      <c r="AD442" s="54">
        <v>1241000</v>
      </c>
      <c r="AE442" s="54">
        <v>-45000</v>
      </c>
      <c r="AG442" s="4"/>
      <c r="AH442" s="4"/>
      <c r="AI442" s="225"/>
      <c r="AJ442" s="226"/>
      <c r="AQ442" s="327" t="e">
        <v>#REF!</v>
      </c>
      <c r="AR442" s="157" t="e">
        <v>#REF!</v>
      </c>
    </row>
    <row r="443" spans="2:45" x14ac:dyDescent="0.25">
      <c r="B443" s="203">
        <v>0.5</v>
      </c>
      <c r="C443" s="39">
        <v>2019</v>
      </c>
      <c r="D443" s="62" t="s">
        <v>1516</v>
      </c>
      <c r="E443" s="63" t="s">
        <v>1517</v>
      </c>
      <c r="F443" s="64">
        <v>43740</v>
      </c>
      <c r="G443" s="65" t="s">
        <v>1225</v>
      </c>
      <c r="H443" s="94">
        <v>1260000</v>
      </c>
      <c r="I443" s="94">
        <v>1350135</v>
      </c>
      <c r="J443" s="94"/>
      <c r="K443" s="153">
        <v>7.1535714285714286E-2</v>
      </c>
      <c r="L443" s="11" t="s">
        <v>464</v>
      </c>
      <c r="M443" s="15">
        <v>3</v>
      </c>
      <c r="N443" s="35" t="s">
        <v>226</v>
      </c>
      <c r="O443" s="15">
        <v>4</v>
      </c>
      <c r="P443" s="35" t="s">
        <v>457</v>
      </c>
      <c r="Q443" s="35"/>
      <c r="R443" s="15"/>
      <c r="S443" s="24"/>
      <c r="T443" s="62" t="s">
        <v>1405</v>
      </c>
      <c r="U443" s="62"/>
      <c r="V443" s="94">
        <v>1730878.3333333333</v>
      </c>
      <c r="W443" s="199">
        <v>0.78002882929379791</v>
      </c>
      <c r="X443" s="15"/>
      <c r="Y443" s="200">
        <v>1.0715357142857143</v>
      </c>
      <c r="Z443" s="11" t="s">
        <v>465</v>
      </c>
      <c r="AA443" s="11"/>
      <c r="AB443" s="15"/>
      <c r="AC443" s="54">
        <v>1260000</v>
      </c>
      <c r="AD443" s="54">
        <v>1350135</v>
      </c>
      <c r="AE443" s="54">
        <v>-90135</v>
      </c>
      <c r="AG443" s="4">
        <v>18089000</v>
      </c>
      <c r="AH443" s="4">
        <v>15433737</v>
      </c>
      <c r="AI443" s="204">
        <v>0.85321117806401681</v>
      </c>
      <c r="AJ443" s="1" t="s">
        <v>1240</v>
      </c>
      <c r="AK443" s="205">
        <v>920837479</v>
      </c>
      <c r="AL443" s="205">
        <v>736287302</v>
      </c>
      <c r="AM443" s="206">
        <v>0.79958442047730771</v>
      </c>
      <c r="AN443" s="207" t="s">
        <v>1475</v>
      </c>
      <c r="AO443" s="208"/>
      <c r="AQ443" s="327" t="e">
        <v>#REF!</v>
      </c>
      <c r="AR443" s="157" t="e">
        <v>#REF!</v>
      </c>
    </row>
    <row r="444" spans="2:45" x14ac:dyDescent="0.25">
      <c r="C444" s="39">
        <v>2019</v>
      </c>
      <c r="D444" s="62" t="s">
        <v>1485</v>
      </c>
      <c r="E444" s="63" t="s">
        <v>1486</v>
      </c>
      <c r="F444" s="64">
        <v>43720</v>
      </c>
      <c r="G444" s="65" t="s">
        <v>1225</v>
      </c>
      <c r="H444" s="94">
        <v>1360000</v>
      </c>
      <c r="I444" s="94">
        <v>1843700</v>
      </c>
      <c r="J444" s="94"/>
      <c r="K444" s="153">
        <v>0.35566176470588234</v>
      </c>
      <c r="L444" s="11" t="s">
        <v>465</v>
      </c>
      <c r="M444" s="15">
        <v>5</v>
      </c>
      <c r="N444" s="35" t="s">
        <v>25</v>
      </c>
      <c r="O444" s="15">
        <v>3</v>
      </c>
      <c r="P444" s="35" t="s">
        <v>457</v>
      </c>
      <c r="Q444" s="35"/>
      <c r="R444" s="15"/>
      <c r="S444" s="24"/>
      <c r="T444" s="62" t="s">
        <v>816</v>
      </c>
      <c r="U444" s="62"/>
      <c r="V444" s="94">
        <v>2763542</v>
      </c>
      <c r="W444" s="199">
        <v>0.66715106917137501</v>
      </c>
      <c r="X444" s="15"/>
      <c r="Y444" s="200">
        <v>1.3556617647058824</v>
      </c>
      <c r="Z444" s="11" t="s">
        <v>465</v>
      </c>
      <c r="AA444" s="11"/>
      <c r="AB444" s="15"/>
      <c r="AC444" s="54">
        <v>1360000</v>
      </c>
      <c r="AD444" s="54">
        <v>1843700</v>
      </c>
      <c r="AE444" s="54">
        <v>-483700</v>
      </c>
      <c r="AG444" s="4"/>
      <c r="AH444" s="4"/>
      <c r="AI444" s="225"/>
      <c r="AJ444" s="226"/>
      <c r="AQ444" s="327" t="e">
        <v>#REF!</v>
      </c>
      <c r="AR444" s="157" t="e">
        <v>#REF!</v>
      </c>
    </row>
    <row r="445" spans="2:45" x14ac:dyDescent="0.25">
      <c r="C445" s="39">
        <v>2019</v>
      </c>
      <c r="D445" s="62" t="s">
        <v>1507</v>
      </c>
      <c r="E445" s="63" t="s">
        <v>1508</v>
      </c>
      <c r="F445" s="64">
        <v>43713</v>
      </c>
      <c r="G445" s="65" t="s">
        <v>1225</v>
      </c>
      <c r="H445" s="94">
        <v>2030000</v>
      </c>
      <c r="I445" s="94">
        <v>1887810</v>
      </c>
      <c r="J445" s="94"/>
      <c r="K445" s="153">
        <v>-7.0044334975369452E-2</v>
      </c>
      <c r="L445" s="11" t="s">
        <v>464</v>
      </c>
      <c r="M445" s="15">
        <v>4</v>
      </c>
      <c r="N445" s="35" t="s">
        <v>93</v>
      </c>
      <c r="O445" s="15">
        <v>3</v>
      </c>
      <c r="P445" s="35" t="s">
        <v>458</v>
      </c>
      <c r="Q445" s="35"/>
      <c r="R445" s="15"/>
      <c r="S445" s="24"/>
      <c r="T445" s="62" t="s">
        <v>1419</v>
      </c>
      <c r="U445" s="62"/>
      <c r="V445" s="94">
        <v>2554425</v>
      </c>
      <c r="W445" s="199">
        <v>0.73903520361725239</v>
      </c>
      <c r="X445" s="15"/>
      <c r="Y445" s="200">
        <v>0.92995566502463056</v>
      </c>
      <c r="Z445" s="11" t="s">
        <v>465</v>
      </c>
      <c r="AA445" s="11"/>
      <c r="AB445" s="15"/>
      <c r="AC445" s="54">
        <v>2030000</v>
      </c>
      <c r="AD445" s="54">
        <v>1887810</v>
      </c>
      <c r="AE445" s="54">
        <v>142190</v>
      </c>
      <c r="AG445" s="4"/>
      <c r="AH445" s="4"/>
      <c r="AI445" s="225"/>
      <c r="AJ445" s="226"/>
      <c r="AQ445" s="327" t="e">
        <v>#REF!</v>
      </c>
      <c r="AR445" s="157" t="e">
        <v>#REF!</v>
      </c>
    </row>
    <row r="446" spans="2:45" x14ac:dyDescent="0.25">
      <c r="C446" s="39">
        <v>2019</v>
      </c>
      <c r="D446" s="62" t="s">
        <v>1487</v>
      </c>
      <c r="E446" s="63" t="s">
        <v>1488</v>
      </c>
      <c r="F446" s="64">
        <v>43704</v>
      </c>
      <c r="G446" s="65" t="s">
        <v>1225</v>
      </c>
      <c r="H446" s="94">
        <v>1260000</v>
      </c>
      <c r="I446" s="94">
        <v>1201422</v>
      </c>
      <c r="J446" s="94"/>
      <c r="K446" s="153">
        <v>-4.6490476190476193E-2</v>
      </c>
      <c r="L446" s="11" t="s">
        <v>464</v>
      </c>
      <c r="M446" s="15">
        <v>6</v>
      </c>
      <c r="N446" s="35" t="s">
        <v>25</v>
      </c>
      <c r="O446" s="15">
        <v>3</v>
      </c>
      <c r="P446" s="35" t="s">
        <v>492</v>
      </c>
      <c r="Q446" s="35"/>
      <c r="R446" s="15"/>
      <c r="S446" s="24"/>
      <c r="T446" s="62" t="s">
        <v>1419</v>
      </c>
      <c r="U446" s="62"/>
      <c r="V446" s="94">
        <v>2091721.1666666667</v>
      </c>
      <c r="W446" s="199">
        <v>0.57437005426233112</v>
      </c>
      <c r="X446" s="15"/>
      <c r="Y446" s="200">
        <v>0.95350952380952381</v>
      </c>
      <c r="Z446" s="11" t="s">
        <v>465</v>
      </c>
      <c r="AA446" s="11"/>
      <c r="AB446" s="15"/>
      <c r="AC446" s="54">
        <v>1260000</v>
      </c>
      <c r="AD446" s="54">
        <v>1201422</v>
      </c>
      <c r="AE446" s="54">
        <v>58578</v>
      </c>
      <c r="AG446" s="4"/>
      <c r="AH446" s="4"/>
      <c r="AI446" s="225"/>
      <c r="AJ446" s="226"/>
      <c r="AQ446" s="327" t="e">
        <v>#REF!</v>
      </c>
      <c r="AR446" s="157" t="e">
        <v>#REF!</v>
      </c>
    </row>
    <row r="447" spans="2:45" x14ac:dyDescent="0.25">
      <c r="C447" s="39">
        <v>2019</v>
      </c>
      <c r="D447" s="62" t="s">
        <v>1495</v>
      </c>
      <c r="E447" s="63" t="s">
        <v>1496</v>
      </c>
      <c r="F447" s="64">
        <v>43662</v>
      </c>
      <c r="G447" s="65" t="s">
        <v>1225</v>
      </c>
      <c r="H447" s="94">
        <v>2060000</v>
      </c>
      <c r="I447" s="94">
        <v>2899873</v>
      </c>
      <c r="J447" s="94"/>
      <c r="K447" s="153">
        <v>0.40770533980582524</v>
      </c>
      <c r="L447" s="11" t="s">
        <v>465</v>
      </c>
      <c r="M447" s="15">
        <v>4</v>
      </c>
      <c r="N447" s="35" t="s">
        <v>25</v>
      </c>
      <c r="O447" s="15">
        <v>3</v>
      </c>
      <c r="P447" s="35" t="s">
        <v>457</v>
      </c>
      <c r="Q447" s="35"/>
      <c r="R447" s="15"/>
      <c r="S447" s="24"/>
      <c r="T447" s="62" t="s">
        <v>1405</v>
      </c>
      <c r="U447" s="62"/>
      <c r="V447" s="94">
        <v>4043908.25</v>
      </c>
      <c r="W447" s="199">
        <v>0.71709663541451518</v>
      </c>
      <c r="X447" s="15"/>
      <c r="Y447" s="200">
        <v>1.4077053398058252</v>
      </c>
      <c r="Z447" s="11" t="s">
        <v>465</v>
      </c>
      <c r="AA447" s="11"/>
      <c r="AB447" s="15"/>
      <c r="AC447" s="54">
        <v>2060000</v>
      </c>
      <c r="AD447" s="54">
        <v>2899873</v>
      </c>
      <c r="AE447" s="54">
        <v>-839873</v>
      </c>
      <c r="AG447" s="4"/>
      <c r="AH447" s="4"/>
      <c r="AI447" s="225"/>
      <c r="AJ447" s="226"/>
      <c r="AQ447" s="327" t="e">
        <v>#REF!</v>
      </c>
      <c r="AR447" s="157" t="e">
        <v>#REF!</v>
      </c>
    </row>
    <row r="448" spans="2:45" x14ac:dyDescent="0.25">
      <c r="B448" s="203">
        <v>0.7857142857142857</v>
      </c>
      <c r="C448" s="39">
        <v>2019</v>
      </c>
      <c r="D448" s="62" t="s">
        <v>1511</v>
      </c>
      <c r="E448" s="63" t="s">
        <v>1512</v>
      </c>
      <c r="F448" s="64">
        <v>43655</v>
      </c>
      <c r="G448" s="65" t="s">
        <v>1225</v>
      </c>
      <c r="H448" s="94">
        <v>400000</v>
      </c>
      <c r="I448" s="94">
        <v>396784</v>
      </c>
      <c r="J448" s="94"/>
      <c r="K448" s="153">
        <v>-8.0400000000000003E-3</v>
      </c>
      <c r="L448" s="11" t="s">
        <v>464</v>
      </c>
      <c r="M448" s="15">
        <v>6</v>
      </c>
      <c r="N448" s="35" t="s">
        <v>93</v>
      </c>
      <c r="O448" s="15">
        <v>3</v>
      </c>
      <c r="P448" s="35" t="s">
        <v>457</v>
      </c>
      <c r="Q448" s="35"/>
      <c r="R448" s="15"/>
      <c r="S448" s="24"/>
      <c r="T448" s="62" t="s">
        <v>447</v>
      </c>
      <c r="U448" s="62"/>
      <c r="V448" s="94">
        <v>586062</v>
      </c>
      <c r="W448" s="199">
        <v>0.67703417044613023</v>
      </c>
      <c r="X448" s="15"/>
      <c r="Y448" s="200">
        <v>0.99195999999999995</v>
      </c>
      <c r="Z448" s="11" t="s">
        <v>465</v>
      </c>
      <c r="AA448" s="11"/>
      <c r="AB448" s="15"/>
      <c r="AC448" s="54">
        <v>400000</v>
      </c>
      <c r="AD448" s="54">
        <v>396784</v>
      </c>
      <c r="AE448" s="54">
        <v>3216</v>
      </c>
      <c r="AG448" s="4">
        <v>541526979</v>
      </c>
      <c r="AH448" s="4">
        <v>392783727</v>
      </c>
      <c r="AI448" s="204">
        <v>0.7253262390090448</v>
      </c>
      <c r="AJ448" s="1" t="s">
        <v>1240</v>
      </c>
      <c r="AK448" s="205">
        <v>902748479</v>
      </c>
      <c r="AL448" s="205">
        <v>720853565</v>
      </c>
      <c r="AM448" s="206">
        <v>0.79850986378676581</v>
      </c>
      <c r="AN448" s="207" t="s">
        <v>1475</v>
      </c>
      <c r="AO448" s="208"/>
      <c r="AQ448" s="327" t="e">
        <v>#REF!</v>
      </c>
      <c r="AR448" s="157" t="e">
        <v>#REF!</v>
      </c>
      <c r="AS448" s="104"/>
    </row>
    <row r="449" spans="2:45" x14ac:dyDescent="0.25">
      <c r="C449" s="39">
        <v>2019</v>
      </c>
      <c r="D449" s="62" t="s">
        <v>1394</v>
      </c>
      <c r="E449" s="63" t="s">
        <v>1395</v>
      </c>
      <c r="F449" s="64">
        <v>43567</v>
      </c>
      <c r="G449" s="65" t="s">
        <v>1225</v>
      </c>
      <c r="H449" s="94">
        <v>1216000</v>
      </c>
      <c r="I449" s="94">
        <v>1300529</v>
      </c>
      <c r="J449" s="94"/>
      <c r="K449" s="153">
        <v>6.9513980263157901E-2</v>
      </c>
      <c r="L449" s="11" t="s">
        <v>464</v>
      </c>
      <c r="M449" s="15">
        <v>4</v>
      </c>
      <c r="N449" s="35" t="s">
        <v>25</v>
      </c>
      <c r="O449" s="15">
        <v>2</v>
      </c>
      <c r="P449" s="35" t="s">
        <v>459</v>
      </c>
      <c r="Q449" s="35"/>
      <c r="R449" s="15"/>
      <c r="S449" s="24"/>
      <c r="T449" s="62" t="s">
        <v>447</v>
      </c>
      <c r="U449" s="62"/>
      <c r="V449" s="94">
        <v>2569805</v>
      </c>
      <c r="W449" s="199">
        <v>0.50608081157908869</v>
      </c>
      <c r="X449" s="15"/>
      <c r="Y449" s="200">
        <v>1.0695139802631579</v>
      </c>
      <c r="Z449" s="11" t="s">
        <v>465</v>
      </c>
      <c r="AA449" s="11"/>
      <c r="AB449" s="15"/>
      <c r="AC449" s="54">
        <v>1216000</v>
      </c>
      <c r="AD449" s="54">
        <v>1300529</v>
      </c>
      <c r="AE449" s="54">
        <v>-84529</v>
      </c>
      <c r="AG449" s="4"/>
      <c r="AH449" s="4"/>
      <c r="AI449" s="225"/>
      <c r="AJ449" s="226"/>
      <c r="AQ449" s="327" t="e">
        <v>#REF!</v>
      </c>
      <c r="AR449" s="157" t="e">
        <v>#REF!</v>
      </c>
      <c r="AS449" s="104"/>
    </row>
    <row r="450" spans="2:45" x14ac:dyDescent="0.25">
      <c r="C450" s="39">
        <v>2019</v>
      </c>
      <c r="D450" s="62" t="s">
        <v>1497</v>
      </c>
      <c r="E450" s="63" t="s">
        <v>1396</v>
      </c>
      <c r="F450" s="64">
        <v>43545</v>
      </c>
      <c r="G450" s="65" t="s">
        <v>1225</v>
      </c>
      <c r="H450" s="94">
        <v>1151000</v>
      </c>
      <c r="I450" s="94">
        <v>1762891</v>
      </c>
      <c r="J450" s="94"/>
      <c r="K450" s="153">
        <v>0.53161685490877497</v>
      </c>
      <c r="L450" s="11" t="s">
        <v>465</v>
      </c>
      <c r="M450" s="15">
        <v>4</v>
      </c>
      <c r="N450" s="35" t="s">
        <v>25</v>
      </c>
      <c r="O450" s="15">
        <v>1</v>
      </c>
      <c r="P450" s="35" t="s">
        <v>457</v>
      </c>
      <c r="Q450" s="35"/>
      <c r="R450" s="15"/>
      <c r="S450" s="24"/>
      <c r="T450" s="62" t="s">
        <v>1226</v>
      </c>
      <c r="U450" s="62"/>
      <c r="V450" s="94">
        <v>2446945.25</v>
      </c>
      <c r="W450" s="199">
        <v>0.72044562500938669</v>
      </c>
      <c r="X450" s="15"/>
      <c r="Y450" s="200">
        <v>1.531616854908775</v>
      </c>
      <c r="Z450" s="11" t="s">
        <v>465</v>
      </c>
      <c r="AA450" s="11"/>
      <c r="AB450" s="15"/>
      <c r="AC450" s="54">
        <v>1151000</v>
      </c>
      <c r="AD450" s="54">
        <v>1762891</v>
      </c>
      <c r="AE450" s="54">
        <v>-611891</v>
      </c>
      <c r="AG450" s="4"/>
      <c r="AH450" s="4"/>
      <c r="AI450" s="225"/>
      <c r="AJ450" s="226"/>
      <c r="AQ450" s="327" t="e">
        <v>#REF!</v>
      </c>
      <c r="AR450" s="157" t="e">
        <v>#REF!</v>
      </c>
    </row>
    <row r="451" spans="2:45" x14ac:dyDescent="0.25">
      <c r="C451" s="39">
        <v>2019</v>
      </c>
      <c r="D451" s="62" t="s">
        <v>1397</v>
      </c>
      <c r="E451" s="63" t="s">
        <v>1398</v>
      </c>
      <c r="F451" s="64">
        <v>43531</v>
      </c>
      <c r="G451" s="65" t="s">
        <v>1225</v>
      </c>
      <c r="H451" s="94">
        <v>2460000</v>
      </c>
      <c r="I451" s="94">
        <v>2542676</v>
      </c>
      <c r="J451" s="94"/>
      <c r="K451" s="153">
        <v>3.3608130081300813E-2</v>
      </c>
      <c r="L451" s="11" t="s">
        <v>464</v>
      </c>
      <c r="M451" s="15">
        <v>4</v>
      </c>
      <c r="N451" s="35" t="s">
        <v>93</v>
      </c>
      <c r="O451" s="15">
        <v>1</v>
      </c>
      <c r="P451" s="35" t="s">
        <v>458</v>
      </c>
      <c r="Q451" s="35"/>
      <c r="R451" s="15"/>
      <c r="S451" s="24"/>
      <c r="T451" s="62" t="s">
        <v>784</v>
      </c>
      <c r="U451" s="62"/>
      <c r="V451" s="94">
        <v>2777662.25</v>
      </c>
      <c r="W451" s="199">
        <v>0.91540143154553799</v>
      </c>
      <c r="X451" s="15"/>
      <c r="Y451" s="200">
        <v>1.0336081300813007</v>
      </c>
      <c r="Z451" s="11" t="s">
        <v>465</v>
      </c>
      <c r="AA451" s="11"/>
      <c r="AB451" s="15"/>
      <c r="AC451" s="54">
        <v>2460000</v>
      </c>
      <c r="AD451" s="54">
        <v>2542676</v>
      </c>
      <c r="AE451" s="54">
        <v>-82676</v>
      </c>
      <c r="AG451" s="4"/>
      <c r="AH451" s="4"/>
      <c r="AI451" s="225"/>
      <c r="AJ451" s="226"/>
      <c r="AQ451" s="327" t="e">
        <v>#REF!</v>
      </c>
      <c r="AR451" s="157" t="e">
        <v>#REF!</v>
      </c>
    </row>
    <row r="452" spans="2:45" x14ac:dyDescent="0.25">
      <c r="C452" s="39">
        <v>2019</v>
      </c>
      <c r="D452" s="62" t="s">
        <v>1399</v>
      </c>
      <c r="E452" s="63" t="s">
        <v>1400</v>
      </c>
      <c r="F452" s="64">
        <v>43503</v>
      </c>
      <c r="G452" s="65" t="s">
        <v>1225</v>
      </c>
      <c r="H452" s="94">
        <v>1130000</v>
      </c>
      <c r="I452" s="94">
        <v>1686000</v>
      </c>
      <c r="J452" s="94"/>
      <c r="K452" s="153">
        <v>0.49203539823008852</v>
      </c>
      <c r="L452" s="11" t="s">
        <v>465</v>
      </c>
      <c r="M452" s="15">
        <v>2</v>
      </c>
      <c r="N452" s="35" t="s">
        <v>25</v>
      </c>
      <c r="O452" s="15">
        <v>1</v>
      </c>
      <c r="P452" s="35" t="s">
        <v>457</v>
      </c>
      <c r="Q452" s="35"/>
      <c r="R452" s="15"/>
      <c r="S452" s="24"/>
      <c r="T452" s="62" t="s">
        <v>784</v>
      </c>
      <c r="U452" s="62"/>
      <c r="V452" s="94">
        <v>1933500</v>
      </c>
      <c r="W452" s="199">
        <v>0.8719937936384794</v>
      </c>
      <c r="X452" s="15"/>
      <c r="Y452" s="200">
        <v>1.4920353982300885</v>
      </c>
      <c r="Z452" s="11" t="s">
        <v>465</v>
      </c>
      <c r="AA452" s="11"/>
      <c r="AB452" s="15"/>
      <c r="AC452" s="54">
        <v>1130000</v>
      </c>
      <c r="AD452" s="54">
        <v>1686000</v>
      </c>
      <c r="AE452" s="54">
        <v>-556000</v>
      </c>
      <c r="AG452" s="4"/>
      <c r="AH452" s="4"/>
      <c r="AI452" s="225"/>
      <c r="AJ452" s="226"/>
      <c r="AQ452" s="327" t="e">
        <v>#REF!</v>
      </c>
      <c r="AR452" s="157" t="e">
        <v>#REF!</v>
      </c>
    </row>
    <row r="453" spans="2:45" x14ac:dyDescent="0.25">
      <c r="C453" s="39">
        <v>2019</v>
      </c>
      <c r="D453" s="62" t="s">
        <v>1401</v>
      </c>
      <c r="E453" s="63" t="s">
        <v>1402</v>
      </c>
      <c r="F453" s="64">
        <v>43503</v>
      </c>
      <c r="G453" s="65" t="s">
        <v>1225</v>
      </c>
      <c r="H453" s="94">
        <v>684000</v>
      </c>
      <c r="I453" s="94">
        <v>615000</v>
      </c>
      <c r="J453" s="94"/>
      <c r="K453" s="153">
        <v>-0.10087719298245613</v>
      </c>
      <c r="L453" s="11" t="s">
        <v>464</v>
      </c>
      <c r="M453" s="15">
        <v>5</v>
      </c>
      <c r="N453" s="35" t="s">
        <v>93</v>
      </c>
      <c r="O453" s="15">
        <v>1</v>
      </c>
      <c r="P453" s="35" t="s">
        <v>458</v>
      </c>
      <c r="Q453" s="35"/>
      <c r="R453" s="15"/>
      <c r="S453" s="24"/>
      <c r="T453" s="62" t="s">
        <v>784</v>
      </c>
      <c r="U453" s="62"/>
      <c r="V453" s="94">
        <v>924493.4</v>
      </c>
      <c r="W453" s="199">
        <v>0.66522919471355879</v>
      </c>
      <c r="X453" s="15"/>
      <c r="Y453" s="200">
        <v>0.89912280701754388</v>
      </c>
      <c r="Z453" s="11" t="s">
        <v>465</v>
      </c>
      <c r="AA453" s="11"/>
      <c r="AB453" s="15"/>
      <c r="AC453" s="54">
        <v>684000</v>
      </c>
      <c r="AD453" s="54">
        <v>615000</v>
      </c>
      <c r="AE453" s="54">
        <v>69000</v>
      </c>
      <c r="AG453" s="4"/>
      <c r="AH453" s="4"/>
      <c r="AI453" s="225"/>
      <c r="AJ453" s="226"/>
      <c r="AQ453" s="327" t="e">
        <v>#REF!</v>
      </c>
      <c r="AR453" s="157" t="e">
        <v>#REF!</v>
      </c>
    </row>
    <row r="454" spans="2:45" x14ac:dyDescent="0.25">
      <c r="B454" s="52"/>
      <c r="C454" s="39"/>
    </row>
    <row r="455" spans="2:45" x14ac:dyDescent="0.25">
      <c r="B455" s="52"/>
      <c r="C455" s="39"/>
    </row>
    <row r="456" spans="2:45" x14ac:dyDescent="0.25">
      <c r="C456" s="39">
        <v>2019</v>
      </c>
      <c r="D456" s="62" t="s">
        <v>1522</v>
      </c>
      <c r="E456" s="63" t="s">
        <v>717</v>
      </c>
      <c r="F456" s="64">
        <v>43685</v>
      </c>
      <c r="G456" s="65" t="s">
        <v>190</v>
      </c>
      <c r="H456" s="94">
        <v>1755000</v>
      </c>
      <c r="I456" s="94">
        <v>1312300</v>
      </c>
      <c r="J456" s="94"/>
      <c r="K456" s="153">
        <v>-0.25225071225071227</v>
      </c>
      <c r="L456" s="11" t="s">
        <v>464</v>
      </c>
      <c r="M456" s="15">
        <v>7</v>
      </c>
      <c r="N456" s="35" t="s">
        <v>226</v>
      </c>
      <c r="O456" s="15">
        <v>3</v>
      </c>
      <c r="P456" s="35" t="s">
        <v>457</v>
      </c>
      <c r="Q456" s="35"/>
      <c r="R456" s="15"/>
      <c r="S456" s="24"/>
      <c r="T456" s="62" t="s">
        <v>1405</v>
      </c>
      <c r="U456" s="62"/>
      <c r="V456" s="94">
        <v>2001831.7142857143</v>
      </c>
      <c r="W456" s="199">
        <v>0.65554961020699465</v>
      </c>
      <c r="X456" s="15"/>
      <c r="Y456" s="200">
        <v>0.74774928774928773</v>
      </c>
      <c r="Z456" s="11" t="s">
        <v>465</v>
      </c>
      <c r="AA456" s="11"/>
      <c r="AB456" s="15"/>
      <c r="AC456" s="54">
        <v>1755000</v>
      </c>
      <c r="AD456" s="54">
        <v>1312300</v>
      </c>
      <c r="AE456" s="54">
        <v>442700</v>
      </c>
      <c r="AG456" s="4"/>
      <c r="AH456" s="4"/>
      <c r="AI456" s="225"/>
      <c r="AJ456" s="226"/>
      <c r="AQ456" s="327" t="e">
        <v>#REF!</v>
      </c>
      <c r="AR456" s="157" t="e">
        <v>#REF!</v>
      </c>
    </row>
    <row r="457" spans="2:45" x14ac:dyDescent="0.25">
      <c r="C457" s="39">
        <v>2019</v>
      </c>
      <c r="D457" s="62" t="s">
        <v>1406</v>
      </c>
      <c r="E457" s="63" t="s">
        <v>1407</v>
      </c>
      <c r="F457" s="64">
        <v>43587</v>
      </c>
      <c r="G457" s="65" t="s">
        <v>190</v>
      </c>
      <c r="H457" s="94">
        <v>38200000</v>
      </c>
      <c r="I457" s="94">
        <v>40811000</v>
      </c>
      <c r="J457" s="94"/>
      <c r="K457" s="153">
        <v>6.8350785340314135E-2</v>
      </c>
      <c r="L457" s="11" t="s">
        <v>464</v>
      </c>
      <c r="M457" s="15">
        <v>5</v>
      </c>
      <c r="N457" s="35" t="s">
        <v>25</v>
      </c>
      <c r="O457" s="15">
        <v>2</v>
      </c>
      <c r="P457" s="35" t="s">
        <v>459</v>
      </c>
      <c r="Q457" s="35"/>
      <c r="R457" s="15"/>
      <c r="S457" s="24"/>
      <c r="T457" s="62" t="s">
        <v>447</v>
      </c>
      <c r="U457" s="62"/>
      <c r="V457" s="94">
        <v>42801714</v>
      </c>
      <c r="W457" s="199">
        <v>0.95348985323344759</v>
      </c>
      <c r="X457" s="15"/>
      <c r="Y457" s="200">
        <v>1.0683507853403142</v>
      </c>
      <c r="Z457" s="11" t="s">
        <v>465</v>
      </c>
      <c r="AA457" s="11"/>
      <c r="AB457" s="15"/>
      <c r="AC457" s="54">
        <v>38200000</v>
      </c>
      <c r="AD457" s="54">
        <v>40811000</v>
      </c>
      <c r="AE457" s="54">
        <v>-2611000</v>
      </c>
      <c r="AG457" s="4"/>
      <c r="AH457" s="4"/>
      <c r="AI457" s="225"/>
      <c r="AJ457" s="226"/>
      <c r="AQ457" s="327" t="e">
        <v>#REF!</v>
      </c>
      <c r="AR457" s="157" t="e">
        <v>#REF!</v>
      </c>
      <c r="AS457" s="104"/>
    </row>
    <row r="458" spans="2:45" x14ac:dyDescent="0.25">
      <c r="C458" s="39">
        <v>2019</v>
      </c>
      <c r="D458" s="62" t="s">
        <v>1408</v>
      </c>
      <c r="E458" s="63" t="s">
        <v>1409</v>
      </c>
      <c r="F458" s="64">
        <v>43586</v>
      </c>
      <c r="G458" s="65" t="s">
        <v>190</v>
      </c>
      <c r="H458" s="94">
        <v>44840000</v>
      </c>
      <c r="I458" s="94">
        <v>48311245</v>
      </c>
      <c r="J458" s="94"/>
      <c r="K458" s="153">
        <v>7.741402765388046E-2</v>
      </c>
      <c r="L458" s="11" t="s">
        <v>464</v>
      </c>
      <c r="M458" s="15">
        <v>7</v>
      </c>
      <c r="N458" s="35" t="s">
        <v>25</v>
      </c>
      <c r="O458" s="15">
        <v>2</v>
      </c>
      <c r="P458" s="35" t="s">
        <v>459</v>
      </c>
      <c r="Q458" s="35"/>
      <c r="R458" s="15"/>
      <c r="S458" s="24"/>
      <c r="T458" s="62" t="s">
        <v>447</v>
      </c>
      <c r="U458" s="62"/>
      <c r="V458" s="94">
        <v>57681258.285714284</v>
      </c>
      <c r="W458" s="199">
        <v>0.83755532448162762</v>
      </c>
      <c r="X458" s="15"/>
      <c r="Y458" s="200">
        <v>1.0774140276538804</v>
      </c>
      <c r="Z458" s="11" t="s">
        <v>465</v>
      </c>
      <c r="AA458" s="11"/>
      <c r="AB458" s="15"/>
      <c r="AC458" s="54">
        <v>44840000</v>
      </c>
      <c r="AD458" s="54">
        <v>48311245</v>
      </c>
      <c r="AE458" s="54">
        <v>-3471245</v>
      </c>
      <c r="AG458" s="4"/>
      <c r="AH458" s="4"/>
      <c r="AI458" s="225"/>
      <c r="AJ458" s="226"/>
      <c r="AQ458" s="327" t="e">
        <v>#REF!</v>
      </c>
      <c r="AR458" s="157" t="e">
        <v>#REF!</v>
      </c>
      <c r="AS458" s="104"/>
    </row>
    <row r="459" spans="2:45" x14ac:dyDescent="0.25">
      <c r="C459" s="39">
        <v>2019</v>
      </c>
      <c r="D459" s="62" t="s">
        <v>1410</v>
      </c>
      <c r="E459" s="63" t="s">
        <v>1411</v>
      </c>
      <c r="F459" s="64">
        <v>43516</v>
      </c>
      <c r="G459" s="65" t="s">
        <v>190</v>
      </c>
      <c r="H459" s="94">
        <v>1790000</v>
      </c>
      <c r="I459" s="94">
        <v>1443785</v>
      </c>
      <c r="J459" s="94"/>
      <c r="K459" s="153">
        <v>-0.19341620111731844</v>
      </c>
      <c r="L459" s="11" t="s">
        <v>464</v>
      </c>
      <c r="M459" s="15">
        <v>7</v>
      </c>
      <c r="N459" s="35" t="s">
        <v>226</v>
      </c>
      <c r="O459" s="15">
        <v>1</v>
      </c>
      <c r="P459" s="35" t="s">
        <v>457</v>
      </c>
      <c r="Q459" s="35"/>
      <c r="R459" s="15"/>
      <c r="S459" s="24"/>
      <c r="T459" s="62" t="s">
        <v>1226</v>
      </c>
      <c r="U459" s="62"/>
      <c r="V459" s="94">
        <v>3495752.1428571427</v>
      </c>
      <c r="W459" s="199">
        <v>0.41301126080980327</v>
      </c>
      <c r="X459" s="15"/>
      <c r="Y459" s="200">
        <v>0.80658379888268161</v>
      </c>
      <c r="Z459" s="11" t="s">
        <v>465</v>
      </c>
      <c r="AA459" s="11"/>
      <c r="AB459" s="15"/>
      <c r="AC459" s="54">
        <v>1790000</v>
      </c>
      <c r="AD459" s="54">
        <v>1443785</v>
      </c>
      <c r="AE459" s="54">
        <v>346215</v>
      </c>
      <c r="AG459" s="4"/>
      <c r="AH459" s="4"/>
      <c r="AI459" s="225"/>
      <c r="AJ459" s="226"/>
      <c r="AQ459" s="327" t="e">
        <v>#REF!</v>
      </c>
      <c r="AR459" s="157" t="e">
        <v>#REF!</v>
      </c>
    </row>
    <row r="460" spans="2:45" x14ac:dyDescent="0.25">
      <c r="C460" s="39">
        <v>2019</v>
      </c>
      <c r="D460" s="62" t="s">
        <v>1412</v>
      </c>
      <c r="E460" s="63" t="s">
        <v>1317</v>
      </c>
      <c r="F460" s="64">
        <v>43516</v>
      </c>
      <c r="G460" s="65" t="s">
        <v>190</v>
      </c>
      <c r="H460" s="94">
        <v>1880000</v>
      </c>
      <c r="I460" s="94">
        <v>1101828</v>
      </c>
      <c r="J460" s="94"/>
      <c r="K460" s="153">
        <v>-0.41392127659574468</v>
      </c>
      <c r="L460" s="11" t="s">
        <v>464</v>
      </c>
      <c r="M460" s="15">
        <v>6</v>
      </c>
      <c r="N460" s="35" t="s">
        <v>226</v>
      </c>
      <c r="O460" s="15">
        <v>1</v>
      </c>
      <c r="P460" s="35" t="s">
        <v>457</v>
      </c>
      <c r="Q460" s="35"/>
      <c r="R460" s="15"/>
      <c r="S460" s="24"/>
      <c r="T460" s="62" t="s">
        <v>1405</v>
      </c>
      <c r="U460" s="62"/>
      <c r="V460" s="94">
        <v>3114163.5</v>
      </c>
      <c r="W460" s="199">
        <v>0.35381186633264439</v>
      </c>
      <c r="X460" s="15"/>
      <c r="Y460" s="200">
        <v>0.58607872340425526</v>
      </c>
      <c r="Z460" s="11" t="s">
        <v>465</v>
      </c>
      <c r="AA460" s="11"/>
      <c r="AB460" s="15"/>
      <c r="AC460" s="54">
        <v>1880000</v>
      </c>
      <c r="AD460" s="54">
        <v>1101828</v>
      </c>
      <c r="AE460" s="54">
        <v>778172</v>
      </c>
      <c r="AG460" s="4"/>
      <c r="AH460" s="4"/>
      <c r="AI460" s="225"/>
      <c r="AJ460" s="226"/>
      <c r="AQ460" s="327" t="e">
        <v>#REF!</v>
      </c>
      <c r="AR460" s="157" t="e">
        <v>#REF!</v>
      </c>
    </row>
    <row r="461" spans="2:45" x14ac:dyDescent="0.25">
      <c r="C461" s="39">
        <v>2019</v>
      </c>
      <c r="D461" s="62" t="s">
        <v>1413</v>
      </c>
      <c r="E461" s="63" t="s">
        <v>1414</v>
      </c>
      <c r="F461" s="64">
        <v>43501</v>
      </c>
      <c r="G461" s="65" t="s">
        <v>190</v>
      </c>
      <c r="H461" s="94">
        <v>13910000</v>
      </c>
      <c r="I461" s="94">
        <v>11745510</v>
      </c>
      <c r="J461" s="94"/>
      <c r="K461" s="153">
        <v>-0.15560675772825305</v>
      </c>
      <c r="L461" s="11" t="s">
        <v>464</v>
      </c>
      <c r="M461" s="15">
        <v>4</v>
      </c>
      <c r="N461" s="35" t="s">
        <v>25</v>
      </c>
      <c r="O461" s="15">
        <v>1</v>
      </c>
      <c r="P461" s="35" t="s">
        <v>492</v>
      </c>
      <c r="Q461" s="35"/>
      <c r="R461" s="15"/>
      <c r="S461" s="24"/>
      <c r="T461" s="62" t="s">
        <v>816</v>
      </c>
      <c r="U461" s="62"/>
      <c r="V461" s="94">
        <v>15613590</v>
      </c>
      <c r="W461" s="199">
        <v>0.75226197178227427</v>
      </c>
      <c r="X461" s="15"/>
      <c r="Y461" s="200">
        <v>0.84439324227174695</v>
      </c>
      <c r="Z461" s="11" t="s">
        <v>465</v>
      </c>
      <c r="AA461" s="11"/>
      <c r="AB461" s="15"/>
      <c r="AC461" s="54">
        <v>13910000</v>
      </c>
      <c r="AD461" s="54">
        <v>11745510</v>
      </c>
      <c r="AE461" s="54">
        <v>2164490</v>
      </c>
      <c r="AG461" s="4"/>
      <c r="AH461" s="4"/>
      <c r="AI461" s="225"/>
      <c r="AJ461" s="226"/>
      <c r="AQ461" s="327" t="e">
        <v>#REF!</v>
      </c>
      <c r="AR461" s="157" t="e">
        <v>#REF!</v>
      </c>
    </row>
    <row r="462" spans="2:45" x14ac:dyDescent="0.25">
      <c r="B462" s="52"/>
      <c r="C462" s="39"/>
    </row>
    <row r="463" spans="2:45" x14ac:dyDescent="0.25">
      <c r="B463" s="52"/>
      <c r="C463" s="39"/>
    </row>
    <row r="464" spans="2:45" ht="15.95" customHeight="1" x14ac:dyDescent="0.25">
      <c r="C464" s="39">
        <v>2019</v>
      </c>
      <c r="D464" s="62" t="s">
        <v>1498</v>
      </c>
      <c r="E464" s="63" t="s">
        <v>1499</v>
      </c>
      <c r="F464" s="64">
        <v>43776</v>
      </c>
      <c r="G464" s="65" t="s">
        <v>34</v>
      </c>
      <c r="H464" s="94">
        <v>3373000</v>
      </c>
      <c r="I464" s="94">
        <v>1396000</v>
      </c>
      <c r="J464" s="94"/>
      <c r="K464" s="153">
        <v>-0.58612511117699373</v>
      </c>
      <c r="L464" s="11" t="s">
        <v>465</v>
      </c>
      <c r="M464" s="15">
        <v>7</v>
      </c>
      <c r="N464" s="35" t="s">
        <v>93</v>
      </c>
      <c r="O464" s="15">
        <v>4</v>
      </c>
      <c r="P464" s="35" t="s">
        <v>1474</v>
      </c>
      <c r="Q464" s="35"/>
      <c r="R464" s="15"/>
      <c r="S464" s="24"/>
      <c r="T464" s="62" t="s">
        <v>447</v>
      </c>
      <c r="U464" s="62"/>
      <c r="V464" s="94">
        <v>2901872.1428571427</v>
      </c>
      <c r="W464" s="199">
        <v>0.48106874847543002</v>
      </c>
      <c r="X464" s="15"/>
      <c r="Y464" s="200">
        <v>0.41387488882300622</v>
      </c>
      <c r="Z464" s="11" t="s">
        <v>465</v>
      </c>
      <c r="AA464" s="11"/>
      <c r="AB464" s="15"/>
      <c r="AC464" s="54">
        <v>3373000</v>
      </c>
      <c r="AD464" s="54">
        <v>1396000</v>
      </c>
      <c r="AE464" s="54">
        <v>1977000</v>
      </c>
      <c r="AG464" s="4"/>
      <c r="AH464" s="4"/>
      <c r="AI464" s="225"/>
      <c r="AJ464" s="226"/>
      <c r="AQ464" s="327" t="e">
        <v>#REF!</v>
      </c>
      <c r="AR464" s="157" t="e">
        <v>#REF!</v>
      </c>
    </row>
    <row r="465" spans="3:45" ht="15.95" customHeight="1" x14ac:dyDescent="0.25">
      <c r="C465" s="39">
        <v>2019</v>
      </c>
      <c r="D465" s="62" t="s">
        <v>1502</v>
      </c>
      <c r="E465" s="63" t="s">
        <v>1503</v>
      </c>
      <c r="F465" s="64">
        <v>43740</v>
      </c>
      <c r="G465" s="65" t="s">
        <v>1504</v>
      </c>
      <c r="H465" s="94">
        <v>8460000</v>
      </c>
      <c r="I465" s="94">
        <v>7795000</v>
      </c>
      <c r="J465" s="94"/>
      <c r="K465" s="153">
        <v>-7.860520094562648E-2</v>
      </c>
      <c r="L465" s="11" t="s">
        <v>464</v>
      </c>
      <c r="M465" s="15">
        <v>7</v>
      </c>
      <c r="N465" s="35" t="s">
        <v>93</v>
      </c>
      <c r="O465" s="15">
        <v>4</v>
      </c>
      <c r="P465" s="35" t="s">
        <v>457</v>
      </c>
      <c r="Q465" s="35"/>
      <c r="R465" s="15"/>
      <c r="S465" s="24"/>
      <c r="T465" s="62" t="s">
        <v>1405</v>
      </c>
      <c r="U465" s="62"/>
      <c r="V465" s="94">
        <v>12539160.857142856</v>
      </c>
      <c r="W465" s="199">
        <v>0.62165244459397984</v>
      </c>
      <c r="X465" s="15"/>
      <c r="Y465" s="200">
        <v>0.92139479905437349</v>
      </c>
      <c r="Z465" s="11" t="s">
        <v>465</v>
      </c>
      <c r="AA465" s="11"/>
      <c r="AB465" s="15"/>
      <c r="AC465" s="54">
        <v>8460000</v>
      </c>
      <c r="AD465" s="54">
        <v>7795000</v>
      </c>
      <c r="AE465" s="54">
        <v>665000</v>
      </c>
      <c r="AG465" s="4"/>
      <c r="AH465" s="4"/>
      <c r="AI465" s="225"/>
      <c r="AJ465" s="226"/>
      <c r="AQ465" s="327" t="e">
        <v>#REF!</v>
      </c>
      <c r="AR465" s="157" t="e">
        <v>#REF!</v>
      </c>
    </row>
    <row r="466" spans="3:45" ht="15.95" customHeight="1" x14ac:dyDescent="0.25">
      <c r="C466" s="39">
        <v>2019</v>
      </c>
      <c r="D466" s="62" t="s">
        <v>1505</v>
      </c>
      <c r="E466" s="63" t="s">
        <v>1506</v>
      </c>
      <c r="F466" s="64">
        <v>43727</v>
      </c>
      <c r="G466" s="65" t="s">
        <v>34</v>
      </c>
      <c r="H466" s="94">
        <v>3840000</v>
      </c>
      <c r="I466" s="94">
        <v>2936000</v>
      </c>
      <c r="J466" s="94"/>
      <c r="K466" s="153">
        <v>-0.23541666666666666</v>
      </c>
      <c r="L466" s="11" t="s">
        <v>464</v>
      </c>
      <c r="M466" s="15">
        <v>11</v>
      </c>
      <c r="N466" s="35" t="s">
        <v>93</v>
      </c>
      <c r="O466" s="15">
        <v>3</v>
      </c>
      <c r="P466" s="35" t="s">
        <v>458</v>
      </c>
      <c r="Q466" s="35"/>
      <c r="R466" s="15"/>
      <c r="S466" s="24"/>
      <c r="T466" s="62" t="s">
        <v>1419</v>
      </c>
      <c r="U466" s="62"/>
      <c r="V466" s="94">
        <v>4681438.8181818184</v>
      </c>
      <c r="W466" s="199">
        <v>0.62715761414997762</v>
      </c>
      <c r="X466" s="15"/>
      <c r="Y466" s="200">
        <v>0.76458333333333328</v>
      </c>
      <c r="Z466" s="11" t="s">
        <v>465</v>
      </c>
      <c r="AA466" s="11"/>
      <c r="AB466" s="15"/>
      <c r="AC466" s="54">
        <v>3840000</v>
      </c>
      <c r="AD466" s="54">
        <v>2936000</v>
      </c>
      <c r="AE466" s="54">
        <v>904000</v>
      </c>
      <c r="AG466" s="4"/>
      <c r="AH466" s="4"/>
      <c r="AI466" s="225"/>
      <c r="AJ466" s="226"/>
      <c r="AQ466" s="327" t="e">
        <v>#REF!</v>
      </c>
      <c r="AR466" s="157" t="e">
        <v>#REF!</v>
      </c>
    </row>
    <row r="467" spans="3:45" ht="15.95" customHeight="1" x14ac:dyDescent="0.25">
      <c r="C467" s="39">
        <v>2019</v>
      </c>
      <c r="D467" s="62" t="s">
        <v>1518</v>
      </c>
      <c r="E467" s="63" t="s">
        <v>1519</v>
      </c>
      <c r="F467" s="64">
        <v>43712</v>
      </c>
      <c r="G467" s="65" t="s">
        <v>34</v>
      </c>
      <c r="H467" s="94">
        <v>1300000</v>
      </c>
      <c r="I467" s="94">
        <v>919000</v>
      </c>
      <c r="J467" s="94"/>
      <c r="K467" s="153">
        <v>-0.29307692307692307</v>
      </c>
      <c r="L467" s="11" t="s">
        <v>464</v>
      </c>
      <c r="M467" s="15">
        <v>16</v>
      </c>
      <c r="N467" s="35" t="s">
        <v>226</v>
      </c>
      <c r="O467" s="15">
        <v>3</v>
      </c>
      <c r="P467" s="35" t="s">
        <v>457</v>
      </c>
      <c r="Q467" s="35"/>
      <c r="R467" s="15"/>
      <c r="S467" s="24"/>
      <c r="T467" s="62" t="s">
        <v>447</v>
      </c>
      <c r="U467" s="62"/>
      <c r="V467" s="94">
        <v>1639305.4375</v>
      </c>
      <c r="W467" s="199">
        <v>0.56060327683748079</v>
      </c>
      <c r="X467" s="15"/>
      <c r="Y467" s="200">
        <v>0.70692307692307688</v>
      </c>
      <c r="Z467" s="11" t="s">
        <v>465</v>
      </c>
      <c r="AA467" s="11"/>
      <c r="AB467" s="15"/>
      <c r="AC467" s="54">
        <v>1300000</v>
      </c>
      <c r="AD467" s="54">
        <v>919000</v>
      </c>
      <c r="AE467" s="54">
        <v>381000</v>
      </c>
      <c r="AG467" s="4"/>
      <c r="AH467" s="4"/>
      <c r="AI467" s="225"/>
      <c r="AJ467" s="226"/>
      <c r="AQ467" s="327" t="e">
        <v>#REF!</v>
      </c>
      <c r="AR467" s="157" t="e">
        <v>#REF!</v>
      </c>
    </row>
    <row r="468" spans="3:45" ht="15.95" customHeight="1" x14ac:dyDescent="0.25">
      <c r="C468" s="39">
        <v>2019</v>
      </c>
      <c r="D468" s="62" t="s">
        <v>1489</v>
      </c>
      <c r="E468" s="63" t="s">
        <v>1490</v>
      </c>
      <c r="F468" s="64">
        <v>43700</v>
      </c>
      <c r="G468" s="65" t="s">
        <v>34</v>
      </c>
      <c r="H468" s="94">
        <v>55300000</v>
      </c>
      <c r="I468" s="94">
        <v>43999000</v>
      </c>
      <c r="J468" s="94"/>
      <c r="K468" s="153">
        <v>-0.20435804701627486</v>
      </c>
      <c r="L468" s="11" t="s">
        <v>464</v>
      </c>
      <c r="M468" s="15">
        <v>5</v>
      </c>
      <c r="N468" s="35" t="s">
        <v>25</v>
      </c>
      <c r="O468" s="15">
        <v>3</v>
      </c>
      <c r="P468" s="35" t="s">
        <v>458</v>
      </c>
      <c r="Q468" s="35"/>
      <c r="R468" s="15"/>
      <c r="S468" s="24"/>
      <c r="T468" s="62" t="s">
        <v>447</v>
      </c>
      <c r="U468" s="62"/>
      <c r="V468" s="94">
        <v>50531448</v>
      </c>
      <c r="W468" s="199">
        <v>0.87072509776486118</v>
      </c>
      <c r="X468" s="15"/>
      <c r="Y468" s="200">
        <v>0.79564195298372509</v>
      </c>
      <c r="Z468" s="11" t="s">
        <v>465</v>
      </c>
      <c r="AA468" s="11"/>
      <c r="AB468" s="15"/>
      <c r="AC468" s="54">
        <v>55300000</v>
      </c>
      <c r="AD468" s="54">
        <v>43999000</v>
      </c>
      <c r="AE468" s="54">
        <v>11301000</v>
      </c>
      <c r="AG468" s="4"/>
      <c r="AH468" s="4"/>
      <c r="AI468" s="225"/>
      <c r="AJ468" s="226"/>
      <c r="AQ468" s="327" t="e">
        <v>#REF!</v>
      </c>
      <c r="AR468" s="157" t="e">
        <v>#REF!</v>
      </c>
    </row>
    <row r="469" spans="3:45" ht="15.95" customHeight="1" x14ac:dyDescent="0.25">
      <c r="C469" s="39">
        <v>2019</v>
      </c>
      <c r="D469" s="62" t="s">
        <v>1520</v>
      </c>
      <c r="E469" s="63" t="s">
        <v>1521</v>
      </c>
      <c r="F469" s="64">
        <v>43699</v>
      </c>
      <c r="G469" s="65" t="s">
        <v>34</v>
      </c>
      <c r="H469" s="94">
        <v>194071979</v>
      </c>
      <c r="I469" s="94">
        <v>171330900</v>
      </c>
      <c r="J469" s="94"/>
      <c r="K469" s="153">
        <v>-0.11717858042762577</v>
      </c>
      <c r="L469" s="11" t="s">
        <v>464</v>
      </c>
      <c r="M469" s="15">
        <v>6</v>
      </c>
      <c r="N469" s="35" t="s">
        <v>226</v>
      </c>
      <c r="O469" s="15">
        <v>3</v>
      </c>
      <c r="P469" s="35" t="s">
        <v>457</v>
      </c>
      <c r="Q469" s="35"/>
      <c r="R469" s="15"/>
      <c r="S469" s="24" t="s">
        <v>1476</v>
      </c>
      <c r="T469" s="62" t="s">
        <v>1226</v>
      </c>
      <c r="U469" s="62"/>
      <c r="V469" s="94">
        <v>182690985.33333334</v>
      </c>
      <c r="W469" s="199">
        <v>0.93781803019669518</v>
      </c>
      <c r="X469" s="15"/>
      <c r="Y469" s="200">
        <v>0.88282141957237426</v>
      </c>
      <c r="Z469" s="11" t="s">
        <v>465</v>
      </c>
      <c r="AA469" s="11"/>
      <c r="AB469" s="15"/>
      <c r="AC469" s="54">
        <v>194071979</v>
      </c>
      <c r="AD469" s="54">
        <v>171330900</v>
      </c>
      <c r="AE469" s="54">
        <v>22741079</v>
      </c>
      <c r="AG469" s="4"/>
      <c r="AH469" s="4"/>
      <c r="AI469" s="225"/>
      <c r="AJ469" s="226"/>
      <c r="AQ469" s="327" t="e">
        <v>#REF!</v>
      </c>
      <c r="AR469" s="157" t="e">
        <v>#REF!</v>
      </c>
    </row>
    <row r="470" spans="3:45" ht="15.95" customHeight="1" x14ac:dyDescent="0.25">
      <c r="C470" s="39">
        <v>2019</v>
      </c>
      <c r="D470" s="62" t="s">
        <v>1509</v>
      </c>
      <c r="E470" s="63" t="s">
        <v>1510</v>
      </c>
      <c r="F470" s="64">
        <v>43699</v>
      </c>
      <c r="G470" s="65" t="s">
        <v>34</v>
      </c>
      <c r="H470" s="94">
        <v>1980000</v>
      </c>
      <c r="I470" s="94">
        <v>1993000</v>
      </c>
      <c r="J470" s="94"/>
      <c r="K470" s="153">
        <v>6.5656565656565654E-3</v>
      </c>
      <c r="L470" s="11" t="s">
        <v>464</v>
      </c>
      <c r="M470" s="15">
        <v>4</v>
      </c>
      <c r="N470" s="35" t="s">
        <v>93</v>
      </c>
      <c r="O470" s="15">
        <v>3</v>
      </c>
      <c r="P470" s="35" t="s">
        <v>458</v>
      </c>
      <c r="Q470" s="35"/>
      <c r="R470" s="15"/>
      <c r="S470" s="24"/>
      <c r="T470" s="62" t="s">
        <v>784</v>
      </c>
      <c r="U470" s="62"/>
      <c r="V470" s="94">
        <v>3089812.5</v>
      </c>
      <c r="W470" s="199">
        <v>0.64502295851285474</v>
      </c>
      <c r="X470" s="15"/>
      <c r="Y470" s="200">
        <v>1.0065656565656567</v>
      </c>
      <c r="Z470" s="11" t="s">
        <v>465</v>
      </c>
      <c r="AA470" s="11"/>
      <c r="AB470" s="15"/>
      <c r="AC470" s="54">
        <v>1980000</v>
      </c>
      <c r="AD470" s="54">
        <v>1993000</v>
      </c>
      <c r="AE470" s="54">
        <v>-13000</v>
      </c>
      <c r="AG470" s="4"/>
      <c r="AH470" s="4"/>
      <c r="AI470" s="225"/>
      <c r="AJ470" s="226"/>
      <c r="AQ470" s="327" t="e">
        <v>#REF!</v>
      </c>
      <c r="AR470" s="157" t="e">
        <v>#REF!</v>
      </c>
    </row>
    <row r="471" spans="3:45" ht="15.95" customHeight="1" x14ac:dyDescent="0.25">
      <c r="C471" s="39">
        <v>2019</v>
      </c>
      <c r="D471" s="62" t="s">
        <v>1491</v>
      </c>
      <c r="E471" s="63" t="s">
        <v>1492</v>
      </c>
      <c r="F471" s="64">
        <v>43690</v>
      </c>
      <c r="G471" s="65" t="s">
        <v>34</v>
      </c>
      <c r="H471" s="94">
        <v>21500000</v>
      </c>
      <c r="I471" s="94">
        <v>23111450</v>
      </c>
      <c r="J471" s="94"/>
      <c r="K471" s="153">
        <v>7.4951162790697676E-2</v>
      </c>
      <c r="L471" s="11" t="s">
        <v>464</v>
      </c>
      <c r="M471" s="15">
        <v>7</v>
      </c>
      <c r="N471" s="35" t="s">
        <v>25</v>
      </c>
      <c r="O471" s="15">
        <v>3</v>
      </c>
      <c r="P471" s="35" t="s">
        <v>459</v>
      </c>
      <c r="Q471" s="35"/>
      <c r="R471" s="15"/>
      <c r="S471" s="24"/>
      <c r="T471" s="62" t="s">
        <v>447</v>
      </c>
      <c r="U471" s="62"/>
      <c r="V471" s="94">
        <v>29457812.428571429</v>
      </c>
      <c r="W471" s="199">
        <v>0.78456097363102129</v>
      </c>
      <c r="X471" s="15"/>
      <c r="Y471" s="200">
        <v>1.0749511627906976</v>
      </c>
      <c r="Z471" s="11" t="s">
        <v>465</v>
      </c>
      <c r="AA471" s="11"/>
      <c r="AB471" s="15"/>
      <c r="AC471" s="54">
        <v>21500000</v>
      </c>
      <c r="AD471" s="54">
        <v>23111450</v>
      </c>
      <c r="AE471" s="54">
        <v>-1611450</v>
      </c>
      <c r="AG471" s="4"/>
      <c r="AH471" s="4"/>
      <c r="AI471" s="225"/>
      <c r="AJ471" s="226"/>
      <c r="AQ471" s="327" t="e">
        <v>#REF!</v>
      </c>
      <c r="AR471" s="157" t="e">
        <v>#REF!</v>
      </c>
    </row>
    <row r="472" spans="3:45" ht="15.95" customHeight="1" x14ac:dyDescent="0.25">
      <c r="C472" s="39">
        <v>2019</v>
      </c>
      <c r="D472" s="62" t="s">
        <v>1523</v>
      </c>
      <c r="E472" s="63" t="s">
        <v>1524</v>
      </c>
      <c r="F472" s="64">
        <v>43669</v>
      </c>
      <c r="G472" s="65" t="s">
        <v>34</v>
      </c>
      <c r="H472" s="94">
        <v>249010000</v>
      </c>
      <c r="I472" s="94">
        <v>135022488</v>
      </c>
      <c r="J472" s="94"/>
      <c r="K472" s="153">
        <v>-0.45776278864302639</v>
      </c>
      <c r="L472" s="11" t="s">
        <v>465</v>
      </c>
      <c r="M472" s="15">
        <v>5</v>
      </c>
      <c r="N472" s="35" t="s">
        <v>226</v>
      </c>
      <c r="O472" s="15">
        <v>3</v>
      </c>
      <c r="P472" s="35" t="s">
        <v>457</v>
      </c>
      <c r="Q472" s="35"/>
      <c r="R472" s="15"/>
      <c r="S472" s="24" t="s">
        <v>932</v>
      </c>
      <c r="T472" s="62" t="s">
        <v>816</v>
      </c>
      <c r="U472" s="62"/>
      <c r="V472" s="94">
        <v>164986247.40000001</v>
      </c>
      <c r="W472" s="199">
        <v>0.8183863208467641</v>
      </c>
      <c r="X472" s="15"/>
      <c r="Y472" s="200">
        <v>0.54223721135697367</v>
      </c>
      <c r="Z472" s="11" t="s">
        <v>465</v>
      </c>
      <c r="AA472" s="11"/>
      <c r="AB472" s="15"/>
      <c r="AC472" s="54">
        <v>249010000</v>
      </c>
      <c r="AD472" s="54">
        <v>135022488</v>
      </c>
      <c r="AE472" s="54">
        <v>113987512</v>
      </c>
      <c r="AG472" s="4"/>
      <c r="AH472" s="4"/>
      <c r="AI472" s="225"/>
      <c r="AJ472" s="226"/>
      <c r="AQ472" s="327" t="e">
        <v>#REF!</v>
      </c>
      <c r="AR472" s="157" t="e">
        <v>#REF!</v>
      </c>
    </row>
    <row r="473" spans="3:45" ht="15.95" customHeight="1" x14ac:dyDescent="0.25">
      <c r="C473" s="39">
        <v>2019</v>
      </c>
      <c r="D473" s="62" t="s">
        <v>1493</v>
      </c>
      <c r="E473" s="63" t="s">
        <v>1494</v>
      </c>
      <c r="F473" s="64">
        <v>43664</v>
      </c>
      <c r="G473" s="65" t="s">
        <v>34</v>
      </c>
      <c r="H473" s="94">
        <v>5660000</v>
      </c>
      <c r="I473" s="94">
        <v>3930000</v>
      </c>
      <c r="J473" s="94"/>
      <c r="K473" s="153">
        <v>-0.30565371024734983</v>
      </c>
      <c r="L473" s="11" t="s">
        <v>464</v>
      </c>
      <c r="M473" s="15">
        <v>4</v>
      </c>
      <c r="N473" s="35" t="s">
        <v>25</v>
      </c>
      <c r="O473" s="15">
        <v>3</v>
      </c>
      <c r="P473" s="35" t="s">
        <v>492</v>
      </c>
      <c r="Q473" s="35"/>
      <c r="R473" s="15"/>
      <c r="S473" s="24"/>
      <c r="T473" s="62" t="s">
        <v>1405</v>
      </c>
      <c r="U473" s="62"/>
      <c r="V473" s="94">
        <v>5605196.25</v>
      </c>
      <c r="W473" s="199">
        <v>0.70113512974679526</v>
      </c>
      <c r="X473" s="15"/>
      <c r="Y473" s="200">
        <v>0.69434628975265023</v>
      </c>
      <c r="Z473" s="11" t="s">
        <v>465</v>
      </c>
      <c r="AA473" s="11"/>
      <c r="AB473" s="15"/>
      <c r="AC473" s="54">
        <v>5660000</v>
      </c>
      <c r="AD473" s="54">
        <v>3930000</v>
      </c>
      <c r="AE473" s="54">
        <v>1730000</v>
      </c>
      <c r="AG473" s="4"/>
      <c r="AH473" s="4"/>
      <c r="AI473" s="225"/>
      <c r="AJ473" s="226"/>
      <c r="AQ473" s="327" t="e">
        <v>#REF!</v>
      </c>
      <c r="AR473" s="157" t="e">
        <v>#REF!</v>
      </c>
    </row>
    <row r="474" spans="3:45" ht="15.95" customHeight="1" x14ac:dyDescent="0.25">
      <c r="C474" s="39">
        <v>2019</v>
      </c>
      <c r="D474" s="62" t="s">
        <v>1415</v>
      </c>
      <c r="E474" s="63" t="s">
        <v>1416</v>
      </c>
      <c r="F474" s="64">
        <v>43641</v>
      </c>
      <c r="G474" s="65" t="s">
        <v>34</v>
      </c>
      <c r="H474" s="94">
        <v>5280000</v>
      </c>
      <c r="I474" s="94">
        <v>5097757</v>
      </c>
      <c r="J474" s="94"/>
      <c r="K474" s="153">
        <v>-3.4515719696969697E-2</v>
      </c>
      <c r="L474" s="11" t="s">
        <v>464</v>
      </c>
      <c r="M474" s="15">
        <v>14</v>
      </c>
      <c r="N474" s="35" t="s">
        <v>25</v>
      </c>
      <c r="O474" s="15">
        <v>2</v>
      </c>
      <c r="P474" s="35" t="s">
        <v>492</v>
      </c>
      <c r="Q474" s="35"/>
      <c r="R474" s="15"/>
      <c r="S474" s="24"/>
      <c r="T474" s="62" t="s">
        <v>816</v>
      </c>
      <c r="U474" s="62"/>
      <c r="V474" s="94">
        <v>7104621.7857142854</v>
      </c>
      <c r="W474" s="199">
        <v>0.71752686543432675</v>
      </c>
      <c r="X474" s="15"/>
      <c r="Y474" s="200">
        <v>0.96548428030303035</v>
      </c>
      <c r="Z474" s="11" t="s">
        <v>465</v>
      </c>
      <c r="AA474" s="11"/>
      <c r="AB474" s="15"/>
      <c r="AC474" s="54">
        <v>5280000</v>
      </c>
      <c r="AD474" s="54">
        <v>5097757</v>
      </c>
      <c r="AE474" s="54">
        <v>182243</v>
      </c>
      <c r="AG474" s="4"/>
      <c r="AH474" s="4"/>
      <c r="AI474" s="225"/>
      <c r="AJ474" s="226"/>
      <c r="AQ474" s="327" t="e">
        <v>#REF!</v>
      </c>
      <c r="AR474" s="157" t="e">
        <v>#REF!</v>
      </c>
      <c r="AS474" s="104"/>
    </row>
    <row r="475" spans="3:45" ht="15.95" customHeight="1" x14ac:dyDescent="0.25">
      <c r="C475" s="39">
        <v>2019</v>
      </c>
      <c r="D475" s="62" t="s">
        <v>1417</v>
      </c>
      <c r="E475" s="63" t="s">
        <v>1418</v>
      </c>
      <c r="F475" s="64">
        <v>43628</v>
      </c>
      <c r="G475" s="65" t="s">
        <v>34</v>
      </c>
      <c r="H475" s="94">
        <v>3250000</v>
      </c>
      <c r="I475" s="94">
        <v>3845000</v>
      </c>
      <c r="J475" s="94"/>
      <c r="K475" s="153">
        <v>0.18307692307692308</v>
      </c>
      <c r="L475" s="11" t="s">
        <v>465</v>
      </c>
      <c r="M475" s="15">
        <v>6</v>
      </c>
      <c r="N475" s="35" t="s">
        <v>25</v>
      </c>
      <c r="O475" s="15">
        <v>2</v>
      </c>
      <c r="P475" s="35" t="s">
        <v>457</v>
      </c>
      <c r="Q475" s="35"/>
      <c r="R475" s="15"/>
      <c r="S475" s="24"/>
      <c r="T475" s="62" t="s">
        <v>1419</v>
      </c>
      <c r="U475" s="62"/>
      <c r="V475" s="94">
        <v>5595333.333333333</v>
      </c>
      <c r="W475" s="199">
        <v>0.6871797926843799</v>
      </c>
      <c r="X475" s="15"/>
      <c r="Y475" s="200">
        <v>1.1830769230769231</v>
      </c>
      <c r="Z475" s="11" t="s">
        <v>465</v>
      </c>
      <c r="AA475" s="11"/>
      <c r="AB475" s="15"/>
      <c r="AC475" s="54">
        <v>3250000</v>
      </c>
      <c r="AD475" s="54">
        <v>3845000</v>
      </c>
      <c r="AE475" s="54">
        <v>-595000</v>
      </c>
      <c r="AG475" s="4"/>
      <c r="AH475" s="4"/>
      <c r="AI475" s="225"/>
      <c r="AJ475" s="226"/>
      <c r="AQ475" s="327" t="e">
        <v>#REF!</v>
      </c>
      <c r="AR475" s="157" t="e">
        <v>#REF!</v>
      </c>
      <c r="AS475" s="104"/>
    </row>
    <row r="476" spans="3:45" ht="15.95" customHeight="1" x14ac:dyDescent="0.25">
      <c r="C476" s="39">
        <v>2019</v>
      </c>
      <c r="D476" s="62" t="s">
        <v>1420</v>
      </c>
      <c r="E476" s="63" t="s">
        <v>1421</v>
      </c>
      <c r="F476" s="64">
        <v>43622</v>
      </c>
      <c r="G476" s="65" t="s">
        <v>34</v>
      </c>
      <c r="H476" s="94">
        <v>2070000</v>
      </c>
      <c r="I476" s="94">
        <v>2112649</v>
      </c>
      <c r="J476" s="94"/>
      <c r="K476" s="153">
        <v>2.0603381642512079E-2</v>
      </c>
      <c r="L476" s="11" t="s">
        <v>464</v>
      </c>
      <c r="M476" s="15">
        <v>9</v>
      </c>
      <c r="N476" s="35" t="s">
        <v>226</v>
      </c>
      <c r="O476" s="15">
        <v>2</v>
      </c>
      <c r="P476" s="35" t="s">
        <v>457</v>
      </c>
      <c r="Q476" s="35"/>
      <c r="R476" s="15"/>
      <c r="S476" s="24"/>
      <c r="T476" s="62" t="s">
        <v>1419</v>
      </c>
      <c r="U476" s="62"/>
      <c r="V476" s="94">
        <v>3084176.5555555555</v>
      </c>
      <c r="W476" s="199">
        <v>0.68499612844617019</v>
      </c>
      <c r="X476" s="15"/>
      <c r="Y476" s="200">
        <v>1.0206033816425122</v>
      </c>
      <c r="Z476" s="11" t="s">
        <v>465</v>
      </c>
      <c r="AA476" s="11"/>
      <c r="AB476" s="15"/>
      <c r="AC476" s="54">
        <v>2070000</v>
      </c>
      <c r="AD476" s="54">
        <v>2112649</v>
      </c>
      <c r="AE476" s="54">
        <v>-42649</v>
      </c>
      <c r="AG476" s="4"/>
      <c r="AH476" s="4"/>
      <c r="AI476" s="225"/>
      <c r="AJ476" s="226"/>
      <c r="AQ476" s="327" t="e">
        <v>#REF!</v>
      </c>
      <c r="AR476" s="157" t="e">
        <v>#REF!</v>
      </c>
      <c r="AS476" s="104"/>
    </row>
    <row r="477" spans="3:45" ht="15.95" customHeight="1" x14ac:dyDescent="0.25">
      <c r="C477" s="39">
        <v>2019</v>
      </c>
      <c r="D477" s="62" t="s">
        <v>1422</v>
      </c>
      <c r="E477" s="63" t="s">
        <v>1423</v>
      </c>
      <c r="F477" s="64">
        <v>43621</v>
      </c>
      <c r="G477" s="65" t="s">
        <v>34</v>
      </c>
      <c r="H477" s="94">
        <v>8360000</v>
      </c>
      <c r="I477" s="94">
        <v>8947585</v>
      </c>
      <c r="J477" s="94"/>
      <c r="K477" s="153">
        <v>7.0285287081339715E-2</v>
      </c>
      <c r="L477" s="11" t="s">
        <v>464</v>
      </c>
      <c r="M477" s="15">
        <v>3</v>
      </c>
      <c r="N477" s="35" t="s">
        <v>93</v>
      </c>
      <c r="O477" s="15">
        <v>2</v>
      </c>
      <c r="P477" s="35" t="s">
        <v>458</v>
      </c>
      <c r="Q477" s="35"/>
      <c r="R477" s="15"/>
      <c r="S477" s="24"/>
      <c r="T477" s="62" t="s">
        <v>784</v>
      </c>
      <c r="U477" s="62"/>
      <c r="V477" s="94">
        <v>10801931</v>
      </c>
      <c r="W477" s="199">
        <v>0.82833198990069457</v>
      </c>
      <c r="X477" s="15"/>
      <c r="Y477" s="200">
        <v>1.0702852870813397</v>
      </c>
      <c r="Z477" s="11" t="s">
        <v>465</v>
      </c>
      <c r="AA477" s="11"/>
      <c r="AB477" s="15"/>
      <c r="AC477" s="54">
        <v>8360000</v>
      </c>
      <c r="AD477" s="54">
        <v>8947585</v>
      </c>
      <c r="AE477" s="54">
        <v>-587585</v>
      </c>
      <c r="AG477" s="4"/>
      <c r="AH477" s="4"/>
      <c r="AI477" s="225"/>
      <c r="AJ477" s="226"/>
      <c r="AQ477" s="327" t="e">
        <v>#REF!</v>
      </c>
      <c r="AR477" s="157" t="e">
        <v>#REF!</v>
      </c>
      <c r="AS477" s="104"/>
    </row>
    <row r="478" spans="3:45" ht="15.95" customHeight="1" x14ac:dyDescent="0.25">
      <c r="C478" s="39">
        <v>2019</v>
      </c>
      <c r="D478" s="62" t="s">
        <v>1424</v>
      </c>
      <c r="E478" s="63" t="s">
        <v>1425</v>
      </c>
      <c r="F478" s="64">
        <v>43593</v>
      </c>
      <c r="G478" s="65" t="s">
        <v>34</v>
      </c>
      <c r="H478" s="94">
        <v>18800000</v>
      </c>
      <c r="I478" s="94">
        <v>14551682</v>
      </c>
      <c r="J478" s="94"/>
      <c r="K478" s="153">
        <v>-0.22597436170212765</v>
      </c>
      <c r="L478" s="11" t="s">
        <v>464</v>
      </c>
      <c r="M478" s="15">
        <v>11</v>
      </c>
      <c r="N478" s="35" t="s">
        <v>25</v>
      </c>
      <c r="O478" s="15">
        <v>2</v>
      </c>
      <c r="P478" s="35" t="s">
        <v>459</v>
      </c>
      <c r="Q478" s="35"/>
      <c r="R478" s="15"/>
      <c r="S478" s="24" t="s">
        <v>1477</v>
      </c>
      <c r="T478" s="62" t="s">
        <v>447</v>
      </c>
      <c r="U478" s="62"/>
      <c r="V478" s="94">
        <v>17337811.181818184</v>
      </c>
      <c r="W478" s="199">
        <v>0.83930329194379849</v>
      </c>
      <c r="X478" s="15"/>
      <c r="Y478" s="200">
        <v>0.7740256382978723</v>
      </c>
      <c r="Z478" s="11" t="s">
        <v>465</v>
      </c>
      <c r="AA478" s="11"/>
      <c r="AB478" s="15"/>
      <c r="AC478" s="54">
        <v>18800000</v>
      </c>
      <c r="AD478" s="54">
        <v>14551682</v>
      </c>
      <c r="AE478" s="54">
        <v>4248318</v>
      </c>
      <c r="AG478" s="4"/>
      <c r="AH478" s="4"/>
      <c r="AI478" s="225"/>
      <c r="AJ478" s="226"/>
      <c r="AQ478" s="327" t="e">
        <v>#REF!</v>
      </c>
      <c r="AR478" s="157" t="e">
        <v>#REF!</v>
      </c>
      <c r="AS478" s="104"/>
    </row>
    <row r="479" spans="3:45" ht="15.95" customHeight="1" x14ac:dyDescent="0.25">
      <c r="C479" s="39">
        <v>2019</v>
      </c>
      <c r="D479" s="62" t="s">
        <v>1426</v>
      </c>
      <c r="E479" s="63" t="s">
        <v>1427</v>
      </c>
      <c r="F479" s="64">
        <v>43585</v>
      </c>
      <c r="G479" s="65" t="s">
        <v>34</v>
      </c>
      <c r="H479" s="94">
        <v>6950000</v>
      </c>
      <c r="I479" s="94">
        <v>8720200</v>
      </c>
      <c r="J479" s="94"/>
      <c r="K479" s="153">
        <v>0.25470503597122301</v>
      </c>
      <c r="L479" s="11" t="s">
        <v>465</v>
      </c>
      <c r="M479" s="15">
        <v>6</v>
      </c>
      <c r="N479" s="35" t="s">
        <v>93</v>
      </c>
      <c r="O479" s="15">
        <v>2</v>
      </c>
      <c r="P479" s="35" t="s">
        <v>458</v>
      </c>
      <c r="Q479" s="35"/>
      <c r="R479" s="15"/>
      <c r="S479" s="24"/>
      <c r="T479" s="62" t="s">
        <v>1419</v>
      </c>
      <c r="U479" s="62"/>
      <c r="V479" s="94">
        <v>9982779.833333334</v>
      </c>
      <c r="W479" s="199">
        <v>0.87352422327121004</v>
      </c>
      <c r="X479" s="15"/>
      <c r="Y479" s="200">
        <v>1.2547050359712231</v>
      </c>
      <c r="Z479" s="11" t="s">
        <v>465</v>
      </c>
      <c r="AA479" s="11"/>
      <c r="AB479" s="15"/>
      <c r="AC479" s="54">
        <v>6950000</v>
      </c>
      <c r="AD479" s="54">
        <v>8720200</v>
      </c>
      <c r="AE479" s="54">
        <v>-1770200</v>
      </c>
      <c r="AG479" s="4"/>
      <c r="AH479" s="4"/>
      <c r="AI479" s="225"/>
      <c r="AJ479" s="226"/>
      <c r="AQ479" s="327" t="e">
        <v>#REF!</v>
      </c>
      <c r="AR479" s="157" t="e">
        <v>#REF!</v>
      </c>
      <c r="AS479" s="104"/>
    </row>
    <row r="480" spans="3:45" ht="15.95" customHeight="1" x14ac:dyDescent="0.25">
      <c r="C480" s="39">
        <v>2019</v>
      </c>
      <c r="D480" s="62" t="s">
        <v>1428</v>
      </c>
      <c r="E480" s="63" t="s">
        <v>1429</v>
      </c>
      <c r="F480" s="64">
        <v>43571</v>
      </c>
      <c r="G480" s="65" t="s">
        <v>34</v>
      </c>
      <c r="H480" s="94">
        <v>1200000</v>
      </c>
      <c r="I480" s="94">
        <v>1738750</v>
      </c>
      <c r="J480" s="94"/>
      <c r="K480" s="153">
        <v>0.44895833333333335</v>
      </c>
      <c r="L480" s="11" t="s">
        <v>465</v>
      </c>
      <c r="M480" s="15">
        <v>4</v>
      </c>
      <c r="N480" s="35" t="s">
        <v>25</v>
      </c>
      <c r="O480" s="15">
        <v>2</v>
      </c>
      <c r="P480" s="35" t="s">
        <v>457</v>
      </c>
      <c r="Q480" s="35"/>
      <c r="R480" s="15"/>
      <c r="S480" s="24"/>
      <c r="T480" s="62" t="s">
        <v>784</v>
      </c>
      <c r="U480" s="62"/>
      <c r="V480" s="94">
        <v>2084917.5</v>
      </c>
      <c r="W480" s="199">
        <v>0.83396585236586096</v>
      </c>
      <c r="X480" s="15"/>
      <c r="Y480" s="200">
        <v>1.4489583333333333</v>
      </c>
      <c r="Z480" s="11" t="s">
        <v>465</v>
      </c>
      <c r="AA480" s="11"/>
      <c r="AB480" s="15"/>
      <c r="AC480" s="54">
        <v>1200000</v>
      </c>
      <c r="AD480" s="54">
        <v>1738750</v>
      </c>
      <c r="AE480" s="54">
        <v>-538750</v>
      </c>
      <c r="AG480" s="4"/>
      <c r="AH480" s="4"/>
      <c r="AI480" s="225"/>
      <c r="AJ480" s="226"/>
      <c r="AQ480" s="327" t="e">
        <v>#REF!</v>
      </c>
      <c r="AR480" s="157" t="e">
        <v>#REF!</v>
      </c>
      <c r="AS480" s="104"/>
    </row>
    <row r="481" spans="2:45" ht="15.95" customHeight="1" x14ac:dyDescent="0.25">
      <c r="C481" s="39">
        <v>2019</v>
      </c>
      <c r="D481" s="62" t="s">
        <v>1430</v>
      </c>
      <c r="E481" s="63" t="s">
        <v>1431</v>
      </c>
      <c r="F481" s="64">
        <v>43571</v>
      </c>
      <c r="G481" s="65" t="s">
        <v>34</v>
      </c>
      <c r="H481" s="94">
        <v>9330000</v>
      </c>
      <c r="I481" s="94">
        <v>7407376</v>
      </c>
      <c r="J481" s="94"/>
      <c r="K481" s="153">
        <v>-0.2060690246516613</v>
      </c>
      <c r="L481" s="11" t="s">
        <v>464</v>
      </c>
      <c r="M481" s="15">
        <v>7</v>
      </c>
      <c r="N481" s="35" t="s">
        <v>93</v>
      </c>
      <c r="O481" s="15">
        <v>2</v>
      </c>
      <c r="P481" s="35" t="s">
        <v>458</v>
      </c>
      <c r="Q481" s="35"/>
      <c r="R481" s="15"/>
      <c r="S481" s="24"/>
      <c r="T481" s="62" t="s">
        <v>784</v>
      </c>
      <c r="U481" s="62"/>
      <c r="V481" s="94">
        <v>9367661.4285714291</v>
      </c>
      <c r="W481" s="199">
        <v>0.79073908215848343</v>
      </c>
      <c r="X481" s="15"/>
      <c r="Y481" s="200">
        <v>0.79393097534833867</v>
      </c>
      <c r="Z481" s="11" t="s">
        <v>465</v>
      </c>
      <c r="AA481" s="11"/>
      <c r="AB481" s="15"/>
      <c r="AC481" s="54">
        <v>9330000</v>
      </c>
      <c r="AD481" s="54">
        <v>7407376</v>
      </c>
      <c r="AE481" s="54">
        <v>1922624</v>
      </c>
      <c r="AG481" s="4"/>
      <c r="AH481" s="4"/>
      <c r="AI481" s="225"/>
      <c r="AJ481" s="226"/>
      <c r="AQ481" s="327" t="e">
        <v>#REF!</v>
      </c>
      <c r="AR481" s="157" t="e">
        <v>#REF!</v>
      </c>
      <c r="AS481" s="104"/>
    </row>
    <row r="482" spans="2:45" ht="15.95" customHeight="1" x14ac:dyDescent="0.25">
      <c r="B482" s="203">
        <v>0.75</v>
      </c>
      <c r="C482" s="39">
        <v>2019</v>
      </c>
      <c r="D482" s="62" t="s">
        <v>1432</v>
      </c>
      <c r="E482" s="63" t="s">
        <v>1433</v>
      </c>
      <c r="F482" s="64">
        <v>43565</v>
      </c>
      <c r="G482" s="65" t="s">
        <v>34</v>
      </c>
      <c r="H482" s="94">
        <v>1090000</v>
      </c>
      <c r="I482" s="94">
        <v>1142000</v>
      </c>
      <c r="J482" s="94"/>
      <c r="K482" s="153">
        <v>4.7706422018348627E-2</v>
      </c>
      <c r="L482" s="11" t="s">
        <v>464</v>
      </c>
      <c r="M482" s="15">
        <v>3</v>
      </c>
      <c r="N482" s="35" t="s">
        <v>25</v>
      </c>
      <c r="O482" s="15">
        <v>2</v>
      </c>
      <c r="P482" s="35" t="s">
        <v>459</v>
      </c>
      <c r="Q482" s="35"/>
      <c r="R482" s="15"/>
      <c r="S482" s="24"/>
      <c r="T482" s="62" t="s">
        <v>447</v>
      </c>
      <c r="U482" s="62"/>
      <c r="V482" s="94">
        <v>1292823.3333333333</v>
      </c>
      <c r="W482" s="199">
        <v>0.88333801731094996</v>
      </c>
      <c r="X482" s="15"/>
      <c r="Y482" s="200">
        <v>1.0477064220183485</v>
      </c>
      <c r="Z482" s="11" t="s">
        <v>465</v>
      </c>
      <c r="AA482" s="11"/>
      <c r="AB482" s="15"/>
      <c r="AC482" s="54">
        <v>1090000</v>
      </c>
      <c r="AD482" s="54">
        <v>1142000</v>
      </c>
      <c r="AE482" s="54">
        <v>-52000</v>
      </c>
      <c r="AG482" s="4">
        <v>140586000</v>
      </c>
      <c r="AH482" s="4">
        <v>143985773</v>
      </c>
      <c r="AI482" s="204">
        <v>1.0241828702715776</v>
      </c>
      <c r="AJ482" s="1" t="s">
        <v>1240</v>
      </c>
      <c r="AK482" s="205">
        <v>361221500</v>
      </c>
      <c r="AL482" s="205">
        <v>328069838</v>
      </c>
      <c r="AM482" s="211">
        <v>0.90822345292292961</v>
      </c>
      <c r="AN482" s="212"/>
      <c r="AO482" s="213"/>
      <c r="AQ482" s="327" t="e">
        <v>#REF!</v>
      </c>
      <c r="AR482" s="157" t="e">
        <v>#REF!</v>
      </c>
      <c r="AS482" s="104"/>
    </row>
    <row r="483" spans="2:45" ht="15.95" customHeight="1" x14ac:dyDescent="0.25">
      <c r="C483" s="39">
        <v>2019</v>
      </c>
      <c r="D483" s="62" t="s">
        <v>1434</v>
      </c>
      <c r="E483" s="63" t="s">
        <v>1435</v>
      </c>
      <c r="F483" s="64">
        <v>43543</v>
      </c>
      <c r="G483" s="65" t="s">
        <v>34</v>
      </c>
      <c r="H483" s="94">
        <v>2390000</v>
      </c>
      <c r="I483" s="94">
        <v>2374684</v>
      </c>
      <c r="J483" s="94"/>
      <c r="K483" s="153">
        <v>-6.4083682008368205E-3</v>
      </c>
      <c r="L483" s="11" t="s">
        <v>464</v>
      </c>
      <c r="M483" s="15">
        <v>5</v>
      </c>
      <c r="N483" s="35" t="s">
        <v>93</v>
      </c>
      <c r="O483" s="15">
        <v>1</v>
      </c>
      <c r="P483" s="35" t="s">
        <v>458</v>
      </c>
      <c r="Q483" s="35"/>
      <c r="R483" s="15"/>
      <c r="S483" s="24"/>
      <c r="T483" s="62" t="s">
        <v>447</v>
      </c>
      <c r="U483" s="62"/>
      <c r="V483" s="94">
        <v>3202726.8</v>
      </c>
      <c r="W483" s="199">
        <v>0.7414569360084039</v>
      </c>
      <c r="X483" s="15"/>
      <c r="Y483" s="200">
        <v>0.99359163179916321</v>
      </c>
      <c r="Z483" s="11" t="s">
        <v>465</v>
      </c>
      <c r="AA483" s="11"/>
      <c r="AB483" s="15"/>
      <c r="AC483" s="54">
        <v>2390000</v>
      </c>
      <c r="AD483" s="54">
        <v>2374684</v>
      </c>
      <c r="AE483" s="54">
        <v>15316</v>
      </c>
      <c r="AG483" s="4"/>
      <c r="AH483" s="4"/>
      <c r="AI483" s="225"/>
      <c r="AJ483" s="226"/>
      <c r="AQ483" s="327" t="e">
        <v>#REF!</v>
      </c>
      <c r="AR483" s="157" t="e">
        <v>#REF!</v>
      </c>
    </row>
    <row r="484" spans="2:45" ht="15.95" customHeight="1" x14ac:dyDescent="0.25">
      <c r="C484" s="39">
        <v>2019</v>
      </c>
      <c r="D484" s="62" t="s">
        <v>1436</v>
      </c>
      <c r="E484" s="63" t="s">
        <v>1437</v>
      </c>
      <c r="F484" s="64">
        <v>43529</v>
      </c>
      <c r="G484" s="65" t="s">
        <v>34</v>
      </c>
      <c r="H484" s="94">
        <v>42125550</v>
      </c>
      <c r="I484" s="94">
        <v>34053550</v>
      </c>
      <c r="J484" s="94"/>
      <c r="K484" s="153">
        <v>-0.19161767620838185</v>
      </c>
      <c r="L484" s="11" t="s">
        <v>465</v>
      </c>
      <c r="M484" s="15">
        <v>2</v>
      </c>
      <c r="N484" s="35" t="s">
        <v>93</v>
      </c>
      <c r="O484" s="15">
        <v>1</v>
      </c>
      <c r="P484" s="35" t="s">
        <v>458</v>
      </c>
      <c r="Q484" s="35"/>
      <c r="R484" s="15"/>
      <c r="S484" s="24"/>
      <c r="T484" s="62" t="s">
        <v>1438</v>
      </c>
      <c r="U484" s="62"/>
      <c r="V484" s="94">
        <v>35159386.5</v>
      </c>
      <c r="W484" s="199">
        <v>0.96854790114156286</v>
      </c>
      <c r="X484" s="15"/>
      <c r="Y484" s="200">
        <v>0.80838232379161812</v>
      </c>
      <c r="Z484" s="11" t="s">
        <v>465</v>
      </c>
      <c r="AA484" s="11"/>
      <c r="AB484" s="15"/>
      <c r="AC484" s="54">
        <v>42125550</v>
      </c>
      <c r="AD484" s="54">
        <v>34053550</v>
      </c>
      <c r="AE484" s="54">
        <v>8072000</v>
      </c>
      <c r="AG484" s="4"/>
      <c r="AH484" s="4"/>
      <c r="AI484" s="225"/>
      <c r="AJ484" s="226"/>
      <c r="AQ484" s="327" t="e">
        <v>#REF!</v>
      </c>
      <c r="AR484" s="157" t="e">
        <v>#REF!</v>
      </c>
    </row>
    <row r="485" spans="2:45" ht="15.95" customHeight="1" x14ac:dyDescent="0.25">
      <c r="C485" s="39">
        <v>2019</v>
      </c>
      <c r="D485" s="62" t="s">
        <v>1439</v>
      </c>
      <c r="E485" s="63" t="s">
        <v>1440</v>
      </c>
      <c r="F485" s="64">
        <v>43517</v>
      </c>
      <c r="G485" s="65" t="s">
        <v>34</v>
      </c>
      <c r="H485" s="94">
        <v>4450000</v>
      </c>
      <c r="I485" s="94">
        <v>5282906</v>
      </c>
      <c r="J485" s="94"/>
      <c r="K485" s="153">
        <v>0.18716988764044945</v>
      </c>
      <c r="L485" s="11" t="s">
        <v>465</v>
      </c>
      <c r="M485" s="15">
        <v>7</v>
      </c>
      <c r="N485" s="35" t="s">
        <v>25</v>
      </c>
      <c r="O485" s="15">
        <v>1</v>
      </c>
      <c r="P485" s="35" t="s">
        <v>492</v>
      </c>
      <c r="Q485" s="35"/>
      <c r="R485" s="15"/>
      <c r="S485" s="24"/>
      <c r="T485" s="62" t="s">
        <v>816</v>
      </c>
      <c r="U485" s="62"/>
      <c r="V485" s="94">
        <v>7461118.4285714282</v>
      </c>
      <c r="W485" s="199">
        <v>0.70805818867179027</v>
      </c>
      <c r="X485" s="15"/>
      <c r="Y485" s="200">
        <v>1.1871698876404495</v>
      </c>
      <c r="Z485" s="11" t="s">
        <v>465</v>
      </c>
      <c r="AA485" s="11"/>
      <c r="AB485" s="15"/>
      <c r="AC485" s="54">
        <v>4450000</v>
      </c>
      <c r="AD485" s="54">
        <v>5282906</v>
      </c>
      <c r="AE485" s="54">
        <v>-832906</v>
      </c>
      <c r="AG485" s="4"/>
      <c r="AH485" s="4"/>
      <c r="AI485" s="225"/>
      <c r="AJ485" s="226"/>
      <c r="AQ485" s="327" t="e">
        <v>#REF!</v>
      </c>
      <c r="AR485" s="157" t="e">
        <v>#REF!</v>
      </c>
    </row>
    <row r="486" spans="2:45" ht="15.95" customHeight="1" x14ac:dyDescent="0.25">
      <c r="C486" s="39">
        <v>2019</v>
      </c>
      <c r="D486" s="62" t="s">
        <v>1441</v>
      </c>
      <c r="E486" s="63" t="s">
        <v>1442</v>
      </c>
      <c r="F486" s="64">
        <v>43496</v>
      </c>
      <c r="G486" s="65" t="s">
        <v>34</v>
      </c>
      <c r="H486" s="94">
        <v>92495500</v>
      </c>
      <c r="I486" s="94">
        <v>63348000</v>
      </c>
      <c r="J486" s="94"/>
      <c r="K486" s="153">
        <v>-0.31512343843754559</v>
      </c>
      <c r="L486" s="11" t="s">
        <v>465</v>
      </c>
      <c r="M486" s="15">
        <v>3</v>
      </c>
      <c r="N486" s="35" t="s">
        <v>226</v>
      </c>
      <c r="O486" s="15">
        <v>1</v>
      </c>
      <c r="P486" s="35" t="s">
        <v>457</v>
      </c>
      <c r="Q486" s="35"/>
      <c r="R486" s="15"/>
      <c r="S486" s="24"/>
      <c r="T486" s="62" t="s">
        <v>1226</v>
      </c>
      <c r="U486" s="62"/>
      <c r="V486" s="94">
        <v>68785236.666666672</v>
      </c>
      <c r="W486" s="199">
        <v>0.92095343521146078</v>
      </c>
      <c r="X486" s="15"/>
      <c r="Y486" s="200">
        <v>0.68487656156245436</v>
      </c>
      <c r="Z486" s="11" t="s">
        <v>465</v>
      </c>
      <c r="AA486" s="11"/>
      <c r="AB486" s="15"/>
      <c r="AC486" s="54">
        <v>92495500</v>
      </c>
      <c r="AD486" s="54">
        <v>63348000</v>
      </c>
      <c r="AE486" s="54">
        <v>29147500</v>
      </c>
      <c r="AG486" s="4"/>
      <c r="AH486" s="4"/>
      <c r="AI486" s="225"/>
      <c r="AJ486" s="226"/>
      <c r="AQ486" s="327" t="e">
        <v>#REF!</v>
      </c>
      <c r="AR486" s="157" t="e">
        <v>#REF!</v>
      </c>
    </row>
    <row r="487" spans="2:45" ht="15.95" customHeight="1" x14ac:dyDescent="0.25">
      <c r="C487" s="39">
        <v>2019</v>
      </c>
      <c r="D487" s="62" t="s">
        <v>1443</v>
      </c>
      <c r="E487" s="63" t="s">
        <v>1444</v>
      </c>
      <c r="F487" s="64">
        <v>43489</v>
      </c>
      <c r="G487" s="65" t="s">
        <v>34</v>
      </c>
      <c r="H487" s="94">
        <v>23450000</v>
      </c>
      <c r="I487" s="94">
        <v>25644000</v>
      </c>
      <c r="J487" s="94"/>
      <c r="K487" s="153">
        <v>9.3560767590618335E-2</v>
      </c>
      <c r="L487" s="11" t="s">
        <v>464</v>
      </c>
      <c r="M487" s="15">
        <v>2</v>
      </c>
      <c r="N487" s="35" t="s">
        <v>25</v>
      </c>
      <c r="O487" s="15">
        <v>1</v>
      </c>
      <c r="P487" s="35" t="s">
        <v>458</v>
      </c>
      <c r="Q487" s="35"/>
      <c r="R487" s="15"/>
      <c r="S487" s="24"/>
      <c r="T487" s="62" t="s">
        <v>784</v>
      </c>
      <c r="U487" s="62"/>
      <c r="V487" s="94">
        <v>28255558.5</v>
      </c>
      <c r="W487" s="199">
        <v>0.9075736372367228</v>
      </c>
      <c r="X487" s="15"/>
      <c r="Y487" s="200">
        <v>1.0935607675906183</v>
      </c>
      <c r="Z487" s="11" t="s">
        <v>465</v>
      </c>
      <c r="AA487" s="11"/>
      <c r="AB487" s="15"/>
      <c r="AC487" s="54">
        <v>23450000</v>
      </c>
      <c r="AD487" s="54">
        <v>25644000</v>
      </c>
      <c r="AE487" s="54">
        <v>-2194000</v>
      </c>
      <c r="AG487" s="4"/>
      <c r="AH487" s="4"/>
      <c r="AI487" s="225"/>
      <c r="AJ487" s="226"/>
      <c r="AQ487" s="327" t="e">
        <v>#REF!</v>
      </c>
      <c r="AR487" s="157" t="e">
        <v>#REF!</v>
      </c>
    </row>
    <row r="488" spans="2:45" ht="15.95" customHeight="1" x14ac:dyDescent="0.25">
      <c r="C488" s="39">
        <v>2019</v>
      </c>
      <c r="D488" s="62" t="s">
        <v>1445</v>
      </c>
      <c r="E488" s="63" t="s">
        <v>1446</v>
      </c>
      <c r="F488" s="64">
        <v>43488</v>
      </c>
      <c r="G488" s="65" t="s">
        <v>34</v>
      </c>
      <c r="H488" s="94">
        <v>28219450</v>
      </c>
      <c r="I488" s="94">
        <v>27620150</v>
      </c>
      <c r="J488" s="94"/>
      <c r="K488" s="153">
        <v>-2.1237125457795953E-2</v>
      </c>
      <c r="L488" s="11" t="s">
        <v>464</v>
      </c>
      <c r="M488" s="15">
        <v>6</v>
      </c>
      <c r="N488" s="35" t="s">
        <v>226</v>
      </c>
      <c r="O488" s="15">
        <v>1</v>
      </c>
      <c r="P488" s="35" t="s">
        <v>457</v>
      </c>
      <c r="Q488" s="35"/>
      <c r="R488" s="15"/>
      <c r="S488" s="24"/>
      <c r="T488" s="62" t="s">
        <v>1226</v>
      </c>
      <c r="U488" s="62"/>
      <c r="V488" s="94">
        <v>38331440.5</v>
      </c>
      <c r="W488" s="199">
        <v>0.72056123223441082</v>
      </c>
      <c r="X488" s="15"/>
      <c r="Y488" s="200">
        <v>0.97876287454220401</v>
      </c>
      <c r="Z488" s="11" t="s">
        <v>465</v>
      </c>
      <c r="AA488" s="11"/>
      <c r="AB488" s="15"/>
      <c r="AC488" s="54">
        <v>28219450</v>
      </c>
      <c r="AD488" s="54">
        <v>27620150</v>
      </c>
      <c r="AE488" s="54">
        <v>599300</v>
      </c>
      <c r="AG488" s="4"/>
      <c r="AH488" s="4"/>
      <c r="AI488" s="225"/>
      <c r="AJ488" s="226"/>
      <c r="AQ488" s="327" t="e">
        <v>#REF!</v>
      </c>
      <c r="AR488" s="157" t="e">
        <v>#REF!</v>
      </c>
    </row>
    <row r="489" spans="2:45" ht="15.95" customHeight="1" x14ac:dyDescent="0.25">
      <c r="C489" s="39">
        <v>2019</v>
      </c>
      <c r="D489" s="62" t="s">
        <v>1447</v>
      </c>
      <c r="E489" s="63" t="s">
        <v>1448</v>
      </c>
      <c r="F489" s="64">
        <v>43475</v>
      </c>
      <c r="G489" s="65" t="s">
        <v>34</v>
      </c>
      <c r="H489" s="94">
        <v>4500000</v>
      </c>
      <c r="I489" s="94">
        <v>4863085</v>
      </c>
      <c r="J489" s="94"/>
      <c r="K489" s="153">
        <v>8.0685555555555552E-2</v>
      </c>
      <c r="L489" s="11" t="s">
        <v>464</v>
      </c>
      <c r="M489" s="15">
        <v>6</v>
      </c>
      <c r="N489" s="35" t="s">
        <v>93</v>
      </c>
      <c r="O489" s="15">
        <v>1</v>
      </c>
      <c r="P489" s="35" t="s">
        <v>458</v>
      </c>
      <c r="Q489" s="35"/>
      <c r="R489" s="15"/>
      <c r="S489" s="24"/>
      <c r="T489" s="62" t="s">
        <v>442</v>
      </c>
      <c r="U489" s="62"/>
      <c r="V489" s="94">
        <v>6990880.833333333</v>
      </c>
      <c r="W489" s="199">
        <v>0.69563265573234279</v>
      </c>
      <c r="X489" s="15"/>
      <c r="Y489" s="200">
        <v>1.0806855555555555</v>
      </c>
      <c r="Z489" s="11" t="s">
        <v>465</v>
      </c>
      <c r="AA489" s="11"/>
      <c r="AB489" s="15"/>
      <c r="AC489" s="54">
        <v>4500000</v>
      </c>
      <c r="AD489" s="54">
        <v>4863085</v>
      </c>
      <c r="AE489" s="54">
        <v>-363085</v>
      </c>
      <c r="AG489" s="4"/>
      <c r="AH489" s="4"/>
      <c r="AI489" s="225"/>
      <c r="AJ489" s="226"/>
      <c r="AQ489" s="327" t="e">
        <v>#REF!</v>
      </c>
      <c r="AR489" s="157" t="e">
        <v>#REF!</v>
      </c>
    </row>
    <row r="490" spans="2:45" x14ac:dyDescent="0.25">
      <c r="C490" s="39"/>
    </row>
    <row r="491" spans="2:45" x14ac:dyDescent="0.25">
      <c r="C491" s="39"/>
      <c r="K491" s="395" t="s">
        <v>1183</v>
      </c>
      <c r="L491" s="395"/>
      <c r="M491" s="337" t="s">
        <v>1366</v>
      </c>
      <c r="N491" s="338" t="s">
        <v>790</v>
      </c>
      <c r="O491" s="339"/>
      <c r="P491" s="340" t="s">
        <v>1368</v>
      </c>
      <c r="Q491" s="341" t="s">
        <v>1530</v>
      </c>
    </row>
    <row r="492" spans="2:45" x14ac:dyDescent="0.25">
      <c r="C492" s="39"/>
      <c r="K492" s="142" t="s">
        <v>190</v>
      </c>
      <c r="L492" s="143">
        <f>+N492/M492</f>
        <v>1</v>
      </c>
      <c r="M492" s="246">
        <f>COUNTA(L456:L461)</f>
        <v>6</v>
      </c>
      <c r="N492" s="245">
        <v>6</v>
      </c>
      <c r="O492" s="244"/>
      <c r="P492" s="258">
        <f>AVERAGE(M456:M461)</f>
        <v>6</v>
      </c>
      <c r="Q492" s="336">
        <f>+M492/(SUM(M492:M495))</f>
        <v>0.125</v>
      </c>
    </row>
    <row r="493" spans="2:45" x14ac:dyDescent="0.25">
      <c r="C493" s="39"/>
      <c r="K493" s="142" t="s">
        <v>1206</v>
      </c>
      <c r="L493" s="143">
        <f t="shared" ref="L493:L494" si="57">+N493/M493</f>
        <v>0.69230769230769229</v>
      </c>
      <c r="M493" s="246">
        <f>COUNTA(L464:L489)</f>
        <v>26</v>
      </c>
      <c r="N493" s="245">
        <v>18</v>
      </c>
      <c r="O493" s="244"/>
      <c r="P493" s="258">
        <f>AVERAGE(M464:M489)</f>
        <v>6.384615384615385</v>
      </c>
      <c r="Q493" s="336">
        <f>+M493/(SUM(M492:M495))</f>
        <v>0.54166666666666663</v>
      </c>
    </row>
    <row r="494" spans="2:45" x14ac:dyDescent="0.25">
      <c r="C494" s="39"/>
      <c r="K494" s="142" t="s">
        <v>1225</v>
      </c>
      <c r="L494" s="143">
        <f t="shared" si="57"/>
        <v>0.5625</v>
      </c>
      <c r="M494" s="246">
        <f>COUNTA(L438:L453)</f>
        <v>16</v>
      </c>
      <c r="N494" s="245">
        <v>9</v>
      </c>
      <c r="O494" s="244"/>
      <c r="P494" s="259">
        <f>AVERAGE(M438:M453)</f>
        <v>4.375</v>
      </c>
      <c r="Q494" s="336">
        <f>+M494/(SUM(M492:M495))</f>
        <v>0.33333333333333331</v>
      </c>
    </row>
    <row r="495" spans="2:45" x14ac:dyDescent="0.25">
      <c r="C495" s="39"/>
      <c r="K495" s="142" t="s">
        <v>756</v>
      </c>
      <c r="L495" s="271" t="s">
        <v>1449</v>
      </c>
      <c r="M495" s="246">
        <v>0</v>
      </c>
      <c r="N495" s="245">
        <v>0</v>
      </c>
      <c r="O495" s="244"/>
      <c r="P495" s="272" t="s">
        <v>1450</v>
      </c>
      <c r="Q495" s="336">
        <v>0</v>
      </c>
    </row>
    <row r="496" spans="2:45" x14ac:dyDescent="0.25">
      <c r="C496" s="39"/>
    </row>
    <row r="497" spans="2:19" x14ac:dyDescent="0.25">
      <c r="C497" s="39"/>
    </row>
    <row r="498" spans="2:19" x14ac:dyDescent="0.25">
      <c r="C498" s="39"/>
    </row>
    <row r="499" spans="2:19" x14ac:dyDescent="0.25">
      <c r="C499" s="39"/>
    </row>
    <row r="500" spans="2:19" x14ac:dyDescent="0.25">
      <c r="C500" s="39"/>
    </row>
    <row r="501" spans="2:19" x14ac:dyDescent="0.25">
      <c r="B501" s="144"/>
      <c r="C501" s="145"/>
      <c r="D501" s="144"/>
      <c r="E501" s="144"/>
      <c r="F501" s="144"/>
      <c r="G501" s="144"/>
      <c r="H501" s="144"/>
      <c r="I501" s="144"/>
      <c r="J501" s="144"/>
      <c r="K501" s="144"/>
      <c r="L501" s="144"/>
      <c r="M501" s="144"/>
      <c r="N501" s="146"/>
      <c r="O501" s="144"/>
      <c r="P501" s="144"/>
      <c r="Q501" s="144"/>
      <c r="R501" s="144"/>
      <c r="S501" s="144"/>
    </row>
    <row r="502" spans="2:19" x14ac:dyDescent="0.25">
      <c r="C502" s="39"/>
    </row>
    <row r="503" spans="2:19" x14ac:dyDescent="0.25">
      <c r="C503" s="39"/>
    </row>
    <row r="504" spans="2:19" x14ac:dyDescent="0.25">
      <c r="C504" s="39"/>
    </row>
    <row r="505" spans="2:19" x14ac:dyDescent="0.25">
      <c r="C505" s="39"/>
    </row>
    <row r="506" spans="2:19" x14ac:dyDescent="0.25">
      <c r="C506" s="39"/>
      <c r="H506" s="252"/>
    </row>
    <row r="507" spans="2:19" x14ac:dyDescent="0.25">
      <c r="C507" s="39"/>
    </row>
    <row r="508" spans="2:19" x14ac:dyDescent="0.25">
      <c r="C508" s="39"/>
    </row>
    <row r="509" spans="2:19" x14ac:dyDescent="0.25">
      <c r="B509" s="147"/>
      <c r="C509" s="148"/>
      <c r="D509" s="147"/>
      <c r="E509" s="147"/>
      <c r="F509" s="147"/>
      <c r="G509" s="147"/>
      <c r="H509" s="147"/>
      <c r="I509" s="147"/>
      <c r="J509" s="147"/>
      <c r="K509" s="147"/>
      <c r="L509" s="147"/>
      <c r="M509" s="147"/>
      <c r="N509" s="149"/>
      <c r="O509" s="147"/>
      <c r="P509" s="147"/>
      <c r="Q509" s="147"/>
      <c r="R509" s="147"/>
      <c r="S509" s="147"/>
    </row>
    <row r="510" spans="2:19" x14ac:dyDescent="0.25">
      <c r="C510" s="39"/>
    </row>
    <row r="511" spans="2:19" hidden="1" x14ac:dyDescent="0.25">
      <c r="C511" s="39"/>
      <c r="R511">
        <f>+H532+H560+H587+H610</f>
        <v>34</v>
      </c>
    </row>
    <row r="512" spans="2:19" hidden="1" x14ac:dyDescent="0.25">
      <c r="C512" s="39"/>
    </row>
    <row r="513" spans="2:24" hidden="1" x14ac:dyDescent="0.25">
      <c r="B513" s="253"/>
      <c r="C513" s="39"/>
    </row>
    <row r="514" spans="2:24" hidden="1" x14ac:dyDescent="0.25">
      <c r="C514" s="39">
        <v>2017</v>
      </c>
      <c r="D514" s="102" t="s">
        <v>1136</v>
      </c>
      <c r="E514" s="63" t="s">
        <v>1137</v>
      </c>
      <c r="F514" s="64">
        <v>43074</v>
      </c>
      <c r="G514" s="65" t="s">
        <v>34</v>
      </c>
      <c r="H514" s="94">
        <v>1530000</v>
      </c>
      <c r="I514" s="27">
        <v>1189000</v>
      </c>
      <c r="J514" s="27"/>
      <c r="K514" s="26">
        <v>-0.22287581699346407</v>
      </c>
      <c r="L514" s="11" t="s">
        <v>464</v>
      </c>
      <c r="M514" s="15">
        <v>3</v>
      </c>
      <c r="N514" s="35" t="s">
        <v>25</v>
      </c>
      <c r="O514" s="15">
        <v>4</v>
      </c>
      <c r="P514" s="35" t="s">
        <v>458</v>
      </c>
      <c r="Q514" s="15"/>
      <c r="R514" s="24"/>
      <c r="S514" s="62" t="s">
        <v>616</v>
      </c>
      <c r="T514" s="15"/>
      <c r="U514" s="15"/>
      <c r="V514" s="54">
        <v>1530000</v>
      </c>
      <c r="W514" s="54">
        <v>1189000</v>
      </c>
      <c r="X514" s="54">
        <v>341000</v>
      </c>
    </row>
    <row r="515" spans="2:24" hidden="1" x14ac:dyDescent="0.25">
      <c r="C515" s="39">
        <v>2017</v>
      </c>
      <c r="D515" s="102" t="s">
        <v>1129</v>
      </c>
      <c r="E515" s="63" t="s">
        <v>1130</v>
      </c>
      <c r="F515" s="64">
        <v>43068</v>
      </c>
      <c r="G515" s="65" t="s">
        <v>34</v>
      </c>
      <c r="H515" s="94">
        <v>6600000</v>
      </c>
      <c r="I515" s="27">
        <v>5189333</v>
      </c>
      <c r="J515" s="27" t="s">
        <v>519</v>
      </c>
      <c r="K515" s="26">
        <v>-0.21373742424242423</v>
      </c>
      <c r="L515" s="11" t="s">
        <v>464</v>
      </c>
      <c r="M515" s="15">
        <v>7</v>
      </c>
      <c r="N515" s="35" t="s">
        <v>25</v>
      </c>
      <c r="O515" s="15">
        <v>4</v>
      </c>
      <c r="P515" s="35" t="s">
        <v>458</v>
      </c>
      <c r="Q515" s="15"/>
      <c r="R515" s="24"/>
      <c r="S515" s="62" t="s">
        <v>616</v>
      </c>
      <c r="T515" s="15"/>
      <c r="U515" s="15"/>
      <c r="V515" s="54">
        <v>6600000</v>
      </c>
      <c r="W515" s="54">
        <v>5189333</v>
      </c>
      <c r="X515" s="54">
        <v>1410667</v>
      </c>
    </row>
    <row r="516" spans="2:24" hidden="1" x14ac:dyDescent="0.25">
      <c r="C516" s="39">
        <v>2017</v>
      </c>
      <c r="D516" s="62" t="s">
        <v>1124</v>
      </c>
      <c r="E516" s="63" t="s">
        <v>1125</v>
      </c>
      <c r="F516" s="64">
        <v>43053</v>
      </c>
      <c r="G516" s="65" t="s">
        <v>693</v>
      </c>
      <c r="H516" s="94">
        <v>820000</v>
      </c>
      <c r="I516" s="27">
        <v>861500</v>
      </c>
      <c r="J516" s="27"/>
      <c r="K516" s="26">
        <v>5.0609756097560979E-2</v>
      </c>
      <c r="L516" s="11" t="s">
        <v>464</v>
      </c>
      <c r="M516" s="15">
        <v>4</v>
      </c>
      <c r="N516" s="35" t="s">
        <v>25</v>
      </c>
      <c r="O516" s="15">
        <v>4</v>
      </c>
      <c r="P516" s="35" t="s">
        <v>458</v>
      </c>
      <c r="Q516" s="15"/>
      <c r="R516" s="24"/>
      <c r="S516" s="62" t="s">
        <v>616</v>
      </c>
      <c r="T516" s="15"/>
      <c r="U516" s="15"/>
      <c r="V516" s="54">
        <v>820000</v>
      </c>
      <c r="W516" s="54">
        <v>861500</v>
      </c>
      <c r="X516" s="54">
        <v>-41500</v>
      </c>
    </row>
    <row r="517" spans="2:24" hidden="1" x14ac:dyDescent="0.25">
      <c r="C517" s="39">
        <v>2017</v>
      </c>
      <c r="D517" s="62" t="s">
        <v>1116</v>
      </c>
      <c r="E517" s="63" t="s">
        <v>1117</v>
      </c>
      <c r="F517" s="64">
        <v>43047</v>
      </c>
      <c r="G517" s="65" t="s">
        <v>190</v>
      </c>
      <c r="H517" s="94">
        <v>26900000</v>
      </c>
      <c r="I517" s="27">
        <v>26600000</v>
      </c>
      <c r="J517" s="27" t="s">
        <v>519</v>
      </c>
      <c r="K517" s="26">
        <v>-1.1152416356877323E-2</v>
      </c>
      <c r="L517" s="11" t="s">
        <v>464</v>
      </c>
      <c r="M517" s="15">
        <v>3</v>
      </c>
      <c r="N517" s="35" t="s">
        <v>25</v>
      </c>
      <c r="O517" s="15">
        <v>4</v>
      </c>
      <c r="P517" s="35" t="s">
        <v>458</v>
      </c>
      <c r="Q517" s="15"/>
      <c r="R517" s="24"/>
      <c r="S517" s="62" t="s">
        <v>616</v>
      </c>
      <c r="T517" s="15"/>
      <c r="U517" s="15"/>
      <c r="V517" s="54">
        <v>26900000</v>
      </c>
      <c r="W517" s="54">
        <v>26600000</v>
      </c>
      <c r="X517" s="54">
        <v>300000</v>
      </c>
    </row>
    <row r="518" spans="2:24" hidden="1" x14ac:dyDescent="0.25">
      <c r="C518" s="39">
        <v>2017</v>
      </c>
      <c r="D518" s="62" t="s">
        <v>1099</v>
      </c>
      <c r="E518" s="63" t="s">
        <v>1100</v>
      </c>
      <c r="F518" s="64">
        <v>43025</v>
      </c>
      <c r="G518" s="65" t="s">
        <v>34</v>
      </c>
      <c r="H518" s="94">
        <v>3000000</v>
      </c>
      <c r="I518" s="27">
        <v>2812500</v>
      </c>
      <c r="J518" s="27"/>
      <c r="K518" s="26">
        <v>-6.25E-2</v>
      </c>
      <c r="L518" s="11" t="s">
        <v>464</v>
      </c>
      <c r="M518" s="15">
        <v>2</v>
      </c>
      <c r="N518" s="35" t="s">
        <v>25</v>
      </c>
      <c r="O518" s="15">
        <v>4</v>
      </c>
      <c r="P518" s="35" t="s">
        <v>458</v>
      </c>
      <c r="Q518" s="15"/>
      <c r="R518" s="24"/>
      <c r="S518" s="62" t="s">
        <v>616</v>
      </c>
      <c r="T518" s="15"/>
      <c r="U518" s="15"/>
      <c r="V518" s="54">
        <v>3000000</v>
      </c>
      <c r="W518" s="54">
        <v>2812500</v>
      </c>
      <c r="X518" s="54">
        <v>187500</v>
      </c>
    </row>
    <row r="519" spans="2:24" hidden="1" x14ac:dyDescent="0.25">
      <c r="C519" s="39">
        <v>2017</v>
      </c>
      <c r="D519" s="62" t="s">
        <v>1093</v>
      </c>
      <c r="E519" s="63" t="s">
        <v>1094</v>
      </c>
      <c r="F519" s="64">
        <v>43013</v>
      </c>
      <c r="G519" s="65" t="s">
        <v>34</v>
      </c>
      <c r="H519" s="94">
        <v>970000</v>
      </c>
      <c r="I519" s="27">
        <v>1285000</v>
      </c>
      <c r="J519" s="27"/>
      <c r="K519" s="26">
        <v>0.32474226804123713</v>
      </c>
      <c r="L519" s="11" t="s">
        <v>465</v>
      </c>
      <c r="M519" s="15">
        <v>6</v>
      </c>
      <c r="N519" s="35" t="s">
        <v>25</v>
      </c>
      <c r="O519" s="15">
        <v>4</v>
      </c>
      <c r="P519" s="35" t="s">
        <v>458</v>
      </c>
      <c r="Q519" s="15"/>
      <c r="R519" s="24"/>
      <c r="S519" s="62" t="s">
        <v>616</v>
      </c>
      <c r="T519" s="15"/>
      <c r="U519" s="15"/>
      <c r="V519" s="54">
        <v>970000</v>
      </c>
      <c r="W519" s="54">
        <v>1285000</v>
      </c>
      <c r="X519" s="54">
        <v>-315000</v>
      </c>
    </row>
    <row r="520" spans="2:24" hidden="1" x14ac:dyDescent="0.25">
      <c r="C520" s="39">
        <v>2017</v>
      </c>
      <c r="D520" s="62" t="s">
        <v>1068</v>
      </c>
      <c r="E520" s="63" t="s">
        <v>1069</v>
      </c>
      <c r="F520" s="64">
        <v>42964</v>
      </c>
      <c r="G520" s="65" t="s">
        <v>190</v>
      </c>
      <c r="H520" s="94">
        <v>8500000</v>
      </c>
      <c r="I520" s="27">
        <v>5682000</v>
      </c>
      <c r="J520" s="105" t="s">
        <v>519</v>
      </c>
      <c r="K520" s="26">
        <v>-0.33152941176470591</v>
      </c>
      <c r="L520" s="11" t="s">
        <v>465</v>
      </c>
      <c r="M520" s="15">
        <v>3</v>
      </c>
      <c r="N520" s="35" t="s">
        <v>25</v>
      </c>
      <c r="O520" s="15">
        <v>3</v>
      </c>
      <c r="P520" s="35" t="s">
        <v>458</v>
      </c>
      <c r="Q520" s="15"/>
      <c r="R520" s="24"/>
      <c r="S520" s="62" t="s">
        <v>616</v>
      </c>
      <c r="T520" s="15"/>
      <c r="U520" s="15"/>
      <c r="V520" s="54">
        <v>8500000</v>
      </c>
      <c r="W520" s="54">
        <v>5682000</v>
      </c>
      <c r="X520" s="54">
        <v>2818000</v>
      </c>
    </row>
    <row r="521" spans="2:24" hidden="1" x14ac:dyDescent="0.25">
      <c r="C521" s="101">
        <v>2017</v>
      </c>
      <c r="D521" s="62" t="s">
        <v>1038</v>
      </c>
      <c r="E521" s="63" t="s">
        <v>1039</v>
      </c>
      <c r="F521" s="64">
        <v>42901</v>
      </c>
      <c r="G521" s="65" t="s">
        <v>693</v>
      </c>
      <c r="H521" s="94">
        <v>850000</v>
      </c>
      <c r="I521" s="27">
        <v>887000</v>
      </c>
      <c r="J521" s="27"/>
      <c r="K521" s="26">
        <v>4.3529411764705879E-2</v>
      </c>
      <c r="L521" s="11" t="s">
        <v>464</v>
      </c>
      <c r="M521" s="15">
        <v>3</v>
      </c>
      <c r="N521" s="35" t="s">
        <v>25</v>
      </c>
      <c r="O521" s="15">
        <v>2</v>
      </c>
      <c r="P521" s="35" t="s">
        <v>458</v>
      </c>
      <c r="Q521" s="15"/>
      <c r="R521" s="24"/>
      <c r="S521" s="62" t="s">
        <v>616</v>
      </c>
      <c r="T521" s="15"/>
      <c r="U521" s="15"/>
      <c r="V521" s="54">
        <v>850000</v>
      </c>
      <c r="W521" s="54">
        <v>887000</v>
      </c>
      <c r="X521" s="54">
        <v>-37000</v>
      </c>
    </row>
    <row r="522" spans="2:24" hidden="1" x14ac:dyDescent="0.25">
      <c r="C522" s="39">
        <v>2017</v>
      </c>
      <c r="D522" s="62" t="s">
        <v>1035</v>
      </c>
      <c r="E522" s="63" t="s">
        <v>1036</v>
      </c>
      <c r="F522" s="64">
        <v>42900</v>
      </c>
      <c r="G522" s="65" t="s">
        <v>756</v>
      </c>
      <c r="H522" s="94">
        <v>2900000</v>
      </c>
      <c r="I522" s="27">
        <v>1157000</v>
      </c>
      <c r="J522" s="27"/>
      <c r="K522" s="26">
        <v>-0.6010344827586207</v>
      </c>
      <c r="L522" s="11" t="s">
        <v>465</v>
      </c>
      <c r="M522" s="15">
        <v>5</v>
      </c>
      <c r="N522" s="35" t="s">
        <v>25</v>
      </c>
      <c r="O522" s="15">
        <v>2</v>
      </c>
      <c r="P522" s="35" t="s">
        <v>458</v>
      </c>
      <c r="Q522" s="15"/>
      <c r="R522" s="24"/>
      <c r="S522" s="62" t="s">
        <v>447</v>
      </c>
      <c r="T522" s="15"/>
      <c r="U522" s="15"/>
      <c r="V522" s="54">
        <v>2900000</v>
      </c>
      <c r="W522" s="54">
        <v>1157000</v>
      </c>
      <c r="X522" s="54">
        <v>1743000</v>
      </c>
    </row>
    <row r="523" spans="2:24" hidden="1" x14ac:dyDescent="0.25">
      <c r="C523" s="39">
        <v>2017</v>
      </c>
      <c r="D523" s="62" t="s">
        <v>1025</v>
      </c>
      <c r="E523" s="63" t="s">
        <v>1026</v>
      </c>
      <c r="F523" s="64">
        <v>42893</v>
      </c>
      <c r="G523" s="65" t="s">
        <v>693</v>
      </c>
      <c r="H523" s="94">
        <v>650000</v>
      </c>
      <c r="I523" s="27">
        <v>865508</v>
      </c>
      <c r="J523" s="27"/>
      <c r="K523" s="26">
        <v>0.3315507692307692</v>
      </c>
      <c r="L523" s="11" t="s">
        <v>465</v>
      </c>
      <c r="M523" s="15">
        <v>3</v>
      </c>
      <c r="N523" s="35" t="s">
        <v>25</v>
      </c>
      <c r="O523" s="15">
        <v>2</v>
      </c>
      <c r="P523" s="35" t="s">
        <v>458</v>
      </c>
      <c r="Q523" s="15"/>
      <c r="R523" s="24"/>
      <c r="S523" s="62" t="s">
        <v>616</v>
      </c>
      <c r="T523" s="15"/>
      <c r="U523" s="15"/>
      <c r="V523" s="54">
        <v>650000</v>
      </c>
      <c r="W523" s="54">
        <v>865508</v>
      </c>
      <c r="X523" s="54">
        <v>-215508</v>
      </c>
    </row>
    <row r="524" spans="2:24" hidden="1" x14ac:dyDescent="0.25">
      <c r="C524" s="39">
        <v>2017</v>
      </c>
      <c r="D524" s="62" t="s">
        <v>1023</v>
      </c>
      <c r="E524" s="63" t="s">
        <v>1024</v>
      </c>
      <c r="F524" s="64">
        <v>42893</v>
      </c>
      <c r="G524" s="65" t="s">
        <v>693</v>
      </c>
      <c r="H524" s="94">
        <v>1070000</v>
      </c>
      <c r="I524" s="27">
        <v>758000</v>
      </c>
      <c r="J524" s="27"/>
      <c r="K524" s="26">
        <v>-0.29158878504672897</v>
      </c>
      <c r="L524" s="11" t="s">
        <v>465</v>
      </c>
      <c r="M524" s="15">
        <v>5</v>
      </c>
      <c r="N524" s="35" t="s">
        <v>25</v>
      </c>
      <c r="O524" s="15">
        <v>2</v>
      </c>
      <c r="P524" s="35" t="s">
        <v>458</v>
      </c>
      <c r="Q524" s="15"/>
      <c r="R524" s="24"/>
      <c r="S524" s="62" t="s">
        <v>616</v>
      </c>
      <c r="T524" s="15"/>
      <c r="U524" s="15"/>
      <c r="V524" s="54">
        <v>1070000</v>
      </c>
      <c r="W524" s="54">
        <v>758000</v>
      </c>
      <c r="X524" s="54">
        <v>312000</v>
      </c>
    </row>
    <row r="525" spans="2:24" hidden="1" x14ac:dyDescent="0.25">
      <c r="C525" s="39">
        <v>2017</v>
      </c>
      <c r="D525" s="62" t="s">
        <v>1014</v>
      </c>
      <c r="E525" s="63" t="s">
        <v>1015</v>
      </c>
      <c r="F525" s="64">
        <v>42886</v>
      </c>
      <c r="G525" s="65" t="s">
        <v>34</v>
      </c>
      <c r="H525" s="94">
        <v>1140000</v>
      </c>
      <c r="I525" s="27">
        <v>904780</v>
      </c>
      <c r="J525" s="27"/>
      <c r="K525" s="26">
        <v>-0.20633333333333334</v>
      </c>
      <c r="L525" s="11" t="s">
        <v>464</v>
      </c>
      <c r="M525" s="15">
        <v>9</v>
      </c>
      <c r="N525" s="35" t="s">
        <v>25</v>
      </c>
      <c r="O525" s="15">
        <v>2</v>
      </c>
      <c r="P525" s="35" t="s">
        <v>458</v>
      </c>
      <c r="Q525" s="15"/>
      <c r="R525" s="24"/>
      <c r="S525" s="62" t="s">
        <v>616</v>
      </c>
      <c r="T525" s="15"/>
      <c r="U525" s="15"/>
      <c r="V525" s="54">
        <v>1140000</v>
      </c>
      <c r="W525" s="54">
        <v>904780</v>
      </c>
      <c r="X525" s="54">
        <v>235220</v>
      </c>
    </row>
    <row r="526" spans="2:24" hidden="1" x14ac:dyDescent="0.25">
      <c r="C526" s="39">
        <v>2017</v>
      </c>
      <c r="D526" s="62" t="s">
        <v>981</v>
      </c>
      <c r="E526" s="63" t="s">
        <v>982</v>
      </c>
      <c r="F526" s="64">
        <v>42844</v>
      </c>
      <c r="G526" s="65" t="s">
        <v>190</v>
      </c>
      <c r="H526" s="94">
        <v>18870000</v>
      </c>
      <c r="I526" s="27">
        <v>19910000</v>
      </c>
      <c r="J526" s="27" t="s">
        <v>519</v>
      </c>
      <c r="K526" s="26">
        <v>5.5113937466878642E-2</v>
      </c>
      <c r="L526" s="11" t="s">
        <v>464</v>
      </c>
      <c r="M526" s="15">
        <v>3</v>
      </c>
      <c r="N526" s="35" t="s">
        <v>25</v>
      </c>
      <c r="O526" s="15">
        <v>2</v>
      </c>
      <c r="P526" s="35" t="s">
        <v>458</v>
      </c>
      <c r="Q526" s="15"/>
      <c r="R526" s="24"/>
      <c r="S526" s="62" t="s">
        <v>616</v>
      </c>
      <c r="T526" s="15"/>
      <c r="U526" s="15"/>
      <c r="V526" s="54">
        <v>18870000</v>
      </c>
      <c r="W526" s="54">
        <v>19910000</v>
      </c>
      <c r="X526" s="54">
        <v>-1040000</v>
      </c>
    </row>
    <row r="527" spans="2:24" hidden="1" x14ac:dyDescent="0.25">
      <c r="C527" s="39">
        <v>2017</v>
      </c>
      <c r="D527" s="62" t="s">
        <v>901</v>
      </c>
      <c r="E527" s="63" t="s">
        <v>902</v>
      </c>
      <c r="F527" s="64">
        <v>42774</v>
      </c>
      <c r="G527" s="65" t="s">
        <v>34</v>
      </c>
      <c r="H527" s="94">
        <v>970000</v>
      </c>
      <c r="I527" s="27">
        <v>756482</v>
      </c>
      <c r="J527" s="27"/>
      <c r="K527" s="26">
        <v>-0.22012164948453608</v>
      </c>
      <c r="L527" s="11" t="s">
        <v>464</v>
      </c>
      <c r="M527" s="15">
        <v>9</v>
      </c>
      <c r="N527" s="35" t="s">
        <v>25</v>
      </c>
      <c r="O527" s="15">
        <v>1</v>
      </c>
      <c r="P527" s="35" t="s">
        <v>458</v>
      </c>
      <c r="Q527" s="15"/>
      <c r="R527" s="24"/>
      <c r="S527" s="62" t="s">
        <v>616</v>
      </c>
      <c r="T527" s="15"/>
      <c r="U527" s="15"/>
      <c r="V527" s="54">
        <v>970000</v>
      </c>
      <c r="W527" s="54">
        <v>756482</v>
      </c>
      <c r="X527" s="54">
        <v>213518</v>
      </c>
    </row>
    <row r="528" spans="2:24" hidden="1" x14ac:dyDescent="0.25">
      <c r="C528" s="39">
        <v>2017</v>
      </c>
      <c r="D528" s="62" t="s">
        <v>862</v>
      </c>
      <c r="E528" s="63" t="s">
        <v>863</v>
      </c>
      <c r="F528" s="64">
        <v>42759</v>
      </c>
      <c r="G528" s="65" t="s">
        <v>190</v>
      </c>
      <c r="H528" s="94">
        <v>69800000</v>
      </c>
      <c r="I528" s="27">
        <v>67107000</v>
      </c>
      <c r="J528" s="27" t="s">
        <v>519</v>
      </c>
      <c r="K528" s="26">
        <v>-3.8581661891117482E-2</v>
      </c>
      <c r="L528" s="11" t="s">
        <v>464</v>
      </c>
      <c r="M528" s="15">
        <v>9</v>
      </c>
      <c r="N528" s="35" t="s">
        <v>25</v>
      </c>
      <c r="O528" s="15">
        <v>1</v>
      </c>
      <c r="P528" s="35" t="s">
        <v>458</v>
      </c>
      <c r="Q528" s="15"/>
      <c r="R528" s="24"/>
      <c r="S528" s="62" t="s">
        <v>616</v>
      </c>
      <c r="T528" s="15"/>
      <c r="U528" s="15"/>
      <c r="V528" s="54">
        <v>69800000</v>
      </c>
      <c r="W528" s="54">
        <v>67107000</v>
      </c>
      <c r="X528" s="54">
        <v>2693000</v>
      </c>
    </row>
    <row r="529" spans="3:32" hidden="1" x14ac:dyDescent="0.25">
      <c r="C529" s="39"/>
      <c r="E529" s="85"/>
      <c r="F529" s="85"/>
      <c r="G529" s="85"/>
      <c r="H529" s="86">
        <f>SUM(H514:H528)</f>
        <v>144570000</v>
      </c>
      <c r="I529" s="86">
        <f>SUM(I514:I528)</f>
        <v>135965103</v>
      </c>
      <c r="J529" s="85"/>
      <c r="K529" s="87">
        <f>+I529/H529</f>
        <v>0.94047937331396558</v>
      </c>
      <c r="L529" s="85">
        <f>COUNTA(L514:L528)</f>
        <v>15</v>
      </c>
      <c r="M529" s="88">
        <f>SUM(M514:M528)/L529</f>
        <v>4.9333333333333336</v>
      </c>
      <c r="N529" s="89"/>
      <c r="O529" s="85"/>
      <c r="P529" s="119"/>
      <c r="Q529" s="85"/>
    </row>
    <row r="530" spans="3:32" hidden="1" x14ac:dyDescent="0.25">
      <c r="C530" s="39"/>
    </row>
    <row r="531" spans="3:32" hidden="1" x14ac:dyDescent="0.25">
      <c r="C531" s="39"/>
      <c r="E531" s="150" t="s">
        <v>1179</v>
      </c>
      <c r="F531" s="70"/>
      <c r="G531" s="70"/>
      <c r="H531" s="121" t="str">
        <f>"'17 final"</f>
        <v>'17 final</v>
      </c>
      <c r="P531" s="11"/>
      <c r="W531" s="168"/>
      <c r="X531" s="168"/>
      <c r="Y531" s="168"/>
      <c r="Z531" s="168"/>
      <c r="AA531" s="169" t="s">
        <v>1200</v>
      </c>
      <c r="AB531" s="170" t="str">
        <f>"'17 all"</f>
        <v>'17 all</v>
      </c>
      <c r="AC531" s="70" t="s">
        <v>1201</v>
      </c>
      <c r="AD531" s="70" t="s">
        <v>1202</v>
      </c>
      <c r="AE531" s="70" t="s">
        <v>1203</v>
      </c>
      <c r="AF531" s="70" t="s">
        <v>1204</v>
      </c>
    </row>
    <row r="532" spans="3:32" hidden="1" x14ac:dyDescent="0.25">
      <c r="C532" s="39"/>
      <c r="E532" s="71" t="s">
        <v>800</v>
      </c>
      <c r="F532" s="11"/>
      <c r="G532" s="11"/>
      <c r="H532" s="104">
        <f>+L529</f>
        <v>15</v>
      </c>
      <c r="P532" s="11"/>
      <c r="AA532" s="71" t="s">
        <v>800</v>
      </c>
      <c r="AB532" s="171">
        <v>34</v>
      </c>
      <c r="AC532" s="104">
        <v>15</v>
      </c>
      <c r="AD532" s="104">
        <v>9</v>
      </c>
      <c r="AE532" s="104">
        <v>7</v>
      </c>
      <c r="AF532" s="104">
        <v>3</v>
      </c>
    </row>
    <row r="533" spans="3:32" hidden="1" x14ac:dyDescent="0.25">
      <c r="C533" s="39"/>
      <c r="E533" s="72" t="s">
        <v>801</v>
      </c>
      <c r="F533" s="11"/>
      <c r="G533" s="11"/>
      <c r="H533" s="104">
        <f>+H532-H534</f>
        <v>10</v>
      </c>
      <c r="P533" s="11"/>
      <c r="AA533" s="72" t="s">
        <v>801</v>
      </c>
      <c r="AB533" s="171">
        <v>19</v>
      </c>
      <c r="AC533" s="104">
        <v>10</v>
      </c>
      <c r="AD533" s="104">
        <v>5</v>
      </c>
      <c r="AE533" s="104">
        <v>2</v>
      </c>
      <c r="AF533" s="104">
        <v>2</v>
      </c>
    </row>
    <row r="534" spans="3:32" hidden="1" x14ac:dyDescent="0.25">
      <c r="C534" s="39"/>
      <c r="E534" s="72" t="s">
        <v>802</v>
      </c>
      <c r="F534" s="11"/>
      <c r="G534" s="11"/>
      <c r="H534" s="104">
        <v>5</v>
      </c>
      <c r="P534" s="11"/>
      <c r="AA534" s="72" t="s">
        <v>802</v>
      </c>
      <c r="AB534" s="171">
        <v>15</v>
      </c>
      <c r="AC534" s="104">
        <v>5</v>
      </c>
      <c r="AD534" s="104">
        <v>4</v>
      </c>
      <c r="AE534" s="104">
        <v>5</v>
      </c>
      <c r="AF534" s="104">
        <v>1</v>
      </c>
    </row>
    <row r="535" spans="3:32" hidden="1" x14ac:dyDescent="0.25">
      <c r="C535" s="39"/>
      <c r="E535" s="72"/>
      <c r="F535" s="11"/>
      <c r="G535" s="11"/>
      <c r="H535" s="104"/>
      <c r="P535" s="11"/>
      <c r="AA535" s="72"/>
      <c r="AB535" s="171"/>
      <c r="AC535" s="104"/>
      <c r="AD535" s="104"/>
      <c r="AE535" s="104"/>
      <c r="AF535" s="104"/>
    </row>
    <row r="536" spans="3:32" hidden="1" x14ac:dyDescent="0.25">
      <c r="C536" s="39"/>
      <c r="E536" s="72" t="s">
        <v>1144</v>
      </c>
      <c r="F536" s="78"/>
      <c r="G536" s="78"/>
      <c r="H536" s="122">
        <f>+I529/1000000</f>
        <v>135.965103</v>
      </c>
      <c r="I536" s="52"/>
      <c r="P536" s="11"/>
      <c r="AA536" s="72" t="s">
        <v>1144</v>
      </c>
      <c r="AB536" s="172">
        <v>260.86096099999997</v>
      </c>
      <c r="AC536" s="122">
        <v>135.965103</v>
      </c>
      <c r="AD536" s="122">
        <v>78.535071000000002</v>
      </c>
      <c r="AE536" s="122">
        <v>32.957763999999997</v>
      </c>
      <c r="AF536" s="122">
        <v>13.403022999999999</v>
      </c>
    </row>
    <row r="537" spans="3:32" hidden="1" x14ac:dyDescent="0.25">
      <c r="C537" s="39"/>
      <c r="E537" s="72" t="s">
        <v>806</v>
      </c>
      <c r="F537" s="75"/>
      <c r="G537" s="75"/>
      <c r="H537" s="123">
        <f>+M529</f>
        <v>4.9333333333333336</v>
      </c>
      <c r="K537" s="166" t="s">
        <v>1199</v>
      </c>
      <c r="L537" s="166"/>
      <c r="M537" s="166"/>
      <c r="N537" s="167"/>
      <c r="O537" s="166"/>
      <c r="P537" s="167"/>
      <c r="Q537" s="166"/>
      <c r="R537" s="166"/>
      <c r="AA537" s="72" t="s">
        <v>806</v>
      </c>
      <c r="AB537" s="173">
        <v>5.7058823529411766</v>
      </c>
      <c r="AC537" s="123">
        <v>4.9333333333333336</v>
      </c>
      <c r="AD537" s="123">
        <v>6.5555555555555554</v>
      </c>
      <c r="AE537" s="123">
        <v>5.8571428571428568</v>
      </c>
      <c r="AF537" s="123">
        <v>6.666666666666667</v>
      </c>
    </row>
    <row r="538" spans="3:32" hidden="1" x14ac:dyDescent="0.25">
      <c r="C538" s="39"/>
      <c r="E538" s="72" t="s">
        <v>807</v>
      </c>
      <c r="F538" s="74"/>
      <c r="G538" s="74"/>
      <c r="H538" s="124">
        <f>+I529/H529</f>
        <v>0.94047937331396558</v>
      </c>
      <c r="P538" s="11"/>
      <c r="AA538" s="72" t="s">
        <v>807</v>
      </c>
      <c r="AB538" s="174">
        <v>0.86020325961622568</v>
      </c>
      <c r="AC538" s="124">
        <v>0.94047937331396558</v>
      </c>
      <c r="AD538" s="124">
        <v>0.7957267883888941</v>
      </c>
      <c r="AE538" s="124">
        <v>0.7524603652968036</v>
      </c>
      <c r="AF538" s="124">
        <v>0.82790925937364879</v>
      </c>
    </row>
    <row r="539" spans="3:32" hidden="1" x14ac:dyDescent="0.25">
      <c r="C539" s="39"/>
      <c r="E539" s="72"/>
      <c r="F539" s="11"/>
      <c r="G539" s="11"/>
      <c r="H539" s="104"/>
      <c r="P539" s="11"/>
      <c r="AA539" s="72"/>
      <c r="AB539" s="171"/>
      <c r="AC539" s="104"/>
      <c r="AD539" s="104"/>
      <c r="AE539" s="104"/>
      <c r="AF539" s="104"/>
    </row>
    <row r="540" spans="3:32" hidden="1" x14ac:dyDescent="0.25">
      <c r="C540" s="39"/>
      <c r="E540" s="72" t="s">
        <v>803</v>
      </c>
      <c r="F540" s="74"/>
      <c r="G540" s="74"/>
      <c r="H540" s="108">
        <f>10/15</f>
        <v>0.66666666666666663</v>
      </c>
      <c r="P540" s="11"/>
      <c r="AA540" s="72" t="s">
        <v>803</v>
      </c>
      <c r="AB540" s="152">
        <v>0.61764705882352944</v>
      </c>
      <c r="AC540" s="108">
        <v>0.66666666666666663</v>
      </c>
      <c r="AD540" s="108">
        <v>0.66666666666666663</v>
      </c>
      <c r="AE540" s="108">
        <v>0.42857142857142855</v>
      </c>
      <c r="AF540" s="108">
        <v>0.66666666666666663</v>
      </c>
    </row>
    <row r="541" spans="3:32" hidden="1" x14ac:dyDescent="0.25">
      <c r="C541" s="107"/>
      <c r="D541" s="52"/>
      <c r="E541" s="72" t="s">
        <v>804</v>
      </c>
      <c r="F541" s="74"/>
      <c r="G541" s="74"/>
      <c r="H541" s="108">
        <f>6/H533</f>
        <v>0.6</v>
      </c>
      <c r="P541" s="11"/>
      <c r="AA541" s="72" t="s">
        <v>804</v>
      </c>
      <c r="AB541" s="152">
        <v>0.63157894736842102</v>
      </c>
      <c r="AC541" s="108">
        <v>0.6</v>
      </c>
      <c r="AD541" s="108">
        <v>0.8</v>
      </c>
      <c r="AE541" s="108">
        <v>0.5</v>
      </c>
      <c r="AF541" s="108">
        <v>0.5</v>
      </c>
    </row>
    <row r="542" spans="3:32" hidden="1" x14ac:dyDescent="0.25">
      <c r="C542" s="107"/>
      <c r="D542" s="52"/>
      <c r="E542" s="72" t="s">
        <v>805</v>
      </c>
      <c r="F542" s="74"/>
      <c r="G542" s="74"/>
      <c r="H542" s="108">
        <f>4/H534</f>
        <v>0.8</v>
      </c>
      <c r="P542" s="11"/>
      <c r="AA542" s="72" t="s">
        <v>805</v>
      </c>
      <c r="AB542" s="152">
        <v>0.6</v>
      </c>
      <c r="AC542" s="108">
        <v>0.8</v>
      </c>
      <c r="AD542" s="108">
        <v>0.5</v>
      </c>
      <c r="AE542" s="108">
        <v>0.4</v>
      </c>
      <c r="AF542" s="108">
        <v>1</v>
      </c>
    </row>
    <row r="543" spans="3:32" hidden="1" x14ac:dyDescent="0.25">
      <c r="C543" s="39"/>
      <c r="E543" s="72"/>
      <c r="F543" s="11"/>
      <c r="G543" s="11"/>
      <c r="H543" s="104"/>
      <c r="P543" s="11"/>
      <c r="AA543" s="72"/>
      <c r="AB543" s="171"/>
      <c r="AC543" s="104"/>
      <c r="AD543" s="104"/>
      <c r="AE543" s="104"/>
      <c r="AF543" s="104"/>
    </row>
    <row r="544" spans="3:32" hidden="1" x14ac:dyDescent="0.25">
      <c r="C544" s="39"/>
      <c r="E544" s="72" t="s">
        <v>1141</v>
      </c>
      <c r="F544" s="11"/>
      <c r="G544" s="11"/>
      <c r="H544" s="104">
        <v>7</v>
      </c>
      <c r="AA544" s="72" t="s">
        <v>1141</v>
      </c>
      <c r="AB544" s="171">
        <v>13</v>
      </c>
      <c r="AC544" s="104">
        <v>7</v>
      </c>
      <c r="AD544" s="104">
        <v>2</v>
      </c>
      <c r="AE544" s="104">
        <v>2</v>
      </c>
      <c r="AF544" s="104">
        <v>2</v>
      </c>
    </row>
    <row r="545" spans="3:32" hidden="1" x14ac:dyDescent="0.25">
      <c r="E545" s="106" t="s">
        <v>1143</v>
      </c>
      <c r="F545" s="108"/>
      <c r="G545" s="108"/>
      <c r="H545" s="108">
        <f>+H544/H532</f>
        <v>0.46666666666666667</v>
      </c>
      <c r="AA545" s="106" t="s">
        <v>1143</v>
      </c>
      <c r="AB545" s="152">
        <v>0.41176470588235292</v>
      </c>
      <c r="AC545" s="108">
        <v>0.46666666666666667</v>
      </c>
      <c r="AD545" s="108">
        <v>0.22222222222222221</v>
      </c>
      <c r="AE545" s="108">
        <v>0.2857142857142857</v>
      </c>
      <c r="AF545" s="108">
        <v>0.66666666666666663</v>
      </c>
    </row>
    <row r="546" spans="3:32" hidden="1" x14ac:dyDescent="0.25">
      <c r="C546" s="39"/>
      <c r="AA546" s="72"/>
      <c r="AB546" s="104"/>
    </row>
    <row r="547" spans="3:32" hidden="1" x14ac:dyDescent="0.25">
      <c r="C547" s="39"/>
      <c r="AA547" s="106"/>
      <c r="AB547" s="175" t="s">
        <v>1205</v>
      </c>
    </row>
    <row r="548" spans="3:32" hidden="1" x14ac:dyDescent="0.25">
      <c r="C548" s="39">
        <v>2017</v>
      </c>
      <c r="D548" s="102" t="s">
        <v>1135</v>
      </c>
      <c r="E548" s="63" t="s">
        <v>982</v>
      </c>
      <c r="F548" s="64">
        <v>43074</v>
      </c>
      <c r="G548" s="65" t="s">
        <v>34</v>
      </c>
      <c r="H548" s="94">
        <v>38000000</v>
      </c>
      <c r="I548" s="27">
        <f>$I$12</f>
        <v>350400</v>
      </c>
      <c r="J548" s="27"/>
      <c r="K548" s="26">
        <f>+$K$12</f>
        <v>0.16800000000000001</v>
      </c>
      <c r="L548" s="78" t="str">
        <f>+$L$12</f>
        <v>FAIL</v>
      </c>
      <c r="M548" s="15">
        <f>+$M$12</f>
        <v>5</v>
      </c>
      <c r="N548" s="35" t="s">
        <v>93</v>
      </c>
      <c r="O548" s="15">
        <v>4</v>
      </c>
      <c r="P548" s="35" t="s">
        <v>458</v>
      </c>
      <c r="Q548" s="15"/>
      <c r="R548" s="24">
        <f>+$R$12</f>
        <v>0</v>
      </c>
      <c r="S548" s="62" t="s">
        <v>616</v>
      </c>
      <c r="T548" s="15"/>
      <c r="U548" s="15"/>
      <c r="V548" s="54"/>
      <c r="W548" s="54"/>
      <c r="X548" s="54"/>
    </row>
    <row r="549" spans="3:32" hidden="1" x14ac:dyDescent="0.25">
      <c r="C549" s="39">
        <v>2017</v>
      </c>
      <c r="D549" s="62" t="s">
        <v>1101</v>
      </c>
      <c r="E549" s="63" t="s">
        <v>1102</v>
      </c>
      <c r="F549" s="64">
        <v>43025</v>
      </c>
      <c r="G549" s="65" t="s">
        <v>34</v>
      </c>
      <c r="H549" s="94">
        <v>2800000</v>
      </c>
      <c r="I549" s="27">
        <v>2847000</v>
      </c>
      <c r="J549" s="27"/>
      <c r="K549" s="26">
        <v>1.6785714285714286E-2</v>
      </c>
      <c r="L549" s="11" t="s">
        <v>464</v>
      </c>
      <c r="M549" s="15">
        <v>9</v>
      </c>
      <c r="N549" s="35" t="s">
        <v>93</v>
      </c>
      <c r="O549" s="15">
        <v>4</v>
      </c>
      <c r="P549" s="35" t="s">
        <v>458</v>
      </c>
      <c r="Q549" s="15"/>
      <c r="R549" s="24"/>
      <c r="S549" s="62" t="s">
        <v>616</v>
      </c>
      <c r="T549" s="15"/>
      <c r="U549" s="15"/>
      <c r="V549" s="54"/>
      <c r="W549" s="54"/>
      <c r="X549" s="54"/>
    </row>
    <row r="550" spans="3:32" hidden="1" x14ac:dyDescent="0.25">
      <c r="C550" s="39">
        <v>2017</v>
      </c>
      <c r="D550" s="62" t="s">
        <v>1057</v>
      </c>
      <c r="E550" s="63" t="s">
        <v>1058</v>
      </c>
      <c r="F550" s="64">
        <v>42949</v>
      </c>
      <c r="G550" s="65" t="s">
        <v>34</v>
      </c>
      <c r="H550" s="94">
        <v>1650000</v>
      </c>
      <c r="I550" s="27">
        <v>1320718</v>
      </c>
      <c r="J550" s="27"/>
      <c r="K550" s="26">
        <v>-0.19956484848484848</v>
      </c>
      <c r="L550" s="11" t="s">
        <v>464</v>
      </c>
      <c r="M550" s="15">
        <v>4</v>
      </c>
      <c r="N550" s="35" t="s">
        <v>93</v>
      </c>
      <c r="O550" s="15">
        <v>3</v>
      </c>
      <c r="P550" s="35" t="s">
        <v>458</v>
      </c>
      <c r="Q550" s="15"/>
      <c r="R550" s="24"/>
      <c r="S550" s="62" t="s">
        <v>616</v>
      </c>
      <c r="T550" s="15"/>
      <c r="U550" s="15"/>
      <c r="V550" s="54"/>
      <c r="W550" s="54"/>
      <c r="X550" s="54"/>
    </row>
    <row r="551" spans="3:32" hidden="1" x14ac:dyDescent="0.25">
      <c r="C551" s="39">
        <v>2017</v>
      </c>
      <c r="D551" s="62" t="s">
        <v>1052</v>
      </c>
      <c r="E551" s="63" t="s">
        <v>1053</v>
      </c>
      <c r="F551" s="64">
        <v>42948</v>
      </c>
      <c r="G551" s="65" t="s">
        <v>34</v>
      </c>
      <c r="H551" s="94">
        <v>1330000</v>
      </c>
      <c r="I551" s="27">
        <v>936000</v>
      </c>
      <c r="J551" s="27"/>
      <c r="K551" s="26">
        <v>-0.29624060150375942</v>
      </c>
      <c r="L551" s="11" t="s">
        <v>464</v>
      </c>
      <c r="M551" s="15">
        <v>6</v>
      </c>
      <c r="N551" s="35" t="s">
        <v>93</v>
      </c>
      <c r="O551" s="15">
        <v>3</v>
      </c>
      <c r="P551" s="35" t="s">
        <v>458</v>
      </c>
      <c r="Q551" s="15"/>
      <c r="R551" s="24"/>
      <c r="S551" s="62" t="s">
        <v>616</v>
      </c>
      <c r="T551" s="15"/>
      <c r="U551" s="15"/>
      <c r="V551" s="54"/>
      <c r="W551" s="54"/>
      <c r="X551" s="54"/>
    </row>
    <row r="552" spans="3:32" hidden="1" x14ac:dyDescent="0.25">
      <c r="C552" s="39">
        <v>2017</v>
      </c>
      <c r="D552" s="62" t="s">
        <v>1009</v>
      </c>
      <c r="E552" s="63" t="s">
        <v>1010</v>
      </c>
      <c r="F552" s="64">
        <v>42880</v>
      </c>
      <c r="G552" s="65" t="s">
        <v>34</v>
      </c>
      <c r="H552" s="94">
        <v>2850000</v>
      </c>
      <c r="I552" s="27">
        <v>1808548</v>
      </c>
      <c r="J552" s="27"/>
      <c r="K552" s="26">
        <v>-0.36542175438596491</v>
      </c>
      <c r="L552" s="11" t="s">
        <v>465</v>
      </c>
      <c r="M552" s="15">
        <v>11</v>
      </c>
      <c r="N552" s="35" t="s">
        <v>93</v>
      </c>
      <c r="O552" s="15">
        <v>2</v>
      </c>
      <c r="P552" s="35" t="s">
        <v>458</v>
      </c>
      <c r="Q552" s="15"/>
      <c r="R552" s="24"/>
      <c r="S552" s="62" t="s">
        <v>442</v>
      </c>
      <c r="T552" s="15"/>
      <c r="U552" s="15"/>
      <c r="V552" s="54"/>
      <c r="W552" s="54"/>
      <c r="X552" s="54"/>
    </row>
    <row r="553" spans="3:32" hidden="1" x14ac:dyDescent="0.25">
      <c r="C553" s="39">
        <v>2017</v>
      </c>
      <c r="D553" s="62" t="s">
        <v>880</v>
      </c>
      <c r="E553" s="63" t="s">
        <v>881</v>
      </c>
      <c r="F553" s="64">
        <v>42768</v>
      </c>
      <c r="G553" s="65" t="s">
        <v>34</v>
      </c>
      <c r="H553" s="94">
        <v>4800000</v>
      </c>
      <c r="I553" s="27">
        <v>3901193</v>
      </c>
      <c r="J553" s="27"/>
      <c r="K553" s="26">
        <v>-0.18725145833333334</v>
      </c>
      <c r="L553" s="11" t="s">
        <v>464</v>
      </c>
      <c r="M553" s="15">
        <v>14</v>
      </c>
      <c r="N553" s="35" t="s">
        <v>93</v>
      </c>
      <c r="O553" s="15">
        <v>1</v>
      </c>
      <c r="P553" s="35" t="s">
        <v>458</v>
      </c>
      <c r="Q553" s="15"/>
      <c r="R553" s="24"/>
      <c r="S553" s="62" t="s">
        <v>616</v>
      </c>
      <c r="T553" s="15"/>
      <c r="U553" s="15"/>
      <c r="V553" s="54"/>
      <c r="W553" s="54"/>
      <c r="X553" s="54"/>
    </row>
    <row r="554" spans="3:32" hidden="1" x14ac:dyDescent="0.25">
      <c r="C554" s="39">
        <v>2017</v>
      </c>
      <c r="D554" s="62" t="s">
        <v>876</v>
      </c>
      <c r="E554" s="63" t="s">
        <v>877</v>
      </c>
      <c r="F554" s="64">
        <v>42765</v>
      </c>
      <c r="G554" s="65" t="s">
        <v>756</v>
      </c>
      <c r="H554" s="94">
        <v>6500000</v>
      </c>
      <c r="I554" s="27">
        <v>5987000</v>
      </c>
      <c r="J554" s="27" t="s">
        <v>519</v>
      </c>
      <c r="K554" s="26">
        <v>-7.8923076923076929E-2</v>
      </c>
      <c r="L554" s="11" t="s">
        <v>464</v>
      </c>
      <c r="M554" s="15">
        <v>5</v>
      </c>
      <c r="N554" s="35" t="s">
        <v>93</v>
      </c>
      <c r="O554" s="15">
        <v>1</v>
      </c>
      <c r="P554" s="35" t="s">
        <v>458</v>
      </c>
      <c r="Q554" s="15"/>
      <c r="R554" s="24"/>
      <c r="S554" s="62" t="s">
        <v>447</v>
      </c>
      <c r="T554" s="15"/>
      <c r="U554" s="15"/>
      <c r="V554" s="54"/>
      <c r="W554" s="54"/>
      <c r="X554" s="54"/>
    </row>
    <row r="555" spans="3:32" hidden="1" x14ac:dyDescent="0.25">
      <c r="C555" s="39">
        <v>2017</v>
      </c>
      <c r="D555" s="62" t="s">
        <v>830</v>
      </c>
      <c r="E555" s="63" t="s">
        <v>831</v>
      </c>
      <c r="F555" s="64">
        <v>42746</v>
      </c>
      <c r="G555" s="65" t="s">
        <v>190</v>
      </c>
      <c r="H555" s="94">
        <v>12071025</v>
      </c>
      <c r="I555" s="27">
        <v>9977777</v>
      </c>
      <c r="J555" s="105" t="s">
        <v>519</v>
      </c>
      <c r="K555" s="26">
        <v>-0.17341095723022693</v>
      </c>
      <c r="L555" s="11" t="s">
        <v>465</v>
      </c>
      <c r="M555" s="15">
        <v>3</v>
      </c>
      <c r="N555" s="35" t="s">
        <v>93</v>
      </c>
      <c r="O555" s="15">
        <v>1</v>
      </c>
      <c r="P555" s="35" t="s">
        <v>458</v>
      </c>
      <c r="Q555" s="15"/>
      <c r="R555" s="24"/>
      <c r="S555" s="62" t="s">
        <v>616</v>
      </c>
      <c r="T555" s="15"/>
      <c r="U555" s="15"/>
      <c r="V555" s="54"/>
      <c r="W555" s="54"/>
      <c r="X555" s="54"/>
    </row>
    <row r="556" spans="3:32" hidden="1" x14ac:dyDescent="0.25">
      <c r="C556" s="39">
        <v>2017</v>
      </c>
      <c r="D556" s="62" t="s">
        <v>828</v>
      </c>
      <c r="E556" s="63" t="s">
        <v>829</v>
      </c>
      <c r="F556" s="64">
        <v>42739</v>
      </c>
      <c r="G556" s="65" t="s">
        <v>190</v>
      </c>
      <c r="H556" s="94">
        <v>28695000</v>
      </c>
      <c r="I556" s="27">
        <v>31768035</v>
      </c>
      <c r="J556" s="27" t="s">
        <v>519</v>
      </c>
      <c r="K556" s="26">
        <v>0.10709304756926294</v>
      </c>
      <c r="L556" s="11" t="s">
        <v>464</v>
      </c>
      <c r="M556" s="15">
        <v>2</v>
      </c>
      <c r="N556" s="35" t="s">
        <v>93</v>
      </c>
      <c r="O556" s="15">
        <v>1</v>
      </c>
      <c r="P556" s="35" t="s">
        <v>458</v>
      </c>
      <c r="Q556" s="15"/>
      <c r="R556" s="24"/>
      <c r="S556" s="62" t="s">
        <v>616</v>
      </c>
      <c r="T556" s="15"/>
      <c r="U556" s="15"/>
      <c r="V556" s="54"/>
      <c r="W556" s="54"/>
      <c r="X556" s="54"/>
    </row>
    <row r="557" spans="3:32" hidden="1" x14ac:dyDescent="0.25">
      <c r="C557" s="39"/>
      <c r="E557" s="85"/>
      <c r="F557" s="85"/>
      <c r="G557" s="85"/>
      <c r="H557" s="86">
        <f>SUM(H548:H556)</f>
        <v>98696025</v>
      </c>
      <c r="I557" s="86">
        <f>SUM(I548:I556)</f>
        <v>58896671</v>
      </c>
      <c r="J557" s="85"/>
      <c r="K557" s="87">
        <f>+I557/H557</f>
        <v>0.59674815677733728</v>
      </c>
      <c r="L557" s="85">
        <f>COUNTA(L548:L556)</f>
        <v>9</v>
      </c>
      <c r="M557" s="88">
        <f>SUM(M548:M556)/L557</f>
        <v>6.5555555555555554</v>
      </c>
      <c r="N557" s="89"/>
      <c r="O557" s="85"/>
      <c r="P557" s="119">
        <f>22/L557</f>
        <v>2.4444444444444446</v>
      </c>
      <c r="Q557" s="85"/>
    </row>
    <row r="558" spans="3:32" hidden="1" x14ac:dyDescent="0.25">
      <c r="C558" s="39"/>
    </row>
    <row r="559" spans="3:32" hidden="1" x14ac:dyDescent="0.25">
      <c r="C559" s="39"/>
      <c r="E559" s="150" t="s">
        <v>1180</v>
      </c>
      <c r="F559" s="70"/>
      <c r="G559" s="70"/>
      <c r="H559" s="121" t="str">
        <f>"'17 final"</f>
        <v>'17 final</v>
      </c>
      <c r="P559" s="11"/>
    </row>
    <row r="560" spans="3:32" hidden="1" x14ac:dyDescent="0.25">
      <c r="C560" s="39"/>
      <c r="E560" s="71" t="s">
        <v>800</v>
      </c>
      <c r="F560" s="11"/>
      <c r="G560" s="11"/>
      <c r="H560" s="104">
        <f>+L557</f>
        <v>9</v>
      </c>
      <c r="P560" s="11"/>
    </row>
    <row r="561" spans="3:16" hidden="1" x14ac:dyDescent="0.25">
      <c r="C561" s="39"/>
      <c r="E561" s="72" t="s">
        <v>801</v>
      </c>
      <c r="F561" s="11"/>
      <c r="G561" s="11"/>
      <c r="H561" s="104">
        <f>+H560-H562</f>
        <v>5</v>
      </c>
      <c r="P561" s="11"/>
    </row>
    <row r="562" spans="3:16" hidden="1" x14ac:dyDescent="0.25">
      <c r="C562" s="39"/>
      <c r="E562" s="72" t="s">
        <v>802</v>
      </c>
      <c r="F562" s="11"/>
      <c r="G562" s="11"/>
      <c r="H562" s="104">
        <v>4</v>
      </c>
      <c r="P562" s="11"/>
    </row>
    <row r="563" spans="3:16" hidden="1" x14ac:dyDescent="0.25">
      <c r="C563" s="39"/>
      <c r="E563" s="72"/>
      <c r="F563" s="11"/>
      <c r="G563" s="11"/>
      <c r="H563" s="104"/>
      <c r="P563" s="11"/>
    </row>
    <row r="564" spans="3:16" hidden="1" x14ac:dyDescent="0.25">
      <c r="C564" s="39"/>
      <c r="E564" s="72" t="s">
        <v>1144</v>
      </c>
      <c r="F564" s="78"/>
      <c r="G564" s="78"/>
      <c r="H564" s="122">
        <f>+I557/1000000</f>
        <v>58.896670999999998</v>
      </c>
      <c r="I564" s="52"/>
      <c r="P564" s="11"/>
    </row>
    <row r="565" spans="3:16" hidden="1" x14ac:dyDescent="0.25">
      <c r="C565" s="39"/>
      <c r="E565" s="72" t="s">
        <v>806</v>
      </c>
      <c r="F565" s="75"/>
      <c r="G565" s="75"/>
      <c r="H565" s="123">
        <f>+M557</f>
        <v>6.5555555555555554</v>
      </c>
      <c r="P565" s="11"/>
    </row>
    <row r="566" spans="3:16" hidden="1" x14ac:dyDescent="0.25">
      <c r="C566" s="39"/>
      <c r="E566" s="72" t="s">
        <v>807</v>
      </c>
      <c r="F566" s="74"/>
      <c r="G566" s="74"/>
      <c r="H566" s="124">
        <f>+I557/H557</f>
        <v>0.59674815677733728</v>
      </c>
      <c r="P566" s="11"/>
    </row>
    <row r="567" spans="3:16" hidden="1" x14ac:dyDescent="0.25">
      <c r="C567" s="39"/>
      <c r="E567" s="72"/>
      <c r="F567" s="11"/>
      <c r="G567" s="11"/>
      <c r="H567" s="104"/>
      <c r="P567" s="11"/>
    </row>
    <row r="568" spans="3:16" hidden="1" x14ac:dyDescent="0.25">
      <c r="C568" s="39"/>
      <c r="E568" s="72" t="s">
        <v>803</v>
      </c>
      <c r="F568" s="74"/>
      <c r="G568" s="74"/>
      <c r="H568" s="108">
        <f>6/H560</f>
        <v>0.66666666666666663</v>
      </c>
      <c r="P568" s="11"/>
    </row>
    <row r="569" spans="3:16" hidden="1" x14ac:dyDescent="0.25">
      <c r="C569" s="107"/>
      <c r="D569" s="52"/>
      <c r="E569" s="72" t="s">
        <v>804</v>
      </c>
      <c r="F569" s="74"/>
      <c r="G569" s="74"/>
      <c r="H569" s="108">
        <f>4/H561</f>
        <v>0.8</v>
      </c>
      <c r="P569" s="11"/>
    </row>
    <row r="570" spans="3:16" hidden="1" x14ac:dyDescent="0.25">
      <c r="C570" s="107"/>
      <c r="D570" s="52"/>
      <c r="E570" s="72" t="s">
        <v>805</v>
      </c>
      <c r="F570" s="74"/>
      <c r="G570" s="74"/>
      <c r="H570" s="108">
        <f>2/H562</f>
        <v>0.5</v>
      </c>
      <c r="P570" s="11"/>
    </row>
    <row r="571" spans="3:16" hidden="1" x14ac:dyDescent="0.25">
      <c r="C571" s="39"/>
      <c r="E571" s="72"/>
      <c r="F571" s="11"/>
      <c r="G571" s="11"/>
      <c r="H571" s="104"/>
      <c r="P571" s="11"/>
    </row>
    <row r="572" spans="3:16" hidden="1" x14ac:dyDescent="0.25">
      <c r="C572" s="39"/>
      <c r="E572" s="72" t="s">
        <v>1141</v>
      </c>
      <c r="F572" s="11"/>
      <c r="G572" s="11"/>
      <c r="H572" s="104">
        <v>2</v>
      </c>
    </row>
    <row r="573" spans="3:16" hidden="1" x14ac:dyDescent="0.25">
      <c r="E573" s="106" t="s">
        <v>1143</v>
      </c>
      <c r="F573" s="108"/>
      <c r="G573" s="108"/>
      <c r="H573" s="108">
        <f>+H572/H560</f>
        <v>0.22222222222222221</v>
      </c>
    </row>
    <row r="574" spans="3:16" hidden="1" x14ac:dyDescent="0.25">
      <c r="C574" s="39"/>
    </row>
    <row r="575" spans="3:16" hidden="1" x14ac:dyDescent="0.25">
      <c r="C575" s="38"/>
    </row>
    <row r="576" spans="3:16" hidden="1" x14ac:dyDescent="0.25">
      <c r="C576" s="39"/>
    </row>
    <row r="577" spans="3:24" hidden="1" x14ac:dyDescent="0.25">
      <c r="C577" s="39">
        <v>2017</v>
      </c>
      <c r="D577" s="102" t="s">
        <v>1145</v>
      </c>
      <c r="E577" s="63" t="s">
        <v>1146</v>
      </c>
      <c r="F577" s="64">
        <v>43083</v>
      </c>
      <c r="G577" s="65" t="s">
        <v>190</v>
      </c>
      <c r="H577" s="94">
        <v>4872000</v>
      </c>
      <c r="I577" s="27">
        <v>3997350</v>
      </c>
      <c r="J577" s="27"/>
      <c r="K577" s="26">
        <v>-0.17952586206896551</v>
      </c>
      <c r="L577" s="11" t="s">
        <v>464</v>
      </c>
      <c r="M577" s="15">
        <v>5</v>
      </c>
      <c r="N577" s="35" t="s">
        <v>93</v>
      </c>
      <c r="O577" s="15">
        <v>4</v>
      </c>
      <c r="P577" s="35" t="s">
        <v>458</v>
      </c>
      <c r="Q577" s="15"/>
      <c r="R577" s="24"/>
      <c r="S577" s="62" t="s">
        <v>784</v>
      </c>
      <c r="T577" s="15"/>
      <c r="U577" s="15"/>
      <c r="V577" s="54">
        <v>4872000</v>
      </c>
      <c r="W577" s="54">
        <v>3997350</v>
      </c>
      <c r="X577" s="54">
        <v>874650</v>
      </c>
    </row>
    <row r="578" spans="3:24" hidden="1" x14ac:dyDescent="0.25">
      <c r="C578" s="39">
        <v>2017</v>
      </c>
      <c r="D578" s="62" t="s">
        <v>1063</v>
      </c>
      <c r="E578" s="63" t="s">
        <v>1064</v>
      </c>
      <c r="F578" s="64">
        <v>42951</v>
      </c>
      <c r="G578" s="65" t="s">
        <v>34</v>
      </c>
      <c r="H578" s="94">
        <v>6040000</v>
      </c>
      <c r="I578" s="27">
        <v>4845475</v>
      </c>
      <c r="J578" s="27" t="s">
        <v>519</v>
      </c>
      <c r="K578" s="26">
        <v>-0.19776903973509935</v>
      </c>
      <c r="L578" s="11" t="s">
        <v>464</v>
      </c>
      <c r="M578" s="15">
        <v>8</v>
      </c>
      <c r="N578" s="35" t="s">
        <v>93</v>
      </c>
      <c r="O578" s="15">
        <v>3</v>
      </c>
      <c r="P578" s="35" t="s">
        <v>458</v>
      </c>
      <c r="Q578" s="15"/>
      <c r="R578" s="24"/>
      <c r="S578" s="62" t="s">
        <v>784</v>
      </c>
      <c r="T578" s="15"/>
      <c r="U578" s="15"/>
      <c r="V578" s="54">
        <v>6040000</v>
      </c>
      <c r="W578" s="54">
        <v>4845475</v>
      </c>
      <c r="X578" s="54">
        <v>1194525</v>
      </c>
    </row>
    <row r="579" spans="3:24" hidden="1" x14ac:dyDescent="0.25">
      <c r="C579" s="39">
        <v>2017</v>
      </c>
      <c r="D579" s="62" t="s">
        <v>1047</v>
      </c>
      <c r="E579" s="63" t="s">
        <v>982</v>
      </c>
      <c r="F579" s="64">
        <v>42941</v>
      </c>
      <c r="G579" s="65" t="s">
        <v>34</v>
      </c>
      <c r="H579" s="94">
        <v>7200000</v>
      </c>
      <c r="I579" s="27">
        <v>1936000</v>
      </c>
      <c r="J579" s="105" t="s">
        <v>519</v>
      </c>
      <c r="K579" s="26">
        <v>-0.73111111111111116</v>
      </c>
      <c r="L579" s="11" t="s">
        <v>465</v>
      </c>
      <c r="M579" s="15">
        <v>4</v>
      </c>
      <c r="N579" s="35" t="s">
        <v>93</v>
      </c>
      <c r="O579" s="15">
        <v>3</v>
      </c>
      <c r="P579" s="35" t="s">
        <v>458</v>
      </c>
      <c r="Q579" s="15"/>
      <c r="R579" s="24"/>
      <c r="S579" s="62" t="s">
        <v>616</v>
      </c>
      <c r="T579" s="15"/>
      <c r="U579" s="15"/>
      <c r="V579" s="54">
        <v>7200000</v>
      </c>
      <c r="W579" s="54">
        <v>1936000</v>
      </c>
      <c r="X579" s="54">
        <v>5264000</v>
      </c>
    </row>
    <row r="580" spans="3:24" hidden="1" x14ac:dyDescent="0.25">
      <c r="C580" s="39">
        <v>2017</v>
      </c>
      <c r="D580" s="62" t="s">
        <v>1028</v>
      </c>
      <c r="E580" s="63" t="s">
        <v>1029</v>
      </c>
      <c r="F580" s="64">
        <v>42894</v>
      </c>
      <c r="G580" s="65" t="s">
        <v>756</v>
      </c>
      <c r="H580" s="94">
        <v>6445000</v>
      </c>
      <c r="I580" s="27">
        <v>7166666</v>
      </c>
      <c r="J580" s="105" t="s">
        <v>519</v>
      </c>
      <c r="K580" s="26">
        <v>0.11197300232738557</v>
      </c>
      <c r="L580" s="11" t="s">
        <v>465</v>
      </c>
      <c r="M580" s="15">
        <v>11</v>
      </c>
      <c r="N580" s="35" t="s">
        <v>93</v>
      </c>
      <c r="O580" s="15">
        <v>2</v>
      </c>
      <c r="P580" s="35" t="s">
        <v>458</v>
      </c>
      <c r="Q580" s="15"/>
      <c r="R580" s="24"/>
      <c r="S580" s="62" t="s">
        <v>784</v>
      </c>
      <c r="T580" s="15"/>
      <c r="U580" s="15"/>
      <c r="V580" s="54">
        <v>6445000</v>
      </c>
      <c r="W580" s="54">
        <v>7166666</v>
      </c>
      <c r="X580" s="54">
        <v>-721666</v>
      </c>
    </row>
    <row r="581" spans="3:24" hidden="1" x14ac:dyDescent="0.25">
      <c r="C581" s="39">
        <v>2017</v>
      </c>
      <c r="D581" s="62" t="s">
        <v>964</v>
      </c>
      <c r="E581" s="63" t="s">
        <v>965</v>
      </c>
      <c r="F581" s="64">
        <v>42815</v>
      </c>
      <c r="G581" s="65" t="s">
        <v>190</v>
      </c>
      <c r="H581" s="27">
        <v>3750000</v>
      </c>
      <c r="I581" s="27">
        <v>2468147</v>
      </c>
      <c r="J581" s="27"/>
      <c r="K581" s="26">
        <v>-0.34182746666666669</v>
      </c>
      <c r="L581" s="11" t="s">
        <v>465</v>
      </c>
      <c r="M581" s="15">
        <v>3</v>
      </c>
      <c r="N581" s="35" t="s">
        <v>93</v>
      </c>
      <c r="O581" s="15">
        <v>1</v>
      </c>
      <c r="P581" s="35" t="s">
        <v>458</v>
      </c>
      <c r="Q581" s="15"/>
      <c r="R581" s="24"/>
      <c r="S581" s="62" t="s">
        <v>784</v>
      </c>
      <c r="T581" s="15"/>
      <c r="U581" s="15"/>
      <c r="V581" s="54">
        <v>3750000</v>
      </c>
      <c r="W581" s="54">
        <v>2468147</v>
      </c>
      <c r="X581" s="54">
        <v>1281853</v>
      </c>
    </row>
    <row r="582" spans="3:24" hidden="1" x14ac:dyDescent="0.25">
      <c r="C582" s="39">
        <v>2017</v>
      </c>
      <c r="D582" s="62" t="s">
        <v>914</v>
      </c>
      <c r="E582" s="63" t="s">
        <v>933</v>
      </c>
      <c r="F582" s="64">
        <v>42787</v>
      </c>
      <c r="G582" s="65" t="s">
        <v>190</v>
      </c>
      <c r="H582" s="94">
        <v>10393000</v>
      </c>
      <c r="I582" s="27">
        <v>7903950</v>
      </c>
      <c r="J582" s="105" t="s">
        <v>519</v>
      </c>
      <c r="K582" s="26">
        <v>-0.2394929279322621</v>
      </c>
      <c r="L582" s="11" t="s">
        <v>465</v>
      </c>
      <c r="M582" s="15">
        <v>3</v>
      </c>
      <c r="N582" s="35" t="s">
        <v>93</v>
      </c>
      <c r="O582" s="15">
        <v>1</v>
      </c>
      <c r="P582" s="35" t="s">
        <v>458</v>
      </c>
      <c r="Q582" s="15"/>
      <c r="R582" s="24" t="s">
        <v>932</v>
      </c>
      <c r="S582" s="62" t="s">
        <v>784</v>
      </c>
      <c r="T582" s="15"/>
      <c r="U582" s="15"/>
      <c r="V582" s="54">
        <v>10393000</v>
      </c>
      <c r="W582" s="54">
        <v>7903950</v>
      </c>
      <c r="X582" s="54">
        <v>2489050</v>
      </c>
    </row>
    <row r="583" spans="3:24" hidden="1" x14ac:dyDescent="0.25">
      <c r="C583" s="39">
        <v>2017</v>
      </c>
      <c r="D583" s="62" t="s">
        <v>868</v>
      </c>
      <c r="E583" s="63" t="s">
        <v>869</v>
      </c>
      <c r="F583" s="64">
        <v>42761</v>
      </c>
      <c r="G583" s="65" t="s">
        <v>34</v>
      </c>
      <c r="H583" s="94">
        <v>5100000</v>
      </c>
      <c r="I583" s="27">
        <v>4640176</v>
      </c>
      <c r="J583" s="27" t="s">
        <v>519</v>
      </c>
      <c r="K583" s="26">
        <v>-9.0161568627450978E-2</v>
      </c>
      <c r="L583" s="11" t="s">
        <v>464</v>
      </c>
      <c r="M583" s="15">
        <v>7</v>
      </c>
      <c r="N583" s="35" t="s">
        <v>93</v>
      </c>
      <c r="O583" s="15">
        <v>1</v>
      </c>
      <c r="P583" s="35" t="s">
        <v>458</v>
      </c>
      <c r="Q583" s="15"/>
      <c r="R583" s="24"/>
      <c r="S583" s="62" t="s">
        <v>784</v>
      </c>
      <c r="T583" s="15"/>
      <c r="U583" s="15"/>
      <c r="V583" s="54">
        <v>5100000</v>
      </c>
      <c r="W583" s="54">
        <v>4640176</v>
      </c>
      <c r="X583" s="54">
        <v>459824</v>
      </c>
    </row>
    <row r="584" spans="3:24" hidden="1" x14ac:dyDescent="0.25">
      <c r="C584" s="39"/>
      <c r="E584" s="85"/>
      <c r="F584" s="85"/>
      <c r="G584" s="85"/>
      <c r="H584" s="86">
        <f>SUM(H577:H583)</f>
        <v>43800000</v>
      </c>
      <c r="I584" s="86">
        <f>SUM(I577:I583)</f>
        <v>32957764</v>
      </c>
      <c r="J584" s="85"/>
      <c r="K584" s="87">
        <f>+I584/H584</f>
        <v>0.7524603652968036</v>
      </c>
      <c r="L584" s="85">
        <f>COUNTA(L577:L583)</f>
        <v>7</v>
      </c>
      <c r="M584" s="88">
        <f>SUM(M577:M583)/L584</f>
        <v>5.8571428571428568</v>
      </c>
      <c r="N584" s="89"/>
      <c r="O584" s="85"/>
      <c r="P584" s="119">
        <f>22/L584</f>
        <v>3.1428571428571428</v>
      </c>
      <c r="Q584" s="85"/>
    </row>
    <row r="585" spans="3:24" hidden="1" x14ac:dyDescent="0.25">
      <c r="C585" s="39"/>
    </row>
    <row r="586" spans="3:24" hidden="1" x14ac:dyDescent="0.25">
      <c r="C586" s="39"/>
      <c r="E586" s="150" t="s">
        <v>1181</v>
      </c>
      <c r="F586" s="70"/>
      <c r="G586" s="70"/>
      <c r="H586" s="121" t="str">
        <f>"'17 final"</f>
        <v>'17 final</v>
      </c>
      <c r="P586" s="11"/>
    </row>
    <row r="587" spans="3:24" hidden="1" x14ac:dyDescent="0.25">
      <c r="C587" s="39"/>
      <c r="E587" s="71" t="s">
        <v>800</v>
      </c>
      <c r="F587" s="11"/>
      <c r="G587" s="11"/>
      <c r="H587" s="104">
        <f>+L584</f>
        <v>7</v>
      </c>
      <c r="P587" s="11"/>
    </row>
    <row r="588" spans="3:24" hidden="1" x14ac:dyDescent="0.25">
      <c r="C588" s="39"/>
      <c r="E588" s="72" t="s">
        <v>801</v>
      </c>
      <c r="F588" s="11"/>
      <c r="G588" s="11"/>
      <c r="H588" s="104">
        <f>+H587-H589</f>
        <v>2</v>
      </c>
      <c r="P588" s="11"/>
    </row>
    <row r="589" spans="3:24" hidden="1" x14ac:dyDescent="0.25">
      <c r="C589" s="39"/>
      <c r="E589" s="72" t="s">
        <v>802</v>
      </c>
      <c r="F589" s="11"/>
      <c r="G589" s="11"/>
      <c r="H589" s="104">
        <v>5</v>
      </c>
      <c r="P589" s="11"/>
    </row>
    <row r="590" spans="3:24" hidden="1" x14ac:dyDescent="0.25">
      <c r="C590" s="39"/>
      <c r="E590" s="72"/>
      <c r="F590" s="11"/>
      <c r="G590" s="11"/>
      <c r="H590" s="104"/>
      <c r="P590" s="11"/>
    </row>
    <row r="591" spans="3:24" hidden="1" x14ac:dyDescent="0.25">
      <c r="C591" s="39"/>
      <c r="E591" s="72" t="s">
        <v>1144</v>
      </c>
      <c r="F591" s="78"/>
      <c r="G591" s="78"/>
      <c r="H591" s="122">
        <f>+I584/1000000</f>
        <v>32.957763999999997</v>
      </c>
      <c r="I591" s="52"/>
      <c r="P591" s="11"/>
    </row>
    <row r="592" spans="3:24" hidden="1" x14ac:dyDescent="0.25">
      <c r="C592" s="39"/>
      <c r="E592" s="72" t="s">
        <v>806</v>
      </c>
      <c r="F592" s="75"/>
      <c r="G592" s="75"/>
      <c r="H592" s="123">
        <f>+M584</f>
        <v>5.8571428571428568</v>
      </c>
      <c r="P592" s="11"/>
    </row>
    <row r="593" spans="3:24" hidden="1" x14ac:dyDescent="0.25">
      <c r="C593" s="39"/>
      <c r="E593" s="72" t="s">
        <v>807</v>
      </c>
      <c r="F593" s="74"/>
      <c r="G593" s="74"/>
      <c r="H593" s="124">
        <f>+I584/H584</f>
        <v>0.7524603652968036</v>
      </c>
      <c r="P593" s="11"/>
    </row>
    <row r="594" spans="3:24" hidden="1" x14ac:dyDescent="0.25">
      <c r="C594" s="39"/>
      <c r="E594" s="72"/>
      <c r="F594" s="11"/>
      <c r="G594" s="11"/>
      <c r="H594" s="104"/>
      <c r="P594" s="11"/>
    </row>
    <row r="595" spans="3:24" hidden="1" x14ac:dyDescent="0.25">
      <c r="C595" s="39"/>
      <c r="E595" s="72" t="s">
        <v>803</v>
      </c>
      <c r="F595" s="74"/>
      <c r="G595" s="74"/>
      <c r="H595" s="108">
        <f>3/H587</f>
        <v>0.42857142857142855</v>
      </c>
      <c r="P595" s="11"/>
    </row>
    <row r="596" spans="3:24" hidden="1" x14ac:dyDescent="0.25">
      <c r="C596" s="107"/>
      <c r="D596" s="52"/>
      <c r="E596" s="72" t="s">
        <v>804</v>
      </c>
      <c r="F596" s="74"/>
      <c r="G596" s="74"/>
      <c r="H596" s="108">
        <f>1/H588</f>
        <v>0.5</v>
      </c>
      <c r="P596" s="11"/>
    </row>
    <row r="597" spans="3:24" hidden="1" x14ac:dyDescent="0.25">
      <c r="C597" s="107"/>
      <c r="D597" s="52"/>
      <c r="E597" s="72" t="s">
        <v>805</v>
      </c>
      <c r="F597" s="74"/>
      <c r="G597" s="74"/>
      <c r="H597" s="108">
        <f>2/H589</f>
        <v>0.4</v>
      </c>
      <c r="P597" s="11"/>
    </row>
    <row r="598" spans="3:24" hidden="1" x14ac:dyDescent="0.25">
      <c r="C598" s="39"/>
      <c r="E598" s="72"/>
      <c r="F598" s="11"/>
      <c r="G598" s="11"/>
      <c r="H598" s="104"/>
      <c r="P598" s="11"/>
    </row>
    <row r="599" spans="3:24" hidden="1" x14ac:dyDescent="0.25">
      <c r="C599" s="39"/>
      <c r="E599" s="72" t="s">
        <v>1141</v>
      </c>
      <c r="F599" s="11"/>
      <c r="G599" s="11"/>
      <c r="H599" s="104">
        <v>2</v>
      </c>
    </row>
    <row r="600" spans="3:24" hidden="1" x14ac:dyDescent="0.25">
      <c r="E600" s="106" t="s">
        <v>1143</v>
      </c>
      <c r="F600" s="108"/>
      <c r="G600" s="108"/>
      <c r="H600" s="108">
        <f>+H599/H587</f>
        <v>0.2857142857142857</v>
      </c>
    </row>
    <row r="601" spans="3:24" hidden="1" x14ac:dyDescent="0.25">
      <c r="C601" s="39"/>
    </row>
    <row r="602" spans="3:24" hidden="1" x14ac:dyDescent="0.25">
      <c r="C602" s="38"/>
    </row>
    <row r="603" spans="3:24" hidden="1" x14ac:dyDescent="0.25">
      <c r="C603" s="39"/>
    </row>
    <row r="604" spans="3:24" hidden="1" x14ac:dyDescent="0.25">
      <c r="C604" s="39">
        <v>2017</v>
      </c>
      <c r="D604" s="102" t="s">
        <v>1150</v>
      </c>
      <c r="E604" s="63" t="s">
        <v>1151</v>
      </c>
      <c r="F604" s="64">
        <v>43083</v>
      </c>
      <c r="G604" s="65" t="s">
        <v>693</v>
      </c>
      <c r="H604" s="94">
        <v>979000</v>
      </c>
      <c r="I604" s="27">
        <v>1168000</v>
      </c>
      <c r="J604" s="27"/>
      <c r="K604" s="26">
        <v>0.1930541368743616</v>
      </c>
      <c r="L604" s="11" t="s">
        <v>465</v>
      </c>
      <c r="M604" s="15">
        <v>2</v>
      </c>
      <c r="N604" s="35" t="s">
        <v>25</v>
      </c>
      <c r="O604" s="15">
        <v>4</v>
      </c>
      <c r="P604" s="35" t="s">
        <v>458</v>
      </c>
      <c r="Q604" s="15"/>
      <c r="R604" s="24"/>
      <c r="S604" s="62" t="s">
        <v>784</v>
      </c>
      <c r="T604" s="15"/>
      <c r="U604" s="15"/>
      <c r="V604" s="54">
        <v>979000</v>
      </c>
      <c r="W604" s="54">
        <v>1168000</v>
      </c>
      <c r="X604" s="54">
        <v>-189000</v>
      </c>
    </row>
    <row r="605" spans="3:24" hidden="1" x14ac:dyDescent="0.25">
      <c r="C605" s="39">
        <v>2017</v>
      </c>
      <c r="D605" s="62" t="s">
        <v>986</v>
      </c>
      <c r="E605" s="63" t="s">
        <v>982</v>
      </c>
      <c r="F605" s="64">
        <v>42845</v>
      </c>
      <c r="G605" s="65" t="s">
        <v>190</v>
      </c>
      <c r="H605" s="94">
        <v>12630000</v>
      </c>
      <c r="I605" s="27">
        <v>10849023</v>
      </c>
      <c r="J605" s="27" t="s">
        <v>519</v>
      </c>
      <c r="K605" s="26">
        <v>-0.14101163895486934</v>
      </c>
      <c r="L605" s="11" t="s">
        <v>464</v>
      </c>
      <c r="M605" s="15">
        <v>2</v>
      </c>
      <c r="N605" s="35" t="s">
        <v>25</v>
      </c>
      <c r="O605" s="15">
        <v>2</v>
      </c>
      <c r="P605" s="35" t="s">
        <v>458</v>
      </c>
      <c r="Q605" s="15"/>
      <c r="R605" s="24"/>
      <c r="S605" s="62" t="s">
        <v>616</v>
      </c>
      <c r="T605" s="15"/>
      <c r="U605" s="15"/>
      <c r="V605" s="54">
        <v>12630000</v>
      </c>
      <c r="W605" s="54">
        <v>10849023</v>
      </c>
      <c r="X605" s="54">
        <v>1780977</v>
      </c>
    </row>
    <row r="606" spans="3:24" hidden="1" x14ac:dyDescent="0.25">
      <c r="C606" s="39">
        <v>2017</v>
      </c>
      <c r="D606" s="62" t="s">
        <v>916</v>
      </c>
      <c r="E606" s="63" t="s">
        <v>917</v>
      </c>
      <c r="F606" s="64">
        <v>42780</v>
      </c>
      <c r="G606" s="65" t="s">
        <v>34</v>
      </c>
      <c r="H606" s="94">
        <v>2580000</v>
      </c>
      <c r="I606" s="27">
        <v>1386000</v>
      </c>
      <c r="J606" s="27"/>
      <c r="K606" s="26">
        <v>-0.46279069767441861</v>
      </c>
      <c r="L606" s="11" t="s">
        <v>464</v>
      </c>
      <c r="M606" s="15">
        <v>16</v>
      </c>
      <c r="N606" s="35" t="s">
        <v>25</v>
      </c>
      <c r="O606" s="15">
        <v>1</v>
      </c>
      <c r="P606" s="35" t="s">
        <v>458</v>
      </c>
      <c r="Q606" s="15"/>
      <c r="R606" s="24" t="s">
        <v>1020</v>
      </c>
      <c r="S606" s="62" t="s">
        <v>616</v>
      </c>
      <c r="T606" s="15"/>
      <c r="U606" s="15"/>
      <c r="V606" s="54">
        <v>2580000</v>
      </c>
      <c r="W606" s="54">
        <v>1386000</v>
      </c>
      <c r="X606" s="54">
        <v>1194000</v>
      </c>
    </row>
    <row r="607" spans="3:24" hidden="1" x14ac:dyDescent="0.25">
      <c r="C607" s="39"/>
      <c r="E607" s="85"/>
      <c r="F607" s="85"/>
      <c r="G607" s="85"/>
      <c r="H607" s="86">
        <f>SUM(H604:H606)</f>
        <v>16189000</v>
      </c>
      <c r="I607" s="86">
        <f>SUM(I604:I606)</f>
        <v>13403023</v>
      </c>
      <c r="J607" s="85"/>
      <c r="K607" s="87">
        <f>+I607/H607</f>
        <v>0.82790925937364879</v>
      </c>
      <c r="L607" s="85">
        <f>COUNTA(L604:L606)</f>
        <v>3</v>
      </c>
      <c r="M607" s="88">
        <f>SUM(M604:M606)/L607</f>
        <v>6.666666666666667</v>
      </c>
      <c r="N607" s="89"/>
      <c r="O607" s="85"/>
      <c r="P607" s="119">
        <f>22/L607</f>
        <v>7.333333333333333</v>
      </c>
      <c r="Q607" s="85"/>
    </row>
    <row r="608" spans="3:24" hidden="1" x14ac:dyDescent="0.25">
      <c r="C608" s="39"/>
    </row>
    <row r="609" spans="3:16" hidden="1" x14ac:dyDescent="0.25">
      <c r="C609" s="39"/>
      <c r="E609" s="150" t="s">
        <v>1182</v>
      </c>
      <c r="F609" s="70"/>
      <c r="G609" s="70"/>
      <c r="H609" s="121" t="str">
        <f>"'17 final"</f>
        <v>'17 final</v>
      </c>
      <c r="P609" s="11"/>
    </row>
    <row r="610" spans="3:16" hidden="1" x14ac:dyDescent="0.25">
      <c r="C610" s="39"/>
      <c r="E610" s="71" t="s">
        <v>800</v>
      </c>
      <c r="F610" s="11"/>
      <c r="G610" s="11"/>
      <c r="H610" s="104">
        <f>+L607</f>
        <v>3</v>
      </c>
      <c r="P610" s="11"/>
    </row>
    <row r="611" spans="3:16" hidden="1" x14ac:dyDescent="0.25">
      <c r="C611" s="39"/>
      <c r="E611" s="72" t="s">
        <v>801</v>
      </c>
      <c r="F611" s="11"/>
      <c r="G611" s="11"/>
      <c r="H611" s="104">
        <f>+H610-H612</f>
        <v>2</v>
      </c>
      <c r="P611" s="11"/>
    </row>
    <row r="612" spans="3:16" hidden="1" x14ac:dyDescent="0.25">
      <c r="C612" s="39"/>
      <c r="E612" s="72" t="s">
        <v>802</v>
      </c>
      <c r="F612" s="11"/>
      <c r="G612" s="11"/>
      <c r="H612" s="104">
        <v>1</v>
      </c>
      <c r="P612" s="11"/>
    </row>
    <row r="613" spans="3:16" hidden="1" x14ac:dyDescent="0.25">
      <c r="C613" s="39"/>
      <c r="E613" s="72"/>
      <c r="F613" s="11"/>
      <c r="G613" s="11"/>
      <c r="H613" s="104"/>
      <c r="P613" s="11"/>
    </row>
    <row r="614" spans="3:16" hidden="1" x14ac:dyDescent="0.25">
      <c r="C614" s="39"/>
      <c r="E614" s="72" t="s">
        <v>1144</v>
      </c>
      <c r="F614" s="78"/>
      <c r="G614" s="78"/>
      <c r="H614" s="122">
        <f>+I607/1000000</f>
        <v>13.403022999999999</v>
      </c>
      <c r="I614" s="52"/>
      <c r="P614" s="11"/>
    </row>
    <row r="615" spans="3:16" hidden="1" x14ac:dyDescent="0.25">
      <c r="C615" s="39"/>
      <c r="E615" s="72" t="s">
        <v>806</v>
      </c>
      <c r="F615" s="75"/>
      <c r="G615" s="75"/>
      <c r="H615" s="123">
        <f>+M607</f>
        <v>6.666666666666667</v>
      </c>
      <c r="P615" s="11"/>
    </row>
    <row r="616" spans="3:16" hidden="1" x14ac:dyDescent="0.25">
      <c r="C616" s="39"/>
      <c r="E616" s="72" t="s">
        <v>807</v>
      </c>
      <c r="F616" s="74"/>
      <c r="G616" s="74"/>
      <c r="H616" s="124">
        <f>+I607/H607</f>
        <v>0.82790925937364879</v>
      </c>
      <c r="P616" s="11"/>
    </row>
    <row r="617" spans="3:16" hidden="1" x14ac:dyDescent="0.25">
      <c r="C617" s="39"/>
      <c r="E617" s="72"/>
      <c r="F617" s="11"/>
      <c r="G617" s="11"/>
      <c r="H617" s="104"/>
      <c r="P617" s="11"/>
    </row>
    <row r="618" spans="3:16" hidden="1" x14ac:dyDescent="0.25">
      <c r="C618" s="39"/>
      <c r="E618" s="72" t="s">
        <v>803</v>
      </c>
      <c r="F618" s="74"/>
      <c r="G618" s="74"/>
      <c r="H618" s="108">
        <f>2/3</f>
        <v>0.66666666666666663</v>
      </c>
      <c r="P618" s="11"/>
    </row>
    <row r="619" spans="3:16" hidden="1" x14ac:dyDescent="0.25">
      <c r="C619" s="107"/>
      <c r="D619" s="52"/>
      <c r="E619" s="72" t="s">
        <v>804</v>
      </c>
      <c r="F619" s="74"/>
      <c r="G619" s="74"/>
      <c r="H619" s="108">
        <f>1/2</f>
        <v>0.5</v>
      </c>
      <c r="P619" s="11"/>
    </row>
    <row r="620" spans="3:16" hidden="1" x14ac:dyDescent="0.25">
      <c r="C620" s="107"/>
      <c r="D620" s="52"/>
      <c r="E620" s="72" t="s">
        <v>805</v>
      </c>
      <c r="F620" s="74"/>
      <c r="G620" s="74"/>
      <c r="H620" s="108">
        <f>1/1</f>
        <v>1</v>
      </c>
      <c r="P620" s="11"/>
    </row>
    <row r="621" spans="3:16" hidden="1" x14ac:dyDescent="0.25">
      <c r="C621" s="39"/>
      <c r="E621" s="72"/>
      <c r="F621" s="11"/>
      <c r="G621" s="11"/>
      <c r="H621" s="104"/>
      <c r="P621" s="11"/>
    </row>
    <row r="622" spans="3:16" hidden="1" x14ac:dyDescent="0.25">
      <c r="C622" s="39"/>
      <c r="E622" s="72" t="s">
        <v>1141</v>
      </c>
      <c r="F622" s="11"/>
      <c r="G622" s="11"/>
      <c r="H622" s="104">
        <v>2</v>
      </c>
    </row>
    <row r="623" spans="3:16" hidden="1" x14ac:dyDescent="0.25">
      <c r="E623" s="106" t="s">
        <v>1143</v>
      </c>
      <c r="F623" s="108"/>
      <c r="G623" s="108"/>
      <c r="H623" s="108">
        <f>+H622/H610</f>
        <v>0.66666666666666663</v>
      </c>
    </row>
    <row r="624" spans="3:16" hidden="1" x14ac:dyDescent="0.25">
      <c r="C624" s="39"/>
    </row>
    <row r="625" spans="2:22" hidden="1" x14ac:dyDescent="0.25">
      <c r="C625" s="38"/>
    </row>
    <row r="626" spans="2:22" x14ac:dyDescent="0.25">
      <c r="C626" s="38"/>
    </row>
    <row r="627" spans="2:22" x14ac:dyDescent="0.25">
      <c r="C627" s="38"/>
    </row>
    <row r="628" spans="2:22" x14ac:dyDescent="0.25">
      <c r="B628" s="163"/>
      <c r="C628" s="164"/>
      <c r="D628" s="163"/>
      <c r="E628" s="163"/>
      <c r="F628" s="163"/>
      <c r="G628" s="163"/>
      <c r="H628" s="163"/>
      <c r="I628" s="163"/>
      <c r="J628" s="163"/>
      <c r="K628" s="163"/>
      <c r="L628" s="163"/>
      <c r="M628" s="163"/>
      <c r="N628" s="165"/>
      <c r="O628" s="163"/>
      <c r="P628" s="163"/>
      <c r="Q628" s="163"/>
      <c r="R628" s="163"/>
      <c r="S628" s="163"/>
      <c r="T628" s="163"/>
      <c r="U628" s="163"/>
      <c r="V628" s="163"/>
    </row>
    <row r="629" spans="2:22" x14ac:dyDescent="0.25">
      <c r="C629" s="38"/>
    </row>
    <row r="630" spans="2:22" x14ac:dyDescent="0.25">
      <c r="C630" s="38"/>
    </row>
    <row r="631" spans="2:22" x14ac:dyDescent="0.25">
      <c r="C631" s="38"/>
    </row>
    <row r="632" spans="2:22" x14ac:dyDescent="0.25">
      <c r="C632" s="38"/>
    </row>
    <row r="633" spans="2:22" x14ac:dyDescent="0.25">
      <c r="C633" s="38"/>
      <c r="E633" s="14" t="s">
        <v>1197</v>
      </c>
      <c r="F633">
        <v>1996</v>
      </c>
      <c r="G633">
        <v>70</v>
      </c>
      <c r="I633" s="7">
        <f>AVERAGE(G633:G656)/100</f>
        <v>0.70416666666666672</v>
      </c>
      <c r="J633" s="1" t="s">
        <v>1529</v>
      </c>
    </row>
    <row r="634" spans="2:22" x14ac:dyDescent="0.25">
      <c r="C634" s="38"/>
      <c r="F634">
        <f>+F633+1</f>
        <v>1997</v>
      </c>
      <c r="G634">
        <v>68</v>
      </c>
    </row>
    <row r="635" spans="2:22" x14ac:dyDescent="0.25">
      <c r="C635" s="38"/>
      <c r="F635">
        <f t="shared" ref="F635:F654" si="58">+F634+1</f>
        <v>1998</v>
      </c>
      <c r="G635">
        <v>67</v>
      </c>
    </row>
    <row r="636" spans="2:22" x14ac:dyDescent="0.25">
      <c r="C636" s="38"/>
      <c r="F636">
        <f t="shared" si="58"/>
        <v>1999</v>
      </c>
      <c r="G636" s="30">
        <v>76</v>
      </c>
    </row>
    <row r="637" spans="2:22" x14ac:dyDescent="0.25">
      <c r="C637" s="38"/>
      <c r="F637">
        <f t="shared" si="58"/>
        <v>2000</v>
      </c>
      <c r="G637">
        <v>63</v>
      </c>
    </row>
    <row r="638" spans="2:22" x14ac:dyDescent="0.25">
      <c r="C638" s="38"/>
      <c r="F638">
        <f t="shared" si="58"/>
        <v>2001</v>
      </c>
      <c r="G638">
        <v>65</v>
      </c>
    </row>
    <row r="639" spans="2:22" x14ac:dyDescent="0.25">
      <c r="C639" s="38"/>
      <c r="F639">
        <f t="shared" si="58"/>
        <v>2002</v>
      </c>
      <c r="G639">
        <v>66</v>
      </c>
    </row>
    <row r="640" spans="2:22" x14ac:dyDescent="0.25">
      <c r="C640" s="38"/>
      <c r="F640">
        <f t="shared" si="58"/>
        <v>2003</v>
      </c>
      <c r="G640">
        <v>66</v>
      </c>
    </row>
    <row r="641" spans="3:14" x14ac:dyDescent="0.25">
      <c r="C641" s="38"/>
      <c r="F641">
        <f t="shared" si="58"/>
        <v>2004</v>
      </c>
      <c r="G641">
        <v>67</v>
      </c>
    </row>
    <row r="642" spans="3:14" x14ac:dyDescent="0.25">
      <c r="C642" s="38"/>
      <c r="F642">
        <f t="shared" si="58"/>
        <v>2005</v>
      </c>
      <c r="G642">
        <v>71</v>
      </c>
    </row>
    <row r="643" spans="3:14" x14ac:dyDescent="0.25">
      <c r="C643" s="38"/>
      <c r="F643">
        <f t="shared" si="58"/>
        <v>2006</v>
      </c>
      <c r="G643" s="30">
        <v>75</v>
      </c>
    </row>
    <row r="644" spans="3:14" x14ac:dyDescent="0.25">
      <c r="C644" s="38"/>
      <c r="F644">
        <f t="shared" si="58"/>
        <v>2007</v>
      </c>
      <c r="G644">
        <v>70</v>
      </c>
      <c r="N644"/>
    </row>
    <row r="645" spans="3:14" x14ac:dyDescent="0.25">
      <c r="C645" s="38"/>
      <c r="F645">
        <f t="shared" si="58"/>
        <v>2008</v>
      </c>
      <c r="G645" s="30">
        <v>79</v>
      </c>
      <c r="N645"/>
    </row>
    <row r="646" spans="3:14" x14ac:dyDescent="0.25">
      <c r="C646" s="38"/>
      <c r="F646">
        <f t="shared" si="58"/>
        <v>2009</v>
      </c>
      <c r="G646">
        <v>71</v>
      </c>
      <c r="N646"/>
    </row>
    <row r="647" spans="3:14" x14ac:dyDescent="0.25">
      <c r="C647" s="38"/>
      <c r="F647">
        <f t="shared" si="58"/>
        <v>2010</v>
      </c>
      <c r="G647">
        <v>74</v>
      </c>
      <c r="N647"/>
    </row>
    <row r="648" spans="3:14" x14ac:dyDescent="0.25">
      <c r="C648" s="38"/>
      <c r="F648">
        <f t="shared" si="58"/>
        <v>2011</v>
      </c>
      <c r="G648" s="30">
        <v>83</v>
      </c>
      <c r="N648"/>
    </row>
    <row r="649" spans="3:14" x14ac:dyDescent="0.25">
      <c r="C649" s="38"/>
      <c r="F649">
        <f t="shared" si="58"/>
        <v>2012</v>
      </c>
      <c r="G649" s="30">
        <v>80</v>
      </c>
      <c r="N649"/>
    </row>
    <row r="650" spans="3:14" x14ac:dyDescent="0.25">
      <c r="C650" s="38"/>
      <c r="F650">
        <f t="shared" si="58"/>
        <v>2013</v>
      </c>
      <c r="G650" s="30">
        <v>81</v>
      </c>
      <c r="N650"/>
    </row>
    <row r="651" spans="3:14" x14ac:dyDescent="0.25">
      <c r="C651" s="38"/>
      <c r="F651">
        <f t="shared" si="58"/>
        <v>2014</v>
      </c>
      <c r="G651" s="30">
        <v>85</v>
      </c>
      <c r="N651"/>
    </row>
    <row r="652" spans="3:14" x14ac:dyDescent="0.25">
      <c r="C652" s="38"/>
      <c r="F652">
        <f t="shared" si="58"/>
        <v>2015</v>
      </c>
      <c r="G652">
        <v>56</v>
      </c>
      <c r="N652"/>
    </row>
    <row r="653" spans="3:14" x14ac:dyDescent="0.25">
      <c r="C653" s="38"/>
      <c r="F653">
        <f t="shared" si="58"/>
        <v>2016</v>
      </c>
      <c r="G653">
        <v>63</v>
      </c>
      <c r="N653"/>
    </row>
    <row r="654" spans="3:14" x14ac:dyDescent="0.25">
      <c r="C654" s="38"/>
      <c r="F654">
        <f t="shared" si="58"/>
        <v>2017</v>
      </c>
      <c r="G654">
        <v>66</v>
      </c>
      <c r="N654"/>
    </row>
    <row r="655" spans="3:14" x14ac:dyDescent="0.25">
      <c r="C655" s="38"/>
      <c r="F655">
        <v>2018</v>
      </c>
      <c r="G655">
        <v>59</v>
      </c>
      <c r="N655"/>
    </row>
    <row r="656" spans="3:14" x14ac:dyDescent="0.25">
      <c r="C656" s="38"/>
      <c r="F656">
        <v>2019</v>
      </c>
      <c r="G656">
        <v>69</v>
      </c>
      <c r="N656"/>
    </row>
    <row r="657" spans="3:14" x14ac:dyDescent="0.25">
      <c r="C657" s="38"/>
      <c r="N657"/>
    </row>
    <row r="658" spans="3:14" x14ac:dyDescent="0.25">
      <c r="C658" s="38"/>
      <c r="N658"/>
    </row>
    <row r="659" spans="3:14" x14ac:dyDescent="0.25">
      <c r="C659" s="38"/>
      <c r="N659"/>
    </row>
    <row r="660" spans="3:14" x14ac:dyDescent="0.25">
      <c r="C660" s="38"/>
      <c r="E660" s="2" t="s">
        <v>1198</v>
      </c>
      <c r="F660">
        <v>2014</v>
      </c>
      <c r="G660">
        <v>6.2</v>
      </c>
    </row>
    <row r="661" spans="3:14" x14ac:dyDescent="0.25">
      <c r="C661" s="38"/>
      <c r="F661">
        <v>2015</v>
      </c>
      <c r="G661">
        <v>6.4</v>
      </c>
    </row>
    <row r="662" spans="3:14" x14ac:dyDescent="0.25">
      <c r="C662" s="38"/>
      <c r="F662">
        <v>2016</v>
      </c>
      <c r="G662">
        <v>5.9</v>
      </c>
    </row>
    <row r="663" spans="3:14" x14ac:dyDescent="0.25">
      <c r="C663" s="38"/>
      <c r="F663">
        <v>2017</v>
      </c>
      <c r="G663">
        <v>5.3</v>
      </c>
    </row>
    <row r="664" spans="3:14" x14ac:dyDescent="0.25">
      <c r="C664" s="38"/>
      <c r="F664">
        <v>2018</v>
      </c>
      <c r="G664" s="84">
        <f>+I80</f>
        <v>4.6607142857142856</v>
      </c>
    </row>
    <row r="665" spans="3:14" x14ac:dyDescent="0.25">
      <c r="C665" s="38"/>
      <c r="F665">
        <v>2019</v>
      </c>
      <c r="G665">
        <v>5.7</v>
      </c>
    </row>
    <row r="666" spans="3:14" x14ac:dyDescent="0.25">
      <c r="C666" s="38"/>
    </row>
    <row r="667" spans="3:14" x14ac:dyDescent="0.25">
      <c r="C667" s="38"/>
    </row>
    <row r="668" spans="3:14" x14ac:dyDescent="0.25">
      <c r="C668" s="38"/>
      <c r="H668" s="2" t="s">
        <v>1374</v>
      </c>
    </row>
    <row r="669" spans="3:14" x14ac:dyDescent="0.25">
      <c r="C669" s="38"/>
    </row>
    <row r="670" spans="3:14" x14ac:dyDescent="0.25">
      <c r="C670" s="38"/>
    </row>
    <row r="671" spans="3:14" x14ac:dyDescent="0.25">
      <c r="C671" s="38"/>
    </row>
    <row r="672" spans="3:14" x14ac:dyDescent="0.25">
      <c r="C672" s="38"/>
    </row>
    <row r="673" spans="2:41" x14ac:dyDescent="0.25">
      <c r="C673" s="38"/>
    </row>
    <row r="674" spans="2:41" x14ac:dyDescent="0.25">
      <c r="C674" s="38"/>
    </row>
    <row r="675" spans="2:41" x14ac:dyDescent="0.25">
      <c r="C675" s="38"/>
    </row>
    <row r="676" spans="2:41" x14ac:dyDescent="0.25">
      <c r="C676" s="38"/>
    </row>
    <row r="677" spans="2:41" x14ac:dyDescent="0.25">
      <c r="C677" s="38"/>
    </row>
    <row r="678" spans="2:41" x14ac:dyDescent="0.25">
      <c r="C678" s="38"/>
    </row>
    <row r="679" spans="2:41" x14ac:dyDescent="0.25">
      <c r="C679" s="38"/>
    </row>
    <row r="680" spans="2:41" x14ac:dyDescent="0.25">
      <c r="C680" s="38"/>
    </row>
    <row r="681" spans="2:41" x14ac:dyDescent="0.25">
      <c r="B681" s="254"/>
      <c r="C681" s="255"/>
      <c r="D681" s="254"/>
      <c r="E681" s="254"/>
      <c r="F681" s="254"/>
      <c r="G681" s="254"/>
      <c r="H681" s="254"/>
      <c r="I681" s="254"/>
      <c r="J681" s="254"/>
      <c r="K681" s="254"/>
      <c r="L681" s="254"/>
      <c r="M681" s="254"/>
      <c r="N681" s="256"/>
      <c r="O681" s="254"/>
      <c r="P681" s="254"/>
      <c r="Q681" s="254"/>
      <c r="R681" s="254"/>
      <c r="S681" s="254"/>
      <c r="T681" s="254"/>
      <c r="U681" s="254"/>
      <c r="V681" s="254"/>
    </row>
    <row r="682" spans="2:41" x14ac:dyDescent="0.25">
      <c r="C682" s="38"/>
    </row>
    <row r="683" spans="2:41" x14ac:dyDescent="0.25">
      <c r="C683" s="38"/>
    </row>
    <row r="684" spans="2:41" x14ac:dyDescent="0.25">
      <c r="C684" s="38"/>
    </row>
    <row r="685" spans="2:41" x14ac:dyDescent="0.25">
      <c r="C685" s="39">
        <v>2018</v>
      </c>
      <c r="D685" s="62" t="str">
        <f>+'[1]PAT-650'!$F$4</f>
        <v>PAT-650</v>
      </c>
      <c r="E685" s="63" t="str">
        <f>+'[1]PAT-650'!$F$5</f>
        <v>Tunnels E and F Infrastructure Repairs</v>
      </c>
      <c r="F685" s="64">
        <f>+'[1]PAT-650'!$F$6</f>
        <v>43110</v>
      </c>
      <c r="G685" s="65" t="str">
        <f>+'[1]PAT-650'!$G$7</f>
        <v>PQL</v>
      </c>
      <c r="H685" s="94">
        <f>+'[1]PAT-650'!$F$7</f>
        <v>200000000</v>
      </c>
      <c r="I685" s="94">
        <f>+'[1]PAT-650'!$F$8</f>
        <v>108511400</v>
      </c>
      <c r="J685" s="27"/>
      <c r="K685" s="26">
        <f>+'[1]PAT-650'!$G$9</f>
        <v>-0.45744299999999999</v>
      </c>
      <c r="L685" s="11" t="str">
        <f>+'[1]PAT-650'!$F$11</f>
        <v>FAIL</v>
      </c>
      <c r="M685" s="15">
        <f>+'[1]PAT-650'!$H$12</f>
        <v>5</v>
      </c>
      <c r="N685" s="35" t="s">
        <v>226</v>
      </c>
      <c r="O685" s="15">
        <v>1</v>
      </c>
      <c r="P685" s="35" t="s">
        <v>459</v>
      </c>
      <c r="Q685" s="35" t="s">
        <v>1246</v>
      </c>
      <c r="R685" s="15"/>
      <c r="S685" s="24" t="s">
        <v>932</v>
      </c>
      <c r="T685" s="62" t="str">
        <f>+'[1]PAT-650'!$J$4</f>
        <v>Nathan Demaisip</v>
      </c>
      <c r="U685" s="62"/>
      <c r="V685" s="94">
        <f>+'[1]PAT-650'!$F$12</f>
        <v>136419680</v>
      </c>
      <c r="W685" s="199">
        <f t="shared" ref="W685:W694" si="59">+I685/V685</f>
        <v>0.79542335827206168</v>
      </c>
      <c r="X685" s="15"/>
      <c r="Y685" s="200">
        <f t="shared" ref="Y685:Y694" si="60">+I685/H685</f>
        <v>0.54255699999999996</v>
      </c>
      <c r="Z685" s="11" t="str">
        <f t="shared" ref="Z685:Z694" si="61">(IF(Y685&lt;$Y$3,"FAIL",IF(Y685&gt;$Y$4,"FAIL","GOOD")))</f>
        <v>FAIL</v>
      </c>
      <c r="AA685" s="11"/>
      <c r="AB685" s="15"/>
      <c r="AC685" s="54">
        <f t="shared" ref="AC685:AD694" si="62">+H685</f>
        <v>200000000</v>
      </c>
      <c r="AD685" s="54">
        <f t="shared" si="62"/>
        <v>108511400</v>
      </c>
      <c r="AE685" s="54">
        <f t="shared" ref="AE685:AE694" si="63">+AC685-AD685</f>
        <v>91488600</v>
      </c>
    </row>
    <row r="686" spans="2:41" x14ac:dyDescent="0.25">
      <c r="B686" s="224"/>
      <c r="C686" s="39">
        <v>2018</v>
      </c>
      <c r="D686" s="62" t="str">
        <f>+'[1]JFK-164.020'!$F$4</f>
        <v>JFK-164.020</v>
      </c>
      <c r="E686" s="63" t="str">
        <f>+'[1]JFK-164.020'!$F$5</f>
        <v>Reconstruct Runway 13L-31R and Associated Taxiways</v>
      </c>
      <c r="F686" s="64">
        <f>+'[1]JFK-164.020'!$F$6</f>
        <v>43413</v>
      </c>
      <c r="G686" s="65" t="str">
        <f>+'[1]JFK-164.020'!$G$7</f>
        <v>Public</v>
      </c>
      <c r="H686" s="94">
        <f>+'[1]JFK-164.020'!$F$7</f>
        <v>186355200</v>
      </c>
      <c r="I686" s="94">
        <f>+'[1]JFK-164.020'!$F$8</f>
        <v>152100000</v>
      </c>
      <c r="J686" s="94"/>
      <c r="K686" s="153">
        <f>+'[1]JFK-164.020'!$G$9</f>
        <v>-0.18381671131259014</v>
      </c>
      <c r="L686" s="11" t="str">
        <f>+'[1]JFK-164.020'!$F$11</f>
        <v>FAIL</v>
      </c>
      <c r="M686" s="15">
        <f>+'[1]JFK-164.020'!$H$12</f>
        <v>3</v>
      </c>
      <c r="N686" s="35" t="s">
        <v>93</v>
      </c>
      <c r="O686" s="15">
        <v>4</v>
      </c>
      <c r="P686" s="35" t="s">
        <v>458</v>
      </c>
      <c r="Q686" s="35"/>
      <c r="R686" s="15"/>
      <c r="S686" s="24"/>
      <c r="T686" s="62" t="str">
        <f>+'[1]JFK-164.020'!$J$4</f>
        <v>Wen Chang</v>
      </c>
      <c r="U686" s="62"/>
      <c r="V686" s="94">
        <f>+'[1]JFK-164.020'!$F$12</f>
        <v>157872084</v>
      </c>
      <c r="W686" s="199">
        <f t="shared" si="59"/>
        <v>0.96343822255491351</v>
      </c>
      <c r="X686" s="15"/>
      <c r="Y686" s="200">
        <f t="shared" si="60"/>
        <v>0.81618328868740986</v>
      </c>
      <c r="Z686" s="11" t="str">
        <f t="shared" si="61"/>
        <v>FAIL</v>
      </c>
      <c r="AA686" s="11"/>
      <c r="AB686" s="15"/>
      <c r="AC686" s="54">
        <f t="shared" si="62"/>
        <v>186355200</v>
      </c>
      <c r="AD686" s="54">
        <f t="shared" si="62"/>
        <v>152100000</v>
      </c>
      <c r="AE686" s="54">
        <f t="shared" si="63"/>
        <v>34255200</v>
      </c>
      <c r="AG686" s="4"/>
      <c r="AH686" s="4"/>
      <c r="AI686" s="225"/>
      <c r="AJ686" s="226"/>
      <c r="AK686" s="227"/>
      <c r="AL686" s="227"/>
      <c r="AM686" s="225"/>
      <c r="AN686" s="226"/>
      <c r="AO686" s="228"/>
    </row>
    <row r="687" spans="2:41" x14ac:dyDescent="0.25">
      <c r="C687" s="39">
        <v>2018</v>
      </c>
      <c r="D687" s="62" t="str">
        <f>+'[1]EWR-154.395'!$F$4</f>
        <v>EWR-154.395</v>
      </c>
      <c r="E687" s="63" t="str">
        <f>+'[1]EWR-154.395'!$F$5</f>
        <v>Bridges N61, 62, 63, At-Grade Roadways and Appurtenances</v>
      </c>
      <c r="F687" s="64">
        <f>+'[1]EWR-154.395'!$F$6</f>
        <v>43250</v>
      </c>
      <c r="G687" s="65" t="str">
        <f>+'[1]EWR-154.395'!$G$7</f>
        <v>Public</v>
      </c>
      <c r="H687" s="94">
        <f>+'[1]EWR-154.395'!$F$7</f>
        <v>153277500</v>
      </c>
      <c r="I687" s="94">
        <f>+'[1]EWR-154.395'!$F$8</f>
        <v>118434757</v>
      </c>
      <c r="J687" s="27"/>
      <c r="K687" s="26">
        <f>+'[1]EWR-154.395'!$G$9</f>
        <v>-0.22731805385656734</v>
      </c>
      <c r="L687" s="11" t="str">
        <f>+'[1]EWR-154.395'!$F$11</f>
        <v>FAIL</v>
      </c>
      <c r="M687" s="15">
        <f>+'[1]EWR-154.395'!$H$12</f>
        <v>13</v>
      </c>
      <c r="N687" s="35" t="s">
        <v>25</v>
      </c>
      <c r="O687" s="15">
        <v>2</v>
      </c>
      <c r="P687" s="35" t="s">
        <v>458</v>
      </c>
      <c r="Q687" s="35"/>
      <c r="R687" s="15"/>
      <c r="S687" s="24"/>
      <c r="T687" s="62" t="str">
        <f>+'[1]EWR-154.395'!$J$4</f>
        <v>Joe Lucin</v>
      </c>
      <c r="U687" s="62"/>
      <c r="V687" s="94">
        <f>+'[1]EWR-154.395'!$F$12</f>
        <v>138481360</v>
      </c>
      <c r="W687" s="199">
        <f t="shared" si="59"/>
        <v>0.85523970157427687</v>
      </c>
      <c r="X687" s="15"/>
      <c r="Y687" s="200">
        <f t="shared" si="60"/>
        <v>0.77268194614343266</v>
      </c>
      <c r="Z687" s="11" t="str">
        <f t="shared" si="61"/>
        <v>FAIL</v>
      </c>
      <c r="AA687" s="11"/>
      <c r="AB687" s="15"/>
      <c r="AC687" s="54">
        <f t="shared" si="62"/>
        <v>153277500</v>
      </c>
      <c r="AD687" s="54">
        <f t="shared" si="62"/>
        <v>118434757</v>
      </c>
      <c r="AE687" s="54">
        <f t="shared" si="63"/>
        <v>34842743</v>
      </c>
    </row>
    <row r="688" spans="2:41" x14ac:dyDescent="0.25">
      <c r="B688" s="224"/>
      <c r="C688" s="39">
        <v>2018</v>
      </c>
      <c r="D688" s="62" t="str">
        <f>+'[1]EWR-154.386'!$F$4</f>
        <v>EWR-154.386</v>
      </c>
      <c r="E688" s="63" t="str">
        <f>+'[1]EWR-154.386'!$F$5</f>
        <v>Term A Redev - Airside Utilities and Paving South phase 2</v>
      </c>
      <c r="F688" s="64">
        <f>+'[1]EWR-154.386'!$F$6</f>
        <v>43438</v>
      </c>
      <c r="G688" s="65" t="str">
        <f>+'[1]EWR-154.386'!$G$7</f>
        <v>Public</v>
      </c>
      <c r="H688" s="94">
        <f>+'[1]EWR-154.386'!$F$7</f>
        <v>122920000</v>
      </c>
      <c r="I688" s="94">
        <f>+'[1]EWR-154.386'!$F$8</f>
        <v>119769038</v>
      </c>
      <c r="J688" s="94" t="s">
        <v>519</v>
      </c>
      <c r="K688" s="153">
        <f>+'[1]EWR-154.386'!$G$9</f>
        <v>-2.5634249918646275E-2</v>
      </c>
      <c r="L688" s="11" t="str">
        <f>+'[1]EWR-154.386'!$F$11</f>
        <v>GOOD</v>
      </c>
      <c r="M688" s="15">
        <f>+'[1]EWR-154.386'!$H$12</f>
        <v>2</v>
      </c>
      <c r="N688" s="35" t="s">
        <v>25</v>
      </c>
      <c r="O688" s="15">
        <v>4</v>
      </c>
      <c r="P688" s="35" t="s">
        <v>458</v>
      </c>
      <c r="Q688" s="35"/>
      <c r="R688" s="15"/>
      <c r="S688" s="24"/>
      <c r="T688" s="62" t="str">
        <f>+'[1]EWR-154.386'!$J$4</f>
        <v>Joe Lucin</v>
      </c>
      <c r="U688" s="62"/>
      <c r="V688" s="94">
        <f>+'[1]EWR-154.386'!$F$12</f>
        <v>122138179</v>
      </c>
      <c r="W688" s="199">
        <f t="shared" si="59"/>
        <v>0.98060278105177912</v>
      </c>
      <c r="X688" s="15"/>
      <c r="Y688" s="200">
        <f t="shared" si="60"/>
        <v>0.97436575008135373</v>
      </c>
      <c r="Z688" s="11" t="str">
        <f t="shared" si="61"/>
        <v>FAIL</v>
      </c>
      <c r="AA688" s="11"/>
      <c r="AB688" s="15"/>
      <c r="AC688" s="54">
        <f t="shared" si="62"/>
        <v>122920000</v>
      </c>
      <c r="AD688" s="54">
        <f t="shared" si="62"/>
        <v>119769038</v>
      </c>
      <c r="AE688" s="54">
        <f t="shared" si="63"/>
        <v>3150962</v>
      </c>
      <c r="AG688" s="4"/>
      <c r="AH688" s="4"/>
      <c r="AI688" s="225"/>
      <c r="AJ688" s="226"/>
      <c r="AK688" s="227"/>
      <c r="AL688" s="227"/>
      <c r="AM688" s="225"/>
      <c r="AN688" s="226"/>
      <c r="AO688" s="228"/>
    </row>
    <row r="689" spans="2:31" x14ac:dyDescent="0.25">
      <c r="C689" s="39">
        <v>2018</v>
      </c>
      <c r="D689" s="62" t="str">
        <f>+'[1]GWB-244.204A'!$F$4</f>
        <v>GWB-244.204A</v>
      </c>
      <c r="E689" s="63" t="str">
        <f>+'[1]GWB-244.204A'!$F$5</f>
        <v>Rehab Center and Lemoine Avenue Bridges</v>
      </c>
      <c r="F689" s="64">
        <f>+'[1]GWB-244.204A'!$F$6</f>
        <v>43368</v>
      </c>
      <c r="G689" s="65" t="str">
        <f>+'[1]GWB-244.204A'!$G$7</f>
        <v>Public</v>
      </c>
      <c r="H689" s="94">
        <f>+'[1]GWB-244.204A'!$F$7</f>
        <v>64356250</v>
      </c>
      <c r="I689" s="94">
        <f>+'[1]GWB-244.204A'!$F$8</f>
        <v>51485000</v>
      </c>
      <c r="J689" s="27" t="s">
        <v>519</v>
      </c>
      <c r="K689" s="26">
        <f>+'[1]GWB-244.204A'!$G$9</f>
        <v>-0.2</v>
      </c>
      <c r="L689" s="11" t="str">
        <f>+'[1]GWB-244.204A'!$F$11</f>
        <v>GOOD</v>
      </c>
      <c r="M689" s="15">
        <f>+'[1]GWB-244.204A'!$H$12</f>
        <v>8</v>
      </c>
      <c r="N689" s="35" t="s">
        <v>25</v>
      </c>
      <c r="O689" s="15">
        <v>3</v>
      </c>
      <c r="P689" s="35" t="s">
        <v>457</v>
      </c>
      <c r="Q689" s="35"/>
      <c r="R689" s="15"/>
      <c r="S689" s="24"/>
      <c r="T689" s="62" t="str">
        <f>+'[1]GWB-244.204A'!$J$4</f>
        <v>Boris Lenderman</v>
      </c>
      <c r="U689" s="62"/>
      <c r="V689" s="94">
        <f>+'[1]GWB-244.204A'!$F$12</f>
        <v>75310398.875</v>
      </c>
      <c r="W689" s="199">
        <f t="shared" si="59"/>
        <v>0.68363732989191395</v>
      </c>
      <c r="X689" s="15"/>
      <c r="Y689" s="200">
        <f t="shared" si="60"/>
        <v>0.8</v>
      </c>
      <c r="Z689" s="11" t="str">
        <f t="shared" si="61"/>
        <v>FAIL</v>
      </c>
      <c r="AA689" s="11"/>
      <c r="AB689" s="15"/>
      <c r="AC689" s="54">
        <f t="shared" si="62"/>
        <v>64356250</v>
      </c>
      <c r="AD689" s="54">
        <f t="shared" si="62"/>
        <v>51485000</v>
      </c>
      <c r="AE689" s="54">
        <f t="shared" si="63"/>
        <v>12871250</v>
      </c>
    </row>
    <row r="690" spans="2:31" x14ac:dyDescent="0.25">
      <c r="C690" s="39">
        <v>2018</v>
      </c>
      <c r="D690" s="62" t="str">
        <f>+'[1]GWB-244.049'!$F$4</f>
        <v>GWB-244.049</v>
      </c>
      <c r="E690" s="63" t="str">
        <f>+'[1]GWB-244.049'!$F$5</f>
        <v>Trans-Manhattan Expressway Median Barriers and Water Mains</v>
      </c>
      <c r="F690" s="64">
        <f>+'[1]GWB-244.049'!$F$6</f>
        <v>43319</v>
      </c>
      <c r="G690" s="65" t="str">
        <f>+'[1]GWB-244.049'!$G$7</f>
        <v>Public</v>
      </c>
      <c r="H690" s="94">
        <f>+'[1]GWB-244.049'!$F$7</f>
        <v>54744000</v>
      </c>
      <c r="I690" s="94">
        <f>+'[1]GWB-244.049'!$F$8</f>
        <v>34776250</v>
      </c>
      <c r="J690" s="27" t="s">
        <v>519</v>
      </c>
      <c r="K690" s="26">
        <f>+'[1]GWB-244.049'!$G$9</f>
        <v>-0.36474773491158846</v>
      </c>
      <c r="L690" s="11" t="str">
        <f>+'[1]GWB-244.049'!$F$11</f>
        <v>GOOD</v>
      </c>
      <c r="M690" s="15">
        <f>+'[1]GWB-244.049'!$H$12</f>
        <v>4</v>
      </c>
      <c r="N690" s="35" t="s">
        <v>93</v>
      </c>
      <c r="O690" s="15">
        <v>3</v>
      </c>
      <c r="P690" s="35" t="s">
        <v>457</v>
      </c>
      <c r="Q690" s="35"/>
      <c r="R690" s="15"/>
      <c r="S690" s="24" t="s">
        <v>932</v>
      </c>
      <c r="T690" s="62" t="str">
        <f>+'[1]GWB-244.049'!$J$4</f>
        <v>Boris Lenderman</v>
      </c>
      <c r="U690" s="62"/>
      <c r="V690" s="94">
        <f>+'[1]GWB-244.049'!$F$12</f>
        <v>49859526.25</v>
      </c>
      <c r="W690" s="199">
        <f t="shared" si="59"/>
        <v>0.69748456544951631</v>
      </c>
      <c r="X690" s="15"/>
      <c r="Y690" s="200">
        <f t="shared" si="60"/>
        <v>0.63525226508841148</v>
      </c>
      <c r="Z690" s="11" t="str">
        <f t="shared" si="61"/>
        <v>FAIL</v>
      </c>
      <c r="AA690" s="11"/>
      <c r="AB690" s="15"/>
      <c r="AC690" s="54">
        <f t="shared" si="62"/>
        <v>54744000</v>
      </c>
      <c r="AD690" s="54">
        <f t="shared" si="62"/>
        <v>34776250</v>
      </c>
      <c r="AE690" s="54">
        <f t="shared" si="63"/>
        <v>19967750</v>
      </c>
    </row>
    <row r="691" spans="2:31" x14ac:dyDescent="0.25">
      <c r="C691" s="39">
        <v>2018</v>
      </c>
      <c r="D691" s="62" t="str">
        <f>+'[1]PAT-774.170'!$F$4</f>
        <v>PAT-774.170</v>
      </c>
      <c r="E691" s="63" t="str">
        <f>+'[1]PAT-774.170'!$F$5</f>
        <v>Repl Exchange Place and Newport Escalators and Elevators</v>
      </c>
      <c r="F691" s="64">
        <f>+'[1]PAT-774.170'!$F$6</f>
        <v>43264</v>
      </c>
      <c r="G691" s="65" t="str">
        <f>+'[1]PAT-774.170'!$G$7</f>
        <v>Public</v>
      </c>
      <c r="H691" s="94">
        <f>+'[1]PAT-774.170'!$F$7</f>
        <v>38600000</v>
      </c>
      <c r="I691" s="94">
        <f>+'[1]PAT-774.170'!$F$8</f>
        <v>35950000</v>
      </c>
      <c r="J691" s="27" t="s">
        <v>519</v>
      </c>
      <c r="K691" s="26">
        <f>+'[1]PAT-774.170'!$G$9</f>
        <v>-6.8652849740932637E-2</v>
      </c>
      <c r="L691" s="11" t="str">
        <f>+'[1]PAT-774.170'!$F$11</f>
        <v>GOOD</v>
      </c>
      <c r="M691" s="15">
        <f>+'[1]PAT-774.170'!$H$12</f>
        <v>2</v>
      </c>
      <c r="N691" s="35" t="s">
        <v>25</v>
      </c>
      <c r="O691" s="15">
        <v>2</v>
      </c>
      <c r="P691" s="35" t="s">
        <v>459</v>
      </c>
      <c r="Q691" s="35"/>
      <c r="R691" s="15"/>
      <c r="S691" s="24"/>
      <c r="T691" s="62" t="str">
        <f>+'[1]PAT-774.170'!$J$4</f>
        <v>Nathan Demaisip</v>
      </c>
      <c r="U691" s="62"/>
      <c r="V691" s="94">
        <f>+'[1]PAT-774.170'!$F$12</f>
        <v>39922000</v>
      </c>
      <c r="W691" s="199">
        <f t="shared" si="59"/>
        <v>0.90050598667401438</v>
      </c>
      <c r="X691" s="15"/>
      <c r="Y691" s="200">
        <f t="shared" si="60"/>
        <v>0.93134715025906734</v>
      </c>
      <c r="Z691" s="11" t="str">
        <f t="shared" si="61"/>
        <v>FAIL</v>
      </c>
      <c r="AA691" s="11"/>
      <c r="AB691" s="15"/>
      <c r="AC691" s="54">
        <f t="shared" si="62"/>
        <v>38600000</v>
      </c>
      <c r="AD691" s="54">
        <f t="shared" si="62"/>
        <v>35950000</v>
      </c>
      <c r="AE691" s="54">
        <f t="shared" si="63"/>
        <v>2650000</v>
      </c>
    </row>
    <row r="692" spans="2:31" x14ac:dyDescent="0.25">
      <c r="C692" s="39">
        <v>2018</v>
      </c>
      <c r="D692" s="62" t="str">
        <f>+'[1]LGA-124.260'!$F$4</f>
        <v>LGA-124.260</v>
      </c>
      <c r="E692" s="63" t="str">
        <f>+'[1]LGA-124.260'!$F$5</f>
        <v>Rehab of Runway 4-22 and Associated Taxiways</v>
      </c>
      <c r="F692" s="64">
        <f>+'[1]LGA-124.260'!$F$6</f>
        <v>43299</v>
      </c>
      <c r="G692" s="65" t="str">
        <f>+'[1]LGA-124.260'!$G$7</f>
        <v>PQL</v>
      </c>
      <c r="H692" s="94">
        <f>+'[1]LGA-124.260'!$F$7</f>
        <v>34796400</v>
      </c>
      <c r="I692" s="94">
        <f>+'[1]LGA-124.260'!$F$8</f>
        <v>34483510</v>
      </c>
      <c r="J692" s="27" t="s">
        <v>519</v>
      </c>
      <c r="K692" s="26">
        <f>+'[1]LGA-124.260'!$G$9</f>
        <v>-8.9920221632122863E-3</v>
      </c>
      <c r="L692" s="11" t="str">
        <f>+'[1]LGA-124.260'!$F$11</f>
        <v>GOOD</v>
      </c>
      <c r="M692" s="15">
        <f>+'[1]LGA-124.260'!$H$12</f>
        <v>2</v>
      </c>
      <c r="N692" s="35" t="s">
        <v>93</v>
      </c>
      <c r="O692" s="15">
        <v>3</v>
      </c>
      <c r="P692" s="35" t="s">
        <v>458</v>
      </c>
      <c r="Q692" s="35"/>
      <c r="R692" s="15"/>
      <c r="S692" s="24"/>
      <c r="T692" s="62" t="str">
        <f>+'[1]LGA-124.260'!$J$4</f>
        <v>Joe Lucin</v>
      </c>
      <c r="U692" s="62"/>
      <c r="V692" s="94">
        <f>+'[1]LGA-124.260'!$F$12</f>
        <v>35471255</v>
      </c>
      <c r="W692" s="199">
        <f t="shared" si="59"/>
        <v>0.97215364948322236</v>
      </c>
      <c r="X692" s="15"/>
      <c r="Y692" s="200">
        <f t="shared" si="60"/>
        <v>0.99100797783678773</v>
      </c>
      <c r="Z692" s="11" t="str">
        <f t="shared" si="61"/>
        <v>FAIL</v>
      </c>
      <c r="AA692" s="11"/>
      <c r="AB692" s="15"/>
      <c r="AC692" s="54">
        <f t="shared" si="62"/>
        <v>34796400</v>
      </c>
      <c r="AD692" s="54">
        <f t="shared" si="62"/>
        <v>34483510</v>
      </c>
      <c r="AE692" s="54">
        <f t="shared" si="63"/>
        <v>312890</v>
      </c>
    </row>
    <row r="693" spans="2:31" x14ac:dyDescent="0.25">
      <c r="C693" s="39">
        <v>2018</v>
      </c>
      <c r="D693" s="62" t="str">
        <f>+'[1]AKO-284.051'!$F$4</f>
        <v>AKO-284.051</v>
      </c>
      <c r="E693" s="63" t="str">
        <f>+'[1]AKO-284.051'!$F$5</f>
        <v>Main Spain Pier and Fender Upgrades</v>
      </c>
      <c r="F693" s="64">
        <f>+'[1]AKO-284.051'!$F$6</f>
        <v>43179</v>
      </c>
      <c r="G693" s="65" t="str">
        <f>+'[1]AKO-284.051'!$G$7</f>
        <v>Public</v>
      </c>
      <c r="H693" s="94">
        <f>+'[1]AKO-284.051'!$F$7</f>
        <v>27125000</v>
      </c>
      <c r="I693" s="94">
        <f>+'[1]AKO-284.051'!$F$8</f>
        <v>22964560</v>
      </c>
      <c r="J693" s="27" t="s">
        <v>519</v>
      </c>
      <c r="K693" s="26">
        <f>+'[1]AKO-284.051'!$G$9</f>
        <v>-0.15338027649769584</v>
      </c>
      <c r="L693" s="11" t="str">
        <f>+'[1]AKO-284.051'!$F$11</f>
        <v>GOOD</v>
      </c>
      <c r="M693" s="15">
        <f>+'[1]AKO-284.051'!$H$12</f>
        <v>10</v>
      </c>
      <c r="N693" s="35" t="s">
        <v>226</v>
      </c>
      <c r="O693" s="15">
        <v>1</v>
      </c>
      <c r="P693" s="35" t="s">
        <v>457</v>
      </c>
      <c r="Q693" s="35" t="s">
        <v>1238</v>
      </c>
      <c r="R693" s="15"/>
      <c r="S693" s="24"/>
      <c r="T693" s="62" t="str">
        <f>+'[1]AKO-284.051'!$J$4</f>
        <v>Ed Minall</v>
      </c>
      <c r="U693" s="62"/>
      <c r="V693" s="94">
        <f>+'[1]AKO-284.051'!$F$12</f>
        <v>31632465.399999999</v>
      </c>
      <c r="W693" s="199">
        <f t="shared" si="59"/>
        <v>0.72598071979555534</v>
      </c>
      <c r="X693" s="15"/>
      <c r="Y693" s="200">
        <f t="shared" si="60"/>
        <v>0.84661972350230419</v>
      </c>
      <c r="Z693" s="11" t="str">
        <f t="shared" si="61"/>
        <v>FAIL</v>
      </c>
      <c r="AA693" s="11"/>
      <c r="AB693" s="15"/>
      <c r="AC693" s="54">
        <f t="shared" si="62"/>
        <v>27125000</v>
      </c>
      <c r="AD693" s="54">
        <f t="shared" si="62"/>
        <v>22964560</v>
      </c>
      <c r="AE693" s="54">
        <f t="shared" si="63"/>
        <v>4160440</v>
      </c>
    </row>
    <row r="694" spans="2:31" x14ac:dyDescent="0.25">
      <c r="C694" s="39">
        <v>2018</v>
      </c>
      <c r="D694" s="62" t="str">
        <f>+'[1]PAT-924.802'!$F$4</f>
        <v>PAT-924.802</v>
      </c>
      <c r="E694" s="63" t="str">
        <f>+'[1]PAT-924.802'!$F$5</f>
        <v>Fire Alarm System Upgrade</v>
      </c>
      <c r="F694" s="64">
        <f>+'[1]PAT-924.802'!$F$6</f>
        <v>43118</v>
      </c>
      <c r="G694" s="65" t="str">
        <f>+'[1]PAT-924.802'!$G$7</f>
        <v>VVP</v>
      </c>
      <c r="H694" s="94">
        <f>+'[1]PAT-924.802'!$F$7</f>
        <v>26900000</v>
      </c>
      <c r="I694" s="94">
        <f>+'[1]PAT-924.802'!$F$8</f>
        <v>24990000</v>
      </c>
      <c r="J694" s="27" t="s">
        <v>519</v>
      </c>
      <c r="K694" s="26">
        <f>+'[1]PAT-924.802'!$G$9</f>
        <v>-7.1003717472118963E-2</v>
      </c>
      <c r="L694" s="11" t="str">
        <f>+'[1]PAT-924.802'!$F$11</f>
        <v>GOOD</v>
      </c>
      <c r="M694" s="15">
        <f>+'[1]PAT-924.802'!$H$12</f>
        <v>2</v>
      </c>
      <c r="N694" s="35" t="s">
        <v>226</v>
      </c>
      <c r="O694" s="15">
        <v>1</v>
      </c>
      <c r="P694" s="35" t="s">
        <v>459</v>
      </c>
      <c r="Q694" s="35" t="s">
        <v>1246</v>
      </c>
      <c r="R694" s="15"/>
      <c r="S694" s="24"/>
      <c r="T694" s="62" t="str">
        <f>+'[1]PAT-924.802'!$J$4</f>
        <v>Nathan Demaisip</v>
      </c>
      <c r="U694" s="62"/>
      <c r="V694" s="94">
        <f>+'[1]PAT-924.802'!$F$12</f>
        <v>35017000</v>
      </c>
      <c r="W694" s="199">
        <f t="shared" si="59"/>
        <v>0.71365336836393756</v>
      </c>
      <c r="X694" s="15"/>
      <c r="Y694" s="200">
        <f t="shared" si="60"/>
        <v>0.92899628252788102</v>
      </c>
      <c r="Z694" s="11" t="str">
        <f t="shared" si="61"/>
        <v>FAIL</v>
      </c>
      <c r="AA694" s="11"/>
      <c r="AB694" s="15"/>
      <c r="AC694" s="54">
        <f t="shared" si="62"/>
        <v>26900000</v>
      </c>
      <c r="AD694" s="54">
        <f t="shared" si="62"/>
        <v>24990000</v>
      </c>
      <c r="AE694" s="54">
        <f t="shared" si="63"/>
        <v>1910000</v>
      </c>
    </row>
    <row r="695" spans="2:31" x14ac:dyDescent="0.25">
      <c r="C695" s="38"/>
    </row>
    <row r="696" spans="2:31" x14ac:dyDescent="0.25">
      <c r="C696" s="38"/>
      <c r="E696" s="83" t="s">
        <v>1372</v>
      </c>
      <c r="F696" s="15"/>
      <c r="G696" s="15" t="s">
        <v>1370</v>
      </c>
      <c r="H696" s="27">
        <f>SUM(H685:H687)</f>
        <v>539632700</v>
      </c>
      <c r="I696" s="27">
        <f>SUM(I685:I687)</f>
        <v>379046157</v>
      </c>
      <c r="J696" s="27">
        <f>+H696-I696</f>
        <v>160586543</v>
      </c>
      <c r="K696" s="15"/>
      <c r="M696">
        <f>AVERAGE(M685:M687)</f>
        <v>7</v>
      </c>
    </row>
    <row r="697" spans="2:31" x14ac:dyDescent="0.25">
      <c r="C697" s="38"/>
      <c r="E697" s="15"/>
      <c r="F697" s="15"/>
      <c r="G697" s="15" t="s">
        <v>1371</v>
      </c>
      <c r="H697" s="27">
        <f>SUM(H685:H694)</f>
        <v>909074350</v>
      </c>
      <c r="I697" s="27">
        <f>SUM(I685:I694)</f>
        <v>703464515</v>
      </c>
      <c r="J697" s="27">
        <f>+H697-I697</f>
        <v>205609835</v>
      </c>
      <c r="K697" s="15"/>
      <c r="M697">
        <f>AVERAGE(M685:M694)</f>
        <v>5.0999999999999996</v>
      </c>
    </row>
    <row r="698" spans="2:31" x14ac:dyDescent="0.25">
      <c r="C698" s="38"/>
    </row>
    <row r="699" spans="2:31" x14ac:dyDescent="0.25">
      <c r="C699" s="38"/>
    </row>
    <row r="700" spans="2:31" x14ac:dyDescent="0.25">
      <c r="C700" s="38"/>
    </row>
    <row r="701" spans="2:31" x14ac:dyDescent="0.25">
      <c r="B701" s="163"/>
      <c r="C701" s="164"/>
      <c r="D701" s="163"/>
      <c r="E701" s="163"/>
      <c r="F701" s="163"/>
      <c r="G701" s="163"/>
      <c r="H701" s="163"/>
      <c r="I701" s="163"/>
      <c r="J701" s="163"/>
      <c r="K701" s="163"/>
      <c r="L701" s="163"/>
      <c r="M701" s="163"/>
      <c r="N701" s="165"/>
      <c r="O701" s="163"/>
      <c r="P701" s="163"/>
      <c r="Q701" s="163"/>
      <c r="R701" s="163"/>
      <c r="S701" s="163"/>
      <c r="T701" s="163"/>
      <c r="U701" s="163"/>
    </row>
    <row r="702" spans="2:31" x14ac:dyDescent="0.25">
      <c r="C702" s="38"/>
    </row>
    <row r="703" spans="2:31" x14ac:dyDescent="0.25">
      <c r="C703" s="38"/>
    </row>
    <row r="704" spans="2:31" x14ac:dyDescent="0.25">
      <c r="C704" s="38"/>
      <c r="D704" s="83" t="s">
        <v>1375</v>
      </c>
    </row>
    <row r="705" spans="2:41" x14ac:dyDescent="0.25">
      <c r="B705" s="224"/>
      <c r="C705" s="39">
        <v>2018</v>
      </c>
      <c r="D705" s="62" t="s">
        <v>1316</v>
      </c>
      <c r="E705" s="63" t="s">
        <v>1317</v>
      </c>
      <c r="F705" s="64">
        <v>43411</v>
      </c>
      <c r="G705" s="65" t="s">
        <v>1225</v>
      </c>
      <c r="H705" s="94" t="s">
        <v>1387</v>
      </c>
      <c r="I705" s="94"/>
      <c r="J705" s="27"/>
      <c r="K705" s="26"/>
      <c r="L705" s="11"/>
      <c r="M705" s="257"/>
      <c r="N705" s="35"/>
      <c r="O705" s="15"/>
      <c r="P705" s="35"/>
      <c r="Q705" s="35"/>
      <c r="R705" s="15"/>
      <c r="S705" s="24" t="s">
        <v>227</v>
      </c>
      <c r="T705" s="62"/>
      <c r="U705" s="62"/>
      <c r="V705" s="94"/>
      <c r="W705" s="199"/>
      <c r="X705" s="15"/>
      <c r="Y705" s="200"/>
      <c r="Z705" s="11"/>
      <c r="AA705" s="11"/>
      <c r="AB705" s="15"/>
      <c r="AC705" s="54"/>
      <c r="AD705" s="54"/>
      <c r="AE705" s="54"/>
      <c r="AH705" s="4"/>
      <c r="AI705" s="225"/>
      <c r="AJ705" s="226"/>
      <c r="AK705" s="227"/>
      <c r="AL705" s="227"/>
      <c r="AM705" s="225"/>
      <c r="AN705" s="226"/>
      <c r="AO705" s="228"/>
    </row>
    <row r="706" spans="2:41" x14ac:dyDescent="0.25">
      <c r="B706" s="224"/>
      <c r="C706" s="39">
        <v>2018</v>
      </c>
      <c r="D706" s="62" t="s">
        <v>1376</v>
      </c>
      <c r="E706" s="63" t="s">
        <v>1377</v>
      </c>
      <c r="F706" s="64">
        <v>43398</v>
      </c>
      <c r="G706" s="65" t="s">
        <v>190</v>
      </c>
      <c r="H706" s="94" t="s">
        <v>1386</v>
      </c>
      <c r="I706" s="94"/>
      <c r="J706" s="27"/>
      <c r="K706" s="26"/>
      <c r="L706" s="11"/>
      <c r="M706" s="257"/>
      <c r="N706" s="35"/>
      <c r="O706" s="15"/>
      <c r="P706" s="35"/>
      <c r="Q706" s="35"/>
      <c r="R706" s="15"/>
      <c r="S706" s="24" t="s">
        <v>227</v>
      </c>
      <c r="T706" s="62"/>
      <c r="U706" s="62"/>
      <c r="V706" s="94"/>
      <c r="W706" s="199"/>
      <c r="X706" s="15"/>
      <c r="Y706" s="200"/>
      <c r="Z706" s="11"/>
      <c r="AA706" s="11"/>
      <c r="AB706" s="15"/>
      <c r="AC706" s="54"/>
      <c r="AD706" s="54"/>
      <c r="AE706" s="54"/>
      <c r="AM706" s="225"/>
      <c r="AN706" s="226"/>
      <c r="AO706" s="228"/>
    </row>
    <row r="707" spans="2:41" x14ac:dyDescent="0.25">
      <c r="B707" s="224"/>
      <c r="C707" s="39">
        <v>2018</v>
      </c>
      <c r="D707" s="62" t="s">
        <v>1320</v>
      </c>
      <c r="E707" s="63" t="s">
        <v>717</v>
      </c>
      <c r="F707" s="64">
        <v>43383</v>
      </c>
      <c r="G707" s="65" t="s">
        <v>1225</v>
      </c>
      <c r="H707" s="94" t="s">
        <v>1388</v>
      </c>
      <c r="I707" s="94"/>
      <c r="J707" s="27"/>
      <c r="K707" s="26"/>
      <c r="L707" s="11"/>
      <c r="M707" s="257"/>
      <c r="N707" s="35"/>
      <c r="O707" s="15"/>
      <c r="P707" s="35"/>
      <c r="Q707" s="35"/>
      <c r="R707" s="15"/>
      <c r="S707" s="24" t="s">
        <v>227</v>
      </c>
      <c r="T707" s="62"/>
      <c r="U707" s="62"/>
      <c r="V707" s="94"/>
      <c r="W707" s="199"/>
      <c r="X707" s="15"/>
      <c r="Y707" s="200"/>
      <c r="Z707" s="11"/>
      <c r="AA707" s="11"/>
      <c r="AB707" s="15"/>
      <c r="AC707" s="54"/>
      <c r="AD707" s="54"/>
      <c r="AE707" s="54"/>
      <c r="AH707" s="4"/>
      <c r="AI707" s="225"/>
      <c r="AJ707" s="226"/>
      <c r="AK707" s="227"/>
      <c r="AL707" s="227"/>
      <c r="AM707" s="225"/>
      <c r="AN707" s="226"/>
      <c r="AO707" s="228"/>
    </row>
    <row r="708" spans="2:41" x14ac:dyDescent="0.25">
      <c r="B708" s="224"/>
      <c r="C708" s="39">
        <v>2018</v>
      </c>
      <c r="D708" s="62" t="s">
        <v>1321</v>
      </c>
      <c r="E708" s="63" t="s">
        <v>1322</v>
      </c>
      <c r="F708" s="64">
        <v>43382</v>
      </c>
      <c r="G708" s="65" t="s">
        <v>1225</v>
      </c>
      <c r="H708" s="94" t="s">
        <v>1384</v>
      </c>
      <c r="I708" s="94"/>
      <c r="J708" s="94"/>
      <c r="K708" s="153"/>
      <c r="L708" s="11"/>
      <c r="M708" s="257"/>
      <c r="N708" s="35"/>
      <c r="O708" s="15"/>
      <c r="P708" s="35"/>
      <c r="Q708" s="35"/>
      <c r="R708" s="15"/>
      <c r="S708" s="24" t="s">
        <v>227</v>
      </c>
      <c r="T708" s="62"/>
      <c r="U708" s="62"/>
      <c r="V708" s="94"/>
      <c r="W708" s="199"/>
      <c r="X708" s="15"/>
      <c r="Y708" s="200"/>
      <c r="Z708" s="11"/>
      <c r="AA708" s="11"/>
      <c r="AB708" s="15"/>
      <c r="AC708" s="54"/>
      <c r="AD708" s="54"/>
      <c r="AE708" s="54"/>
      <c r="AG708" s="4"/>
      <c r="AH708" s="4"/>
      <c r="AI708" s="225"/>
      <c r="AJ708" s="226"/>
      <c r="AK708" s="227"/>
      <c r="AL708" s="227"/>
      <c r="AM708" s="225"/>
      <c r="AN708" s="226"/>
      <c r="AO708" s="228"/>
    </row>
    <row r="709" spans="2:41" x14ac:dyDescent="0.25">
      <c r="C709" s="39">
        <v>2018</v>
      </c>
      <c r="D709" s="62" t="s">
        <v>1378</v>
      </c>
      <c r="E709" s="63" t="s">
        <v>1257</v>
      </c>
      <c r="F709" s="64">
        <v>43242</v>
      </c>
      <c r="G709" s="65" t="s">
        <v>34</v>
      </c>
      <c r="H709" s="94" t="s">
        <v>1385</v>
      </c>
      <c r="I709" s="94"/>
      <c r="J709" s="27"/>
      <c r="K709" s="26"/>
      <c r="L709" s="11"/>
      <c r="M709" s="257"/>
      <c r="N709" s="35"/>
      <c r="O709" s="15"/>
      <c r="P709" s="35"/>
      <c r="Q709" s="35"/>
      <c r="R709" s="15"/>
      <c r="S709" s="24" t="s">
        <v>227</v>
      </c>
      <c r="T709" s="62"/>
      <c r="U709" s="62"/>
      <c r="V709" s="94"/>
      <c r="W709" s="199"/>
      <c r="X709" s="15"/>
      <c r="Y709" s="200"/>
      <c r="Z709" s="11"/>
      <c r="AA709" s="11"/>
      <c r="AB709" s="15"/>
      <c r="AC709" s="54"/>
      <c r="AD709" s="54"/>
      <c r="AE709" s="54"/>
    </row>
    <row r="710" spans="2:41" x14ac:dyDescent="0.25">
      <c r="C710" s="39">
        <v>2018</v>
      </c>
      <c r="D710" s="62" t="s">
        <v>1379</v>
      </c>
      <c r="E710" s="63" t="s">
        <v>1278</v>
      </c>
      <c r="F710" s="64">
        <v>43207</v>
      </c>
      <c r="G710" s="65" t="s">
        <v>190</v>
      </c>
      <c r="H710" s="94" t="s">
        <v>1382</v>
      </c>
      <c r="I710" s="94"/>
      <c r="J710" s="27"/>
      <c r="K710" s="26"/>
      <c r="L710" s="11"/>
      <c r="M710" s="257"/>
      <c r="N710" s="35"/>
      <c r="O710" s="15"/>
      <c r="P710" s="35"/>
      <c r="Q710" s="35"/>
      <c r="R710" s="15"/>
      <c r="S710" s="24" t="s">
        <v>227</v>
      </c>
      <c r="T710" s="62"/>
      <c r="U710" s="62"/>
      <c r="V710" s="94"/>
      <c r="W710" s="199"/>
      <c r="X710" s="15"/>
      <c r="Y710" s="200"/>
      <c r="Z710" s="11"/>
      <c r="AA710" s="11"/>
      <c r="AB710" s="15"/>
      <c r="AC710" s="54"/>
      <c r="AD710" s="54"/>
      <c r="AE710" s="54"/>
    </row>
    <row r="711" spans="2:41" x14ac:dyDescent="0.25">
      <c r="C711" s="39">
        <v>2018</v>
      </c>
      <c r="D711" s="62" t="s">
        <v>1380</v>
      </c>
      <c r="E711" s="63" t="s">
        <v>1381</v>
      </c>
      <c r="F711" s="64">
        <v>43117</v>
      </c>
      <c r="G711" s="65" t="s">
        <v>190</v>
      </c>
      <c r="H711" s="94" t="s">
        <v>1383</v>
      </c>
      <c r="I711" s="94"/>
      <c r="J711" s="27"/>
      <c r="K711" s="26"/>
      <c r="L711" s="11"/>
      <c r="M711" s="257"/>
      <c r="N711" s="35"/>
      <c r="O711" s="15"/>
      <c r="P711" s="35"/>
      <c r="Q711" s="35"/>
      <c r="R711" s="15"/>
      <c r="S711" s="24" t="s">
        <v>227</v>
      </c>
      <c r="T711" s="62"/>
      <c r="U711" s="62"/>
      <c r="V711" s="94"/>
      <c r="W711" s="199"/>
      <c r="X711" s="15"/>
      <c r="Y711" s="200"/>
      <c r="Z711" s="11"/>
      <c r="AA711" s="11"/>
      <c r="AB711" s="15"/>
      <c r="AC711" s="54"/>
      <c r="AD711" s="54"/>
      <c r="AE711" s="54"/>
    </row>
    <row r="715" spans="2:41" x14ac:dyDescent="0.25">
      <c r="B715" s="283"/>
      <c r="C715" s="283"/>
      <c r="D715" s="283"/>
      <c r="E715" s="283"/>
      <c r="F715" s="283"/>
      <c r="G715" s="283"/>
      <c r="H715" s="283"/>
      <c r="I715" s="283"/>
      <c r="J715" s="283"/>
      <c r="K715" s="283"/>
      <c r="L715" s="283"/>
      <c r="M715" s="283"/>
      <c r="N715" s="284"/>
      <c r="O715" s="283"/>
      <c r="P715" s="283"/>
      <c r="Q715" s="283"/>
      <c r="R715" s="283"/>
      <c r="S715" s="283"/>
      <c r="T715" s="283"/>
      <c r="U715" s="283"/>
    </row>
    <row r="719" spans="2:41" x14ac:dyDescent="0.25">
      <c r="Z719" s="31" t="s">
        <v>1452</v>
      </c>
    </row>
    <row r="720" spans="2:41" x14ac:dyDescent="0.25">
      <c r="Z720" s="31" t="s">
        <v>1453</v>
      </c>
    </row>
    <row r="721" spans="3:34" ht="15.75" thickBot="1" x14ac:dyDescent="0.3"/>
    <row r="722" spans="3:34" ht="15.75" thickBot="1" x14ac:dyDescent="0.3">
      <c r="Z722" s="285" t="s">
        <v>1454</v>
      </c>
      <c r="AA722" s="286" t="s">
        <v>1455</v>
      </c>
      <c r="AB722" s="286" t="s">
        <v>1456</v>
      </c>
      <c r="AC722" s="286" t="s">
        <v>1457</v>
      </c>
      <c r="AD722" s="286" t="s">
        <v>1458</v>
      </c>
      <c r="AE722" s="286" t="s">
        <v>1459</v>
      </c>
      <c r="AF722" s="287" t="s">
        <v>1460</v>
      </c>
      <c r="AG722" s="288" t="s">
        <v>1461</v>
      </c>
    </row>
    <row r="723" spans="3:34" x14ac:dyDescent="0.25">
      <c r="C723" s="38"/>
      <c r="N723"/>
      <c r="Z723" s="289" t="s">
        <v>1405</v>
      </c>
      <c r="AA723" s="290">
        <v>0</v>
      </c>
      <c r="AB723" s="290">
        <v>7</v>
      </c>
      <c r="AC723" s="290">
        <v>1</v>
      </c>
      <c r="AD723" s="290">
        <v>0</v>
      </c>
      <c r="AE723" s="290">
        <v>13</v>
      </c>
      <c r="AF723" s="291">
        <v>14</v>
      </c>
      <c r="AG723" s="292">
        <f>SUM(AA723:AF723)</f>
        <v>35</v>
      </c>
    </row>
    <row r="724" spans="3:34" x14ac:dyDescent="0.25">
      <c r="C724" s="38"/>
      <c r="E724" s="306" t="s">
        <v>1463</v>
      </c>
      <c r="N724"/>
      <c r="Z724" s="289" t="s">
        <v>1462</v>
      </c>
      <c r="AA724" s="290">
        <v>2</v>
      </c>
      <c r="AB724" s="290">
        <v>11</v>
      </c>
      <c r="AC724" s="290">
        <v>13</v>
      </c>
      <c r="AD724" s="290">
        <v>5</v>
      </c>
      <c r="AE724" s="290">
        <v>9</v>
      </c>
      <c r="AF724" s="291">
        <v>28</v>
      </c>
      <c r="AG724" s="292">
        <f>SUM(AA724:AF724)</f>
        <v>68</v>
      </c>
    </row>
    <row r="725" spans="3:34" x14ac:dyDescent="0.25">
      <c r="Z725" s="293" t="s">
        <v>447</v>
      </c>
      <c r="AA725" s="294">
        <v>3</v>
      </c>
      <c r="AB725" s="294">
        <v>1</v>
      </c>
      <c r="AC725" s="294">
        <v>14</v>
      </c>
      <c r="AD725" s="294">
        <v>2</v>
      </c>
      <c r="AE725" s="294">
        <v>29</v>
      </c>
      <c r="AF725" s="295">
        <v>33</v>
      </c>
      <c r="AG725" s="292">
        <f t="shared" ref="AG725:AG729" si="64">SUM(AA725:AF725)</f>
        <v>82</v>
      </c>
    </row>
    <row r="726" spans="3:34" x14ac:dyDescent="0.25">
      <c r="Z726" s="293" t="s">
        <v>1226</v>
      </c>
      <c r="AA726" s="296">
        <v>5</v>
      </c>
      <c r="AB726" s="296">
        <v>2</v>
      </c>
      <c r="AC726" s="296">
        <v>13</v>
      </c>
      <c r="AD726" s="296">
        <v>0</v>
      </c>
      <c r="AE726" s="296">
        <v>19</v>
      </c>
      <c r="AF726" s="297">
        <v>15</v>
      </c>
      <c r="AG726" s="292">
        <f t="shared" si="64"/>
        <v>54</v>
      </c>
    </row>
    <row r="727" spans="3:34" x14ac:dyDescent="0.25">
      <c r="Z727" s="293" t="s">
        <v>816</v>
      </c>
      <c r="AA727" s="296">
        <v>0</v>
      </c>
      <c r="AB727" s="296">
        <v>0</v>
      </c>
      <c r="AC727" s="296">
        <v>5</v>
      </c>
      <c r="AD727" s="296">
        <v>0</v>
      </c>
      <c r="AE727" s="296">
        <v>8</v>
      </c>
      <c r="AF727" s="297">
        <v>37</v>
      </c>
      <c r="AG727" s="292">
        <f t="shared" si="64"/>
        <v>50</v>
      </c>
    </row>
    <row r="728" spans="3:34" x14ac:dyDescent="0.25">
      <c r="Z728" s="293" t="s">
        <v>784</v>
      </c>
      <c r="AA728" s="294">
        <v>5</v>
      </c>
      <c r="AB728" s="294">
        <v>10</v>
      </c>
      <c r="AC728" s="294">
        <v>20</v>
      </c>
      <c r="AD728" s="294">
        <v>1</v>
      </c>
      <c r="AE728" s="294">
        <v>26</v>
      </c>
      <c r="AF728" s="295">
        <v>38</v>
      </c>
      <c r="AG728" s="292">
        <f t="shared" si="64"/>
        <v>100</v>
      </c>
    </row>
    <row r="729" spans="3:34" ht="15.75" thickBot="1" x14ac:dyDescent="0.3">
      <c r="Z729" s="298" t="s">
        <v>1419</v>
      </c>
      <c r="AA729" s="299">
        <v>4</v>
      </c>
      <c r="AB729" s="299">
        <v>4</v>
      </c>
      <c r="AC729" s="299">
        <v>40</v>
      </c>
      <c r="AD729" s="299">
        <v>0</v>
      </c>
      <c r="AE729" s="299">
        <v>30</v>
      </c>
      <c r="AF729" s="300">
        <v>19</v>
      </c>
      <c r="AG729" s="301">
        <f t="shared" si="64"/>
        <v>97</v>
      </c>
    </row>
    <row r="730" spans="3:34" ht="15.75" thickBot="1" x14ac:dyDescent="0.3">
      <c r="Z730" s="302" t="s">
        <v>39</v>
      </c>
      <c r="AA730" s="303">
        <f t="shared" ref="AA730:AE730" si="65">SUM(AA723:AA729)</f>
        <v>19</v>
      </c>
      <c r="AB730" s="303">
        <f t="shared" si="65"/>
        <v>35</v>
      </c>
      <c r="AC730" s="303">
        <f t="shared" si="65"/>
        <v>106</v>
      </c>
      <c r="AD730" s="303">
        <f t="shared" si="65"/>
        <v>8</v>
      </c>
      <c r="AE730" s="303">
        <f t="shared" si="65"/>
        <v>134</v>
      </c>
      <c r="AF730" s="304">
        <f>SUM(AF723:AF729)</f>
        <v>184</v>
      </c>
      <c r="AG730" s="305">
        <f>SUM(AG723:AG729)</f>
        <v>486</v>
      </c>
      <c r="AH730" s="307"/>
    </row>
    <row r="731" spans="3:34" x14ac:dyDescent="0.25">
      <c r="AG731" s="308"/>
    </row>
    <row r="732" spans="3:34" x14ac:dyDescent="0.25">
      <c r="AB732" s="389" t="s">
        <v>1472</v>
      </c>
      <c r="AC732" s="390"/>
      <c r="AD732" s="390"/>
      <c r="AE732" s="390"/>
      <c r="AF732" s="390"/>
      <c r="AG732" s="391"/>
    </row>
    <row r="733" spans="3:34" ht="15.75" thickBot="1" x14ac:dyDescent="0.3">
      <c r="Z733" s="309"/>
      <c r="AA733" s="309"/>
      <c r="AB733" s="321" t="s">
        <v>1465</v>
      </c>
      <c r="AC733" s="310" t="s">
        <v>1466</v>
      </c>
      <c r="AD733" s="310" t="s">
        <v>1467</v>
      </c>
      <c r="AE733" s="310" t="s">
        <v>1468</v>
      </c>
      <c r="AF733" s="310" t="s">
        <v>1455</v>
      </c>
      <c r="AG733" s="322" t="s">
        <v>1469</v>
      </c>
    </row>
    <row r="734" spans="3:34" x14ac:dyDescent="0.25">
      <c r="Z734" s="314" t="s">
        <v>1473</v>
      </c>
      <c r="AA734" s="315"/>
      <c r="AB734" s="58">
        <f>+AB730+AC730</f>
        <v>141</v>
      </c>
      <c r="AC734" s="58">
        <f>+AD730</f>
        <v>8</v>
      </c>
      <c r="AD734" s="58">
        <f>+AE730</f>
        <v>134</v>
      </c>
      <c r="AE734" s="58">
        <f>+AF730</f>
        <v>184</v>
      </c>
      <c r="AF734" s="58">
        <v>19</v>
      </c>
      <c r="AG734" s="320">
        <f>SUM(AB734:AF734)</f>
        <v>486</v>
      </c>
    </row>
    <row r="735" spans="3:34" x14ac:dyDescent="0.25">
      <c r="Z735" s="313" t="s">
        <v>1464</v>
      </c>
      <c r="AA735" s="9"/>
      <c r="AB735" s="9">
        <v>149</v>
      </c>
      <c r="AC735" s="9">
        <v>12</v>
      </c>
      <c r="AD735" s="9">
        <v>246</v>
      </c>
      <c r="AE735" s="9">
        <v>295</v>
      </c>
      <c r="AF735" s="9">
        <v>10</v>
      </c>
      <c r="AG735" s="318">
        <f>SUM(AB735:AF735)</f>
        <v>712</v>
      </c>
    </row>
    <row r="736" spans="3:34" x14ac:dyDescent="0.25">
      <c r="Z736" s="316" t="s">
        <v>1470</v>
      </c>
      <c r="AA736" s="317"/>
      <c r="AB736" s="317">
        <v>118</v>
      </c>
      <c r="AC736" s="317">
        <v>19</v>
      </c>
      <c r="AD736" s="317">
        <v>179</v>
      </c>
      <c r="AE736" s="317">
        <v>173</v>
      </c>
      <c r="AF736" s="317">
        <v>14</v>
      </c>
      <c r="AG736" s="319">
        <f>SUM(AB736:AF736)</f>
        <v>503</v>
      </c>
    </row>
    <row r="737" spans="26:33" ht="15.75" thickBot="1" x14ac:dyDescent="0.3">
      <c r="Z737" s="311" t="s">
        <v>1471</v>
      </c>
      <c r="AA737" s="309"/>
      <c r="AB737" s="323">
        <f t="shared" ref="AB737:AG737" si="66">+AB742</f>
        <v>0.89261744966442957</v>
      </c>
      <c r="AC737" s="324">
        <f t="shared" si="66"/>
        <v>0.33333333333333331</v>
      </c>
      <c r="AD737" s="325">
        <f t="shared" si="66"/>
        <v>8.943089430894309E-2</v>
      </c>
      <c r="AE737" s="324">
        <f t="shared" si="66"/>
        <v>0.24745762711864408</v>
      </c>
      <c r="AF737" s="312">
        <f t="shared" si="66"/>
        <v>2.8</v>
      </c>
      <c r="AG737" s="326">
        <f t="shared" si="66"/>
        <v>0.3651685393258427</v>
      </c>
    </row>
    <row r="739" spans="26:33" x14ac:dyDescent="0.25">
      <c r="AB739">
        <f>+AB734*2</f>
        <v>282</v>
      </c>
      <c r="AC739">
        <f t="shared" ref="AC739:AG739" si="67">+AC734*2</f>
        <v>16</v>
      </c>
      <c r="AD739">
        <f t="shared" si="67"/>
        <v>268</v>
      </c>
      <c r="AE739">
        <f t="shared" si="67"/>
        <v>368</v>
      </c>
      <c r="AF739">
        <f t="shared" si="67"/>
        <v>38</v>
      </c>
      <c r="AG739">
        <f t="shared" si="67"/>
        <v>972</v>
      </c>
    </row>
    <row r="740" spans="26:33" x14ac:dyDescent="0.25">
      <c r="AB740">
        <f>+AB735</f>
        <v>149</v>
      </c>
      <c r="AC740">
        <f t="shared" ref="AC740:AG740" si="68">+AC735</f>
        <v>12</v>
      </c>
      <c r="AD740">
        <f t="shared" si="68"/>
        <v>246</v>
      </c>
      <c r="AE740">
        <f t="shared" si="68"/>
        <v>295</v>
      </c>
      <c r="AF740">
        <f t="shared" si="68"/>
        <v>10</v>
      </c>
      <c r="AG740">
        <f t="shared" si="68"/>
        <v>712</v>
      </c>
    </row>
    <row r="741" spans="26:33" x14ac:dyDescent="0.25">
      <c r="AB741">
        <f>+AB739-AB740</f>
        <v>133</v>
      </c>
      <c r="AC741">
        <f t="shared" ref="AC741:AG741" si="69">+AC739-AC740</f>
        <v>4</v>
      </c>
      <c r="AD741">
        <f t="shared" si="69"/>
        <v>22</v>
      </c>
      <c r="AE741">
        <f t="shared" si="69"/>
        <v>73</v>
      </c>
      <c r="AF741">
        <f t="shared" si="69"/>
        <v>28</v>
      </c>
      <c r="AG741">
        <f t="shared" si="69"/>
        <v>260</v>
      </c>
    </row>
    <row r="742" spans="26:33" x14ac:dyDescent="0.25">
      <c r="AB742">
        <f>+AB741/AB740</f>
        <v>0.89261744966442957</v>
      </c>
      <c r="AC742">
        <f t="shared" ref="AC742:AG742" si="70">+AC741/AC740</f>
        <v>0.33333333333333331</v>
      </c>
      <c r="AD742">
        <f t="shared" si="70"/>
        <v>8.943089430894309E-2</v>
      </c>
      <c r="AE742">
        <f t="shared" si="70"/>
        <v>0.24745762711864408</v>
      </c>
      <c r="AF742">
        <f t="shared" si="70"/>
        <v>2.8</v>
      </c>
      <c r="AG742">
        <f t="shared" si="70"/>
        <v>0.3651685393258427</v>
      </c>
    </row>
  </sheetData>
  <mergeCells count="6">
    <mergeCell ref="AY418:BA418"/>
    <mergeCell ref="AB732:AG732"/>
    <mergeCell ref="I2:J2"/>
    <mergeCell ref="AS418:AU418"/>
    <mergeCell ref="AV418:AX418"/>
    <mergeCell ref="K491:L491"/>
  </mergeCells>
  <conditionalFormatting sqref="L60:L62 L549:L556 L577:L583 L604:L606 L514:L528 L363 L375:L376">
    <cfRule type="containsText" dxfId="7387" priority="3133" operator="containsText" text="FAIL">
      <formula>NOT(ISERROR(SEARCH("FAIL",L60)))</formula>
    </cfRule>
  </conditionalFormatting>
  <conditionalFormatting sqref="L60:L62 L549:L556 L577:L583 L604:L606 L514:L528 L363 L375:L376">
    <cfRule type="containsText" dxfId="7386" priority="3132" operator="containsText" text="GOOD">
      <formula>NOT(ISERROR(SEARCH("GOOD",L60)))</formula>
    </cfRule>
  </conditionalFormatting>
  <conditionalFormatting sqref="L349">
    <cfRule type="containsText" dxfId="7385" priority="3129" operator="containsText" text="FAIL">
      <formula>NOT(ISERROR(SEARCH("FAIL",L349)))</formula>
    </cfRule>
  </conditionalFormatting>
  <conditionalFormatting sqref="L349">
    <cfRule type="containsText" dxfId="7384" priority="3128" operator="containsText" text="GOOD">
      <formula>NOT(ISERROR(SEARCH("GOOD",L349)))</formula>
    </cfRule>
  </conditionalFormatting>
  <conditionalFormatting sqref="L548">
    <cfRule type="containsText" dxfId="7383" priority="3123" operator="containsText" text="FAIL">
      <formula>NOT(ISERROR(SEARCH("FAIL",L548)))</formula>
    </cfRule>
  </conditionalFormatting>
  <conditionalFormatting sqref="L548">
    <cfRule type="containsText" dxfId="7382" priority="3122" operator="containsText" text="GOOD">
      <formula>NOT(ISERROR(SEARCH("GOOD",L548)))</formula>
    </cfRule>
  </conditionalFormatting>
  <conditionalFormatting sqref="K417">
    <cfRule type="containsText" dxfId="7381" priority="3125" operator="containsText" text="FAIL">
      <formula>NOT(ISERROR(SEARCH("FAIL",K417)))</formula>
    </cfRule>
  </conditionalFormatting>
  <conditionalFormatting sqref="K417">
    <cfRule type="containsText" dxfId="7380" priority="3124" operator="containsText" text="GOOD">
      <formula>NOT(ISERROR(SEARCH("GOOD",K417)))</formula>
    </cfRule>
  </conditionalFormatting>
  <conditionalFormatting sqref="L685">
    <cfRule type="containsText" dxfId="7379" priority="1879" operator="containsText" text="FAIL">
      <formula>NOT(ISERROR(SEARCH("FAIL",L685)))</formula>
    </cfRule>
  </conditionalFormatting>
  <conditionalFormatting sqref="L685">
    <cfRule type="containsText" dxfId="7378" priority="1878" operator="containsText" text="GOOD">
      <formula>NOT(ISERROR(SEARCH("GOOD",L685)))</formula>
    </cfRule>
  </conditionalFormatting>
  <conditionalFormatting sqref="Z685:AA685">
    <cfRule type="containsText" dxfId="7377" priority="1877" operator="containsText" text="FAIL">
      <formula>NOT(ISERROR(SEARCH("FAIL",Z685)))</formula>
    </cfRule>
  </conditionalFormatting>
  <conditionalFormatting sqref="Z685:AA685">
    <cfRule type="containsText" dxfId="7376" priority="1876" operator="containsText" text="GOOD">
      <formula>NOT(ISERROR(SEARCH("GOOD",Z685)))</formula>
    </cfRule>
  </conditionalFormatting>
  <conditionalFormatting sqref="L686">
    <cfRule type="containsText" dxfId="7375" priority="1875" operator="containsText" text="FAIL">
      <formula>NOT(ISERROR(SEARCH("FAIL",L686)))</formula>
    </cfRule>
  </conditionalFormatting>
  <conditionalFormatting sqref="L686">
    <cfRule type="containsText" dxfId="7374" priority="1874" operator="containsText" text="GOOD">
      <formula>NOT(ISERROR(SEARCH("GOOD",L686)))</formula>
    </cfRule>
  </conditionalFormatting>
  <conditionalFormatting sqref="Z686:AA686">
    <cfRule type="containsText" dxfId="7373" priority="1873" operator="containsText" text="FAIL">
      <formula>NOT(ISERROR(SEARCH("FAIL",Z686)))</formula>
    </cfRule>
  </conditionalFormatting>
  <conditionalFormatting sqref="Z686:AA686">
    <cfRule type="containsText" dxfId="7372" priority="1872" operator="containsText" text="GOOD">
      <formula>NOT(ISERROR(SEARCH("GOOD",Z686)))</formula>
    </cfRule>
  </conditionalFormatting>
  <conditionalFormatting sqref="B686">
    <cfRule type="containsText" dxfId="7371" priority="1871" operator="containsText" text="FAIL">
      <formula>NOT(ISERROR(SEARCH("FAIL",B686)))</formula>
    </cfRule>
  </conditionalFormatting>
  <conditionalFormatting sqref="B686">
    <cfRule type="containsText" dxfId="7370" priority="1870" operator="containsText" text="GOOD">
      <formula>NOT(ISERROR(SEARCH("GOOD",B686)))</formula>
    </cfRule>
  </conditionalFormatting>
  <conditionalFormatting sqref="L687">
    <cfRule type="containsText" dxfId="7369" priority="1869" operator="containsText" text="FAIL">
      <formula>NOT(ISERROR(SEARCH("FAIL",L687)))</formula>
    </cfRule>
  </conditionalFormatting>
  <conditionalFormatting sqref="L687">
    <cfRule type="containsText" dxfId="7368" priority="1868" operator="containsText" text="GOOD">
      <formula>NOT(ISERROR(SEARCH("GOOD",L687)))</formula>
    </cfRule>
  </conditionalFormatting>
  <conditionalFormatting sqref="Z687:AA687">
    <cfRule type="containsText" dxfId="7367" priority="1867" operator="containsText" text="FAIL">
      <formula>NOT(ISERROR(SEARCH("FAIL",Z687)))</formula>
    </cfRule>
  </conditionalFormatting>
  <conditionalFormatting sqref="Z687:AA687">
    <cfRule type="containsText" dxfId="7366" priority="1866" operator="containsText" text="GOOD">
      <formula>NOT(ISERROR(SEARCH("GOOD",Z687)))</formula>
    </cfRule>
  </conditionalFormatting>
  <conditionalFormatting sqref="L688">
    <cfRule type="containsText" dxfId="7365" priority="1865" operator="containsText" text="FAIL">
      <formula>NOT(ISERROR(SEARCH("FAIL",L688)))</formula>
    </cfRule>
  </conditionalFormatting>
  <conditionalFormatting sqref="L688">
    <cfRule type="containsText" dxfId="7364" priority="1864" operator="containsText" text="GOOD">
      <formula>NOT(ISERROR(SEARCH("GOOD",L688)))</formula>
    </cfRule>
  </conditionalFormatting>
  <conditionalFormatting sqref="Z688:AA688">
    <cfRule type="containsText" dxfId="7363" priority="1862" operator="containsText" text="GOOD">
      <formula>NOT(ISERROR(SEARCH("GOOD",Z688)))</formula>
    </cfRule>
  </conditionalFormatting>
  <conditionalFormatting sqref="Z688:AA688">
    <cfRule type="containsText" dxfId="7362" priority="1863" operator="containsText" text="FAIL">
      <formula>NOT(ISERROR(SEARCH("FAIL",Z688)))</formula>
    </cfRule>
  </conditionalFormatting>
  <conditionalFormatting sqref="B688">
    <cfRule type="containsText" dxfId="7361" priority="1861" operator="containsText" text="FAIL">
      <formula>NOT(ISERROR(SEARCH("FAIL",B688)))</formula>
    </cfRule>
  </conditionalFormatting>
  <conditionalFormatting sqref="B688">
    <cfRule type="containsText" dxfId="7360" priority="1860" operator="containsText" text="GOOD">
      <formula>NOT(ISERROR(SEARCH("GOOD",B688)))</formula>
    </cfRule>
  </conditionalFormatting>
  <conditionalFormatting sqref="L689">
    <cfRule type="containsText" dxfId="7359" priority="1859" operator="containsText" text="FAIL">
      <formula>NOT(ISERROR(SEARCH("FAIL",L689)))</formula>
    </cfRule>
  </conditionalFormatting>
  <conditionalFormatting sqref="L689">
    <cfRule type="containsText" dxfId="7358" priority="1858" operator="containsText" text="GOOD">
      <formula>NOT(ISERROR(SEARCH("GOOD",L689)))</formula>
    </cfRule>
  </conditionalFormatting>
  <conditionalFormatting sqref="Z689:AA689">
    <cfRule type="containsText" dxfId="7357" priority="1857" operator="containsText" text="FAIL">
      <formula>NOT(ISERROR(SEARCH("FAIL",Z689)))</formula>
    </cfRule>
  </conditionalFormatting>
  <conditionalFormatting sqref="Z689:AA689">
    <cfRule type="containsText" dxfId="7356" priority="1856" operator="containsText" text="GOOD">
      <formula>NOT(ISERROR(SEARCH("GOOD",Z689)))</formula>
    </cfRule>
  </conditionalFormatting>
  <conditionalFormatting sqref="L690">
    <cfRule type="containsText" dxfId="7355" priority="1855" operator="containsText" text="FAIL">
      <formula>NOT(ISERROR(SEARCH("FAIL",L690)))</formula>
    </cfRule>
  </conditionalFormatting>
  <conditionalFormatting sqref="L690">
    <cfRule type="containsText" dxfId="7354" priority="1854" operator="containsText" text="GOOD">
      <formula>NOT(ISERROR(SEARCH("GOOD",L690)))</formula>
    </cfRule>
  </conditionalFormatting>
  <conditionalFormatting sqref="Z690:AA690">
    <cfRule type="containsText" dxfId="7353" priority="1853" operator="containsText" text="FAIL">
      <formula>NOT(ISERROR(SEARCH("FAIL",Z690)))</formula>
    </cfRule>
  </conditionalFormatting>
  <conditionalFormatting sqref="Z690:AA690">
    <cfRule type="containsText" dxfId="7352" priority="1852" operator="containsText" text="GOOD">
      <formula>NOT(ISERROR(SEARCH("GOOD",Z690)))</formula>
    </cfRule>
  </conditionalFormatting>
  <conditionalFormatting sqref="Z691:AA691">
    <cfRule type="containsText" dxfId="7351" priority="1848" operator="containsText" text="GOOD">
      <formula>NOT(ISERROR(SEARCH("GOOD",Z691)))</formula>
    </cfRule>
  </conditionalFormatting>
  <conditionalFormatting sqref="L691">
    <cfRule type="containsText" dxfId="7350" priority="1851" operator="containsText" text="FAIL">
      <formula>NOT(ISERROR(SEARCH("FAIL",L691)))</formula>
    </cfRule>
  </conditionalFormatting>
  <conditionalFormatting sqref="L691">
    <cfRule type="containsText" dxfId="7349" priority="1850" operator="containsText" text="GOOD">
      <formula>NOT(ISERROR(SEARCH("GOOD",L691)))</formula>
    </cfRule>
  </conditionalFormatting>
  <conditionalFormatting sqref="Z691:AA691">
    <cfRule type="containsText" dxfId="7348" priority="1849" operator="containsText" text="FAIL">
      <formula>NOT(ISERROR(SEARCH("FAIL",Z691)))</formula>
    </cfRule>
  </conditionalFormatting>
  <conditionalFormatting sqref="L692">
    <cfRule type="containsText" dxfId="7347" priority="1847" operator="containsText" text="FAIL">
      <formula>NOT(ISERROR(SEARCH("FAIL",L692)))</formula>
    </cfRule>
  </conditionalFormatting>
  <conditionalFormatting sqref="L692">
    <cfRule type="containsText" dxfId="7346" priority="1846" operator="containsText" text="GOOD">
      <formula>NOT(ISERROR(SEARCH("GOOD",L692)))</formula>
    </cfRule>
  </conditionalFormatting>
  <conditionalFormatting sqref="Z692:AA692">
    <cfRule type="containsText" dxfId="7345" priority="1845" operator="containsText" text="FAIL">
      <formula>NOT(ISERROR(SEARCH("FAIL",Z692)))</formula>
    </cfRule>
  </conditionalFormatting>
  <conditionalFormatting sqref="Z692:AA692">
    <cfRule type="containsText" dxfId="7344" priority="1844" operator="containsText" text="GOOD">
      <formula>NOT(ISERROR(SEARCH("GOOD",Z692)))</formula>
    </cfRule>
  </conditionalFormatting>
  <conditionalFormatting sqref="L693">
    <cfRule type="containsText" dxfId="7343" priority="1843" operator="containsText" text="FAIL">
      <formula>NOT(ISERROR(SEARCH("FAIL",L693)))</formula>
    </cfRule>
  </conditionalFormatting>
  <conditionalFormatting sqref="L693">
    <cfRule type="containsText" dxfId="7342" priority="1842" operator="containsText" text="GOOD">
      <formula>NOT(ISERROR(SEARCH("GOOD",L693)))</formula>
    </cfRule>
  </conditionalFormatting>
  <conditionalFormatting sqref="Z693:AA693">
    <cfRule type="containsText" dxfId="7341" priority="1841" operator="containsText" text="FAIL">
      <formula>NOT(ISERROR(SEARCH("FAIL",Z693)))</formula>
    </cfRule>
  </conditionalFormatting>
  <conditionalFormatting sqref="Z693:AA693">
    <cfRule type="containsText" dxfId="7340" priority="1840" operator="containsText" text="GOOD">
      <formula>NOT(ISERROR(SEARCH("GOOD",Z693)))</formula>
    </cfRule>
  </conditionalFormatting>
  <conditionalFormatting sqref="L694">
    <cfRule type="containsText" dxfId="7339" priority="1839" operator="containsText" text="FAIL">
      <formula>NOT(ISERROR(SEARCH("FAIL",L694)))</formula>
    </cfRule>
  </conditionalFormatting>
  <conditionalFormatting sqref="L694">
    <cfRule type="containsText" dxfId="7338" priority="1838" operator="containsText" text="GOOD">
      <formula>NOT(ISERROR(SEARCH("GOOD",L694)))</formula>
    </cfRule>
  </conditionalFormatting>
  <conditionalFormatting sqref="Z694:AA694">
    <cfRule type="containsText" dxfId="7337" priority="1837" operator="containsText" text="FAIL">
      <formula>NOT(ISERROR(SEARCH("FAIL",Z694)))</formula>
    </cfRule>
  </conditionalFormatting>
  <conditionalFormatting sqref="Z694:AA694">
    <cfRule type="containsText" dxfId="7336" priority="1836" operator="containsText" text="GOOD">
      <formula>NOT(ISERROR(SEARCH("GOOD",Z694)))</formula>
    </cfRule>
  </conditionalFormatting>
  <conditionalFormatting sqref="L705">
    <cfRule type="containsText" dxfId="7335" priority="1833" operator="containsText" text="FAIL">
      <formula>NOT(ISERROR(SEARCH("FAIL",L705)))</formula>
    </cfRule>
  </conditionalFormatting>
  <conditionalFormatting sqref="L705">
    <cfRule type="containsText" dxfId="7334" priority="1832" operator="containsText" text="GOOD">
      <formula>NOT(ISERROR(SEARCH("GOOD",L705)))</formula>
    </cfRule>
  </conditionalFormatting>
  <conditionalFormatting sqref="Z705:AA705">
    <cfRule type="containsText" dxfId="7333" priority="1831" operator="containsText" text="FAIL">
      <formula>NOT(ISERROR(SEARCH("FAIL",Z705)))</formula>
    </cfRule>
  </conditionalFormatting>
  <conditionalFormatting sqref="Z705:AA705">
    <cfRule type="containsText" dxfId="7332" priority="1830" operator="containsText" text="GOOD">
      <formula>NOT(ISERROR(SEARCH("GOOD",Z705)))</formula>
    </cfRule>
  </conditionalFormatting>
  <conditionalFormatting sqref="B705">
    <cfRule type="containsText" dxfId="7331" priority="1835" operator="containsText" text="FAIL">
      <formula>NOT(ISERROR(SEARCH("FAIL",B705)))</formula>
    </cfRule>
  </conditionalFormatting>
  <conditionalFormatting sqref="B705">
    <cfRule type="containsText" dxfId="7330" priority="1834" operator="containsText" text="GOOD">
      <formula>NOT(ISERROR(SEARCH("GOOD",B705)))</formula>
    </cfRule>
  </conditionalFormatting>
  <conditionalFormatting sqref="Z706:AA706">
    <cfRule type="containsText" dxfId="7329" priority="1825" operator="containsText" text="FAIL">
      <formula>NOT(ISERROR(SEARCH("FAIL",Z706)))</formula>
    </cfRule>
  </conditionalFormatting>
  <conditionalFormatting sqref="Z706:AA706">
    <cfRule type="containsText" dxfId="7328" priority="1824" operator="containsText" text="GOOD">
      <formula>NOT(ISERROR(SEARCH("GOOD",Z706)))</formula>
    </cfRule>
  </conditionalFormatting>
  <conditionalFormatting sqref="B706">
    <cfRule type="containsText" dxfId="7327" priority="1829" operator="containsText" text="FAIL">
      <formula>NOT(ISERROR(SEARCH("FAIL",B706)))</formula>
    </cfRule>
  </conditionalFormatting>
  <conditionalFormatting sqref="B706">
    <cfRule type="containsText" dxfId="7326" priority="1828" operator="containsText" text="GOOD">
      <formula>NOT(ISERROR(SEARCH("GOOD",B706)))</formula>
    </cfRule>
  </conditionalFormatting>
  <conditionalFormatting sqref="L706">
    <cfRule type="containsText" dxfId="7325" priority="1827" operator="containsText" text="FAIL">
      <formula>NOT(ISERROR(SEARCH("FAIL",L706)))</formula>
    </cfRule>
  </conditionalFormatting>
  <conditionalFormatting sqref="L706">
    <cfRule type="containsText" dxfId="7324" priority="1826" operator="containsText" text="GOOD">
      <formula>NOT(ISERROR(SEARCH("GOOD",L706)))</formula>
    </cfRule>
  </conditionalFormatting>
  <conditionalFormatting sqref="B707">
    <cfRule type="containsText" dxfId="7323" priority="1823" operator="containsText" text="FAIL">
      <formula>NOT(ISERROR(SEARCH("FAIL",B707)))</formula>
    </cfRule>
  </conditionalFormatting>
  <conditionalFormatting sqref="B707">
    <cfRule type="containsText" dxfId="7322" priority="1822" operator="containsText" text="GOOD">
      <formula>NOT(ISERROR(SEARCH("GOOD",B707)))</formula>
    </cfRule>
  </conditionalFormatting>
  <conditionalFormatting sqref="L707">
    <cfRule type="containsText" dxfId="7321" priority="1821" operator="containsText" text="FAIL">
      <formula>NOT(ISERROR(SEARCH("FAIL",L707)))</formula>
    </cfRule>
  </conditionalFormatting>
  <conditionalFormatting sqref="L707">
    <cfRule type="containsText" dxfId="7320" priority="1820" operator="containsText" text="GOOD">
      <formula>NOT(ISERROR(SEARCH("GOOD",L707)))</formula>
    </cfRule>
  </conditionalFormatting>
  <conditionalFormatting sqref="Z707:AA707">
    <cfRule type="containsText" dxfId="7319" priority="1819" operator="containsText" text="FAIL">
      <formula>NOT(ISERROR(SEARCH("FAIL",Z707)))</formula>
    </cfRule>
  </conditionalFormatting>
  <conditionalFormatting sqref="Z707:AA707">
    <cfRule type="containsText" dxfId="7318" priority="1818" operator="containsText" text="GOOD">
      <formula>NOT(ISERROR(SEARCH("GOOD",Z707)))</formula>
    </cfRule>
  </conditionalFormatting>
  <conditionalFormatting sqref="L708">
    <cfRule type="containsText" dxfId="7317" priority="1817" operator="containsText" text="FAIL">
      <formula>NOT(ISERROR(SEARCH("FAIL",L708)))</formula>
    </cfRule>
  </conditionalFormatting>
  <conditionalFormatting sqref="L708">
    <cfRule type="containsText" dxfId="7316" priority="1816" operator="containsText" text="GOOD">
      <formula>NOT(ISERROR(SEARCH("GOOD",L708)))</formula>
    </cfRule>
  </conditionalFormatting>
  <conditionalFormatting sqref="Z708:AA708">
    <cfRule type="containsText" dxfId="7315" priority="1815" operator="containsText" text="FAIL">
      <formula>NOT(ISERROR(SEARCH("FAIL",Z708)))</formula>
    </cfRule>
  </conditionalFormatting>
  <conditionalFormatting sqref="Z708:AA708">
    <cfRule type="containsText" dxfId="7314" priority="1814" operator="containsText" text="GOOD">
      <formula>NOT(ISERROR(SEARCH("GOOD",Z708)))</formula>
    </cfRule>
  </conditionalFormatting>
  <conditionalFormatting sqref="B708">
    <cfRule type="containsText" dxfId="7313" priority="1813" operator="containsText" text="FAIL">
      <formula>NOT(ISERROR(SEARCH("FAIL",B708)))</formula>
    </cfRule>
  </conditionalFormatting>
  <conditionalFormatting sqref="B708">
    <cfRule type="containsText" dxfId="7312" priority="1812" operator="containsText" text="GOOD">
      <formula>NOT(ISERROR(SEARCH("GOOD",B708)))</formula>
    </cfRule>
  </conditionalFormatting>
  <conditionalFormatting sqref="L709">
    <cfRule type="containsText" dxfId="7311" priority="1811" operator="containsText" text="FAIL">
      <formula>NOT(ISERROR(SEARCH("FAIL",L709)))</formula>
    </cfRule>
  </conditionalFormatting>
  <conditionalFormatting sqref="L709">
    <cfRule type="containsText" dxfId="7310" priority="1810" operator="containsText" text="GOOD">
      <formula>NOT(ISERROR(SEARCH("GOOD",L709)))</formula>
    </cfRule>
  </conditionalFormatting>
  <conditionalFormatting sqref="Z709:AA709">
    <cfRule type="containsText" dxfId="7309" priority="1809" operator="containsText" text="FAIL">
      <formula>NOT(ISERROR(SEARCH("FAIL",Z709)))</formula>
    </cfRule>
  </conditionalFormatting>
  <conditionalFormatting sqref="Z709:AA709">
    <cfRule type="containsText" dxfId="7308" priority="1808" operator="containsText" text="GOOD">
      <formula>NOT(ISERROR(SEARCH("GOOD",Z709)))</formula>
    </cfRule>
  </conditionalFormatting>
  <conditionalFormatting sqref="L710">
    <cfRule type="containsText" dxfId="7307" priority="1807" operator="containsText" text="FAIL">
      <formula>NOT(ISERROR(SEARCH("FAIL",L710)))</formula>
    </cfRule>
  </conditionalFormatting>
  <conditionalFormatting sqref="L710">
    <cfRule type="containsText" dxfId="7306" priority="1806" operator="containsText" text="GOOD">
      <formula>NOT(ISERROR(SEARCH("GOOD",L710)))</formula>
    </cfRule>
  </conditionalFormatting>
  <conditionalFormatting sqref="Z710:AA710">
    <cfRule type="containsText" dxfId="7305" priority="1805" operator="containsText" text="FAIL">
      <formula>NOT(ISERROR(SEARCH("FAIL",Z710)))</formula>
    </cfRule>
  </conditionalFormatting>
  <conditionalFormatting sqref="Z710:AA710">
    <cfRule type="containsText" dxfId="7304" priority="1804" operator="containsText" text="GOOD">
      <formula>NOT(ISERROR(SEARCH("GOOD",Z710)))</formula>
    </cfRule>
  </conditionalFormatting>
  <conditionalFormatting sqref="L711">
    <cfRule type="containsText" dxfId="7303" priority="1803" operator="containsText" text="FAIL">
      <formula>NOT(ISERROR(SEARCH("FAIL",L711)))</formula>
    </cfRule>
  </conditionalFormatting>
  <conditionalFormatting sqref="L711">
    <cfRule type="containsText" dxfId="7302" priority="1802" operator="containsText" text="GOOD">
      <formula>NOT(ISERROR(SEARCH("GOOD",L711)))</formula>
    </cfRule>
  </conditionalFormatting>
  <conditionalFormatting sqref="Z711:AA711">
    <cfRule type="containsText" dxfId="7301" priority="1801" operator="containsText" text="FAIL">
      <formula>NOT(ISERROR(SEARCH("FAIL",Z711)))</formula>
    </cfRule>
  </conditionalFormatting>
  <conditionalFormatting sqref="Z711:AA711">
    <cfRule type="containsText" dxfId="7300" priority="1800" operator="containsText" text="GOOD">
      <formula>NOT(ISERROR(SEARCH("GOOD",Z711)))</formula>
    </cfRule>
  </conditionalFormatting>
  <conditionalFormatting sqref="L396:L397">
    <cfRule type="containsText" dxfId="7299" priority="1495" operator="containsText" text="FAIL">
      <formula>NOT(ISERROR(SEARCH("FAIL",L396)))</formula>
    </cfRule>
  </conditionalFormatting>
  <conditionalFormatting sqref="L396:L397">
    <cfRule type="containsText" dxfId="7298" priority="1494" operator="containsText" text="GOOD">
      <formula>NOT(ISERROR(SEARCH("GOOD",L396)))</formula>
    </cfRule>
  </conditionalFormatting>
  <conditionalFormatting sqref="Z292:AA292">
    <cfRule type="containsText" dxfId="7297" priority="1369" operator="containsText" text="FAIL">
      <formula>NOT(ISERROR(SEARCH("FAIL",Z292)))</formula>
    </cfRule>
  </conditionalFormatting>
  <conditionalFormatting sqref="Z292:AA292">
    <cfRule type="containsText" dxfId="7296" priority="1368" operator="containsText" text="GOOD">
      <formula>NOT(ISERROR(SEARCH("GOOD",Z292)))</formula>
    </cfRule>
  </conditionalFormatting>
  <conditionalFormatting sqref="AQ292">
    <cfRule type="containsText" dxfId="7295" priority="1367" operator="containsText" text="FAIL">
      <formula>NOT(ISERROR(SEARCH("FAIL",AQ292)))</formula>
    </cfRule>
  </conditionalFormatting>
  <conditionalFormatting sqref="AQ292">
    <cfRule type="containsText" dxfId="7294" priority="1366" operator="containsText" text="GOOD">
      <formula>NOT(ISERROR(SEARCH("GOOD",AQ292)))</formula>
    </cfRule>
  </conditionalFormatting>
  <conditionalFormatting sqref="Z291:AA291">
    <cfRule type="containsText" dxfId="7293" priority="1375" operator="containsText" text="FAIL">
      <formula>NOT(ISERROR(SEARCH("FAIL",Z291)))</formula>
    </cfRule>
  </conditionalFormatting>
  <conditionalFormatting sqref="Z291:AA291">
    <cfRule type="containsText" dxfId="7292" priority="1374" operator="containsText" text="GOOD">
      <formula>NOT(ISERROR(SEARCH("GOOD",Z291)))</formula>
    </cfRule>
  </conditionalFormatting>
  <conditionalFormatting sqref="B292">
    <cfRule type="containsText" dxfId="7291" priority="1373" operator="containsText" text="FAIL">
      <formula>NOT(ISERROR(SEARCH("FAIL",B292)))</formula>
    </cfRule>
  </conditionalFormatting>
  <conditionalFormatting sqref="B292">
    <cfRule type="containsText" dxfId="7290" priority="1372" operator="containsText" text="GOOD">
      <formula>NOT(ISERROR(SEARCH("GOOD",B292)))</formula>
    </cfRule>
  </conditionalFormatting>
  <conditionalFormatting sqref="Z287:AA287">
    <cfRule type="containsText" dxfId="7289" priority="1389" operator="containsText" text="FAIL">
      <formula>NOT(ISERROR(SEARCH("FAIL",Z287)))</formula>
    </cfRule>
  </conditionalFormatting>
  <conditionalFormatting sqref="Z287:AA287">
    <cfRule type="containsText" dxfId="7288" priority="1388" operator="containsText" text="GOOD">
      <formula>NOT(ISERROR(SEARCH("GOOD",Z287)))</formula>
    </cfRule>
  </conditionalFormatting>
  <conditionalFormatting sqref="L287">
    <cfRule type="containsText" dxfId="7287" priority="1387" operator="containsText" text="FAIL">
      <formula>NOT(ISERROR(SEARCH("FAIL",L287)))</formula>
    </cfRule>
  </conditionalFormatting>
  <conditionalFormatting sqref="L287">
    <cfRule type="containsText" dxfId="7286" priority="1386" operator="containsText" text="GOOD">
      <formula>NOT(ISERROR(SEARCH("GOOD",L287)))</formula>
    </cfRule>
  </conditionalFormatting>
  <conditionalFormatting sqref="Z289:AA289">
    <cfRule type="containsText" dxfId="7285" priority="1385" operator="containsText" text="FAIL">
      <formula>NOT(ISERROR(SEARCH("FAIL",Z289)))</formula>
    </cfRule>
  </conditionalFormatting>
  <conditionalFormatting sqref="Z289:AA289">
    <cfRule type="containsText" dxfId="7284" priority="1384" operator="containsText" text="GOOD">
      <formula>NOT(ISERROR(SEARCH("GOOD",Z289)))</formula>
    </cfRule>
  </conditionalFormatting>
  <conditionalFormatting sqref="L289">
    <cfRule type="containsText" dxfId="7283" priority="1383" operator="containsText" text="FAIL">
      <formula>NOT(ISERROR(SEARCH("FAIL",L289)))</formula>
    </cfRule>
  </conditionalFormatting>
  <conditionalFormatting sqref="L289">
    <cfRule type="containsText" dxfId="7282" priority="1382" operator="containsText" text="GOOD">
      <formula>NOT(ISERROR(SEARCH("GOOD",L289)))</formula>
    </cfRule>
  </conditionalFormatting>
  <conditionalFormatting sqref="L290">
    <cfRule type="containsText" dxfId="7281" priority="1381" operator="containsText" text="FAIL">
      <formula>NOT(ISERROR(SEARCH("FAIL",L290)))</formula>
    </cfRule>
  </conditionalFormatting>
  <conditionalFormatting sqref="L290">
    <cfRule type="containsText" dxfId="7280" priority="1380" operator="containsText" text="GOOD">
      <formula>NOT(ISERROR(SEARCH("GOOD",L290)))</formula>
    </cfRule>
  </conditionalFormatting>
  <conditionalFormatting sqref="Z290:AA290">
    <cfRule type="containsText" dxfId="7279" priority="1379" operator="containsText" text="FAIL">
      <formula>NOT(ISERROR(SEARCH("FAIL",Z290)))</formula>
    </cfRule>
  </conditionalFormatting>
  <conditionalFormatting sqref="Z290:AA290">
    <cfRule type="containsText" dxfId="7278" priority="1378" operator="containsText" text="GOOD">
      <formula>NOT(ISERROR(SEARCH("GOOD",Z290)))</formula>
    </cfRule>
  </conditionalFormatting>
  <conditionalFormatting sqref="L291">
    <cfRule type="containsText" dxfId="7277" priority="1377" operator="containsText" text="FAIL">
      <formula>NOT(ISERROR(SEARCH("FAIL",L291)))</formula>
    </cfRule>
  </conditionalFormatting>
  <conditionalFormatting sqref="L291">
    <cfRule type="containsText" dxfId="7276" priority="1376" operator="containsText" text="GOOD">
      <formula>NOT(ISERROR(SEARCH("GOOD",L291)))</formula>
    </cfRule>
  </conditionalFormatting>
  <conditionalFormatting sqref="L292">
    <cfRule type="containsText" dxfId="7275" priority="1371" operator="containsText" text="FAIL">
      <formula>NOT(ISERROR(SEARCH("FAIL",L292)))</formula>
    </cfRule>
  </conditionalFormatting>
  <conditionalFormatting sqref="L292">
    <cfRule type="containsText" dxfId="7274" priority="1370" operator="containsText" text="GOOD">
      <formula>NOT(ISERROR(SEARCH("GOOD",L292)))</formula>
    </cfRule>
  </conditionalFormatting>
  <conditionalFormatting sqref="L8">
    <cfRule type="containsText" dxfId="7273" priority="1142" operator="containsText" text="FAIL">
      <formula>NOT(ISERROR(SEARCH("FAIL",L8)))</formula>
    </cfRule>
  </conditionalFormatting>
  <conditionalFormatting sqref="L8">
    <cfRule type="containsText" dxfId="7272" priority="1141" operator="containsText" text="GOOD">
      <formula>NOT(ISERROR(SEARCH("GOOD",L8)))</formula>
    </cfRule>
  </conditionalFormatting>
  <conditionalFormatting sqref="Z8:AA8">
    <cfRule type="containsText" dxfId="7271" priority="1140" operator="containsText" text="FAIL">
      <formula>NOT(ISERROR(SEARCH("FAIL",Z8)))</formula>
    </cfRule>
  </conditionalFormatting>
  <conditionalFormatting sqref="Z8:AA8">
    <cfRule type="containsText" dxfId="7270" priority="1139" operator="containsText" text="GOOD">
      <formula>NOT(ISERROR(SEARCH("GOOD",Z8)))</formula>
    </cfRule>
  </conditionalFormatting>
  <conditionalFormatting sqref="B59">
    <cfRule type="containsText" dxfId="7269" priority="1357" operator="containsText" text="FAIL">
      <formula>NOT(ISERROR(SEARCH("FAIL",B59)))</formula>
    </cfRule>
  </conditionalFormatting>
  <conditionalFormatting sqref="B59">
    <cfRule type="containsText" dxfId="7268" priority="1356" operator="containsText" text="GOOD">
      <formula>NOT(ISERROR(SEARCH("GOOD",B59)))</formula>
    </cfRule>
  </conditionalFormatting>
  <conditionalFormatting sqref="L59">
    <cfRule type="containsText" dxfId="7267" priority="1355" operator="containsText" text="FAIL">
      <formula>NOT(ISERROR(SEARCH("FAIL",L59)))</formula>
    </cfRule>
  </conditionalFormatting>
  <conditionalFormatting sqref="L59">
    <cfRule type="containsText" dxfId="7266" priority="1354" operator="containsText" text="GOOD">
      <formula>NOT(ISERROR(SEARCH("GOOD",L59)))</formula>
    </cfRule>
  </conditionalFormatting>
  <conditionalFormatting sqref="Z59:AA59">
    <cfRule type="containsText" dxfId="7265" priority="1353" operator="containsText" text="FAIL">
      <formula>NOT(ISERROR(SEARCH("FAIL",Z59)))</formula>
    </cfRule>
  </conditionalFormatting>
  <conditionalFormatting sqref="Z59:AA59">
    <cfRule type="containsText" dxfId="7264" priority="1352" operator="containsText" text="GOOD">
      <formula>NOT(ISERROR(SEARCH("GOOD",Z59)))</formula>
    </cfRule>
  </conditionalFormatting>
  <conditionalFormatting sqref="L58">
    <cfRule type="containsText" dxfId="7263" priority="1351" operator="containsText" text="FAIL">
      <formula>NOT(ISERROR(SEARCH("FAIL",L58)))</formula>
    </cfRule>
  </conditionalFormatting>
  <conditionalFormatting sqref="L58">
    <cfRule type="containsText" dxfId="7262" priority="1350" operator="containsText" text="GOOD">
      <formula>NOT(ISERROR(SEARCH("GOOD",L58)))</formula>
    </cfRule>
  </conditionalFormatting>
  <conditionalFormatting sqref="Z58:AA58">
    <cfRule type="containsText" dxfId="7261" priority="1349" operator="containsText" text="FAIL">
      <formula>NOT(ISERROR(SEARCH("FAIL",Z58)))</formula>
    </cfRule>
  </conditionalFormatting>
  <conditionalFormatting sqref="Z58:AA58">
    <cfRule type="containsText" dxfId="7260" priority="1348" operator="containsText" text="GOOD">
      <formula>NOT(ISERROR(SEARCH("GOOD",Z58)))</formula>
    </cfRule>
  </conditionalFormatting>
  <conditionalFormatting sqref="AQ59">
    <cfRule type="containsText" dxfId="7259" priority="1347" operator="containsText" text="FAIL">
      <formula>NOT(ISERROR(SEARCH("FAIL",AQ59)))</formula>
    </cfRule>
  </conditionalFormatting>
  <conditionalFormatting sqref="AQ59">
    <cfRule type="containsText" dxfId="7258" priority="1346" operator="containsText" text="GOOD">
      <formula>NOT(ISERROR(SEARCH("GOOD",AQ59)))</formula>
    </cfRule>
  </conditionalFormatting>
  <conditionalFormatting sqref="L57">
    <cfRule type="containsText" dxfId="7257" priority="1345" operator="containsText" text="FAIL">
      <formula>NOT(ISERROR(SEARCH("FAIL",L57)))</formula>
    </cfRule>
  </conditionalFormatting>
  <conditionalFormatting sqref="L57">
    <cfRule type="containsText" dxfId="7256" priority="1344" operator="containsText" text="GOOD">
      <formula>NOT(ISERROR(SEARCH("GOOD",L57)))</formula>
    </cfRule>
  </conditionalFormatting>
  <conditionalFormatting sqref="Z57:AA57">
    <cfRule type="containsText" dxfId="7255" priority="1343" operator="containsText" text="FAIL">
      <formula>NOT(ISERROR(SEARCH("FAIL",Z57)))</formula>
    </cfRule>
  </conditionalFormatting>
  <conditionalFormatting sqref="Z57:AA57">
    <cfRule type="containsText" dxfId="7254" priority="1342" operator="containsText" text="GOOD">
      <formula>NOT(ISERROR(SEARCH("GOOD",Z57)))</formula>
    </cfRule>
  </conditionalFormatting>
  <conditionalFormatting sqref="L56">
    <cfRule type="containsText" dxfId="7253" priority="1341" operator="containsText" text="FAIL">
      <formula>NOT(ISERROR(SEARCH("FAIL",L56)))</formula>
    </cfRule>
  </conditionalFormatting>
  <conditionalFormatting sqref="L56">
    <cfRule type="containsText" dxfId="7252" priority="1340" operator="containsText" text="GOOD">
      <formula>NOT(ISERROR(SEARCH("GOOD",L56)))</formula>
    </cfRule>
  </conditionalFormatting>
  <conditionalFormatting sqref="Z56:AA56">
    <cfRule type="containsText" dxfId="7251" priority="1339" operator="containsText" text="FAIL">
      <formula>NOT(ISERROR(SEARCH("FAIL",Z56)))</formula>
    </cfRule>
  </conditionalFormatting>
  <conditionalFormatting sqref="Z56:AA56">
    <cfRule type="containsText" dxfId="7250" priority="1338" operator="containsText" text="GOOD">
      <formula>NOT(ISERROR(SEARCH("GOOD",Z56)))</formula>
    </cfRule>
  </conditionalFormatting>
  <conditionalFormatting sqref="L55">
    <cfRule type="containsText" dxfId="7249" priority="1337" operator="containsText" text="FAIL">
      <formula>NOT(ISERROR(SEARCH("FAIL",L55)))</formula>
    </cfRule>
  </conditionalFormatting>
  <conditionalFormatting sqref="L55">
    <cfRule type="containsText" dxfId="7248" priority="1336" operator="containsText" text="GOOD">
      <formula>NOT(ISERROR(SEARCH("GOOD",L55)))</formula>
    </cfRule>
  </conditionalFormatting>
  <conditionalFormatting sqref="Z55:AA55">
    <cfRule type="containsText" dxfId="7247" priority="1335" operator="containsText" text="FAIL">
      <formula>NOT(ISERROR(SEARCH("FAIL",Z55)))</formula>
    </cfRule>
  </conditionalFormatting>
  <conditionalFormatting sqref="Z55:AA55">
    <cfRule type="containsText" dxfId="7246" priority="1334" operator="containsText" text="GOOD">
      <formula>NOT(ISERROR(SEARCH("GOOD",Z55)))</formula>
    </cfRule>
  </conditionalFormatting>
  <conditionalFormatting sqref="L54">
    <cfRule type="containsText" dxfId="7245" priority="1333" operator="containsText" text="FAIL">
      <formula>NOT(ISERROR(SEARCH("FAIL",L54)))</formula>
    </cfRule>
  </conditionalFormatting>
  <conditionalFormatting sqref="L54">
    <cfRule type="containsText" dxfId="7244" priority="1332" operator="containsText" text="GOOD">
      <formula>NOT(ISERROR(SEARCH("GOOD",L54)))</formula>
    </cfRule>
  </conditionalFormatting>
  <conditionalFormatting sqref="Z54:AA54">
    <cfRule type="containsText" dxfId="7243" priority="1331" operator="containsText" text="FAIL">
      <formula>NOT(ISERROR(SEARCH("FAIL",Z54)))</formula>
    </cfRule>
  </conditionalFormatting>
  <conditionalFormatting sqref="Z54:AA54">
    <cfRule type="containsText" dxfId="7242" priority="1330" operator="containsText" text="GOOD">
      <formula>NOT(ISERROR(SEARCH("GOOD",Z54)))</formula>
    </cfRule>
  </conditionalFormatting>
  <conditionalFormatting sqref="L52:L53">
    <cfRule type="containsText" dxfId="7241" priority="1329" operator="containsText" text="FAIL">
      <formula>NOT(ISERROR(SEARCH("FAIL",L52)))</formula>
    </cfRule>
  </conditionalFormatting>
  <conditionalFormatting sqref="L52:L53">
    <cfRule type="containsText" dxfId="7240" priority="1328" operator="containsText" text="GOOD">
      <formula>NOT(ISERROR(SEARCH("GOOD",L52)))</formula>
    </cfRule>
  </conditionalFormatting>
  <conditionalFormatting sqref="Z52:AA53">
    <cfRule type="containsText" dxfId="7239" priority="1327" operator="containsText" text="FAIL">
      <formula>NOT(ISERROR(SEARCH("FAIL",Z52)))</formula>
    </cfRule>
  </conditionalFormatting>
  <conditionalFormatting sqref="Z52:AA53">
    <cfRule type="containsText" dxfId="7238" priority="1326" operator="containsText" text="GOOD">
      <formula>NOT(ISERROR(SEARCH("GOOD",Z52)))</formula>
    </cfRule>
  </conditionalFormatting>
  <conditionalFormatting sqref="L49:L51">
    <cfRule type="containsText" dxfId="7237" priority="1325" operator="containsText" text="FAIL">
      <formula>NOT(ISERROR(SEARCH("FAIL",L49)))</formula>
    </cfRule>
  </conditionalFormatting>
  <conditionalFormatting sqref="L49:L51">
    <cfRule type="containsText" dxfId="7236" priority="1324" operator="containsText" text="GOOD">
      <formula>NOT(ISERROR(SEARCH("GOOD",L49)))</formula>
    </cfRule>
  </conditionalFormatting>
  <conditionalFormatting sqref="Z49:AA51">
    <cfRule type="containsText" dxfId="7235" priority="1323" operator="containsText" text="FAIL">
      <formula>NOT(ISERROR(SEARCH("FAIL",Z49)))</formula>
    </cfRule>
  </conditionalFormatting>
  <conditionalFormatting sqref="Z49:AA51">
    <cfRule type="containsText" dxfId="7234" priority="1322" operator="containsText" text="GOOD">
      <formula>NOT(ISERROR(SEARCH("GOOD",Z49)))</formula>
    </cfRule>
  </conditionalFormatting>
  <conditionalFormatting sqref="L48">
    <cfRule type="containsText" dxfId="7233" priority="1321" operator="containsText" text="FAIL">
      <formula>NOT(ISERROR(SEARCH("FAIL",L48)))</formula>
    </cfRule>
  </conditionalFormatting>
  <conditionalFormatting sqref="L48">
    <cfRule type="containsText" dxfId="7232" priority="1320" operator="containsText" text="GOOD">
      <formula>NOT(ISERROR(SEARCH("GOOD",L48)))</formula>
    </cfRule>
  </conditionalFormatting>
  <conditionalFormatting sqref="Z48:AA48">
    <cfRule type="containsText" dxfId="7231" priority="1319" operator="containsText" text="FAIL">
      <formula>NOT(ISERROR(SEARCH("FAIL",Z48)))</formula>
    </cfRule>
  </conditionalFormatting>
  <conditionalFormatting sqref="Z48:AA48">
    <cfRule type="containsText" dxfId="7230" priority="1318" operator="containsText" text="GOOD">
      <formula>NOT(ISERROR(SEARCH("GOOD",Z48)))</formula>
    </cfRule>
  </conditionalFormatting>
  <conditionalFormatting sqref="L47">
    <cfRule type="containsText" dxfId="7229" priority="1317" operator="containsText" text="FAIL">
      <formula>NOT(ISERROR(SEARCH("FAIL",L47)))</formula>
    </cfRule>
  </conditionalFormatting>
  <conditionalFormatting sqref="L47">
    <cfRule type="containsText" dxfId="7228" priority="1316" operator="containsText" text="GOOD">
      <formula>NOT(ISERROR(SEARCH("GOOD",L47)))</formula>
    </cfRule>
  </conditionalFormatting>
  <conditionalFormatting sqref="Z47:AA47">
    <cfRule type="containsText" dxfId="7227" priority="1315" operator="containsText" text="FAIL">
      <formula>NOT(ISERROR(SEARCH("FAIL",Z47)))</formula>
    </cfRule>
  </conditionalFormatting>
  <conditionalFormatting sqref="Z47:AA47">
    <cfRule type="containsText" dxfId="7226" priority="1314" operator="containsText" text="GOOD">
      <formula>NOT(ISERROR(SEARCH("GOOD",Z47)))</formula>
    </cfRule>
  </conditionalFormatting>
  <conditionalFormatting sqref="L46">
    <cfRule type="containsText" dxfId="7225" priority="1313" operator="containsText" text="FAIL">
      <formula>NOT(ISERROR(SEARCH("FAIL",L46)))</formula>
    </cfRule>
  </conditionalFormatting>
  <conditionalFormatting sqref="L46">
    <cfRule type="containsText" dxfId="7224" priority="1312" operator="containsText" text="GOOD">
      <formula>NOT(ISERROR(SEARCH("GOOD",L46)))</formula>
    </cfRule>
  </conditionalFormatting>
  <conditionalFormatting sqref="Z46:AA46">
    <cfRule type="containsText" dxfId="7223" priority="1311" operator="containsText" text="FAIL">
      <formula>NOT(ISERROR(SEARCH("FAIL",Z46)))</formula>
    </cfRule>
  </conditionalFormatting>
  <conditionalFormatting sqref="Z46:AA46">
    <cfRule type="containsText" dxfId="7222" priority="1310" operator="containsText" text="GOOD">
      <formula>NOT(ISERROR(SEARCH("GOOD",Z46)))</formula>
    </cfRule>
  </conditionalFormatting>
  <conditionalFormatting sqref="L45">
    <cfRule type="containsText" dxfId="7221" priority="1309" operator="containsText" text="FAIL">
      <formula>NOT(ISERROR(SEARCH("FAIL",L45)))</formula>
    </cfRule>
  </conditionalFormatting>
  <conditionalFormatting sqref="L45">
    <cfRule type="containsText" dxfId="7220" priority="1308" operator="containsText" text="GOOD">
      <formula>NOT(ISERROR(SEARCH("GOOD",L45)))</formula>
    </cfRule>
  </conditionalFormatting>
  <conditionalFormatting sqref="Z45:AA45">
    <cfRule type="containsText" dxfId="7219" priority="1307" operator="containsText" text="FAIL">
      <formula>NOT(ISERROR(SEARCH("FAIL",Z45)))</formula>
    </cfRule>
  </conditionalFormatting>
  <conditionalFormatting sqref="Z45:AA45">
    <cfRule type="containsText" dxfId="7218" priority="1306" operator="containsText" text="GOOD">
      <formula>NOT(ISERROR(SEARCH("GOOD",Z45)))</formula>
    </cfRule>
  </conditionalFormatting>
  <conditionalFormatting sqref="B43">
    <cfRule type="containsText" dxfId="7217" priority="1305" operator="containsText" text="FAIL">
      <formula>NOT(ISERROR(SEARCH("FAIL",B43)))</formula>
    </cfRule>
  </conditionalFormatting>
  <conditionalFormatting sqref="B43">
    <cfRule type="containsText" dxfId="7216" priority="1304" operator="containsText" text="GOOD">
      <formula>NOT(ISERROR(SEARCH("GOOD",B43)))</formula>
    </cfRule>
  </conditionalFormatting>
  <conditionalFormatting sqref="L43">
    <cfRule type="containsText" dxfId="7215" priority="1303" operator="containsText" text="FAIL">
      <formula>NOT(ISERROR(SEARCH("FAIL",L43)))</formula>
    </cfRule>
  </conditionalFormatting>
  <conditionalFormatting sqref="L43">
    <cfRule type="containsText" dxfId="7214" priority="1302" operator="containsText" text="GOOD">
      <formula>NOT(ISERROR(SEARCH("GOOD",L43)))</formula>
    </cfRule>
  </conditionalFormatting>
  <conditionalFormatting sqref="Z43:AA43">
    <cfRule type="containsText" dxfId="7213" priority="1301" operator="containsText" text="FAIL">
      <formula>NOT(ISERROR(SEARCH("FAIL",Z43)))</formula>
    </cfRule>
  </conditionalFormatting>
  <conditionalFormatting sqref="Z43:AA43">
    <cfRule type="containsText" dxfId="7212" priority="1300" operator="containsText" text="GOOD">
      <formula>NOT(ISERROR(SEARCH("GOOD",Z43)))</formula>
    </cfRule>
  </conditionalFormatting>
  <conditionalFormatting sqref="L42">
    <cfRule type="containsText" dxfId="7211" priority="1299" operator="containsText" text="FAIL">
      <formula>NOT(ISERROR(SEARCH("FAIL",L42)))</formula>
    </cfRule>
  </conditionalFormatting>
  <conditionalFormatting sqref="L42">
    <cfRule type="containsText" dxfId="7210" priority="1298" operator="containsText" text="GOOD">
      <formula>NOT(ISERROR(SEARCH("GOOD",L42)))</formula>
    </cfRule>
  </conditionalFormatting>
  <conditionalFormatting sqref="Z42:AA42">
    <cfRule type="containsText" dxfId="7209" priority="1297" operator="containsText" text="FAIL">
      <formula>NOT(ISERROR(SEARCH("FAIL",Z42)))</formula>
    </cfRule>
  </conditionalFormatting>
  <conditionalFormatting sqref="Z42:AA42">
    <cfRule type="containsText" dxfId="7208" priority="1296" operator="containsText" text="GOOD">
      <formula>NOT(ISERROR(SEARCH("GOOD",Z42)))</formula>
    </cfRule>
  </conditionalFormatting>
  <conditionalFormatting sqref="L40:L41">
    <cfRule type="containsText" dxfId="7207" priority="1295" operator="containsText" text="FAIL">
      <formula>NOT(ISERROR(SEARCH("FAIL",L40)))</formula>
    </cfRule>
  </conditionalFormatting>
  <conditionalFormatting sqref="L40:L41">
    <cfRule type="containsText" dxfId="7206" priority="1294" operator="containsText" text="GOOD">
      <formula>NOT(ISERROR(SEARCH("GOOD",L40)))</formula>
    </cfRule>
  </conditionalFormatting>
  <conditionalFormatting sqref="Z40:AA41">
    <cfRule type="containsText" dxfId="7205" priority="1293" operator="containsText" text="FAIL">
      <formula>NOT(ISERROR(SEARCH("FAIL",Z40)))</formula>
    </cfRule>
  </conditionalFormatting>
  <conditionalFormatting sqref="Z40:AA41">
    <cfRule type="containsText" dxfId="7204" priority="1292" operator="containsText" text="GOOD">
      <formula>NOT(ISERROR(SEARCH("GOOD",Z40)))</formula>
    </cfRule>
  </conditionalFormatting>
  <conditionalFormatting sqref="L39">
    <cfRule type="containsText" dxfId="7203" priority="1291" operator="containsText" text="FAIL">
      <formula>NOT(ISERROR(SEARCH("FAIL",L39)))</formula>
    </cfRule>
  </conditionalFormatting>
  <conditionalFormatting sqref="L39">
    <cfRule type="containsText" dxfId="7202" priority="1290" operator="containsText" text="GOOD">
      <formula>NOT(ISERROR(SEARCH("GOOD",L39)))</formula>
    </cfRule>
  </conditionalFormatting>
  <conditionalFormatting sqref="Z39:AA39">
    <cfRule type="containsText" dxfId="7201" priority="1289" operator="containsText" text="FAIL">
      <formula>NOT(ISERROR(SEARCH("FAIL",Z39)))</formula>
    </cfRule>
  </conditionalFormatting>
  <conditionalFormatting sqref="Z39:AA39">
    <cfRule type="containsText" dxfId="7200" priority="1288" operator="containsText" text="GOOD">
      <formula>NOT(ISERROR(SEARCH("GOOD",Z39)))</formula>
    </cfRule>
  </conditionalFormatting>
  <conditionalFormatting sqref="L38">
    <cfRule type="containsText" dxfId="7199" priority="1287" operator="containsText" text="FAIL">
      <formula>NOT(ISERROR(SEARCH("FAIL",L38)))</formula>
    </cfRule>
  </conditionalFormatting>
  <conditionalFormatting sqref="L38">
    <cfRule type="containsText" dxfId="7198" priority="1286" operator="containsText" text="GOOD">
      <formula>NOT(ISERROR(SEARCH("GOOD",L38)))</formula>
    </cfRule>
  </conditionalFormatting>
  <conditionalFormatting sqref="Z38:AA38">
    <cfRule type="containsText" dxfId="7197" priority="1285" operator="containsText" text="FAIL">
      <formula>NOT(ISERROR(SEARCH("FAIL",Z38)))</formula>
    </cfRule>
  </conditionalFormatting>
  <conditionalFormatting sqref="Z38:AA38">
    <cfRule type="containsText" dxfId="7196" priority="1284" operator="containsText" text="GOOD">
      <formula>NOT(ISERROR(SEARCH("GOOD",Z38)))</formula>
    </cfRule>
  </conditionalFormatting>
  <conditionalFormatting sqref="Z37:AA37">
    <cfRule type="containsText" dxfId="7195" priority="1283" operator="containsText" text="FAIL">
      <formula>NOT(ISERROR(SEARCH("FAIL",Z37)))</formula>
    </cfRule>
  </conditionalFormatting>
  <conditionalFormatting sqref="Z37:AA37">
    <cfRule type="containsText" dxfId="7194" priority="1282" operator="containsText" text="GOOD">
      <formula>NOT(ISERROR(SEARCH("GOOD",Z37)))</formula>
    </cfRule>
  </conditionalFormatting>
  <conditionalFormatting sqref="L37">
    <cfRule type="containsText" dxfId="7193" priority="1281" operator="containsText" text="FAIL">
      <formula>NOT(ISERROR(SEARCH("FAIL",L37)))</formula>
    </cfRule>
  </conditionalFormatting>
  <conditionalFormatting sqref="L37">
    <cfRule type="containsText" dxfId="7192" priority="1280" operator="containsText" text="GOOD">
      <formula>NOT(ISERROR(SEARCH("GOOD",L37)))</formula>
    </cfRule>
  </conditionalFormatting>
  <conditionalFormatting sqref="Z36:AA36">
    <cfRule type="containsText" dxfId="7191" priority="1279" operator="containsText" text="FAIL">
      <formula>NOT(ISERROR(SEARCH("FAIL",Z36)))</formula>
    </cfRule>
  </conditionalFormatting>
  <conditionalFormatting sqref="Z36:AA36">
    <cfRule type="containsText" dxfId="7190" priority="1278" operator="containsText" text="GOOD">
      <formula>NOT(ISERROR(SEARCH("GOOD",Z36)))</formula>
    </cfRule>
  </conditionalFormatting>
  <conditionalFormatting sqref="L36">
    <cfRule type="containsText" dxfId="7189" priority="1277" operator="containsText" text="FAIL">
      <formula>NOT(ISERROR(SEARCH("FAIL",L36)))</formula>
    </cfRule>
  </conditionalFormatting>
  <conditionalFormatting sqref="L36">
    <cfRule type="containsText" dxfId="7188" priority="1276" operator="containsText" text="GOOD">
      <formula>NOT(ISERROR(SEARCH("GOOD",L36)))</formula>
    </cfRule>
  </conditionalFormatting>
  <conditionalFormatting sqref="Z35:AA35">
    <cfRule type="containsText" dxfId="7187" priority="1275" operator="containsText" text="FAIL">
      <formula>NOT(ISERROR(SEARCH("FAIL",Z35)))</formula>
    </cfRule>
  </conditionalFormatting>
  <conditionalFormatting sqref="Z35:AA35">
    <cfRule type="containsText" dxfId="7186" priority="1274" operator="containsText" text="GOOD">
      <formula>NOT(ISERROR(SEARCH("GOOD",Z35)))</formula>
    </cfRule>
  </conditionalFormatting>
  <conditionalFormatting sqref="L35">
    <cfRule type="containsText" dxfId="7185" priority="1273" operator="containsText" text="FAIL">
      <formula>NOT(ISERROR(SEARCH("FAIL",L35)))</formula>
    </cfRule>
  </conditionalFormatting>
  <conditionalFormatting sqref="L35">
    <cfRule type="containsText" dxfId="7184" priority="1272" operator="containsText" text="GOOD">
      <formula>NOT(ISERROR(SEARCH("GOOD",L35)))</formula>
    </cfRule>
  </conditionalFormatting>
  <conditionalFormatting sqref="Z34:AA34">
    <cfRule type="containsText" dxfId="7183" priority="1271" operator="containsText" text="FAIL">
      <formula>NOT(ISERROR(SEARCH("FAIL",Z34)))</formula>
    </cfRule>
  </conditionalFormatting>
  <conditionalFormatting sqref="Z34:AA34">
    <cfRule type="containsText" dxfId="7182" priority="1270" operator="containsText" text="GOOD">
      <formula>NOT(ISERROR(SEARCH("GOOD",Z34)))</formula>
    </cfRule>
  </conditionalFormatting>
  <conditionalFormatting sqref="L34">
    <cfRule type="containsText" dxfId="7181" priority="1269" operator="containsText" text="FAIL">
      <formula>NOT(ISERROR(SEARCH("FAIL",L34)))</formula>
    </cfRule>
  </conditionalFormatting>
  <conditionalFormatting sqref="L34">
    <cfRule type="containsText" dxfId="7180" priority="1268" operator="containsText" text="GOOD">
      <formula>NOT(ISERROR(SEARCH("GOOD",L34)))</formula>
    </cfRule>
  </conditionalFormatting>
  <conditionalFormatting sqref="Z33:AA33">
    <cfRule type="containsText" dxfId="7179" priority="1267" operator="containsText" text="FAIL">
      <formula>NOT(ISERROR(SEARCH("FAIL",Z33)))</formula>
    </cfRule>
  </conditionalFormatting>
  <conditionalFormatting sqref="Z33:AA33">
    <cfRule type="containsText" dxfId="7178" priority="1266" operator="containsText" text="GOOD">
      <formula>NOT(ISERROR(SEARCH("GOOD",Z33)))</formula>
    </cfRule>
  </conditionalFormatting>
  <conditionalFormatting sqref="L33">
    <cfRule type="containsText" dxfId="7177" priority="1265" operator="containsText" text="FAIL">
      <formula>NOT(ISERROR(SEARCH("FAIL",L33)))</formula>
    </cfRule>
  </conditionalFormatting>
  <conditionalFormatting sqref="L33">
    <cfRule type="containsText" dxfId="7176" priority="1264" operator="containsText" text="GOOD">
      <formula>NOT(ISERROR(SEARCH("GOOD",L33)))</formula>
    </cfRule>
  </conditionalFormatting>
  <conditionalFormatting sqref="Z32:AA32">
    <cfRule type="containsText" dxfId="7175" priority="1263" operator="containsText" text="FAIL">
      <formula>NOT(ISERROR(SEARCH("FAIL",Z32)))</formula>
    </cfRule>
  </conditionalFormatting>
  <conditionalFormatting sqref="Z32:AA32">
    <cfRule type="containsText" dxfId="7174" priority="1262" operator="containsText" text="GOOD">
      <formula>NOT(ISERROR(SEARCH("GOOD",Z32)))</formula>
    </cfRule>
  </conditionalFormatting>
  <conditionalFormatting sqref="L32">
    <cfRule type="containsText" dxfId="7173" priority="1261" operator="containsText" text="FAIL">
      <formula>NOT(ISERROR(SEARCH("FAIL",L32)))</formula>
    </cfRule>
  </conditionalFormatting>
  <conditionalFormatting sqref="L32">
    <cfRule type="containsText" dxfId="7172" priority="1260" operator="containsText" text="GOOD">
      <formula>NOT(ISERROR(SEARCH("GOOD",L32)))</formula>
    </cfRule>
  </conditionalFormatting>
  <conditionalFormatting sqref="B30">
    <cfRule type="containsText" dxfId="7171" priority="1259" operator="containsText" text="FAIL">
      <formula>NOT(ISERROR(SEARCH("FAIL",B30)))</formula>
    </cfRule>
  </conditionalFormatting>
  <conditionalFormatting sqref="B30">
    <cfRule type="containsText" dxfId="7170" priority="1258" operator="containsText" text="GOOD">
      <formula>NOT(ISERROR(SEARCH("GOOD",B30)))</formula>
    </cfRule>
  </conditionalFormatting>
  <conditionalFormatting sqref="L30">
    <cfRule type="containsText" dxfId="7169" priority="1257" operator="containsText" text="FAIL">
      <formula>NOT(ISERROR(SEARCH("FAIL",L30)))</formula>
    </cfRule>
  </conditionalFormatting>
  <conditionalFormatting sqref="L30">
    <cfRule type="containsText" dxfId="7168" priority="1256" operator="containsText" text="GOOD">
      <formula>NOT(ISERROR(SEARCH("GOOD",L30)))</formula>
    </cfRule>
  </conditionalFormatting>
  <conditionalFormatting sqref="Z30:AA30">
    <cfRule type="containsText" dxfId="7167" priority="1255" operator="containsText" text="FAIL">
      <formula>NOT(ISERROR(SEARCH("FAIL",Z30)))</formula>
    </cfRule>
  </conditionalFormatting>
  <conditionalFormatting sqref="Z30:AA30">
    <cfRule type="containsText" dxfId="7166" priority="1254" operator="containsText" text="GOOD">
      <formula>NOT(ISERROR(SEARCH("GOOD",Z30)))</formula>
    </cfRule>
  </conditionalFormatting>
  <conditionalFormatting sqref="Z29:AA29">
    <cfRule type="containsText" dxfId="7165" priority="1253" operator="containsText" text="FAIL">
      <formula>NOT(ISERROR(SEARCH("FAIL",Z29)))</formula>
    </cfRule>
  </conditionalFormatting>
  <conditionalFormatting sqref="Z29:AA29">
    <cfRule type="containsText" dxfId="7164" priority="1252" operator="containsText" text="GOOD">
      <formula>NOT(ISERROR(SEARCH("GOOD",Z29)))</formula>
    </cfRule>
  </conditionalFormatting>
  <conditionalFormatting sqref="L29">
    <cfRule type="containsText" dxfId="7163" priority="1251" operator="containsText" text="FAIL">
      <formula>NOT(ISERROR(SEARCH("FAIL",L29)))</formula>
    </cfRule>
  </conditionalFormatting>
  <conditionalFormatting sqref="L29">
    <cfRule type="containsText" dxfId="7162" priority="1250" operator="containsText" text="GOOD">
      <formula>NOT(ISERROR(SEARCH("GOOD",L29)))</formula>
    </cfRule>
  </conditionalFormatting>
  <conditionalFormatting sqref="Z28:AA28">
    <cfRule type="containsText" dxfId="7161" priority="1249" operator="containsText" text="FAIL">
      <formula>NOT(ISERROR(SEARCH("FAIL",Z28)))</formula>
    </cfRule>
  </conditionalFormatting>
  <conditionalFormatting sqref="Z28:AA28">
    <cfRule type="containsText" dxfId="7160" priority="1248" operator="containsText" text="GOOD">
      <formula>NOT(ISERROR(SEARCH("GOOD",Z28)))</formula>
    </cfRule>
  </conditionalFormatting>
  <conditionalFormatting sqref="L28">
    <cfRule type="containsText" dxfId="7159" priority="1247" operator="containsText" text="FAIL">
      <formula>NOT(ISERROR(SEARCH("FAIL",L28)))</formula>
    </cfRule>
  </conditionalFormatting>
  <conditionalFormatting sqref="L28">
    <cfRule type="containsText" dxfId="7158" priority="1246" operator="containsText" text="GOOD">
      <formula>NOT(ISERROR(SEARCH("GOOD",L28)))</formula>
    </cfRule>
  </conditionalFormatting>
  <conditionalFormatting sqref="Z27:AA27">
    <cfRule type="containsText" dxfId="7157" priority="1245" operator="containsText" text="FAIL">
      <formula>NOT(ISERROR(SEARCH("FAIL",Z27)))</formula>
    </cfRule>
  </conditionalFormatting>
  <conditionalFormatting sqref="Z27:AA27">
    <cfRule type="containsText" dxfId="7156" priority="1244" operator="containsText" text="GOOD">
      <formula>NOT(ISERROR(SEARCH("GOOD",Z27)))</formula>
    </cfRule>
  </conditionalFormatting>
  <conditionalFormatting sqref="L27">
    <cfRule type="containsText" dxfId="7155" priority="1243" operator="containsText" text="FAIL">
      <formula>NOT(ISERROR(SEARCH("FAIL",L27)))</formula>
    </cfRule>
  </conditionalFormatting>
  <conditionalFormatting sqref="L27">
    <cfRule type="containsText" dxfId="7154" priority="1242" operator="containsText" text="GOOD">
      <formula>NOT(ISERROR(SEARCH("GOOD",L27)))</formula>
    </cfRule>
  </conditionalFormatting>
  <conditionalFormatting sqref="Z26:AA26">
    <cfRule type="containsText" dxfId="7153" priority="1241" operator="containsText" text="FAIL">
      <formula>NOT(ISERROR(SEARCH("FAIL",Z26)))</formula>
    </cfRule>
  </conditionalFormatting>
  <conditionalFormatting sqref="Z26:AA26">
    <cfRule type="containsText" dxfId="7152" priority="1240" operator="containsText" text="GOOD">
      <formula>NOT(ISERROR(SEARCH("GOOD",Z26)))</formula>
    </cfRule>
  </conditionalFormatting>
  <conditionalFormatting sqref="L26">
    <cfRule type="containsText" dxfId="7151" priority="1239" operator="containsText" text="FAIL">
      <formula>NOT(ISERROR(SEARCH("FAIL",L26)))</formula>
    </cfRule>
  </conditionalFormatting>
  <conditionalFormatting sqref="L26">
    <cfRule type="containsText" dxfId="7150" priority="1238" operator="containsText" text="GOOD">
      <formula>NOT(ISERROR(SEARCH("GOOD",L26)))</formula>
    </cfRule>
  </conditionalFormatting>
  <conditionalFormatting sqref="Z25:AA25">
    <cfRule type="containsText" dxfId="7149" priority="1237" operator="containsText" text="FAIL">
      <formula>NOT(ISERROR(SEARCH("FAIL",Z25)))</formula>
    </cfRule>
  </conditionalFormatting>
  <conditionalFormatting sqref="Z25:AA25">
    <cfRule type="containsText" dxfId="7148" priority="1236" operator="containsText" text="GOOD">
      <formula>NOT(ISERROR(SEARCH("GOOD",Z25)))</formula>
    </cfRule>
  </conditionalFormatting>
  <conditionalFormatting sqref="L25">
    <cfRule type="containsText" dxfId="7147" priority="1235" operator="containsText" text="FAIL">
      <formula>NOT(ISERROR(SEARCH("FAIL",L25)))</formula>
    </cfRule>
  </conditionalFormatting>
  <conditionalFormatting sqref="L25">
    <cfRule type="containsText" dxfId="7146" priority="1234" operator="containsText" text="GOOD">
      <formula>NOT(ISERROR(SEARCH("GOOD",L25)))</formula>
    </cfRule>
  </conditionalFormatting>
  <conditionalFormatting sqref="Z23:AA24">
    <cfRule type="containsText" dxfId="7145" priority="1233" operator="containsText" text="FAIL">
      <formula>NOT(ISERROR(SEARCH("FAIL",Z23)))</formula>
    </cfRule>
  </conditionalFormatting>
  <conditionalFormatting sqref="Z23:AA24">
    <cfRule type="containsText" dxfId="7144" priority="1232" operator="containsText" text="GOOD">
      <formula>NOT(ISERROR(SEARCH("GOOD",Z23)))</formula>
    </cfRule>
  </conditionalFormatting>
  <conditionalFormatting sqref="L23:L24">
    <cfRule type="containsText" dxfId="7143" priority="1231" operator="containsText" text="FAIL">
      <formula>NOT(ISERROR(SEARCH("FAIL",L23)))</formula>
    </cfRule>
  </conditionalFormatting>
  <conditionalFormatting sqref="L23:L24">
    <cfRule type="containsText" dxfId="7142" priority="1230" operator="containsText" text="GOOD">
      <formula>NOT(ISERROR(SEARCH("GOOD",L23)))</formula>
    </cfRule>
  </conditionalFormatting>
  <conditionalFormatting sqref="Z22:AA22">
    <cfRule type="containsText" dxfId="7141" priority="1229" operator="containsText" text="FAIL">
      <formula>NOT(ISERROR(SEARCH("FAIL",Z22)))</formula>
    </cfRule>
  </conditionalFormatting>
  <conditionalFormatting sqref="Z22:AA22">
    <cfRule type="containsText" dxfId="7140" priority="1228" operator="containsText" text="GOOD">
      <formula>NOT(ISERROR(SEARCH("GOOD",Z22)))</formula>
    </cfRule>
  </conditionalFormatting>
  <conditionalFormatting sqref="L22">
    <cfRule type="containsText" dxfId="7139" priority="1227" operator="containsText" text="FAIL">
      <formula>NOT(ISERROR(SEARCH("FAIL",L22)))</formula>
    </cfRule>
  </conditionalFormatting>
  <conditionalFormatting sqref="L22">
    <cfRule type="containsText" dxfId="7138" priority="1226" operator="containsText" text="GOOD">
      <formula>NOT(ISERROR(SEARCH("GOOD",L22)))</formula>
    </cfRule>
  </conditionalFormatting>
  <conditionalFormatting sqref="Z21:AA21">
    <cfRule type="containsText" dxfId="7137" priority="1225" operator="containsText" text="FAIL">
      <formula>NOT(ISERROR(SEARCH("FAIL",Z21)))</formula>
    </cfRule>
  </conditionalFormatting>
  <conditionalFormatting sqref="Z21:AA21">
    <cfRule type="containsText" dxfId="7136" priority="1224" operator="containsText" text="GOOD">
      <formula>NOT(ISERROR(SEARCH("GOOD",Z21)))</formula>
    </cfRule>
  </conditionalFormatting>
  <conditionalFormatting sqref="L21">
    <cfRule type="containsText" dxfId="7135" priority="1223" operator="containsText" text="FAIL">
      <formula>NOT(ISERROR(SEARCH("FAIL",L21)))</formula>
    </cfRule>
  </conditionalFormatting>
  <conditionalFormatting sqref="L21">
    <cfRule type="containsText" dxfId="7134" priority="1222" operator="containsText" text="GOOD">
      <formula>NOT(ISERROR(SEARCH("GOOD",L21)))</formula>
    </cfRule>
  </conditionalFormatting>
  <conditionalFormatting sqref="Z20:AA20">
    <cfRule type="containsText" dxfId="7133" priority="1221" operator="containsText" text="FAIL">
      <formula>NOT(ISERROR(SEARCH("FAIL",Z20)))</formula>
    </cfRule>
  </conditionalFormatting>
  <conditionalFormatting sqref="Z20:AA20">
    <cfRule type="containsText" dxfId="7132" priority="1220" operator="containsText" text="GOOD">
      <formula>NOT(ISERROR(SEARCH("GOOD",Z20)))</formula>
    </cfRule>
  </conditionalFormatting>
  <conditionalFormatting sqref="L20">
    <cfRule type="containsText" dxfId="7131" priority="1219" operator="containsText" text="FAIL">
      <formula>NOT(ISERROR(SEARCH("FAIL",L20)))</formula>
    </cfRule>
  </conditionalFormatting>
  <conditionalFormatting sqref="L20">
    <cfRule type="containsText" dxfId="7130" priority="1218" operator="containsText" text="GOOD">
      <formula>NOT(ISERROR(SEARCH("GOOD",L20)))</formula>
    </cfRule>
  </conditionalFormatting>
  <conditionalFormatting sqref="Z19:AA19">
    <cfRule type="containsText" dxfId="7129" priority="1217" operator="containsText" text="FAIL">
      <formula>NOT(ISERROR(SEARCH("FAIL",Z19)))</formula>
    </cfRule>
  </conditionalFormatting>
  <conditionalFormatting sqref="Z19:AA19">
    <cfRule type="containsText" dxfId="7128" priority="1216" operator="containsText" text="GOOD">
      <formula>NOT(ISERROR(SEARCH("GOOD",Z19)))</formula>
    </cfRule>
  </conditionalFormatting>
  <conditionalFormatting sqref="L19">
    <cfRule type="containsText" dxfId="7127" priority="1215" operator="containsText" text="FAIL">
      <formula>NOT(ISERROR(SEARCH("FAIL",L19)))</formula>
    </cfRule>
  </conditionalFormatting>
  <conditionalFormatting sqref="L19">
    <cfRule type="containsText" dxfId="7126" priority="1214" operator="containsText" text="GOOD">
      <formula>NOT(ISERROR(SEARCH("GOOD",L19)))</formula>
    </cfRule>
  </conditionalFormatting>
  <conditionalFormatting sqref="Z18:AA18">
    <cfRule type="containsText" dxfId="7125" priority="1213" operator="containsText" text="FAIL">
      <formula>NOT(ISERROR(SEARCH("FAIL",Z18)))</formula>
    </cfRule>
  </conditionalFormatting>
  <conditionalFormatting sqref="Z18:AA18">
    <cfRule type="containsText" dxfId="7124" priority="1212" operator="containsText" text="GOOD">
      <formula>NOT(ISERROR(SEARCH("GOOD",Z18)))</formula>
    </cfRule>
  </conditionalFormatting>
  <conditionalFormatting sqref="L18">
    <cfRule type="containsText" dxfId="7123" priority="1211" operator="containsText" text="FAIL">
      <formula>NOT(ISERROR(SEARCH("FAIL",L18)))</formula>
    </cfRule>
  </conditionalFormatting>
  <conditionalFormatting sqref="L18">
    <cfRule type="containsText" dxfId="7122" priority="1210" operator="containsText" text="GOOD">
      <formula>NOT(ISERROR(SEARCH("GOOD",L18)))</formula>
    </cfRule>
  </conditionalFormatting>
  <conditionalFormatting sqref="Z17:AA17">
    <cfRule type="containsText" dxfId="7121" priority="1209" operator="containsText" text="FAIL">
      <formula>NOT(ISERROR(SEARCH("FAIL",Z17)))</formula>
    </cfRule>
  </conditionalFormatting>
  <conditionalFormatting sqref="Z17:AA17">
    <cfRule type="containsText" dxfId="7120" priority="1208" operator="containsText" text="GOOD">
      <formula>NOT(ISERROR(SEARCH("GOOD",Z17)))</formula>
    </cfRule>
  </conditionalFormatting>
  <conditionalFormatting sqref="L17">
    <cfRule type="containsText" dxfId="7119" priority="1207" operator="containsText" text="FAIL">
      <formula>NOT(ISERROR(SEARCH("FAIL",L17)))</formula>
    </cfRule>
  </conditionalFormatting>
  <conditionalFormatting sqref="L17">
    <cfRule type="containsText" dxfId="7118" priority="1206" operator="containsText" text="GOOD">
      <formula>NOT(ISERROR(SEARCH("GOOD",L17)))</formula>
    </cfRule>
  </conditionalFormatting>
  <conditionalFormatting sqref="B15">
    <cfRule type="containsText" dxfId="7117" priority="1205" operator="containsText" text="FAIL">
      <formula>NOT(ISERROR(SEARCH("FAIL",B15)))</formula>
    </cfRule>
  </conditionalFormatting>
  <conditionalFormatting sqref="B15">
    <cfRule type="containsText" dxfId="7116" priority="1204" operator="containsText" text="GOOD">
      <formula>NOT(ISERROR(SEARCH("GOOD",B15)))</formula>
    </cfRule>
  </conditionalFormatting>
  <conditionalFormatting sqref="L15">
    <cfRule type="containsText" dxfId="7115" priority="1203" operator="containsText" text="FAIL">
      <formula>NOT(ISERROR(SEARCH("FAIL",L15)))</formula>
    </cfRule>
  </conditionalFormatting>
  <conditionalFormatting sqref="L15">
    <cfRule type="containsText" dxfId="7114" priority="1202" operator="containsText" text="GOOD">
      <formula>NOT(ISERROR(SEARCH("GOOD",L15)))</formula>
    </cfRule>
  </conditionalFormatting>
  <conditionalFormatting sqref="Z15:AA15">
    <cfRule type="containsText" dxfId="7113" priority="1201" operator="containsText" text="FAIL">
      <formula>NOT(ISERROR(SEARCH("FAIL",Z15)))</formula>
    </cfRule>
  </conditionalFormatting>
  <conditionalFormatting sqref="Z15:AA15">
    <cfRule type="containsText" dxfId="7112" priority="1200" operator="containsText" text="GOOD">
      <formula>NOT(ISERROR(SEARCH("GOOD",Z15)))</formula>
    </cfRule>
  </conditionalFormatting>
  <conditionalFormatting sqref="Z14:AA14">
    <cfRule type="containsText" dxfId="7111" priority="1199" operator="containsText" text="FAIL">
      <formula>NOT(ISERROR(SEARCH("FAIL",Z14)))</formula>
    </cfRule>
  </conditionalFormatting>
  <conditionalFormatting sqref="Z14:AA14">
    <cfRule type="containsText" dxfId="7110" priority="1198" operator="containsText" text="GOOD">
      <formula>NOT(ISERROR(SEARCH("GOOD",Z14)))</formula>
    </cfRule>
  </conditionalFormatting>
  <conditionalFormatting sqref="L14">
    <cfRule type="containsText" dxfId="7109" priority="1197" operator="containsText" text="FAIL">
      <formula>NOT(ISERROR(SEARCH("FAIL",L14)))</formula>
    </cfRule>
  </conditionalFormatting>
  <conditionalFormatting sqref="L14">
    <cfRule type="containsText" dxfId="7108" priority="1196" operator="containsText" text="GOOD">
      <formula>NOT(ISERROR(SEARCH("GOOD",L14)))</formula>
    </cfRule>
  </conditionalFormatting>
  <conditionalFormatting sqref="AQ14:AQ59 AQ411:AQ414">
    <cfRule type="cellIs" dxfId="7107" priority="1188" operator="equal">
      <formula>"Only 1 bidder"</formula>
    </cfRule>
    <cfRule type="containsText" dxfId="7106" priority="1195" operator="containsText" text="VOID">
      <formula>NOT(ISERROR(SEARCH("VOID",AQ14)))</formula>
    </cfRule>
  </conditionalFormatting>
  <conditionalFormatting sqref="AR44:AR45 AR59 AR14:AR31 AR411 AR412:AS414">
    <cfRule type="containsText" dxfId="7105" priority="1194" operator="containsText" text="VOID">
      <formula>NOT(ISERROR(SEARCH("VOID",AR14)))</formula>
    </cfRule>
  </conditionalFormatting>
  <conditionalFormatting sqref="AS30">
    <cfRule type="containsText" dxfId="7104" priority="1193" operator="containsText" text="VOID">
      <formula>NOT(ISERROR(SEARCH("VOID",AS30)))</formula>
    </cfRule>
  </conditionalFormatting>
  <conditionalFormatting sqref="AS32:AS43">
    <cfRule type="containsText" dxfId="7103" priority="1192" operator="containsText" text="VOID">
      <formula>NOT(ISERROR(SEARCH("VOID",AS32)))</formula>
    </cfRule>
  </conditionalFormatting>
  <conditionalFormatting sqref="AR32:AR43">
    <cfRule type="containsText" dxfId="7102" priority="1191" operator="containsText" text="VOID">
      <formula>NOT(ISERROR(SEARCH("VOID",AR32)))</formula>
    </cfRule>
  </conditionalFormatting>
  <conditionalFormatting sqref="AR46:AR58">
    <cfRule type="containsText" dxfId="7101" priority="1190" operator="containsText" text="VOID">
      <formula>NOT(ISERROR(SEARCH("VOID",AR46)))</formula>
    </cfRule>
  </conditionalFormatting>
  <conditionalFormatting sqref="AQ15">
    <cfRule type="containsText" dxfId="7100" priority="1189" operator="containsText" text="Only 1 bidder">
      <formula>NOT(ISERROR(SEARCH("Only 1 bidder",AQ15)))</formula>
    </cfRule>
  </conditionalFormatting>
  <conditionalFormatting sqref="Z13:AA13">
    <cfRule type="containsText" dxfId="7099" priority="1187" operator="containsText" text="FAIL">
      <formula>NOT(ISERROR(SEARCH("FAIL",Z13)))</formula>
    </cfRule>
  </conditionalFormatting>
  <conditionalFormatting sqref="Z13:AA13">
    <cfRule type="containsText" dxfId="7098" priority="1186" operator="containsText" text="GOOD">
      <formula>NOT(ISERROR(SEARCH("GOOD",Z13)))</formula>
    </cfRule>
  </conditionalFormatting>
  <conditionalFormatting sqref="L13">
    <cfRule type="containsText" dxfId="7097" priority="1185" operator="containsText" text="FAIL">
      <formula>NOT(ISERROR(SEARCH("FAIL",L13)))</formula>
    </cfRule>
  </conditionalFormatting>
  <conditionalFormatting sqref="L13">
    <cfRule type="containsText" dxfId="7096" priority="1184" operator="containsText" text="GOOD">
      <formula>NOT(ISERROR(SEARCH("GOOD",L13)))</formula>
    </cfRule>
  </conditionalFormatting>
  <conditionalFormatting sqref="AQ13">
    <cfRule type="cellIs" dxfId="7095" priority="1181" operator="equal">
      <formula>"Only 1 bidder"</formula>
    </cfRule>
    <cfRule type="containsText" dxfId="7094" priority="1183" operator="containsText" text="VOID">
      <formula>NOT(ISERROR(SEARCH("VOID",AQ13)))</formula>
    </cfRule>
  </conditionalFormatting>
  <conditionalFormatting sqref="AR13">
    <cfRule type="containsText" dxfId="7093" priority="1182" operator="containsText" text="VOID">
      <formula>NOT(ISERROR(SEARCH("VOID",AR13)))</formula>
    </cfRule>
  </conditionalFormatting>
  <conditionalFormatting sqref="Z12:AA12">
    <cfRule type="containsText" dxfId="7092" priority="1180" operator="containsText" text="FAIL">
      <formula>NOT(ISERROR(SEARCH("FAIL",Z12)))</formula>
    </cfRule>
  </conditionalFormatting>
  <conditionalFormatting sqref="Z12:AA12">
    <cfRule type="containsText" dxfId="7091" priority="1179" operator="containsText" text="GOOD">
      <formula>NOT(ISERROR(SEARCH("GOOD",Z12)))</formula>
    </cfRule>
  </conditionalFormatting>
  <conditionalFormatting sqref="L12">
    <cfRule type="containsText" dxfId="7090" priority="1178" operator="containsText" text="FAIL">
      <formula>NOT(ISERROR(SEARCH("FAIL",L12)))</formula>
    </cfRule>
  </conditionalFormatting>
  <conditionalFormatting sqref="L12">
    <cfRule type="containsText" dxfId="7089" priority="1177" operator="containsText" text="GOOD">
      <formula>NOT(ISERROR(SEARCH("GOOD",L12)))</formula>
    </cfRule>
  </conditionalFormatting>
  <conditionalFormatting sqref="AQ12">
    <cfRule type="cellIs" dxfId="7088" priority="1174" operator="equal">
      <formula>"Only 1 bidder"</formula>
    </cfRule>
    <cfRule type="containsText" dxfId="7087" priority="1176" operator="containsText" text="VOID">
      <formula>NOT(ISERROR(SEARCH("VOID",AQ12)))</formula>
    </cfRule>
  </conditionalFormatting>
  <conditionalFormatting sqref="AR12">
    <cfRule type="containsText" dxfId="7086" priority="1175" operator="containsText" text="VOID">
      <formula>NOT(ISERROR(SEARCH("VOID",AR12)))</formula>
    </cfRule>
  </conditionalFormatting>
  <conditionalFormatting sqref="Z11:AA11">
    <cfRule type="containsText" dxfId="7085" priority="1173" operator="containsText" text="FAIL">
      <formula>NOT(ISERROR(SEARCH("FAIL",Z11)))</formula>
    </cfRule>
  </conditionalFormatting>
  <conditionalFormatting sqref="Z11:AA11">
    <cfRule type="containsText" dxfId="7084" priority="1172" operator="containsText" text="GOOD">
      <formula>NOT(ISERROR(SEARCH("GOOD",Z11)))</formula>
    </cfRule>
  </conditionalFormatting>
  <conditionalFormatting sqref="L11">
    <cfRule type="containsText" dxfId="7083" priority="1171" operator="containsText" text="FAIL">
      <formula>NOT(ISERROR(SEARCH("FAIL",L11)))</formula>
    </cfRule>
  </conditionalFormatting>
  <conditionalFormatting sqref="L11">
    <cfRule type="containsText" dxfId="7082" priority="1170" operator="containsText" text="GOOD">
      <formula>NOT(ISERROR(SEARCH("GOOD",L11)))</formula>
    </cfRule>
  </conditionalFormatting>
  <conditionalFormatting sqref="AQ11">
    <cfRule type="cellIs" dxfId="7081" priority="1167" operator="equal">
      <formula>"Only 1 bidder"</formula>
    </cfRule>
    <cfRule type="containsText" dxfId="7080" priority="1169" operator="containsText" text="VOID">
      <formula>NOT(ISERROR(SEARCH("VOID",AQ11)))</formula>
    </cfRule>
  </conditionalFormatting>
  <conditionalFormatting sqref="AR11">
    <cfRule type="containsText" dxfId="7079" priority="1168" operator="containsText" text="VOID">
      <formula>NOT(ISERROR(SEARCH("VOID",AR11)))</formula>
    </cfRule>
  </conditionalFormatting>
  <conditionalFormatting sqref="Z10:AA10">
    <cfRule type="containsText" dxfId="7078" priority="1166" operator="containsText" text="FAIL">
      <formula>NOT(ISERROR(SEARCH("FAIL",Z10)))</formula>
    </cfRule>
  </conditionalFormatting>
  <conditionalFormatting sqref="Z10:AA10">
    <cfRule type="containsText" dxfId="7077" priority="1165" operator="containsText" text="GOOD">
      <formula>NOT(ISERROR(SEARCH("GOOD",Z10)))</formula>
    </cfRule>
  </conditionalFormatting>
  <conditionalFormatting sqref="L10">
    <cfRule type="containsText" dxfId="7076" priority="1164" operator="containsText" text="FAIL">
      <formula>NOT(ISERROR(SEARCH("FAIL",L10)))</formula>
    </cfRule>
  </conditionalFormatting>
  <conditionalFormatting sqref="L10">
    <cfRule type="containsText" dxfId="7075" priority="1163" operator="containsText" text="GOOD">
      <formula>NOT(ISERROR(SEARCH("GOOD",L10)))</formula>
    </cfRule>
  </conditionalFormatting>
  <conditionalFormatting sqref="AQ10">
    <cfRule type="cellIs" dxfId="7074" priority="1160" operator="equal">
      <formula>"Only 1 bidder"</formula>
    </cfRule>
    <cfRule type="containsText" dxfId="7073" priority="1162" operator="containsText" text="VOID">
      <formula>NOT(ISERROR(SEARCH("VOID",AQ10)))</formula>
    </cfRule>
  </conditionalFormatting>
  <conditionalFormatting sqref="AR10">
    <cfRule type="containsText" dxfId="7072" priority="1161" operator="containsText" text="VOID">
      <formula>NOT(ISERROR(SEARCH("VOID",AR10)))</formula>
    </cfRule>
  </conditionalFormatting>
  <conditionalFormatting sqref="Z9:AA9">
    <cfRule type="containsText" dxfId="7071" priority="1159" operator="containsText" text="FAIL">
      <formula>NOT(ISERROR(SEARCH("FAIL",Z9)))</formula>
    </cfRule>
  </conditionalFormatting>
  <conditionalFormatting sqref="Z9:AA9">
    <cfRule type="containsText" dxfId="7070" priority="1158" operator="containsText" text="GOOD">
      <formula>NOT(ISERROR(SEARCH("GOOD",Z9)))</formula>
    </cfRule>
  </conditionalFormatting>
  <conditionalFormatting sqref="L9">
    <cfRule type="containsText" dxfId="7069" priority="1157" operator="containsText" text="FAIL">
      <formula>NOT(ISERROR(SEARCH("FAIL",L9)))</formula>
    </cfRule>
  </conditionalFormatting>
  <conditionalFormatting sqref="L9">
    <cfRule type="containsText" dxfId="7068" priority="1156" operator="containsText" text="GOOD">
      <formula>NOT(ISERROR(SEARCH("GOOD",L9)))</formula>
    </cfRule>
  </conditionalFormatting>
  <conditionalFormatting sqref="AQ9">
    <cfRule type="cellIs" dxfId="7067" priority="1153" operator="equal">
      <formula>"Only 1 bidder"</formula>
    </cfRule>
    <cfRule type="containsText" dxfId="7066" priority="1155" operator="containsText" text="VOID">
      <formula>NOT(ISERROR(SEARCH("VOID",AQ9)))</formula>
    </cfRule>
  </conditionalFormatting>
  <conditionalFormatting sqref="AR9">
    <cfRule type="containsText" dxfId="7065" priority="1154" operator="containsText" text="VOID">
      <formula>NOT(ISERROR(SEARCH("VOID",AR9)))</formula>
    </cfRule>
  </conditionalFormatting>
  <conditionalFormatting sqref="AQ8">
    <cfRule type="cellIs" dxfId="7064" priority="1150" operator="equal">
      <formula>"Only 1 bidder"</formula>
    </cfRule>
    <cfRule type="containsText" dxfId="7063" priority="1152" operator="containsText" text="VOID">
      <formula>NOT(ISERROR(SEARCH("VOID",AQ8)))</formula>
    </cfRule>
  </conditionalFormatting>
  <conditionalFormatting sqref="AR8">
    <cfRule type="containsText" dxfId="7062" priority="1151" operator="containsText" text="VOID">
      <formula>NOT(ISERROR(SEARCH("VOID",AR8)))</formula>
    </cfRule>
  </conditionalFormatting>
  <conditionalFormatting sqref="Z7:AA7">
    <cfRule type="containsText" dxfId="7061" priority="1149" operator="containsText" text="FAIL">
      <formula>NOT(ISERROR(SEARCH("FAIL",Z7)))</formula>
    </cfRule>
  </conditionalFormatting>
  <conditionalFormatting sqref="Z7:AA7">
    <cfRule type="containsText" dxfId="7060" priority="1148" operator="containsText" text="GOOD">
      <formula>NOT(ISERROR(SEARCH("GOOD",Z7)))</formula>
    </cfRule>
  </conditionalFormatting>
  <conditionalFormatting sqref="L7">
    <cfRule type="containsText" dxfId="7059" priority="1147" operator="containsText" text="FAIL">
      <formula>NOT(ISERROR(SEARCH("FAIL",L7)))</formula>
    </cfRule>
  </conditionalFormatting>
  <conditionalFormatting sqref="L7">
    <cfRule type="containsText" dxfId="7058" priority="1146" operator="containsText" text="GOOD">
      <formula>NOT(ISERROR(SEARCH("GOOD",L7)))</formula>
    </cfRule>
  </conditionalFormatting>
  <conditionalFormatting sqref="AQ7">
    <cfRule type="cellIs" dxfId="7057" priority="1143" operator="equal">
      <formula>"Only 1 bidder"</formula>
    </cfRule>
    <cfRule type="containsText" dxfId="7056" priority="1145" operator="containsText" text="VOID">
      <formula>NOT(ISERROR(SEARCH("VOID",AQ7)))</formula>
    </cfRule>
  </conditionalFormatting>
  <conditionalFormatting sqref="AR7">
    <cfRule type="containsText" dxfId="7055" priority="1144" operator="containsText" text="VOID">
      <formula>NOT(ISERROR(SEARCH("VOID",AR7)))</formula>
    </cfRule>
  </conditionalFormatting>
  <conditionalFormatting sqref="Z97:AA97">
    <cfRule type="containsText" dxfId="7054" priority="1138" operator="containsText" text="FAIL">
      <formula>NOT(ISERROR(SEARCH("FAIL",Z97)))</formula>
    </cfRule>
  </conditionalFormatting>
  <conditionalFormatting sqref="Z97:AA97">
    <cfRule type="containsText" dxfId="7053" priority="1137" operator="containsText" text="GOOD">
      <formula>NOT(ISERROR(SEARCH("GOOD",Z97)))</formula>
    </cfRule>
  </conditionalFormatting>
  <conditionalFormatting sqref="L97">
    <cfRule type="containsText" dxfId="7052" priority="1136" operator="containsText" text="FAIL">
      <formula>NOT(ISERROR(SEARCH("FAIL",L97)))</formula>
    </cfRule>
  </conditionalFormatting>
  <conditionalFormatting sqref="L97">
    <cfRule type="containsText" dxfId="7051" priority="1135" operator="containsText" text="GOOD">
      <formula>NOT(ISERROR(SEARCH("GOOD",L97)))</formula>
    </cfRule>
  </conditionalFormatting>
  <conditionalFormatting sqref="AQ97">
    <cfRule type="cellIs" dxfId="7050" priority="1132" operator="equal">
      <formula>"Only 1 bidder"</formula>
    </cfRule>
    <cfRule type="containsText" dxfId="7049" priority="1134" operator="containsText" text="VOID">
      <formula>NOT(ISERROR(SEARCH("VOID",AQ97)))</formula>
    </cfRule>
  </conditionalFormatting>
  <conditionalFormatting sqref="AR97">
    <cfRule type="containsText" dxfId="7048" priority="1133" operator="containsText" text="VOID">
      <formula>NOT(ISERROR(SEARCH("VOID",AR97)))</formula>
    </cfRule>
  </conditionalFormatting>
  <conditionalFormatting sqref="Z98:AA98">
    <cfRule type="containsText" dxfId="7047" priority="1131" operator="containsText" text="FAIL">
      <formula>NOT(ISERROR(SEARCH("FAIL",Z98)))</formula>
    </cfRule>
  </conditionalFormatting>
  <conditionalFormatting sqref="Z98:AA98">
    <cfRule type="containsText" dxfId="7046" priority="1130" operator="containsText" text="GOOD">
      <formula>NOT(ISERROR(SEARCH("GOOD",Z98)))</formula>
    </cfRule>
  </conditionalFormatting>
  <conditionalFormatting sqref="L98">
    <cfRule type="containsText" dxfId="7045" priority="1129" operator="containsText" text="FAIL">
      <formula>NOT(ISERROR(SEARCH("FAIL",L98)))</formula>
    </cfRule>
  </conditionalFormatting>
  <conditionalFormatting sqref="L98">
    <cfRule type="containsText" dxfId="7044" priority="1128" operator="containsText" text="GOOD">
      <formula>NOT(ISERROR(SEARCH("GOOD",L98)))</formula>
    </cfRule>
  </conditionalFormatting>
  <conditionalFormatting sqref="AQ98">
    <cfRule type="cellIs" dxfId="7043" priority="1125" operator="equal">
      <formula>"Only 1 bidder"</formula>
    </cfRule>
    <cfRule type="containsText" dxfId="7042" priority="1127" operator="containsText" text="VOID">
      <formula>NOT(ISERROR(SEARCH("VOID",AQ98)))</formula>
    </cfRule>
  </conditionalFormatting>
  <conditionalFormatting sqref="AR98">
    <cfRule type="containsText" dxfId="7041" priority="1126" operator="containsText" text="VOID">
      <formula>NOT(ISERROR(SEARCH("VOID",AR98)))</formula>
    </cfRule>
  </conditionalFormatting>
  <conditionalFormatting sqref="Z99:AA99">
    <cfRule type="containsText" dxfId="7040" priority="1124" operator="containsText" text="FAIL">
      <formula>NOT(ISERROR(SEARCH("FAIL",Z99)))</formula>
    </cfRule>
  </conditionalFormatting>
  <conditionalFormatting sqref="Z99:AA99">
    <cfRule type="containsText" dxfId="7039" priority="1123" operator="containsText" text="GOOD">
      <formula>NOT(ISERROR(SEARCH("GOOD",Z99)))</formula>
    </cfRule>
  </conditionalFormatting>
  <conditionalFormatting sqref="L99">
    <cfRule type="containsText" dxfId="7038" priority="1122" operator="containsText" text="FAIL">
      <formula>NOT(ISERROR(SEARCH("FAIL",L99)))</formula>
    </cfRule>
  </conditionalFormatting>
  <conditionalFormatting sqref="L99">
    <cfRule type="containsText" dxfId="7037" priority="1121" operator="containsText" text="GOOD">
      <formula>NOT(ISERROR(SEARCH("GOOD",L99)))</formula>
    </cfRule>
  </conditionalFormatting>
  <conditionalFormatting sqref="AQ99">
    <cfRule type="cellIs" dxfId="7036" priority="1118" operator="equal">
      <formula>"Only 1 bidder"</formula>
    </cfRule>
    <cfRule type="containsText" dxfId="7035" priority="1120" operator="containsText" text="VOID">
      <formula>NOT(ISERROR(SEARCH("VOID",AQ99)))</formula>
    </cfRule>
  </conditionalFormatting>
  <conditionalFormatting sqref="AR99">
    <cfRule type="containsText" dxfId="7034" priority="1119" operator="containsText" text="VOID">
      <formula>NOT(ISERROR(SEARCH("VOID",AR99)))</formula>
    </cfRule>
  </conditionalFormatting>
  <conditionalFormatting sqref="Z100:AA100">
    <cfRule type="containsText" dxfId="7033" priority="1117" operator="containsText" text="FAIL">
      <formula>NOT(ISERROR(SEARCH("FAIL",Z100)))</formula>
    </cfRule>
  </conditionalFormatting>
  <conditionalFormatting sqref="Z100:AA100">
    <cfRule type="containsText" dxfId="7032" priority="1116" operator="containsText" text="GOOD">
      <formula>NOT(ISERROR(SEARCH("GOOD",Z100)))</formula>
    </cfRule>
  </conditionalFormatting>
  <conditionalFormatting sqref="L100">
    <cfRule type="containsText" dxfId="7031" priority="1115" operator="containsText" text="FAIL">
      <formula>NOT(ISERROR(SEARCH("FAIL",L100)))</formula>
    </cfRule>
  </conditionalFormatting>
  <conditionalFormatting sqref="L100">
    <cfRule type="containsText" dxfId="7030" priority="1114" operator="containsText" text="GOOD">
      <formula>NOT(ISERROR(SEARCH("GOOD",L100)))</formula>
    </cfRule>
  </conditionalFormatting>
  <conditionalFormatting sqref="AQ100:AQ118">
    <cfRule type="cellIs" dxfId="7029" priority="1111" operator="equal">
      <formula>"Only 1 bidder"</formula>
    </cfRule>
    <cfRule type="containsText" dxfId="7028" priority="1113" operator="containsText" text="VOID">
      <formula>NOT(ISERROR(SEARCH("VOID",AQ100)))</formula>
    </cfRule>
  </conditionalFormatting>
  <conditionalFormatting sqref="AR114 AR100:AR105">
    <cfRule type="containsText" dxfId="7027" priority="1112" operator="containsText" text="VOID">
      <formula>NOT(ISERROR(SEARCH("VOID",AR100)))</formula>
    </cfRule>
  </conditionalFormatting>
  <conditionalFormatting sqref="Z101:AA101">
    <cfRule type="containsText" dxfId="7026" priority="1110" operator="containsText" text="FAIL">
      <formula>NOT(ISERROR(SEARCH("FAIL",Z101)))</formula>
    </cfRule>
  </conditionalFormatting>
  <conditionalFormatting sqref="Z101:AA101">
    <cfRule type="containsText" dxfId="7025" priority="1109" operator="containsText" text="GOOD">
      <formula>NOT(ISERROR(SEARCH("GOOD",Z101)))</formula>
    </cfRule>
  </conditionalFormatting>
  <conditionalFormatting sqref="L101">
    <cfRule type="containsText" dxfId="7024" priority="1108" operator="containsText" text="FAIL">
      <formula>NOT(ISERROR(SEARCH("FAIL",L101)))</formula>
    </cfRule>
  </conditionalFormatting>
  <conditionalFormatting sqref="L101">
    <cfRule type="containsText" dxfId="7023" priority="1107" operator="containsText" text="GOOD">
      <formula>NOT(ISERROR(SEARCH("GOOD",L101)))</formula>
    </cfRule>
  </conditionalFormatting>
  <conditionalFormatting sqref="Z102:AA102">
    <cfRule type="containsText" dxfId="7022" priority="1106" operator="containsText" text="FAIL">
      <formula>NOT(ISERROR(SEARCH("FAIL",Z102)))</formula>
    </cfRule>
  </conditionalFormatting>
  <conditionalFormatting sqref="Z102:AA102">
    <cfRule type="containsText" dxfId="7021" priority="1105" operator="containsText" text="GOOD">
      <formula>NOT(ISERROR(SEARCH("GOOD",Z102)))</formula>
    </cfRule>
  </conditionalFormatting>
  <conditionalFormatting sqref="L102">
    <cfRule type="containsText" dxfId="7020" priority="1104" operator="containsText" text="FAIL">
      <formula>NOT(ISERROR(SEARCH("FAIL",L102)))</formula>
    </cfRule>
  </conditionalFormatting>
  <conditionalFormatting sqref="L102">
    <cfRule type="containsText" dxfId="7019" priority="1103" operator="containsText" text="GOOD">
      <formula>NOT(ISERROR(SEARCH("GOOD",L102)))</formula>
    </cfRule>
  </conditionalFormatting>
  <conditionalFormatting sqref="Z103:AA103">
    <cfRule type="containsText" dxfId="7018" priority="1102" operator="containsText" text="FAIL">
      <formula>NOT(ISERROR(SEARCH("FAIL",Z103)))</formula>
    </cfRule>
  </conditionalFormatting>
  <conditionalFormatting sqref="Z103:AA103">
    <cfRule type="containsText" dxfId="7017" priority="1101" operator="containsText" text="GOOD">
      <formula>NOT(ISERROR(SEARCH("GOOD",Z103)))</formula>
    </cfRule>
  </conditionalFormatting>
  <conditionalFormatting sqref="L103">
    <cfRule type="containsText" dxfId="7016" priority="1100" operator="containsText" text="FAIL">
      <formula>NOT(ISERROR(SEARCH("FAIL",L103)))</formula>
    </cfRule>
  </conditionalFormatting>
  <conditionalFormatting sqref="L103">
    <cfRule type="containsText" dxfId="7015" priority="1099" operator="containsText" text="GOOD">
      <formula>NOT(ISERROR(SEARCH("GOOD",L103)))</formula>
    </cfRule>
  </conditionalFormatting>
  <conditionalFormatting sqref="Z104:AA104">
    <cfRule type="containsText" dxfId="7014" priority="1098" operator="containsText" text="FAIL">
      <formula>NOT(ISERROR(SEARCH("FAIL",Z104)))</formula>
    </cfRule>
  </conditionalFormatting>
  <conditionalFormatting sqref="Z104:AA104">
    <cfRule type="containsText" dxfId="7013" priority="1097" operator="containsText" text="GOOD">
      <formula>NOT(ISERROR(SEARCH("GOOD",Z104)))</formula>
    </cfRule>
  </conditionalFormatting>
  <conditionalFormatting sqref="L104">
    <cfRule type="containsText" dxfId="7012" priority="1096" operator="containsText" text="FAIL">
      <formula>NOT(ISERROR(SEARCH("FAIL",L104)))</formula>
    </cfRule>
  </conditionalFormatting>
  <conditionalFormatting sqref="L104">
    <cfRule type="containsText" dxfId="7011" priority="1095" operator="containsText" text="GOOD">
      <formula>NOT(ISERROR(SEARCH("GOOD",L104)))</formula>
    </cfRule>
  </conditionalFormatting>
  <conditionalFormatting sqref="Z105:AA105">
    <cfRule type="containsText" dxfId="7010" priority="1094" operator="containsText" text="FAIL">
      <formula>NOT(ISERROR(SEARCH("FAIL",Z105)))</formula>
    </cfRule>
  </conditionalFormatting>
  <conditionalFormatting sqref="Z105:AA105">
    <cfRule type="containsText" dxfId="7009" priority="1093" operator="containsText" text="GOOD">
      <formula>NOT(ISERROR(SEARCH("GOOD",Z105)))</formula>
    </cfRule>
  </conditionalFormatting>
  <conditionalFormatting sqref="L105">
    <cfRule type="containsText" dxfId="7008" priority="1092" operator="containsText" text="FAIL">
      <formula>NOT(ISERROR(SEARCH("FAIL",L105)))</formula>
    </cfRule>
  </conditionalFormatting>
  <conditionalFormatting sqref="L105">
    <cfRule type="containsText" dxfId="7007" priority="1091" operator="containsText" text="GOOD">
      <formula>NOT(ISERROR(SEARCH("GOOD",L105)))</formula>
    </cfRule>
  </conditionalFormatting>
  <conditionalFormatting sqref="Z106:AA106">
    <cfRule type="containsText" dxfId="7006" priority="1090" operator="containsText" text="FAIL">
      <formula>NOT(ISERROR(SEARCH("FAIL",Z106)))</formula>
    </cfRule>
  </conditionalFormatting>
  <conditionalFormatting sqref="Z106:AA106">
    <cfRule type="containsText" dxfId="7005" priority="1089" operator="containsText" text="GOOD">
      <formula>NOT(ISERROR(SEARCH("GOOD",Z106)))</formula>
    </cfRule>
  </conditionalFormatting>
  <conditionalFormatting sqref="L106">
    <cfRule type="containsText" dxfId="7004" priority="1088" operator="containsText" text="FAIL">
      <formula>NOT(ISERROR(SEARCH("FAIL",L106)))</formula>
    </cfRule>
  </conditionalFormatting>
  <conditionalFormatting sqref="L106">
    <cfRule type="containsText" dxfId="7003" priority="1087" operator="containsText" text="GOOD">
      <formula>NOT(ISERROR(SEARCH("GOOD",L106)))</formula>
    </cfRule>
  </conditionalFormatting>
  <conditionalFormatting sqref="AS106:AS113">
    <cfRule type="containsText" dxfId="7002" priority="1086" operator="containsText" text="VOID">
      <formula>NOT(ISERROR(SEARCH("VOID",AS106)))</formula>
    </cfRule>
  </conditionalFormatting>
  <conditionalFormatting sqref="AR106:AR113">
    <cfRule type="containsText" dxfId="7001" priority="1085" operator="containsText" text="VOID">
      <formula>NOT(ISERROR(SEARCH("VOID",AR106)))</formula>
    </cfRule>
  </conditionalFormatting>
  <conditionalFormatting sqref="Z107:AA107">
    <cfRule type="containsText" dxfId="7000" priority="1084" operator="containsText" text="FAIL">
      <formula>NOT(ISERROR(SEARCH("FAIL",Z107)))</formula>
    </cfRule>
  </conditionalFormatting>
  <conditionalFormatting sqref="Z107:AA107">
    <cfRule type="containsText" dxfId="6999" priority="1083" operator="containsText" text="GOOD">
      <formula>NOT(ISERROR(SEARCH("GOOD",Z107)))</formula>
    </cfRule>
  </conditionalFormatting>
  <conditionalFormatting sqref="L107">
    <cfRule type="containsText" dxfId="6998" priority="1082" operator="containsText" text="FAIL">
      <formula>NOT(ISERROR(SEARCH("FAIL",L107)))</formula>
    </cfRule>
  </conditionalFormatting>
  <conditionalFormatting sqref="L107">
    <cfRule type="containsText" dxfId="6997" priority="1081" operator="containsText" text="GOOD">
      <formula>NOT(ISERROR(SEARCH("GOOD",L107)))</formula>
    </cfRule>
  </conditionalFormatting>
  <conditionalFormatting sqref="Z108:AA108">
    <cfRule type="containsText" dxfId="6996" priority="1080" operator="containsText" text="FAIL">
      <formula>NOT(ISERROR(SEARCH("FAIL",Z108)))</formula>
    </cfRule>
  </conditionalFormatting>
  <conditionalFormatting sqref="Z108:AA108">
    <cfRule type="containsText" dxfId="6995" priority="1079" operator="containsText" text="GOOD">
      <formula>NOT(ISERROR(SEARCH("GOOD",Z108)))</formula>
    </cfRule>
  </conditionalFormatting>
  <conditionalFormatting sqref="L108">
    <cfRule type="containsText" dxfId="6994" priority="1078" operator="containsText" text="FAIL">
      <formula>NOT(ISERROR(SEARCH("FAIL",L108)))</formula>
    </cfRule>
  </conditionalFormatting>
  <conditionalFormatting sqref="L108">
    <cfRule type="containsText" dxfId="6993" priority="1077" operator="containsText" text="GOOD">
      <formula>NOT(ISERROR(SEARCH("GOOD",L108)))</formula>
    </cfRule>
  </conditionalFormatting>
  <conditionalFormatting sqref="Z109:AA109">
    <cfRule type="containsText" dxfId="6992" priority="1076" operator="containsText" text="FAIL">
      <formula>NOT(ISERROR(SEARCH("FAIL",Z109)))</formula>
    </cfRule>
  </conditionalFormatting>
  <conditionalFormatting sqref="Z109:AA109">
    <cfRule type="containsText" dxfId="6991" priority="1075" operator="containsText" text="GOOD">
      <formula>NOT(ISERROR(SEARCH("GOOD",Z109)))</formula>
    </cfRule>
  </conditionalFormatting>
  <conditionalFormatting sqref="L109">
    <cfRule type="containsText" dxfId="6990" priority="1074" operator="containsText" text="FAIL">
      <formula>NOT(ISERROR(SEARCH("FAIL",L109)))</formula>
    </cfRule>
  </conditionalFormatting>
  <conditionalFormatting sqref="L109">
    <cfRule type="containsText" dxfId="6989" priority="1073" operator="containsText" text="GOOD">
      <formula>NOT(ISERROR(SEARCH("GOOD",L109)))</formula>
    </cfRule>
  </conditionalFormatting>
  <conditionalFormatting sqref="L110">
    <cfRule type="containsText" dxfId="6988" priority="1072" operator="containsText" text="FAIL">
      <formula>NOT(ISERROR(SEARCH("FAIL",L110)))</formula>
    </cfRule>
  </conditionalFormatting>
  <conditionalFormatting sqref="L110">
    <cfRule type="containsText" dxfId="6987" priority="1071" operator="containsText" text="GOOD">
      <formula>NOT(ISERROR(SEARCH("GOOD",L110)))</formula>
    </cfRule>
  </conditionalFormatting>
  <conditionalFormatting sqref="Z110:AA110">
    <cfRule type="containsText" dxfId="6986" priority="1070" operator="containsText" text="FAIL">
      <formula>NOT(ISERROR(SEARCH("FAIL",Z110)))</formula>
    </cfRule>
  </conditionalFormatting>
  <conditionalFormatting sqref="Z110:AA110">
    <cfRule type="containsText" dxfId="6985" priority="1069" operator="containsText" text="GOOD">
      <formula>NOT(ISERROR(SEARCH("GOOD",Z110)))</formula>
    </cfRule>
  </conditionalFormatting>
  <conditionalFormatting sqref="L111">
    <cfRule type="containsText" dxfId="6984" priority="1068" operator="containsText" text="FAIL">
      <formula>NOT(ISERROR(SEARCH("FAIL",L111)))</formula>
    </cfRule>
  </conditionalFormatting>
  <conditionalFormatting sqref="L111">
    <cfRule type="containsText" dxfId="6983" priority="1067" operator="containsText" text="GOOD">
      <formula>NOT(ISERROR(SEARCH("GOOD",L111)))</formula>
    </cfRule>
  </conditionalFormatting>
  <conditionalFormatting sqref="Z111:AA111">
    <cfRule type="containsText" dxfId="6982" priority="1066" operator="containsText" text="FAIL">
      <formula>NOT(ISERROR(SEARCH("FAIL",Z111)))</formula>
    </cfRule>
  </conditionalFormatting>
  <conditionalFormatting sqref="Z111:AA111">
    <cfRule type="containsText" dxfId="6981" priority="1065" operator="containsText" text="GOOD">
      <formula>NOT(ISERROR(SEARCH("GOOD",Z111)))</formula>
    </cfRule>
  </conditionalFormatting>
  <conditionalFormatting sqref="L112">
    <cfRule type="containsText" dxfId="6980" priority="1064" operator="containsText" text="FAIL">
      <formula>NOT(ISERROR(SEARCH("FAIL",L112)))</formula>
    </cfRule>
  </conditionalFormatting>
  <conditionalFormatting sqref="L112">
    <cfRule type="containsText" dxfId="6979" priority="1063" operator="containsText" text="GOOD">
      <formula>NOT(ISERROR(SEARCH("GOOD",L112)))</formula>
    </cfRule>
  </conditionalFormatting>
  <conditionalFormatting sqref="Z112:AA112">
    <cfRule type="containsText" dxfId="6978" priority="1062" operator="containsText" text="FAIL">
      <formula>NOT(ISERROR(SEARCH("FAIL",Z112)))</formula>
    </cfRule>
  </conditionalFormatting>
  <conditionalFormatting sqref="Z112:AA112">
    <cfRule type="containsText" dxfId="6977" priority="1061" operator="containsText" text="GOOD">
      <formula>NOT(ISERROR(SEARCH("GOOD",Z112)))</formula>
    </cfRule>
  </conditionalFormatting>
  <conditionalFormatting sqref="B113">
    <cfRule type="containsText" dxfId="6976" priority="1060" operator="containsText" text="FAIL">
      <formula>NOT(ISERROR(SEARCH("FAIL",B113)))</formula>
    </cfRule>
  </conditionalFormatting>
  <conditionalFormatting sqref="B113">
    <cfRule type="containsText" dxfId="6975" priority="1059" operator="containsText" text="GOOD">
      <formula>NOT(ISERROR(SEARCH("GOOD",B113)))</formula>
    </cfRule>
  </conditionalFormatting>
  <conditionalFormatting sqref="L113">
    <cfRule type="containsText" dxfId="6974" priority="1058" operator="containsText" text="FAIL">
      <formula>NOT(ISERROR(SEARCH("FAIL",L113)))</formula>
    </cfRule>
  </conditionalFormatting>
  <conditionalFormatting sqref="L113">
    <cfRule type="containsText" dxfId="6973" priority="1057" operator="containsText" text="GOOD">
      <formula>NOT(ISERROR(SEARCH("GOOD",L113)))</formula>
    </cfRule>
  </conditionalFormatting>
  <conditionalFormatting sqref="Z113:AA113">
    <cfRule type="containsText" dxfId="6972" priority="1056" operator="containsText" text="FAIL">
      <formula>NOT(ISERROR(SEARCH("FAIL",Z113)))</formula>
    </cfRule>
  </conditionalFormatting>
  <conditionalFormatting sqref="Z113:AA113">
    <cfRule type="containsText" dxfId="6971" priority="1055" operator="containsText" text="GOOD">
      <formula>NOT(ISERROR(SEARCH("GOOD",Z113)))</formula>
    </cfRule>
  </conditionalFormatting>
  <conditionalFormatting sqref="L114">
    <cfRule type="containsText" dxfId="6970" priority="1054" operator="containsText" text="FAIL">
      <formula>NOT(ISERROR(SEARCH("FAIL",L114)))</formula>
    </cfRule>
  </conditionalFormatting>
  <conditionalFormatting sqref="L114">
    <cfRule type="containsText" dxfId="6969" priority="1053" operator="containsText" text="GOOD">
      <formula>NOT(ISERROR(SEARCH("GOOD",L114)))</formula>
    </cfRule>
  </conditionalFormatting>
  <conditionalFormatting sqref="Z114:AA114">
    <cfRule type="containsText" dxfId="6968" priority="1052" operator="containsText" text="FAIL">
      <formula>NOT(ISERROR(SEARCH("FAIL",Z114)))</formula>
    </cfRule>
  </conditionalFormatting>
  <conditionalFormatting sqref="Z114:AA114">
    <cfRule type="containsText" dxfId="6967" priority="1051" operator="containsText" text="GOOD">
      <formula>NOT(ISERROR(SEARCH("GOOD",Z114)))</formula>
    </cfRule>
  </conditionalFormatting>
  <conditionalFormatting sqref="L115">
    <cfRule type="containsText" dxfId="6966" priority="1050" operator="containsText" text="FAIL">
      <formula>NOT(ISERROR(SEARCH("FAIL",L115)))</formula>
    </cfRule>
  </conditionalFormatting>
  <conditionalFormatting sqref="L115">
    <cfRule type="containsText" dxfId="6965" priority="1049" operator="containsText" text="GOOD">
      <formula>NOT(ISERROR(SEARCH("GOOD",L115)))</formula>
    </cfRule>
  </conditionalFormatting>
  <conditionalFormatting sqref="Z115:AA115">
    <cfRule type="containsText" dxfId="6964" priority="1048" operator="containsText" text="FAIL">
      <formula>NOT(ISERROR(SEARCH("FAIL",Z115)))</formula>
    </cfRule>
  </conditionalFormatting>
  <conditionalFormatting sqref="Z115:AA115">
    <cfRule type="containsText" dxfId="6963" priority="1047" operator="containsText" text="GOOD">
      <formula>NOT(ISERROR(SEARCH("GOOD",Z115)))</formula>
    </cfRule>
  </conditionalFormatting>
  <conditionalFormatting sqref="AR115:AR118">
    <cfRule type="containsText" dxfId="6962" priority="1046" operator="containsText" text="VOID">
      <formula>NOT(ISERROR(SEARCH("VOID",AR115)))</formula>
    </cfRule>
  </conditionalFormatting>
  <conditionalFormatting sqref="L116">
    <cfRule type="containsText" dxfId="6961" priority="1045" operator="containsText" text="FAIL">
      <formula>NOT(ISERROR(SEARCH("FAIL",L116)))</formula>
    </cfRule>
  </conditionalFormatting>
  <conditionalFormatting sqref="L116">
    <cfRule type="containsText" dxfId="6960" priority="1044" operator="containsText" text="GOOD">
      <formula>NOT(ISERROR(SEARCH("GOOD",L116)))</formula>
    </cfRule>
  </conditionalFormatting>
  <conditionalFormatting sqref="Z116:AA116">
    <cfRule type="containsText" dxfId="6959" priority="1043" operator="containsText" text="FAIL">
      <formula>NOT(ISERROR(SEARCH("FAIL",Z116)))</formula>
    </cfRule>
  </conditionalFormatting>
  <conditionalFormatting sqref="Z116:AA116">
    <cfRule type="containsText" dxfId="6958" priority="1042" operator="containsText" text="GOOD">
      <formula>NOT(ISERROR(SEARCH("GOOD",Z116)))</formula>
    </cfRule>
  </conditionalFormatting>
  <conditionalFormatting sqref="L117">
    <cfRule type="containsText" dxfId="6957" priority="1041" operator="containsText" text="FAIL">
      <formula>NOT(ISERROR(SEARCH("FAIL",L117)))</formula>
    </cfRule>
  </conditionalFormatting>
  <conditionalFormatting sqref="L117">
    <cfRule type="containsText" dxfId="6956" priority="1040" operator="containsText" text="GOOD">
      <formula>NOT(ISERROR(SEARCH("GOOD",L117)))</formula>
    </cfRule>
  </conditionalFormatting>
  <conditionalFormatting sqref="Z117:AA117">
    <cfRule type="containsText" dxfId="6955" priority="1039" operator="containsText" text="FAIL">
      <formula>NOT(ISERROR(SEARCH("FAIL",Z117)))</formula>
    </cfRule>
  </conditionalFormatting>
  <conditionalFormatting sqref="Z117:AA117">
    <cfRule type="containsText" dxfId="6954" priority="1038" operator="containsText" text="GOOD">
      <formula>NOT(ISERROR(SEARCH("GOOD",Z117)))</formula>
    </cfRule>
  </conditionalFormatting>
  <conditionalFormatting sqref="L118">
    <cfRule type="containsText" dxfId="6953" priority="1037" operator="containsText" text="FAIL">
      <formula>NOT(ISERROR(SEARCH("FAIL",L118)))</formula>
    </cfRule>
  </conditionalFormatting>
  <conditionalFormatting sqref="L118">
    <cfRule type="containsText" dxfId="6952" priority="1036" operator="containsText" text="GOOD">
      <formula>NOT(ISERROR(SEARCH("GOOD",L118)))</formula>
    </cfRule>
  </conditionalFormatting>
  <conditionalFormatting sqref="Z118:AA118">
    <cfRule type="containsText" dxfId="6951" priority="1035" operator="containsText" text="FAIL">
      <formula>NOT(ISERROR(SEARCH("FAIL",Z118)))</formula>
    </cfRule>
  </conditionalFormatting>
  <conditionalFormatting sqref="Z118:AA118">
    <cfRule type="containsText" dxfId="6950" priority="1034" operator="containsText" text="GOOD">
      <formula>NOT(ISERROR(SEARCH("GOOD",Z118)))</formula>
    </cfRule>
  </conditionalFormatting>
  <conditionalFormatting sqref="Z122:AA122">
    <cfRule type="containsText" dxfId="6949" priority="1033" operator="containsText" text="FAIL">
      <formula>NOT(ISERROR(SEARCH("FAIL",Z122)))</formula>
    </cfRule>
  </conditionalFormatting>
  <conditionalFormatting sqref="Z122:AA122">
    <cfRule type="containsText" dxfId="6948" priority="1032" operator="containsText" text="GOOD">
      <formula>NOT(ISERROR(SEARCH("GOOD",Z122)))</formula>
    </cfRule>
  </conditionalFormatting>
  <conditionalFormatting sqref="L122">
    <cfRule type="containsText" dxfId="6947" priority="1031" operator="containsText" text="FAIL">
      <formula>NOT(ISERROR(SEARCH("FAIL",L122)))</formula>
    </cfRule>
  </conditionalFormatting>
  <conditionalFormatting sqref="L122">
    <cfRule type="containsText" dxfId="6946" priority="1030" operator="containsText" text="GOOD">
      <formula>NOT(ISERROR(SEARCH("GOOD",L122)))</formula>
    </cfRule>
  </conditionalFormatting>
  <conditionalFormatting sqref="AQ122">
    <cfRule type="cellIs" dxfId="6945" priority="1027" operator="equal">
      <formula>"Only 1 bidder"</formula>
    </cfRule>
    <cfRule type="containsText" dxfId="6944" priority="1029" operator="containsText" text="VOID">
      <formula>NOT(ISERROR(SEARCH("VOID",AQ122)))</formula>
    </cfRule>
  </conditionalFormatting>
  <conditionalFormatting sqref="AR122">
    <cfRule type="containsText" dxfId="6943" priority="1028" operator="containsText" text="VOID">
      <formula>NOT(ISERROR(SEARCH("VOID",AR122)))</formula>
    </cfRule>
  </conditionalFormatting>
  <conditionalFormatting sqref="Z123:AA123">
    <cfRule type="containsText" dxfId="6942" priority="1026" operator="containsText" text="FAIL">
      <formula>NOT(ISERROR(SEARCH("FAIL",Z123)))</formula>
    </cfRule>
  </conditionalFormatting>
  <conditionalFormatting sqref="Z123:AA123">
    <cfRule type="containsText" dxfId="6941" priority="1025" operator="containsText" text="GOOD">
      <formula>NOT(ISERROR(SEARCH("GOOD",Z123)))</formula>
    </cfRule>
  </conditionalFormatting>
  <conditionalFormatting sqref="L123">
    <cfRule type="containsText" dxfId="6940" priority="1024" operator="containsText" text="FAIL">
      <formula>NOT(ISERROR(SEARCH("FAIL",L123)))</formula>
    </cfRule>
  </conditionalFormatting>
  <conditionalFormatting sqref="L123">
    <cfRule type="containsText" dxfId="6939" priority="1023" operator="containsText" text="GOOD">
      <formula>NOT(ISERROR(SEARCH("GOOD",L123)))</formula>
    </cfRule>
  </conditionalFormatting>
  <conditionalFormatting sqref="AQ123">
    <cfRule type="cellIs" dxfId="6938" priority="1020" operator="equal">
      <formula>"Only 1 bidder"</formula>
    </cfRule>
    <cfRule type="containsText" dxfId="6937" priority="1022" operator="containsText" text="VOID">
      <formula>NOT(ISERROR(SEARCH("VOID",AQ123)))</formula>
    </cfRule>
  </conditionalFormatting>
  <conditionalFormatting sqref="AR123">
    <cfRule type="containsText" dxfId="6936" priority="1021" operator="containsText" text="VOID">
      <formula>NOT(ISERROR(SEARCH("VOID",AR123)))</formula>
    </cfRule>
  </conditionalFormatting>
  <conditionalFormatting sqref="Z124:AA124">
    <cfRule type="containsText" dxfId="6935" priority="1019" operator="containsText" text="FAIL">
      <formula>NOT(ISERROR(SEARCH("FAIL",Z124)))</formula>
    </cfRule>
  </conditionalFormatting>
  <conditionalFormatting sqref="Z124:AA124">
    <cfRule type="containsText" dxfId="6934" priority="1018" operator="containsText" text="GOOD">
      <formula>NOT(ISERROR(SEARCH("GOOD",Z124)))</formula>
    </cfRule>
  </conditionalFormatting>
  <conditionalFormatting sqref="L124">
    <cfRule type="containsText" dxfId="6933" priority="1017" operator="containsText" text="FAIL">
      <formula>NOT(ISERROR(SEARCH("FAIL",L124)))</formula>
    </cfRule>
  </conditionalFormatting>
  <conditionalFormatting sqref="L124">
    <cfRule type="containsText" dxfId="6932" priority="1016" operator="containsText" text="GOOD">
      <formula>NOT(ISERROR(SEARCH("GOOD",L124)))</formula>
    </cfRule>
  </conditionalFormatting>
  <conditionalFormatting sqref="AQ124:AQ136">
    <cfRule type="cellIs" dxfId="6931" priority="1013" operator="equal">
      <formula>"Only 1 bidder"</formula>
    </cfRule>
    <cfRule type="containsText" dxfId="6930" priority="1015" operator="containsText" text="VOID">
      <formula>NOT(ISERROR(SEARCH("VOID",AQ124)))</formula>
    </cfRule>
  </conditionalFormatting>
  <conditionalFormatting sqref="AR124:AR128">
    <cfRule type="containsText" dxfId="6929" priority="1014" operator="containsText" text="VOID">
      <formula>NOT(ISERROR(SEARCH("VOID",AR124)))</formula>
    </cfRule>
  </conditionalFormatting>
  <conditionalFormatting sqref="Z125:AA125">
    <cfRule type="containsText" dxfId="6928" priority="1012" operator="containsText" text="FAIL">
      <formula>NOT(ISERROR(SEARCH("FAIL",Z125)))</formula>
    </cfRule>
  </conditionalFormatting>
  <conditionalFormatting sqref="Z125:AA125">
    <cfRule type="containsText" dxfId="6927" priority="1011" operator="containsText" text="GOOD">
      <formula>NOT(ISERROR(SEARCH("GOOD",Z125)))</formula>
    </cfRule>
  </conditionalFormatting>
  <conditionalFormatting sqref="L125">
    <cfRule type="containsText" dxfId="6926" priority="1010" operator="containsText" text="FAIL">
      <formula>NOT(ISERROR(SEARCH("FAIL",L125)))</formula>
    </cfRule>
  </conditionalFormatting>
  <conditionalFormatting sqref="L125">
    <cfRule type="containsText" dxfId="6925" priority="1009" operator="containsText" text="GOOD">
      <formula>NOT(ISERROR(SEARCH("GOOD",L125)))</formula>
    </cfRule>
  </conditionalFormatting>
  <conditionalFormatting sqref="Z126:AA126">
    <cfRule type="containsText" dxfId="6924" priority="1008" operator="containsText" text="FAIL">
      <formula>NOT(ISERROR(SEARCH("FAIL",Z126)))</formula>
    </cfRule>
  </conditionalFormatting>
  <conditionalFormatting sqref="Z126:AA126">
    <cfRule type="containsText" dxfId="6923" priority="1007" operator="containsText" text="GOOD">
      <formula>NOT(ISERROR(SEARCH("GOOD",Z126)))</formula>
    </cfRule>
  </conditionalFormatting>
  <conditionalFormatting sqref="L126">
    <cfRule type="containsText" dxfId="6922" priority="1006" operator="containsText" text="FAIL">
      <formula>NOT(ISERROR(SEARCH("FAIL",L126)))</formula>
    </cfRule>
  </conditionalFormatting>
  <conditionalFormatting sqref="L126">
    <cfRule type="containsText" dxfId="6921" priority="1005" operator="containsText" text="GOOD">
      <formula>NOT(ISERROR(SEARCH("GOOD",L126)))</formula>
    </cfRule>
  </conditionalFormatting>
  <conditionalFormatting sqref="Z127:AA127">
    <cfRule type="containsText" dxfId="6920" priority="1004" operator="containsText" text="FAIL">
      <formula>NOT(ISERROR(SEARCH("FAIL",Z127)))</formula>
    </cfRule>
  </conditionalFormatting>
  <conditionalFormatting sqref="Z127:AA127">
    <cfRule type="containsText" dxfId="6919" priority="1003" operator="containsText" text="GOOD">
      <formula>NOT(ISERROR(SEARCH("GOOD",Z127)))</formula>
    </cfRule>
  </conditionalFormatting>
  <conditionalFormatting sqref="L127">
    <cfRule type="containsText" dxfId="6918" priority="1002" operator="containsText" text="FAIL">
      <formula>NOT(ISERROR(SEARCH("FAIL",L127)))</formula>
    </cfRule>
  </conditionalFormatting>
  <conditionalFormatting sqref="L127">
    <cfRule type="containsText" dxfId="6917" priority="1001" operator="containsText" text="GOOD">
      <formula>NOT(ISERROR(SEARCH("GOOD",L127)))</formula>
    </cfRule>
  </conditionalFormatting>
  <conditionalFormatting sqref="B128">
    <cfRule type="containsText" dxfId="6916" priority="1000" operator="containsText" text="FAIL">
      <formula>NOT(ISERROR(SEARCH("FAIL",B128)))</formula>
    </cfRule>
  </conditionalFormatting>
  <conditionalFormatting sqref="B128">
    <cfRule type="containsText" dxfId="6915" priority="999" operator="containsText" text="GOOD">
      <formula>NOT(ISERROR(SEARCH("GOOD",B128)))</formula>
    </cfRule>
  </conditionalFormatting>
  <conditionalFormatting sqref="L128">
    <cfRule type="containsText" dxfId="6914" priority="998" operator="containsText" text="FAIL">
      <formula>NOT(ISERROR(SEARCH("FAIL",L128)))</formula>
    </cfRule>
  </conditionalFormatting>
  <conditionalFormatting sqref="L128">
    <cfRule type="containsText" dxfId="6913" priority="997" operator="containsText" text="GOOD">
      <formula>NOT(ISERROR(SEARCH("GOOD",L128)))</formula>
    </cfRule>
  </conditionalFormatting>
  <conditionalFormatting sqref="Z128:AA128">
    <cfRule type="containsText" dxfId="6912" priority="996" operator="containsText" text="FAIL">
      <formula>NOT(ISERROR(SEARCH("FAIL",Z128)))</formula>
    </cfRule>
  </conditionalFormatting>
  <conditionalFormatting sqref="Z128:AA128">
    <cfRule type="containsText" dxfId="6911" priority="995" operator="containsText" text="GOOD">
      <formula>NOT(ISERROR(SEARCH("GOOD",Z128)))</formula>
    </cfRule>
  </conditionalFormatting>
  <conditionalFormatting sqref="AS128">
    <cfRule type="containsText" dxfId="6910" priority="994" operator="containsText" text="VOID">
      <formula>NOT(ISERROR(SEARCH("VOID",AS128)))</formula>
    </cfRule>
  </conditionalFormatting>
  <conditionalFormatting sqref="Z129:AA129">
    <cfRule type="containsText" dxfId="6909" priority="993" operator="containsText" text="FAIL">
      <formula>NOT(ISERROR(SEARCH("FAIL",Z129)))</formula>
    </cfRule>
  </conditionalFormatting>
  <conditionalFormatting sqref="Z129:AA129">
    <cfRule type="containsText" dxfId="6908" priority="992" operator="containsText" text="GOOD">
      <formula>NOT(ISERROR(SEARCH("GOOD",Z129)))</formula>
    </cfRule>
  </conditionalFormatting>
  <conditionalFormatting sqref="L129">
    <cfRule type="containsText" dxfId="6907" priority="991" operator="containsText" text="FAIL">
      <formula>NOT(ISERROR(SEARCH("FAIL",L129)))</formula>
    </cfRule>
  </conditionalFormatting>
  <conditionalFormatting sqref="L129">
    <cfRule type="containsText" dxfId="6906" priority="990" operator="containsText" text="GOOD">
      <formula>NOT(ISERROR(SEARCH("GOOD",L129)))</formula>
    </cfRule>
  </conditionalFormatting>
  <conditionalFormatting sqref="AS129:AS131">
    <cfRule type="containsText" dxfId="6905" priority="989" operator="containsText" text="VOID">
      <formula>NOT(ISERROR(SEARCH("VOID",AS129)))</formula>
    </cfRule>
  </conditionalFormatting>
  <conditionalFormatting sqref="AR129:AR131">
    <cfRule type="containsText" dxfId="6904" priority="988" operator="containsText" text="VOID">
      <formula>NOT(ISERROR(SEARCH("VOID",AR129)))</formula>
    </cfRule>
  </conditionalFormatting>
  <conditionalFormatting sqref="L130">
    <cfRule type="containsText" dxfId="6903" priority="987" operator="containsText" text="FAIL">
      <formula>NOT(ISERROR(SEARCH("FAIL",L130)))</formula>
    </cfRule>
  </conditionalFormatting>
  <conditionalFormatting sqref="L130">
    <cfRule type="containsText" dxfId="6902" priority="986" operator="containsText" text="GOOD">
      <formula>NOT(ISERROR(SEARCH("GOOD",L130)))</formula>
    </cfRule>
  </conditionalFormatting>
  <conditionalFormatting sqref="Z130:AA130">
    <cfRule type="containsText" dxfId="6901" priority="985" operator="containsText" text="FAIL">
      <formula>NOT(ISERROR(SEARCH("FAIL",Z130)))</formula>
    </cfRule>
  </conditionalFormatting>
  <conditionalFormatting sqref="Z130:AA130">
    <cfRule type="containsText" dxfId="6900" priority="984" operator="containsText" text="GOOD">
      <formula>NOT(ISERROR(SEARCH("GOOD",Z130)))</formula>
    </cfRule>
  </conditionalFormatting>
  <conditionalFormatting sqref="L131">
    <cfRule type="containsText" dxfId="6899" priority="983" operator="containsText" text="FAIL">
      <formula>NOT(ISERROR(SEARCH("FAIL",L131)))</formula>
    </cfRule>
  </conditionalFormatting>
  <conditionalFormatting sqref="L131">
    <cfRule type="containsText" dxfId="6898" priority="982" operator="containsText" text="GOOD">
      <formula>NOT(ISERROR(SEARCH("GOOD",L131)))</formula>
    </cfRule>
  </conditionalFormatting>
  <conditionalFormatting sqref="Z131:AA131">
    <cfRule type="containsText" dxfId="6897" priority="981" operator="containsText" text="FAIL">
      <formula>NOT(ISERROR(SEARCH("FAIL",Z131)))</formula>
    </cfRule>
  </conditionalFormatting>
  <conditionalFormatting sqref="Z131:AA131">
    <cfRule type="containsText" dxfId="6896" priority="980" operator="containsText" text="GOOD">
      <formula>NOT(ISERROR(SEARCH("GOOD",Z131)))</formula>
    </cfRule>
  </conditionalFormatting>
  <conditionalFormatting sqref="L132">
    <cfRule type="containsText" dxfId="6895" priority="979" operator="containsText" text="FAIL">
      <formula>NOT(ISERROR(SEARCH("FAIL",L132)))</formula>
    </cfRule>
  </conditionalFormatting>
  <conditionalFormatting sqref="L132">
    <cfRule type="containsText" dxfId="6894" priority="978" operator="containsText" text="GOOD">
      <formula>NOT(ISERROR(SEARCH("GOOD",L132)))</formula>
    </cfRule>
  </conditionalFormatting>
  <conditionalFormatting sqref="Z132:AA132">
    <cfRule type="containsText" dxfId="6893" priority="977" operator="containsText" text="FAIL">
      <formula>NOT(ISERROR(SEARCH("FAIL",Z132)))</formula>
    </cfRule>
  </conditionalFormatting>
  <conditionalFormatting sqref="Z132:AA132">
    <cfRule type="containsText" dxfId="6892" priority="976" operator="containsText" text="GOOD">
      <formula>NOT(ISERROR(SEARCH("GOOD",Z132)))</formula>
    </cfRule>
  </conditionalFormatting>
  <conditionalFormatting sqref="AR132:AR136">
    <cfRule type="containsText" dxfId="6891" priority="975" operator="containsText" text="VOID">
      <formula>NOT(ISERROR(SEARCH("VOID",AR132)))</formula>
    </cfRule>
  </conditionalFormatting>
  <conditionalFormatting sqref="L133">
    <cfRule type="containsText" dxfId="6890" priority="974" operator="containsText" text="FAIL">
      <formula>NOT(ISERROR(SEARCH("FAIL",L133)))</formula>
    </cfRule>
  </conditionalFormatting>
  <conditionalFormatting sqref="L133">
    <cfRule type="containsText" dxfId="6889" priority="973" operator="containsText" text="GOOD">
      <formula>NOT(ISERROR(SEARCH("GOOD",L133)))</formula>
    </cfRule>
  </conditionalFormatting>
  <conditionalFormatting sqref="Z133:AA133">
    <cfRule type="containsText" dxfId="6888" priority="972" operator="containsText" text="FAIL">
      <formula>NOT(ISERROR(SEARCH("FAIL",Z133)))</formula>
    </cfRule>
  </conditionalFormatting>
  <conditionalFormatting sqref="Z133:AA133">
    <cfRule type="containsText" dxfId="6887" priority="971" operator="containsText" text="GOOD">
      <formula>NOT(ISERROR(SEARCH("GOOD",Z133)))</formula>
    </cfRule>
  </conditionalFormatting>
  <conditionalFormatting sqref="L134">
    <cfRule type="containsText" dxfId="6886" priority="970" operator="containsText" text="FAIL">
      <formula>NOT(ISERROR(SEARCH("FAIL",L134)))</formula>
    </cfRule>
  </conditionalFormatting>
  <conditionalFormatting sqref="L134">
    <cfRule type="containsText" dxfId="6885" priority="969" operator="containsText" text="GOOD">
      <formula>NOT(ISERROR(SEARCH("GOOD",L134)))</formula>
    </cfRule>
  </conditionalFormatting>
  <conditionalFormatting sqref="Z134:AA134">
    <cfRule type="containsText" dxfId="6884" priority="968" operator="containsText" text="FAIL">
      <formula>NOT(ISERROR(SEARCH("FAIL",Z134)))</formula>
    </cfRule>
  </conditionalFormatting>
  <conditionalFormatting sqref="Z134:AA134">
    <cfRule type="containsText" dxfId="6883" priority="967" operator="containsText" text="GOOD">
      <formula>NOT(ISERROR(SEARCH("GOOD",Z134)))</formula>
    </cfRule>
  </conditionalFormatting>
  <conditionalFormatting sqref="L135">
    <cfRule type="containsText" dxfId="6882" priority="966" operator="containsText" text="FAIL">
      <formula>NOT(ISERROR(SEARCH("FAIL",L135)))</formula>
    </cfRule>
  </conditionalFormatting>
  <conditionalFormatting sqref="L135">
    <cfRule type="containsText" dxfId="6881" priority="965" operator="containsText" text="GOOD">
      <formula>NOT(ISERROR(SEARCH("GOOD",L135)))</formula>
    </cfRule>
  </conditionalFormatting>
  <conditionalFormatting sqref="Z135:AA135">
    <cfRule type="containsText" dxfId="6880" priority="964" operator="containsText" text="FAIL">
      <formula>NOT(ISERROR(SEARCH("FAIL",Z135)))</formula>
    </cfRule>
  </conditionalFormatting>
  <conditionalFormatting sqref="Z135:AA135">
    <cfRule type="containsText" dxfId="6879" priority="963" operator="containsText" text="GOOD">
      <formula>NOT(ISERROR(SEARCH("GOOD",Z135)))</formula>
    </cfRule>
  </conditionalFormatting>
  <conditionalFormatting sqref="L136">
    <cfRule type="containsText" dxfId="6878" priority="962" operator="containsText" text="FAIL">
      <formula>NOT(ISERROR(SEARCH("FAIL",L136)))</formula>
    </cfRule>
  </conditionalFormatting>
  <conditionalFormatting sqref="L136">
    <cfRule type="containsText" dxfId="6877" priority="961" operator="containsText" text="GOOD">
      <formula>NOT(ISERROR(SEARCH("GOOD",L136)))</formula>
    </cfRule>
  </conditionalFormatting>
  <conditionalFormatting sqref="Z136:AA136">
    <cfRule type="containsText" dxfId="6876" priority="960" operator="containsText" text="FAIL">
      <formula>NOT(ISERROR(SEARCH("FAIL",Z136)))</formula>
    </cfRule>
  </conditionalFormatting>
  <conditionalFormatting sqref="Z136:AA136">
    <cfRule type="containsText" dxfId="6875" priority="959" operator="containsText" text="GOOD">
      <formula>NOT(ISERROR(SEARCH("GOOD",Z136)))</formula>
    </cfRule>
  </conditionalFormatting>
  <conditionalFormatting sqref="Z140:AA140">
    <cfRule type="containsText" dxfId="6874" priority="954" operator="containsText" text="FAIL">
      <formula>NOT(ISERROR(SEARCH("FAIL",Z140)))</formula>
    </cfRule>
  </conditionalFormatting>
  <conditionalFormatting sqref="Z140:AA140">
    <cfRule type="containsText" dxfId="6873" priority="953" operator="containsText" text="GOOD">
      <formula>NOT(ISERROR(SEARCH("GOOD",Z140)))</formula>
    </cfRule>
  </conditionalFormatting>
  <conditionalFormatting sqref="L140">
    <cfRule type="containsText" dxfId="6872" priority="952" operator="containsText" text="FAIL">
      <formula>NOT(ISERROR(SEARCH("FAIL",L140)))</formula>
    </cfRule>
  </conditionalFormatting>
  <conditionalFormatting sqref="L140">
    <cfRule type="containsText" dxfId="6871" priority="951" operator="containsText" text="GOOD">
      <formula>NOT(ISERROR(SEARCH("GOOD",L140)))</formula>
    </cfRule>
  </conditionalFormatting>
  <conditionalFormatting sqref="AQ140">
    <cfRule type="cellIs" dxfId="6870" priority="948" operator="equal">
      <formula>"Only 1 bidder"</formula>
    </cfRule>
    <cfRule type="containsText" dxfId="6869" priority="950" operator="containsText" text="VOID">
      <formula>NOT(ISERROR(SEARCH("VOID",AQ140)))</formula>
    </cfRule>
  </conditionalFormatting>
  <conditionalFormatting sqref="AR140">
    <cfRule type="containsText" dxfId="6868" priority="949" operator="containsText" text="VOID">
      <formula>NOT(ISERROR(SEARCH("VOID",AR140)))</formula>
    </cfRule>
  </conditionalFormatting>
  <conditionalFormatting sqref="B141">
    <cfRule type="containsText" dxfId="6867" priority="947" operator="containsText" text="FAIL">
      <formula>NOT(ISERROR(SEARCH("FAIL",B141)))</formula>
    </cfRule>
  </conditionalFormatting>
  <conditionalFormatting sqref="B141">
    <cfRule type="containsText" dxfId="6866" priority="946" operator="containsText" text="GOOD">
      <formula>NOT(ISERROR(SEARCH("GOOD",B141)))</formula>
    </cfRule>
  </conditionalFormatting>
  <conditionalFormatting sqref="L141">
    <cfRule type="containsText" dxfId="6865" priority="945" operator="containsText" text="FAIL">
      <formula>NOT(ISERROR(SEARCH("FAIL",L141)))</formula>
    </cfRule>
  </conditionalFormatting>
  <conditionalFormatting sqref="L141">
    <cfRule type="containsText" dxfId="6864" priority="944" operator="containsText" text="GOOD">
      <formula>NOT(ISERROR(SEARCH("GOOD",L141)))</formula>
    </cfRule>
  </conditionalFormatting>
  <conditionalFormatting sqref="Z141:AA141">
    <cfRule type="containsText" dxfId="6863" priority="943" operator="containsText" text="FAIL">
      <formula>NOT(ISERROR(SEARCH("FAIL",Z141)))</formula>
    </cfRule>
  </conditionalFormatting>
  <conditionalFormatting sqref="Z141:AA141">
    <cfRule type="containsText" dxfId="6862" priority="942" operator="containsText" text="GOOD">
      <formula>NOT(ISERROR(SEARCH("GOOD",Z141)))</formula>
    </cfRule>
  </conditionalFormatting>
  <conditionalFormatting sqref="AQ141:AQ150">
    <cfRule type="cellIs" dxfId="6861" priority="938" operator="equal">
      <formula>"Only 1 bidder"</formula>
    </cfRule>
    <cfRule type="containsText" dxfId="6860" priority="941" operator="containsText" text="VOID">
      <formula>NOT(ISERROR(SEARCH("VOID",AQ141)))</formula>
    </cfRule>
  </conditionalFormatting>
  <conditionalFormatting sqref="AR141:AR145">
    <cfRule type="containsText" dxfId="6859" priority="940" operator="containsText" text="VOID">
      <formula>NOT(ISERROR(SEARCH("VOID",AR141)))</formula>
    </cfRule>
  </conditionalFormatting>
  <conditionalFormatting sqref="AQ141">
    <cfRule type="containsText" dxfId="6858" priority="939" operator="containsText" text="Only 1 bidder">
      <formula>NOT(ISERROR(SEARCH("Only 1 bidder",AQ141)))</formula>
    </cfRule>
  </conditionalFormatting>
  <conditionalFormatting sqref="Z142:AA142">
    <cfRule type="containsText" dxfId="6857" priority="937" operator="containsText" text="FAIL">
      <formula>NOT(ISERROR(SEARCH("FAIL",Z142)))</formula>
    </cfRule>
  </conditionalFormatting>
  <conditionalFormatting sqref="Z142:AA142">
    <cfRule type="containsText" dxfId="6856" priority="936" operator="containsText" text="GOOD">
      <formula>NOT(ISERROR(SEARCH("GOOD",Z142)))</formula>
    </cfRule>
  </conditionalFormatting>
  <conditionalFormatting sqref="L142">
    <cfRule type="containsText" dxfId="6855" priority="935" operator="containsText" text="FAIL">
      <formula>NOT(ISERROR(SEARCH("FAIL",L142)))</formula>
    </cfRule>
  </conditionalFormatting>
  <conditionalFormatting sqref="L142">
    <cfRule type="containsText" dxfId="6854" priority="934" operator="containsText" text="GOOD">
      <formula>NOT(ISERROR(SEARCH("GOOD",L142)))</formula>
    </cfRule>
  </conditionalFormatting>
  <conditionalFormatting sqref="Z143:AA143">
    <cfRule type="containsText" dxfId="6853" priority="933" operator="containsText" text="FAIL">
      <formula>NOT(ISERROR(SEARCH("FAIL",Z143)))</formula>
    </cfRule>
  </conditionalFormatting>
  <conditionalFormatting sqref="Z143:AA143">
    <cfRule type="containsText" dxfId="6852" priority="932" operator="containsText" text="GOOD">
      <formula>NOT(ISERROR(SEARCH("GOOD",Z143)))</formula>
    </cfRule>
  </conditionalFormatting>
  <conditionalFormatting sqref="L143">
    <cfRule type="containsText" dxfId="6851" priority="931" operator="containsText" text="FAIL">
      <formula>NOT(ISERROR(SEARCH("FAIL",L143)))</formula>
    </cfRule>
  </conditionalFormatting>
  <conditionalFormatting sqref="L143">
    <cfRule type="containsText" dxfId="6850" priority="930" operator="containsText" text="GOOD">
      <formula>NOT(ISERROR(SEARCH("GOOD",L143)))</formula>
    </cfRule>
  </conditionalFormatting>
  <conditionalFormatting sqref="Z144:AA144">
    <cfRule type="containsText" dxfId="6849" priority="929" operator="containsText" text="FAIL">
      <formula>NOT(ISERROR(SEARCH("FAIL",Z144)))</formula>
    </cfRule>
  </conditionalFormatting>
  <conditionalFormatting sqref="Z144:AA144">
    <cfRule type="containsText" dxfId="6848" priority="928" operator="containsText" text="GOOD">
      <formula>NOT(ISERROR(SEARCH("GOOD",Z144)))</formula>
    </cfRule>
  </conditionalFormatting>
  <conditionalFormatting sqref="L144">
    <cfRule type="containsText" dxfId="6847" priority="927" operator="containsText" text="FAIL">
      <formula>NOT(ISERROR(SEARCH("FAIL",L144)))</formula>
    </cfRule>
  </conditionalFormatting>
  <conditionalFormatting sqref="L144">
    <cfRule type="containsText" dxfId="6846" priority="926" operator="containsText" text="GOOD">
      <formula>NOT(ISERROR(SEARCH("GOOD",L144)))</formula>
    </cfRule>
  </conditionalFormatting>
  <conditionalFormatting sqref="Z145:AA145">
    <cfRule type="containsText" dxfId="6845" priority="925" operator="containsText" text="FAIL">
      <formula>NOT(ISERROR(SEARCH("FAIL",Z145)))</formula>
    </cfRule>
  </conditionalFormatting>
  <conditionalFormatting sqref="Z145:AA145">
    <cfRule type="containsText" dxfId="6844" priority="924" operator="containsText" text="GOOD">
      <formula>NOT(ISERROR(SEARCH("GOOD",Z145)))</formula>
    </cfRule>
  </conditionalFormatting>
  <conditionalFormatting sqref="L145">
    <cfRule type="containsText" dxfId="6843" priority="923" operator="containsText" text="FAIL">
      <formula>NOT(ISERROR(SEARCH("FAIL",L145)))</formula>
    </cfRule>
  </conditionalFormatting>
  <conditionalFormatting sqref="L145">
    <cfRule type="containsText" dxfId="6842" priority="922" operator="containsText" text="GOOD">
      <formula>NOT(ISERROR(SEARCH("GOOD",L145)))</formula>
    </cfRule>
  </conditionalFormatting>
  <conditionalFormatting sqref="Z146:AA146">
    <cfRule type="containsText" dxfId="6841" priority="921" operator="containsText" text="FAIL">
      <formula>NOT(ISERROR(SEARCH("FAIL",Z146)))</formula>
    </cfRule>
  </conditionalFormatting>
  <conditionalFormatting sqref="Z146:AA146">
    <cfRule type="containsText" dxfId="6840" priority="920" operator="containsText" text="GOOD">
      <formula>NOT(ISERROR(SEARCH("GOOD",Z146)))</formula>
    </cfRule>
  </conditionalFormatting>
  <conditionalFormatting sqref="L146">
    <cfRule type="containsText" dxfId="6839" priority="919" operator="containsText" text="FAIL">
      <formula>NOT(ISERROR(SEARCH("FAIL",L146)))</formula>
    </cfRule>
  </conditionalFormatting>
  <conditionalFormatting sqref="L146">
    <cfRule type="containsText" dxfId="6838" priority="918" operator="containsText" text="GOOD">
      <formula>NOT(ISERROR(SEARCH("GOOD",L146)))</formula>
    </cfRule>
  </conditionalFormatting>
  <conditionalFormatting sqref="AS146">
    <cfRule type="containsText" dxfId="6837" priority="917" operator="containsText" text="VOID">
      <formula>NOT(ISERROR(SEARCH("VOID",AS146)))</formula>
    </cfRule>
  </conditionalFormatting>
  <conditionalFormatting sqref="AR146">
    <cfRule type="containsText" dxfId="6836" priority="916" operator="containsText" text="VOID">
      <formula>NOT(ISERROR(SEARCH("VOID",AR146)))</formula>
    </cfRule>
  </conditionalFormatting>
  <conditionalFormatting sqref="L147:L148">
    <cfRule type="containsText" dxfId="6835" priority="915" operator="containsText" text="FAIL">
      <formula>NOT(ISERROR(SEARCH("FAIL",L147)))</formula>
    </cfRule>
  </conditionalFormatting>
  <conditionalFormatting sqref="L147:L148">
    <cfRule type="containsText" dxfId="6834" priority="914" operator="containsText" text="GOOD">
      <formula>NOT(ISERROR(SEARCH("GOOD",L147)))</formula>
    </cfRule>
  </conditionalFormatting>
  <conditionalFormatting sqref="Z147:AA148">
    <cfRule type="containsText" dxfId="6833" priority="913" operator="containsText" text="FAIL">
      <formula>NOT(ISERROR(SEARCH("FAIL",Z147)))</formula>
    </cfRule>
  </conditionalFormatting>
  <conditionalFormatting sqref="Z147:AA148">
    <cfRule type="containsText" dxfId="6832" priority="912" operator="containsText" text="GOOD">
      <formula>NOT(ISERROR(SEARCH("GOOD",Z147)))</formula>
    </cfRule>
  </conditionalFormatting>
  <conditionalFormatting sqref="AR147:AR150">
    <cfRule type="containsText" dxfId="6831" priority="911" operator="containsText" text="VOID">
      <formula>NOT(ISERROR(SEARCH("VOID",AR147)))</formula>
    </cfRule>
  </conditionalFormatting>
  <conditionalFormatting sqref="L149">
    <cfRule type="containsText" dxfId="6830" priority="910" operator="containsText" text="FAIL">
      <formula>NOT(ISERROR(SEARCH("FAIL",L149)))</formula>
    </cfRule>
  </conditionalFormatting>
  <conditionalFormatting sqref="L149">
    <cfRule type="containsText" dxfId="6829" priority="909" operator="containsText" text="GOOD">
      <formula>NOT(ISERROR(SEARCH("GOOD",L149)))</formula>
    </cfRule>
  </conditionalFormatting>
  <conditionalFormatting sqref="Z149:AA149">
    <cfRule type="containsText" dxfId="6828" priority="908" operator="containsText" text="FAIL">
      <formula>NOT(ISERROR(SEARCH("FAIL",Z149)))</formula>
    </cfRule>
  </conditionalFormatting>
  <conditionalFormatting sqref="Z149:AA149">
    <cfRule type="containsText" dxfId="6827" priority="907" operator="containsText" text="GOOD">
      <formula>NOT(ISERROR(SEARCH("GOOD",Z149)))</formula>
    </cfRule>
  </conditionalFormatting>
  <conditionalFormatting sqref="L150">
    <cfRule type="containsText" dxfId="6826" priority="906" operator="containsText" text="FAIL">
      <formula>NOT(ISERROR(SEARCH("FAIL",L150)))</formula>
    </cfRule>
  </conditionalFormatting>
  <conditionalFormatting sqref="L150">
    <cfRule type="containsText" dxfId="6825" priority="905" operator="containsText" text="GOOD">
      <formula>NOT(ISERROR(SEARCH("GOOD",L150)))</formula>
    </cfRule>
  </conditionalFormatting>
  <conditionalFormatting sqref="Z150:AA150">
    <cfRule type="containsText" dxfId="6824" priority="904" operator="containsText" text="FAIL">
      <formula>NOT(ISERROR(SEARCH("FAIL",Z150)))</formula>
    </cfRule>
  </conditionalFormatting>
  <conditionalFormatting sqref="Z150:AA150">
    <cfRule type="containsText" dxfId="6823" priority="903" operator="containsText" text="GOOD">
      <formula>NOT(ISERROR(SEARCH("GOOD",Z150)))</formula>
    </cfRule>
  </conditionalFormatting>
  <conditionalFormatting sqref="Z179:AA179">
    <cfRule type="containsText" dxfId="6822" priority="894" operator="containsText" text="FAIL">
      <formula>NOT(ISERROR(SEARCH("FAIL",Z179)))</formula>
    </cfRule>
  </conditionalFormatting>
  <conditionalFormatting sqref="Z179:AA179">
    <cfRule type="containsText" dxfId="6821" priority="893" operator="containsText" text="GOOD">
      <formula>NOT(ISERROR(SEARCH("GOOD",Z179)))</formula>
    </cfRule>
  </conditionalFormatting>
  <conditionalFormatting sqref="L179">
    <cfRule type="containsText" dxfId="6820" priority="892" operator="containsText" text="FAIL">
      <formula>NOT(ISERROR(SEARCH("FAIL",L179)))</formula>
    </cfRule>
  </conditionalFormatting>
  <conditionalFormatting sqref="L179">
    <cfRule type="containsText" dxfId="6819" priority="891" operator="containsText" text="GOOD">
      <formula>NOT(ISERROR(SEARCH("GOOD",L179)))</formula>
    </cfRule>
  </conditionalFormatting>
  <conditionalFormatting sqref="AQ179">
    <cfRule type="cellIs" dxfId="6818" priority="888" operator="equal">
      <formula>"Only 1 bidder"</formula>
    </cfRule>
    <cfRule type="containsText" dxfId="6817" priority="890" operator="containsText" text="VOID">
      <formula>NOT(ISERROR(SEARCH("VOID",AQ179)))</formula>
    </cfRule>
  </conditionalFormatting>
  <conditionalFormatting sqref="AR179">
    <cfRule type="containsText" dxfId="6816" priority="889" operator="containsText" text="VOID">
      <formula>NOT(ISERROR(SEARCH("VOID",AR179)))</formula>
    </cfRule>
  </conditionalFormatting>
  <conditionalFormatting sqref="Z180:AA180">
    <cfRule type="containsText" dxfId="6815" priority="887" operator="containsText" text="FAIL">
      <formula>NOT(ISERROR(SEARCH("FAIL",Z180)))</formula>
    </cfRule>
  </conditionalFormatting>
  <conditionalFormatting sqref="Z180:AA180">
    <cfRule type="containsText" dxfId="6814" priority="886" operator="containsText" text="GOOD">
      <formula>NOT(ISERROR(SEARCH("GOOD",Z180)))</formula>
    </cfRule>
  </conditionalFormatting>
  <conditionalFormatting sqref="L180">
    <cfRule type="containsText" dxfId="6813" priority="885" operator="containsText" text="FAIL">
      <formula>NOT(ISERROR(SEARCH("FAIL",L180)))</formula>
    </cfRule>
  </conditionalFormatting>
  <conditionalFormatting sqref="L180">
    <cfRule type="containsText" dxfId="6812" priority="884" operator="containsText" text="GOOD">
      <formula>NOT(ISERROR(SEARCH("GOOD",L180)))</formula>
    </cfRule>
  </conditionalFormatting>
  <conditionalFormatting sqref="AQ180">
    <cfRule type="cellIs" dxfId="6811" priority="881" operator="equal">
      <formula>"Only 1 bidder"</formula>
    </cfRule>
    <cfRule type="containsText" dxfId="6810" priority="883" operator="containsText" text="VOID">
      <formula>NOT(ISERROR(SEARCH("VOID",AQ180)))</formula>
    </cfRule>
  </conditionalFormatting>
  <conditionalFormatting sqref="AR180">
    <cfRule type="containsText" dxfId="6809" priority="882" operator="containsText" text="VOID">
      <formula>NOT(ISERROR(SEARCH("VOID",AR180)))</formula>
    </cfRule>
  </conditionalFormatting>
  <conditionalFormatting sqref="Z181:AA181">
    <cfRule type="containsText" dxfId="6808" priority="880" operator="containsText" text="FAIL">
      <formula>NOT(ISERROR(SEARCH("FAIL",Z181)))</formula>
    </cfRule>
  </conditionalFormatting>
  <conditionalFormatting sqref="Z181:AA181">
    <cfRule type="containsText" dxfId="6807" priority="879" operator="containsText" text="GOOD">
      <formula>NOT(ISERROR(SEARCH("GOOD",Z181)))</formula>
    </cfRule>
  </conditionalFormatting>
  <conditionalFormatting sqref="L181">
    <cfRule type="containsText" dxfId="6806" priority="878" operator="containsText" text="FAIL">
      <formula>NOT(ISERROR(SEARCH("FAIL",L181)))</formula>
    </cfRule>
  </conditionalFormatting>
  <conditionalFormatting sqref="L181">
    <cfRule type="containsText" dxfId="6805" priority="877" operator="containsText" text="GOOD">
      <formula>NOT(ISERROR(SEARCH("GOOD",L181)))</formula>
    </cfRule>
  </conditionalFormatting>
  <conditionalFormatting sqref="AQ181">
    <cfRule type="cellIs" dxfId="6804" priority="874" operator="equal">
      <formula>"Only 1 bidder"</formula>
    </cfRule>
    <cfRule type="containsText" dxfId="6803" priority="876" operator="containsText" text="VOID">
      <formula>NOT(ISERROR(SEARCH("VOID",AQ181)))</formula>
    </cfRule>
  </conditionalFormatting>
  <conditionalFormatting sqref="AR181">
    <cfRule type="containsText" dxfId="6802" priority="875" operator="containsText" text="VOID">
      <formula>NOT(ISERROR(SEARCH("VOID",AR181)))</formula>
    </cfRule>
  </conditionalFormatting>
  <conditionalFormatting sqref="Z182:AA182">
    <cfRule type="containsText" dxfId="6801" priority="873" operator="containsText" text="FAIL">
      <formula>NOT(ISERROR(SEARCH("FAIL",Z182)))</formula>
    </cfRule>
  </conditionalFormatting>
  <conditionalFormatting sqref="Z182:AA182">
    <cfRule type="containsText" dxfId="6800" priority="872" operator="containsText" text="GOOD">
      <formula>NOT(ISERROR(SEARCH("GOOD",Z182)))</formula>
    </cfRule>
  </conditionalFormatting>
  <conditionalFormatting sqref="L182">
    <cfRule type="containsText" dxfId="6799" priority="871" operator="containsText" text="FAIL">
      <formula>NOT(ISERROR(SEARCH("FAIL",L182)))</formula>
    </cfRule>
  </conditionalFormatting>
  <conditionalFormatting sqref="L182">
    <cfRule type="containsText" dxfId="6798" priority="870" operator="containsText" text="GOOD">
      <formula>NOT(ISERROR(SEARCH("GOOD",L182)))</formula>
    </cfRule>
  </conditionalFormatting>
  <conditionalFormatting sqref="AQ182">
    <cfRule type="cellIs" dxfId="6797" priority="867" operator="equal">
      <formula>"Only 1 bidder"</formula>
    </cfRule>
    <cfRule type="containsText" dxfId="6796" priority="869" operator="containsText" text="VOID">
      <formula>NOT(ISERROR(SEARCH("VOID",AQ182)))</formula>
    </cfRule>
  </conditionalFormatting>
  <conditionalFormatting sqref="AR182">
    <cfRule type="containsText" dxfId="6795" priority="868" operator="containsText" text="VOID">
      <formula>NOT(ISERROR(SEARCH("VOID",AR182)))</formula>
    </cfRule>
  </conditionalFormatting>
  <conditionalFormatting sqref="Z183:AA183">
    <cfRule type="containsText" dxfId="6794" priority="866" operator="containsText" text="FAIL">
      <formula>NOT(ISERROR(SEARCH("FAIL",Z183)))</formula>
    </cfRule>
  </conditionalFormatting>
  <conditionalFormatting sqref="Z183:AA183">
    <cfRule type="containsText" dxfId="6793" priority="865" operator="containsText" text="GOOD">
      <formula>NOT(ISERROR(SEARCH("GOOD",Z183)))</formula>
    </cfRule>
  </conditionalFormatting>
  <conditionalFormatting sqref="L183">
    <cfRule type="containsText" dxfId="6792" priority="864" operator="containsText" text="FAIL">
      <formula>NOT(ISERROR(SEARCH("FAIL",L183)))</formula>
    </cfRule>
  </conditionalFormatting>
  <conditionalFormatting sqref="L183">
    <cfRule type="containsText" dxfId="6791" priority="863" operator="containsText" text="GOOD">
      <formula>NOT(ISERROR(SEARCH("GOOD",L183)))</formula>
    </cfRule>
  </conditionalFormatting>
  <conditionalFormatting sqref="AQ183:AQ200">
    <cfRule type="cellIs" dxfId="6790" priority="860" operator="equal">
      <formula>"Only 1 bidder"</formula>
    </cfRule>
    <cfRule type="containsText" dxfId="6789" priority="862" operator="containsText" text="VOID">
      <formula>NOT(ISERROR(SEARCH("VOID",AQ183)))</formula>
    </cfRule>
  </conditionalFormatting>
  <conditionalFormatting sqref="AR195 AR183:AR191">
    <cfRule type="containsText" dxfId="6788" priority="861" operator="containsText" text="VOID">
      <formula>NOT(ISERROR(SEARCH("VOID",AR183)))</formula>
    </cfRule>
  </conditionalFormatting>
  <conditionalFormatting sqref="B184">
    <cfRule type="containsText" dxfId="6787" priority="859" operator="containsText" text="FAIL">
      <formula>NOT(ISERROR(SEARCH("FAIL",B184)))</formula>
    </cfRule>
  </conditionalFormatting>
  <conditionalFormatting sqref="B184">
    <cfRule type="containsText" dxfId="6786" priority="858" operator="containsText" text="GOOD">
      <formula>NOT(ISERROR(SEARCH("GOOD",B184)))</formula>
    </cfRule>
  </conditionalFormatting>
  <conditionalFormatting sqref="L184">
    <cfRule type="containsText" dxfId="6785" priority="857" operator="containsText" text="FAIL">
      <formula>NOT(ISERROR(SEARCH("FAIL",L184)))</formula>
    </cfRule>
  </conditionalFormatting>
  <conditionalFormatting sqref="L184">
    <cfRule type="containsText" dxfId="6784" priority="856" operator="containsText" text="GOOD">
      <formula>NOT(ISERROR(SEARCH("GOOD",L184)))</formula>
    </cfRule>
  </conditionalFormatting>
  <conditionalFormatting sqref="Z184:AA184">
    <cfRule type="containsText" dxfId="6783" priority="855" operator="containsText" text="FAIL">
      <formula>NOT(ISERROR(SEARCH("FAIL",Z184)))</formula>
    </cfRule>
  </conditionalFormatting>
  <conditionalFormatting sqref="Z184:AA184">
    <cfRule type="containsText" dxfId="6782" priority="854" operator="containsText" text="GOOD">
      <formula>NOT(ISERROR(SEARCH("GOOD",Z184)))</formula>
    </cfRule>
  </conditionalFormatting>
  <conditionalFormatting sqref="AQ184">
    <cfRule type="containsText" dxfId="6781" priority="853" operator="containsText" text="Only 1 bidder">
      <formula>NOT(ISERROR(SEARCH("Only 1 bidder",AQ184)))</formula>
    </cfRule>
  </conditionalFormatting>
  <conditionalFormatting sqref="Z185:AA185">
    <cfRule type="containsText" dxfId="6780" priority="852" operator="containsText" text="FAIL">
      <formula>NOT(ISERROR(SEARCH("FAIL",Z185)))</formula>
    </cfRule>
  </conditionalFormatting>
  <conditionalFormatting sqref="Z185:AA185">
    <cfRule type="containsText" dxfId="6779" priority="851" operator="containsText" text="GOOD">
      <formula>NOT(ISERROR(SEARCH("GOOD",Z185)))</formula>
    </cfRule>
  </conditionalFormatting>
  <conditionalFormatting sqref="L185">
    <cfRule type="containsText" dxfId="6778" priority="850" operator="containsText" text="FAIL">
      <formula>NOT(ISERROR(SEARCH("FAIL",L185)))</formula>
    </cfRule>
  </conditionalFormatting>
  <conditionalFormatting sqref="L185">
    <cfRule type="containsText" dxfId="6777" priority="849" operator="containsText" text="GOOD">
      <formula>NOT(ISERROR(SEARCH("GOOD",L185)))</formula>
    </cfRule>
  </conditionalFormatting>
  <conditionalFormatting sqref="Z186:AA186">
    <cfRule type="containsText" dxfId="6776" priority="848" operator="containsText" text="FAIL">
      <formula>NOT(ISERROR(SEARCH("FAIL",Z186)))</formula>
    </cfRule>
  </conditionalFormatting>
  <conditionalFormatting sqref="Z186:AA186">
    <cfRule type="containsText" dxfId="6775" priority="847" operator="containsText" text="GOOD">
      <formula>NOT(ISERROR(SEARCH("GOOD",Z186)))</formula>
    </cfRule>
  </conditionalFormatting>
  <conditionalFormatting sqref="L186">
    <cfRule type="containsText" dxfId="6774" priority="846" operator="containsText" text="FAIL">
      <formula>NOT(ISERROR(SEARCH("FAIL",L186)))</formula>
    </cfRule>
  </conditionalFormatting>
  <conditionalFormatting sqref="L186">
    <cfRule type="containsText" dxfId="6773" priority="845" operator="containsText" text="GOOD">
      <formula>NOT(ISERROR(SEARCH("GOOD",L186)))</formula>
    </cfRule>
  </conditionalFormatting>
  <conditionalFormatting sqref="Z187:AA187">
    <cfRule type="containsText" dxfId="6772" priority="844" operator="containsText" text="FAIL">
      <formula>NOT(ISERROR(SEARCH("FAIL",Z187)))</formula>
    </cfRule>
  </conditionalFormatting>
  <conditionalFormatting sqref="Z187:AA187">
    <cfRule type="containsText" dxfId="6771" priority="843" operator="containsText" text="GOOD">
      <formula>NOT(ISERROR(SEARCH("GOOD",Z187)))</formula>
    </cfRule>
  </conditionalFormatting>
  <conditionalFormatting sqref="L187">
    <cfRule type="containsText" dxfId="6770" priority="842" operator="containsText" text="FAIL">
      <formula>NOT(ISERROR(SEARCH("FAIL",L187)))</formula>
    </cfRule>
  </conditionalFormatting>
  <conditionalFormatting sqref="L187">
    <cfRule type="containsText" dxfId="6769" priority="841" operator="containsText" text="GOOD">
      <formula>NOT(ISERROR(SEARCH("GOOD",L187)))</formula>
    </cfRule>
  </conditionalFormatting>
  <conditionalFormatting sqref="Z188:AA188">
    <cfRule type="containsText" dxfId="6768" priority="840" operator="containsText" text="FAIL">
      <formula>NOT(ISERROR(SEARCH("FAIL",Z188)))</formula>
    </cfRule>
  </conditionalFormatting>
  <conditionalFormatting sqref="Z188:AA188">
    <cfRule type="containsText" dxfId="6767" priority="839" operator="containsText" text="GOOD">
      <formula>NOT(ISERROR(SEARCH("GOOD",Z188)))</formula>
    </cfRule>
  </conditionalFormatting>
  <conditionalFormatting sqref="L188">
    <cfRule type="containsText" dxfId="6766" priority="838" operator="containsText" text="FAIL">
      <formula>NOT(ISERROR(SEARCH("FAIL",L188)))</formula>
    </cfRule>
  </conditionalFormatting>
  <conditionalFormatting sqref="L188">
    <cfRule type="containsText" dxfId="6765" priority="837" operator="containsText" text="GOOD">
      <formula>NOT(ISERROR(SEARCH("GOOD",L188)))</formula>
    </cfRule>
  </conditionalFormatting>
  <conditionalFormatting sqref="Z189:AA189">
    <cfRule type="containsText" dxfId="6764" priority="836" operator="containsText" text="FAIL">
      <formula>NOT(ISERROR(SEARCH("FAIL",Z189)))</formula>
    </cfRule>
  </conditionalFormatting>
  <conditionalFormatting sqref="Z189:AA189">
    <cfRule type="containsText" dxfId="6763" priority="835" operator="containsText" text="GOOD">
      <formula>NOT(ISERROR(SEARCH("GOOD",Z189)))</formula>
    </cfRule>
  </conditionalFormatting>
  <conditionalFormatting sqref="L189">
    <cfRule type="containsText" dxfId="6762" priority="834" operator="containsText" text="FAIL">
      <formula>NOT(ISERROR(SEARCH("FAIL",L189)))</formula>
    </cfRule>
  </conditionalFormatting>
  <conditionalFormatting sqref="L189">
    <cfRule type="containsText" dxfId="6761" priority="833" operator="containsText" text="GOOD">
      <formula>NOT(ISERROR(SEARCH("GOOD",L189)))</formula>
    </cfRule>
  </conditionalFormatting>
  <conditionalFormatting sqref="Z190:AA190">
    <cfRule type="containsText" dxfId="6760" priority="832" operator="containsText" text="FAIL">
      <formula>NOT(ISERROR(SEARCH("FAIL",Z190)))</formula>
    </cfRule>
  </conditionalFormatting>
  <conditionalFormatting sqref="Z190:AA190">
    <cfRule type="containsText" dxfId="6759" priority="831" operator="containsText" text="GOOD">
      <formula>NOT(ISERROR(SEARCH("GOOD",Z190)))</formula>
    </cfRule>
  </conditionalFormatting>
  <conditionalFormatting sqref="L190">
    <cfRule type="containsText" dxfId="6758" priority="830" operator="containsText" text="FAIL">
      <formula>NOT(ISERROR(SEARCH("FAIL",L190)))</formula>
    </cfRule>
  </conditionalFormatting>
  <conditionalFormatting sqref="L190">
    <cfRule type="containsText" dxfId="6757" priority="829" operator="containsText" text="GOOD">
      <formula>NOT(ISERROR(SEARCH("GOOD",L190)))</formula>
    </cfRule>
  </conditionalFormatting>
  <conditionalFormatting sqref="B191">
    <cfRule type="containsText" dxfId="6756" priority="828" operator="containsText" text="FAIL">
      <formula>NOT(ISERROR(SEARCH("FAIL",B191)))</formula>
    </cfRule>
  </conditionalFormatting>
  <conditionalFormatting sqref="B191">
    <cfRule type="containsText" dxfId="6755" priority="827" operator="containsText" text="GOOD">
      <formula>NOT(ISERROR(SEARCH("GOOD",B191)))</formula>
    </cfRule>
  </conditionalFormatting>
  <conditionalFormatting sqref="L191">
    <cfRule type="containsText" dxfId="6754" priority="826" operator="containsText" text="FAIL">
      <formula>NOT(ISERROR(SEARCH("FAIL",L191)))</formula>
    </cfRule>
  </conditionalFormatting>
  <conditionalFormatting sqref="L191">
    <cfRule type="containsText" dxfId="6753" priority="825" operator="containsText" text="GOOD">
      <formula>NOT(ISERROR(SEARCH("GOOD",L191)))</formula>
    </cfRule>
  </conditionalFormatting>
  <conditionalFormatting sqref="Z191:AA191">
    <cfRule type="containsText" dxfId="6752" priority="824" operator="containsText" text="FAIL">
      <formula>NOT(ISERROR(SEARCH("FAIL",Z191)))</formula>
    </cfRule>
  </conditionalFormatting>
  <conditionalFormatting sqref="Z191:AA191">
    <cfRule type="containsText" dxfId="6751" priority="823" operator="containsText" text="GOOD">
      <formula>NOT(ISERROR(SEARCH("GOOD",Z191)))</formula>
    </cfRule>
  </conditionalFormatting>
  <conditionalFormatting sqref="AS191">
    <cfRule type="containsText" dxfId="6750" priority="822" operator="containsText" text="VOID">
      <formula>NOT(ISERROR(SEARCH("VOID",AS191)))</formula>
    </cfRule>
  </conditionalFormatting>
  <conditionalFormatting sqref="Z192:AA192">
    <cfRule type="containsText" dxfId="6749" priority="821" operator="containsText" text="FAIL">
      <formula>NOT(ISERROR(SEARCH("FAIL",Z192)))</formula>
    </cfRule>
  </conditionalFormatting>
  <conditionalFormatting sqref="Z192:AA192">
    <cfRule type="containsText" dxfId="6748" priority="820" operator="containsText" text="GOOD">
      <formula>NOT(ISERROR(SEARCH("GOOD",Z192)))</formula>
    </cfRule>
  </conditionalFormatting>
  <conditionalFormatting sqref="L192">
    <cfRule type="containsText" dxfId="6747" priority="819" operator="containsText" text="FAIL">
      <formula>NOT(ISERROR(SEARCH("FAIL",L192)))</formula>
    </cfRule>
  </conditionalFormatting>
  <conditionalFormatting sqref="L192">
    <cfRule type="containsText" dxfId="6746" priority="818" operator="containsText" text="GOOD">
      <formula>NOT(ISERROR(SEARCH("GOOD",L192)))</formula>
    </cfRule>
  </conditionalFormatting>
  <conditionalFormatting sqref="AS192:AS194">
    <cfRule type="containsText" dxfId="6745" priority="817" operator="containsText" text="VOID">
      <formula>NOT(ISERROR(SEARCH("VOID",AS192)))</formula>
    </cfRule>
  </conditionalFormatting>
  <conditionalFormatting sqref="AR192:AR194">
    <cfRule type="containsText" dxfId="6744" priority="816" operator="containsText" text="VOID">
      <formula>NOT(ISERROR(SEARCH("VOID",AR192)))</formula>
    </cfRule>
  </conditionalFormatting>
  <conditionalFormatting sqref="Z193:AA193">
    <cfRule type="containsText" dxfId="6743" priority="815" operator="containsText" text="FAIL">
      <formula>NOT(ISERROR(SEARCH("FAIL",Z193)))</formula>
    </cfRule>
  </conditionalFormatting>
  <conditionalFormatting sqref="Z193:AA193">
    <cfRule type="containsText" dxfId="6742" priority="814" operator="containsText" text="GOOD">
      <formula>NOT(ISERROR(SEARCH("GOOD",Z193)))</formula>
    </cfRule>
  </conditionalFormatting>
  <conditionalFormatting sqref="L193">
    <cfRule type="containsText" dxfId="6741" priority="813" operator="containsText" text="FAIL">
      <formula>NOT(ISERROR(SEARCH("FAIL",L193)))</formula>
    </cfRule>
  </conditionalFormatting>
  <conditionalFormatting sqref="L193">
    <cfRule type="containsText" dxfId="6740" priority="812" operator="containsText" text="GOOD">
      <formula>NOT(ISERROR(SEARCH("GOOD",L193)))</formula>
    </cfRule>
  </conditionalFormatting>
  <conditionalFormatting sqref="L194">
    <cfRule type="containsText" dxfId="6739" priority="811" operator="containsText" text="FAIL">
      <formula>NOT(ISERROR(SEARCH("FAIL",L194)))</formula>
    </cfRule>
  </conditionalFormatting>
  <conditionalFormatting sqref="L194">
    <cfRule type="containsText" dxfId="6738" priority="810" operator="containsText" text="GOOD">
      <formula>NOT(ISERROR(SEARCH("GOOD",L194)))</formula>
    </cfRule>
  </conditionalFormatting>
  <conditionalFormatting sqref="Z194:AA194">
    <cfRule type="containsText" dxfId="6737" priority="809" operator="containsText" text="FAIL">
      <formula>NOT(ISERROR(SEARCH("FAIL",Z194)))</formula>
    </cfRule>
  </conditionalFormatting>
  <conditionalFormatting sqref="Z194:AA194">
    <cfRule type="containsText" dxfId="6736" priority="808" operator="containsText" text="GOOD">
      <formula>NOT(ISERROR(SEARCH("GOOD",Z194)))</formula>
    </cfRule>
  </conditionalFormatting>
  <conditionalFormatting sqref="L195">
    <cfRule type="containsText" dxfId="6735" priority="807" operator="containsText" text="FAIL">
      <formula>NOT(ISERROR(SEARCH("FAIL",L195)))</formula>
    </cfRule>
  </conditionalFormatting>
  <conditionalFormatting sqref="L195">
    <cfRule type="containsText" dxfId="6734" priority="806" operator="containsText" text="GOOD">
      <formula>NOT(ISERROR(SEARCH("GOOD",L195)))</formula>
    </cfRule>
  </conditionalFormatting>
  <conditionalFormatting sqref="Z195:AA195">
    <cfRule type="containsText" dxfId="6733" priority="805" operator="containsText" text="FAIL">
      <formula>NOT(ISERROR(SEARCH("FAIL",Z195)))</formula>
    </cfRule>
  </conditionalFormatting>
  <conditionalFormatting sqref="Z195:AA195">
    <cfRule type="containsText" dxfId="6732" priority="804" operator="containsText" text="GOOD">
      <formula>NOT(ISERROR(SEARCH("GOOD",Z195)))</formula>
    </cfRule>
  </conditionalFormatting>
  <conditionalFormatting sqref="L196:L197">
    <cfRule type="containsText" dxfId="6731" priority="803" operator="containsText" text="FAIL">
      <formula>NOT(ISERROR(SEARCH("FAIL",L196)))</formula>
    </cfRule>
  </conditionalFormatting>
  <conditionalFormatting sqref="L196:L197">
    <cfRule type="containsText" dxfId="6730" priority="802" operator="containsText" text="GOOD">
      <formula>NOT(ISERROR(SEARCH("GOOD",L196)))</formula>
    </cfRule>
  </conditionalFormatting>
  <conditionalFormatting sqref="Z196:AA197">
    <cfRule type="containsText" dxfId="6729" priority="801" operator="containsText" text="FAIL">
      <formula>NOT(ISERROR(SEARCH("FAIL",Z196)))</formula>
    </cfRule>
  </conditionalFormatting>
  <conditionalFormatting sqref="Z196:AA197">
    <cfRule type="containsText" dxfId="6728" priority="800" operator="containsText" text="GOOD">
      <formula>NOT(ISERROR(SEARCH("GOOD",Z196)))</formula>
    </cfRule>
  </conditionalFormatting>
  <conditionalFormatting sqref="AR196:AR200">
    <cfRule type="containsText" dxfId="6727" priority="799" operator="containsText" text="VOID">
      <formula>NOT(ISERROR(SEARCH("VOID",AR196)))</formula>
    </cfRule>
  </conditionalFormatting>
  <conditionalFormatting sqref="L198">
    <cfRule type="containsText" dxfId="6726" priority="798" operator="containsText" text="FAIL">
      <formula>NOT(ISERROR(SEARCH("FAIL",L198)))</formula>
    </cfRule>
  </conditionalFormatting>
  <conditionalFormatting sqref="L198">
    <cfRule type="containsText" dxfId="6725" priority="797" operator="containsText" text="GOOD">
      <formula>NOT(ISERROR(SEARCH("GOOD",L198)))</formula>
    </cfRule>
  </conditionalFormatting>
  <conditionalFormatting sqref="Z198:AA198">
    <cfRule type="containsText" dxfId="6724" priority="796" operator="containsText" text="FAIL">
      <formula>NOT(ISERROR(SEARCH("FAIL",Z198)))</formula>
    </cfRule>
  </conditionalFormatting>
  <conditionalFormatting sqref="Z198:AA198">
    <cfRule type="containsText" dxfId="6723" priority="795" operator="containsText" text="GOOD">
      <formula>NOT(ISERROR(SEARCH("GOOD",Z198)))</formula>
    </cfRule>
  </conditionalFormatting>
  <conditionalFormatting sqref="L199">
    <cfRule type="containsText" dxfId="6722" priority="794" operator="containsText" text="FAIL">
      <formula>NOT(ISERROR(SEARCH("FAIL",L199)))</formula>
    </cfRule>
  </conditionalFormatting>
  <conditionalFormatting sqref="L199">
    <cfRule type="containsText" dxfId="6721" priority="793" operator="containsText" text="GOOD">
      <formula>NOT(ISERROR(SEARCH("GOOD",L199)))</formula>
    </cfRule>
  </conditionalFormatting>
  <conditionalFormatting sqref="Z199:AA199">
    <cfRule type="containsText" dxfId="6720" priority="792" operator="containsText" text="FAIL">
      <formula>NOT(ISERROR(SEARCH("FAIL",Z199)))</formula>
    </cfRule>
  </conditionalFormatting>
  <conditionalFormatting sqref="Z199:AA199">
    <cfRule type="containsText" dxfId="6719" priority="791" operator="containsText" text="GOOD">
      <formula>NOT(ISERROR(SEARCH("GOOD",Z199)))</formula>
    </cfRule>
  </conditionalFormatting>
  <conditionalFormatting sqref="L200">
    <cfRule type="containsText" dxfId="6718" priority="790" operator="containsText" text="FAIL">
      <formula>NOT(ISERROR(SEARCH("FAIL",L200)))</formula>
    </cfRule>
  </conditionalFormatting>
  <conditionalFormatting sqref="L200">
    <cfRule type="containsText" dxfId="6717" priority="789" operator="containsText" text="GOOD">
      <formula>NOT(ISERROR(SEARCH("GOOD",L200)))</formula>
    </cfRule>
  </conditionalFormatting>
  <conditionalFormatting sqref="Z200:AA200">
    <cfRule type="containsText" dxfId="6716" priority="788" operator="containsText" text="FAIL">
      <formula>NOT(ISERROR(SEARCH("FAIL",Z200)))</formula>
    </cfRule>
  </conditionalFormatting>
  <conditionalFormatting sqref="Z200:AA200">
    <cfRule type="containsText" dxfId="6715" priority="787" operator="containsText" text="GOOD">
      <formula>NOT(ISERROR(SEARCH("GOOD",Z200)))</formula>
    </cfRule>
  </conditionalFormatting>
  <conditionalFormatting sqref="Z223:AA223">
    <cfRule type="containsText" dxfId="6714" priority="782" operator="containsText" text="FAIL">
      <formula>NOT(ISERROR(SEARCH("FAIL",Z223)))</formula>
    </cfRule>
  </conditionalFormatting>
  <conditionalFormatting sqref="Z223:AA223">
    <cfRule type="containsText" dxfId="6713" priority="781" operator="containsText" text="GOOD">
      <formula>NOT(ISERROR(SEARCH("GOOD",Z223)))</formula>
    </cfRule>
  </conditionalFormatting>
  <conditionalFormatting sqref="L223">
    <cfRule type="containsText" dxfId="6712" priority="780" operator="containsText" text="FAIL">
      <formula>NOT(ISERROR(SEARCH("FAIL",L223)))</formula>
    </cfRule>
  </conditionalFormatting>
  <conditionalFormatting sqref="L223">
    <cfRule type="containsText" dxfId="6711" priority="779" operator="containsText" text="GOOD">
      <formula>NOT(ISERROR(SEARCH("GOOD",L223)))</formula>
    </cfRule>
  </conditionalFormatting>
  <conditionalFormatting sqref="AQ223">
    <cfRule type="cellIs" dxfId="6710" priority="776" operator="equal">
      <formula>"Only 1 bidder"</formula>
    </cfRule>
    <cfRule type="containsText" dxfId="6709" priority="778" operator="containsText" text="VOID">
      <formula>NOT(ISERROR(SEARCH("VOID",AQ223)))</formula>
    </cfRule>
  </conditionalFormatting>
  <conditionalFormatting sqref="AR223">
    <cfRule type="containsText" dxfId="6708" priority="777" operator="containsText" text="VOID">
      <formula>NOT(ISERROR(SEARCH("VOID",AR223)))</formula>
    </cfRule>
  </conditionalFormatting>
  <conditionalFormatting sqref="Z224:AA224">
    <cfRule type="containsText" dxfId="6707" priority="775" operator="containsText" text="FAIL">
      <formula>NOT(ISERROR(SEARCH("FAIL",Z224)))</formula>
    </cfRule>
  </conditionalFormatting>
  <conditionalFormatting sqref="Z224:AA224">
    <cfRule type="containsText" dxfId="6706" priority="774" operator="containsText" text="GOOD">
      <formula>NOT(ISERROR(SEARCH("GOOD",Z224)))</formula>
    </cfRule>
  </conditionalFormatting>
  <conditionalFormatting sqref="L224">
    <cfRule type="containsText" dxfId="6705" priority="773" operator="containsText" text="FAIL">
      <formula>NOT(ISERROR(SEARCH("FAIL",L224)))</formula>
    </cfRule>
  </conditionalFormatting>
  <conditionalFormatting sqref="L224">
    <cfRule type="containsText" dxfId="6704" priority="772" operator="containsText" text="GOOD">
      <formula>NOT(ISERROR(SEARCH("GOOD",L224)))</formula>
    </cfRule>
  </conditionalFormatting>
  <conditionalFormatting sqref="AQ224:AQ237">
    <cfRule type="cellIs" dxfId="6703" priority="769" operator="equal">
      <formula>"Only 1 bidder"</formula>
    </cfRule>
    <cfRule type="containsText" dxfId="6702" priority="771" operator="containsText" text="VOID">
      <formula>NOT(ISERROR(SEARCH("VOID",AQ224)))</formula>
    </cfRule>
  </conditionalFormatting>
  <conditionalFormatting sqref="AR237 AR224:AR227">
    <cfRule type="containsText" dxfId="6701" priority="770" operator="containsText" text="VOID">
      <formula>NOT(ISERROR(SEARCH("VOID",AR224)))</formula>
    </cfRule>
  </conditionalFormatting>
  <conditionalFormatting sqref="Z225:AA225">
    <cfRule type="containsText" dxfId="6700" priority="768" operator="containsText" text="FAIL">
      <formula>NOT(ISERROR(SEARCH("FAIL",Z225)))</formula>
    </cfRule>
  </conditionalFormatting>
  <conditionalFormatting sqref="Z225:AA225">
    <cfRule type="containsText" dxfId="6699" priority="767" operator="containsText" text="GOOD">
      <formula>NOT(ISERROR(SEARCH("GOOD",Z225)))</formula>
    </cfRule>
  </conditionalFormatting>
  <conditionalFormatting sqref="L225">
    <cfRule type="containsText" dxfId="6698" priority="766" operator="containsText" text="FAIL">
      <formula>NOT(ISERROR(SEARCH("FAIL",L225)))</formula>
    </cfRule>
  </conditionalFormatting>
  <conditionalFormatting sqref="L225">
    <cfRule type="containsText" dxfId="6697" priority="765" operator="containsText" text="GOOD">
      <formula>NOT(ISERROR(SEARCH("GOOD",L225)))</formula>
    </cfRule>
  </conditionalFormatting>
  <conditionalFormatting sqref="Z226:AA226">
    <cfRule type="containsText" dxfId="6696" priority="764" operator="containsText" text="FAIL">
      <formula>NOT(ISERROR(SEARCH("FAIL",Z226)))</formula>
    </cfRule>
  </conditionalFormatting>
  <conditionalFormatting sqref="Z226:AA226">
    <cfRule type="containsText" dxfId="6695" priority="763" operator="containsText" text="GOOD">
      <formula>NOT(ISERROR(SEARCH("GOOD",Z226)))</formula>
    </cfRule>
  </conditionalFormatting>
  <conditionalFormatting sqref="L226">
    <cfRule type="containsText" dxfId="6694" priority="762" operator="containsText" text="FAIL">
      <formula>NOT(ISERROR(SEARCH("FAIL",L226)))</formula>
    </cfRule>
  </conditionalFormatting>
  <conditionalFormatting sqref="L226">
    <cfRule type="containsText" dxfId="6693" priority="761" operator="containsText" text="GOOD">
      <formula>NOT(ISERROR(SEARCH("GOOD",L226)))</formula>
    </cfRule>
  </conditionalFormatting>
  <conditionalFormatting sqref="Z227:AA227">
    <cfRule type="containsText" dxfId="6692" priority="760" operator="containsText" text="FAIL">
      <formula>NOT(ISERROR(SEARCH("FAIL",Z227)))</formula>
    </cfRule>
  </conditionalFormatting>
  <conditionalFormatting sqref="Z227:AA227">
    <cfRule type="containsText" dxfId="6691" priority="759" operator="containsText" text="GOOD">
      <formula>NOT(ISERROR(SEARCH("GOOD",Z227)))</formula>
    </cfRule>
  </conditionalFormatting>
  <conditionalFormatting sqref="L227">
    <cfRule type="containsText" dxfId="6690" priority="758" operator="containsText" text="FAIL">
      <formula>NOT(ISERROR(SEARCH("FAIL",L227)))</formula>
    </cfRule>
  </conditionalFormatting>
  <conditionalFormatting sqref="L227">
    <cfRule type="containsText" dxfId="6689" priority="757" operator="containsText" text="GOOD">
      <formula>NOT(ISERROR(SEARCH("GOOD",L227)))</formula>
    </cfRule>
  </conditionalFormatting>
  <conditionalFormatting sqref="Z228:AA228">
    <cfRule type="containsText" dxfId="6688" priority="756" operator="containsText" text="FAIL">
      <formula>NOT(ISERROR(SEARCH("FAIL",Z228)))</formula>
    </cfRule>
  </conditionalFormatting>
  <conditionalFormatting sqref="Z228:AA228">
    <cfRule type="containsText" dxfId="6687" priority="755" operator="containsText" text="GOOD">
      <formula>NOT(ISERROR(SEARCH("GOOD",Z228)))</formula>
    </cfRule>
  </conditionalFormatting>
  <conditionalFormatting sqref="L228">
    <cfRule type="containsText" dxfId="6686" priority="754" operator="containsText" text="FAIL">
      <formula>NOT(ISERROR(SEARCH("FAIL",L228)))</formula>
    </cfRule>
  </conditionalFormatting>
  <conditionalFormatting sqref="L228">
    <cfRule type="containsText" dxfId="6685" priority="753" operator="containsText" text="GOOD">
      <formula>NOT(ISERROR(SEARCH("GOOD",L228)))</formula>
    </cfRule>
  </conditionalFormatting>
  <conditionalFormatting sqref="AS228:AS230">
    <cfRule type="containsText" dxfId="6684" priority="752" operator="containsText" text="VOID">
      <formula>NOT(ISERROR(SEARCH("VOID",AS228)))</formula>
    </cfRule>
  </conditionalFormatting>
  <conditionalFormatting sqref="AR228:AR230">
    <cfRule type="containsText" dxfId="6683" priority="751" operator="containsText" text="VOID">
      <formula>NOT(ISERROR(SEARCH("VOID",AR228)))</formula>
    </cfRule>
  </conditionalFormatting>
  <conditionalFormatting sqref="L229">
    <cfRule type="containsText" dxfId="6682" priority="750" operator="containsText" text="FAIL">
      <formula>NOT(ISERROR(SEARCH("FAIL",L229)))</formula>
    </cfRule>
  </conditionalFormatting>
  <conditionalFormatting sqref="L229">
    <cfRule type="containsText" dxfId="6681" priority="749" operator="containsText" text="GOOD">
      <formula>NOT(ISERROR(SEARCH("GOOD",L229)))</formula>
    </cfRule>
  </conditionalFormatting>
  <conditionalFormatting sqref="Z229:AA229">
    <cfRule type="containsText" dxfId="6680" priority="748" operator="containsText" text="FAIL">
      <formula>NOT(ISERROR(SEARCH("FAIL",Z229)))</formula>
    </cfRule>
  </conditionalFormatting>
  <conditionalFormatting sqref="Z229:AA229">
    <cfRule type="containsText" dxfId="6679" priority="747" operator="containsText" text="GOOD">
      <formula>NOT(ISERROR(SEARCH("GOOD",Z229)))</formula>
    </cfRule>
  </conditionalFormatting>
  <conditionalFormatting sqref="L230">
    <cfRule type="containsText" dxfId="6678" priority="746" operator="containsText" text="FAIL">
      <formula>NOT(ISERROR(SEARCH("FAIL",L230)))</formula>
    </cfRule>
  </conditionalFormatting>
  <conditionalFormatting sqref="L230">
    <cfRule type="containsText" dxfId="6677" priority="745" operator="containsText" text="GOOD">
      <formula>NOT(ISERROR(SEARCH("GOOD",L230)))</formula>
    </cfRule>
  </conditionalFormatting>
  <conditionalFormatting sqref="Z230:AA230">
    <cfRule type="containsText" dxfId="6676" priority="744" operator="containsText" text="FAIL">
      <formula>NOT(ISERROR(SEARCH("FAIL",Z230)))</formula>
    </cfRule>
  </conditionalFormatting>
  <conditionalFormatting sqref="Z230:AA230">
    <cfRule type="containsText" dxfId="6675" priority="743" operator="containsText" text="GOOD">
      <formula>NOT(ISERROR(SEARCH("GOOD",Z230)))</formula>
    </cfRule>
  </conditionalFormatting>
  <conditionalFormatting sqref="L231">
    <cfRule type="containsText" dxfId="6674" priority="742" operator="containsText" text="FAIL">
      <formula>NOT(ISERROR(SEARCH("FAIL",L231)))</formula>
    </cfRule>
  </conditionalFormatting>
  <conditionalFormatting sqref="L231">
    <cfRule type="containsText" dxfId="6673" priority="741" operator="containsText" text="GOOD">
      <formula>NOT(ISERROR(SEARCH("GOOD",L231)))</formula>
    </cfRule>
  </conditionalFormatting>
  <conditionalFormatting sqref="Z231:AA231">
    <cfRule type="containsText" dxfId="6672" priority="740" operator="containsText" text="FAIL">
      <formula>NOT(ISERROR(SEARCH("FAIL",Z231)))</formula>
    </cfRule>
  </conditionalFormatting>
  <conditionalFormatting sqref="Z231:AA231">
    <cfRule type="containsText" dxfId="6671" priority="739" operator="containsText" text="GOOD">
      <formula>NOT(ISERROR(SEARCH("GOOD",Z231)))</formula>
    </cfRule>
  </conditionalFormatting>
  <conditionalFormatting sqref="AR231:AR236">
    <cfRule type="containsText" dxfId="6670" priority="738" operator="containsText" text="VOID">
      <formula>NOT(ISERROR(SEARCH("VOID",AR231)))</formula>
    </cfRule>
  </conditionalFormatting>
  <conditionalFormatting sqref="L232">
    <cfRule type="containsText" dxfId="6669" priority="737" operator="containsText" text="FAIL">
      <formula>NOT(ISERROR(SEARCH("FAIL",L232)))</formula>
    </cfRule>
  </conditionalFormatting>
  <conditionalFormatting sqref="L232">
    <cfRule type="containsText" dxfId="6668" priority="736" operator="containsText" text="GOOD">
      <formula>NOT(ISERROR(SEARCH("GOOD",L232)))</formula>
    </cfRule>
  </conditionalFormatting>
  <conditionalFormatting sqref="Z232:AA232">
    <cfRule type="containsText" dxfId="6667" priority="735" operator="containsText" text="FAIL">
      <formula>NOT(ISERROR(SEARCH("FAIL",Z232)))</formula>
    </cfRule>
  </conditionalFormatting>
  <conditionalFormatting sqref="Z232:AA232">
    <cfRule type="containsText" dxfId="6666" priority="734" operator="containsText" text="GOOD">
      <formula>NOT(ISERROR(SEARCH("GOOD",Z232)))</formula>
    </cfRule>
  </conditionalFormatting>
  <conditionalFormatting sqref="L233">
    <cfRule type="containsText" dxfId="6665" priority="733" operator="containsText" text="FAIL">
      <formula>NOT(ISERROR(SEARCH("FAIL",L233)))</formula>
    </cfRule>
  </conditionalFormatting>
  <conditionalFormatting sqref="L233">
    <cfRule type="containsText" dxfId="6664" priority="732" operator="containsText" text="GOOD">
      <formula>NOT(ISERROR(SEARCH("GOOD",L233)))</formula>
    </cfRule>
  </conditionalFormatting>
  <conditionalFormatting sqref="Z233:AA233">
    <cfRule type="containsText" dxfId="6663" priority="731" operator="containsText" text="FAIL">
      <formula>NOT(ISERROR(SEARCH("FAIL",Z233)))</formula>
    </cfRule>
  </conditionalFormatting>
  <conditionalFormatting sqref="Z233:AA233">
    <cfRule type="containsText" dxfId="6662" priority="730" operator="containsText" text="GOOD">
      <formula>NOT(ISERROR(SEARCH("GOOD",Z233)))</formula>
    </cfRule>
  </conditionalFormatting>
  <conditionalFormatting sqref="L234">
    <cfRule type="containsText" dxfId="6661" priority="729" operator="containsText" text="FAIL">
      <formula>NOT(ISERROR(SEARCH("FAIL",L234)))</formula>
    </cfRule>
  </conditionalFormatting>
  <conditionalFormatting sqref="L234">
    <cfRule type="containsText" dxfId="6660" priority="728" operator="containsText" text="GOOD">
      <formula>NOT(ISERROR(SEARCH("GOOD",L234)))</formula>
    </cfRule>
  </conditionalFormatting>
  <conditionalFormatting sqref="Z234:AA234">
    <cfRule type="containsText" dxfId="6659" priority="727" operator="containsText" text="FAIL">
      <formula>NOT(ISERROR(SEARCH("FAIL",Z234)))</formula>
    </cfRule>
  </conditionalFormatting>
  <conditionalFormatting sqref="Z234:AA234">
    <cfRule type="containsText" dxfId="6658" priority="726" operator="containsText" text="GOOD">
      <formula>NOT(ISERROR(SEARCH("GOOD",Z234)))</formula>
    </cfRule>
  </conditionalFormatting>
  <conditionalFormatting sqref="L235">
    <cfRule type="containsText" dxfId="6657" priority="725" operator="containsText" text="FAIL">
      <formula>NOT(ISERROR(SEARCH("FAIL",L235)))</formula>
    </cfRule>
  </conditionalFormatting>
  <conditionalFormatting sqref="L235">
    <cfRule type="containsText" dxfId="6656" priority="724" operator="containsText" text="GOOD">
      <formula>NOT(ISERROR(SEARCH("GOOD",L235)))</formula>
    </cfRule>
  </conditionalFormatting>
  <conditionalFormatting sqref="Z235:AA235">
    <cfRule type="containsText" dxfId="6655" priority="723" operator="containsText" text="FAIL">
      <formula>NOT(ISERROR(SEARCH("FAIL",Z235)))</formula>
    </cfRule>
  </conditionalFormatting>
  <conditionalFormatting sqref="Z235:AA235">
    <cfRule type="containsText" dxfId="6654" priority="722" operator="containsText" text="GOOD">
      <formula>NOT(ISERROR(SEARCH("GOOD",Z235)))</formula>
    </cfRule>
  </conditionalFormatting>
  <conditionalFormatting sqref="L236">
    <cfRule type="containsText" dxfId="6653" priority="721" operator="containsText" text="FAIL">
      <formula>NOT(ISERROR(SEARCH("FAIL",L236)))</formula>
    </cfRule>
  </conditionalFormatting>
  <conditionalFormatting sqref="L236">
    <cfRule type="containsText" dxfId="6652" priority="720" operator="containsText" text="GOOD">
      <formula>NOT(ISERROR(SEARCH("GOOD",L236)))</formula>
    </cfRule>
  </conditionalFormatting>
  <conditionalFormatting sqref="Z236:AA236">
    <cfRule type="containsText" dxfId="6651" priority="719" operator="containsText" text="FAIL">
      <formula>NOT(ISERROR(SEARCH("FAIL",Z236)))</formula>
    </cfRule>
  </conditionalFormatting>
  <conditionalFormatting sqref="Z236:AA236">
    <cfRule type="containsText" dxfId="6650" priority="718" operator="containsText" text="GOOD">
      <formula>NOT(ISERROR(SEARCH("GOOD",Z236)))</formula>
    </cfRule>
  </conditionalFormatting>
  <conditionalFormatting sqref="B237">
    <cfRule type="containsText" dxfId="6649" priority="717" operator="containsText" text="FAIL">
      <formula>NOT(ISERROR(SEARCH("FAIL",B237)))</formula>
    </cfRule>
  </conditionalFormatting>
  <conditionalFormatting sqref="B237">
    <cfRule type="containsText" dxfId="6648" priority="716" operator="containsText" text="GOOD">
      <formula>NOT(ISERROR(SEARCH("GOOD",B237)))</formula>
    </cfRule>
  </conditionalFormatting>
  <conditionalFormatting sqref="L237">
    <cfRule type="containsText" dxfId="6647" priority="715" operator="containsText" text="FAIL">
      <formula>NOT(ISERROR(SEARCH("FAIL",L237)))</formula>
    </cfRule>
  </conditionalFormatting>
  <conditionalFormatting sqref="L237">
    <cfRule type="containsText" dxfId="6646" priority="714" operator="containsText" text="GOOD">
      <formula>NOT(ISERROR(SEARCH("GOOD",L237)))</formula>
    </cfRule>
  </conditionalFormatting>
  <conditionalFormatting sqref="Z237:AA237">
    <cfRule type="containsText" dxfId="6645" priority="713" operator="containsText" text="FAIL">
      <formula>NOT(ISERROR(SEARCH("FAIL",Z237)))</formula>
    </cfRule>
  </conditionalFormatting>
  <conditionalFormatting sqref="Z237:AA237">
    <cfRule type="containsText" dxfId="6644" priority="712" operator="containsText" text="GOOD">
      <formula>NOT(ISERROR(SEARCH("GOOD",Z237)))</formula>
    </cfRule>
  </conditionalFormatting>
  <conditionalFormatting sqref="AQ237">
    <cfRule type="containsText" dxfId="6643" priority="711" operator="containsText" text="FAIL">
      <formula>NOT(ISERROR(SEARCH("FAIL",AQ237)))</formula>
    </cfRule>
  </conditionalFormatting>
  <conditionalFormatting sqref="AQ237">
    <cfRule type="containsText" dxfId="6642" priority="710" operator="containsText" text="GOOD">
      <formula>NOT(ISERROR(SEARCH("GOOD",AQ237)))</formula>
    </cfRule>
  </conditionalFormatting>
  <conditionalFormatting sqref="Z260:AA260">
    <cfRule type="containsText" dxfId="6641" priority="705" operator="containsText" text="FAIL">
      <formula>NOT(ISERROR(SEARCH("FAIL",Z260)))</formula>
    </cfRule>
  </conditionalFormatting>
  <conditionalFormatting sqref="Z260:AA260">
    <cfRule type="containsText" dxfId="6640" priority="704" operator="containsText" text="GOOD">
      <formula>NOT(ISERROR(SEARCH("GOOD",Z260)))</formula>
    </cfRule>
  </conditionalFormatting>
  <conditionalFormatting sqref="L260">
    <cfRule type="containsText" dxfId="6639" priority="703" operator="containsText" text="FAIL">
      <formula>NOT(ISERROR(SEARCH("FAIL",L260)))</formula>
    </cfRule>
  </conditionalFormatting>
  <conditionalFormatting sqref="L260">
    <cfRule type="containsText" dxfId="6638" priority="702" operator="containsText" text="GOOD">
      <formula>NOT(ISERROR(SEARCH("GOOD",L260)))</formula>
    </cfRule>
  </conditionalFormatting>
  <conditionalFormatting sqref="AQ260:AQ264">
    <cfRule type="cellIs" dxfId="6637" priority="699" operator="equal">
      <formula>"Only 1 bidder"</formula>
    </cfRule>
    <cfRule type="containsText" dxfId="6636" priority="701" operator="containsText" text="VOID">
      <formula>NOT(ISERROR(SEARCH("VOID",AQ260)))</formula>
    </cfRule>
  </conditionalFormatting>
  <conditionalFormatting sqref="AR260:AR261">
    <cfRule type="containsText" dxfId="6635" priority="700" operator="containsText" text="VOID">
      <formula>NOT(ISERROR(SEARCH("VOID",AR260)))</formula>
    </cfRule>
  </conditionalFormatting>
  <conditionalFormatting sqref="Z261:AA261">
    <cfRule type="containsText" dxfId="6634" priority="698" operator="containsText" text="FAIL">
      <formula>NOT(ISERROR(SEARCH("FAIL",Z261)))</formula>
    </cfRule>
  </conditionalFormatting>
  <conditionalFormatting sqref="Z261:AA261">
    <cfRule type="containsText" dxfId="6633" priority="697" operator="containsText" text="GOOD">
      <formula>NOT(ISERROR(SEARCH("GOOD",Z261)))</formula>
    </cfRule>
  </conditionalFormatting>
  <conditionalFormatting sqref="L261">
    <cfRule type="containsText" dxfId="6632" priority="696" operator="containsText" text="FAIL">
      <formula>NOT(ISERROR(SEARCH("FAIL",L261)))</formula>
    </cfRule>
  </conditionalFormatting>
  <conditionalFormatting sqref="L261">
    <cfRule type="containsText" dxfId="6631" priority="695" operator="containsText" text="GOOD">
      <formula>NOT(ISERROR(SEARCH("GOOD",L261)))</formula>
    </cfRule>
  </conditionalFormatting>
  <conditionalFormatting sqref="Z262:AA262">
    <cfRule type="containsText" dxfId="6630" priority="694" operator="containsText" text="FAIL">
      <formula>NOT(ISERROR(SEARCH("FAIL",Z262)))</formula>
    </cfRule>
  </conditionalFormatting>
  <conditionalFormatting sqref="Z262:AA262">
    <cfRule type="containsText" dxfId="6629" priority="693" operator="containsText" text="GOOD">
      <formula>NOT(ISERROR(SEARCH("GOOD",Z262)))</formula>
    </cfRule>
  </conditionalFormatting>
  <conditionalFormatting sqref="L262">
    <cfRule type="containsText" dxfId="6628" priority="692" operator="containsText" text="FAIL">
      <formula>NOT(ISERROR(SEARCH("FAIL",L262)))</formula>
    </cfRule>
  </conditionalFormatting>
  <conditionalFormatting sqref="L262">
    <cfRule type="containsText" dxfId="6627" priority="691" operator="containsText" text="GOOD">
      <formula>NOT(ISERROR(SEARCH("GOOD",L262)))</formula>
    </cfRule>
  </conditionalFormatting>
  <conditionalFormatting sqref="AS262">
    <cfRule type="containsText" dxfId="6626" priority="690" operator="containsText" text="VOID">
      <formula>NOT(ISERROR(SEARCH("VOID",AS262)))</formula>
    </cfRule>
  </conditionalFormatting>
  <conditionalFormatting sqref="AR262">
    <cfRule type="containsText" dxfId="6625" priority="689" operator="containsText" text="VOID">
      <formula>NOT(ISERROR(SEARCH("VOID",AR262)))</formula>
    </cfRule>
  </conditionalFormatting>
  <conditionalFormatting sqref="L263">
    <cfRule type="containsText" dxfId="6624" priority="688" operator="containsText" text="FAIL">
      <formula>NOT(ISERROR(SEARCH("FAIL",L263)))</formula>
    </cfRule>
  </conditionalFormatting>
  <conditionalFormatting sqref="L263">
    <cfRule type="containsText" dxfId="6623" priority="687" operator="containsText" text="GOOD">
      <formula>NOT(ISERROR(SEARCH("GOOD",L263)))</formula>
    </cfRule>
  </conditionalFormatting>
  <conditionalFormatting sqref="Z263:AA263">
    <cfRule type="containsText" dxfId="6622" priority="686" operator="containsText" text="FAIL">
      <formula>NOT(ISERROR(SEARCH("FAIL",Z263)))</formula>
    </cfRule>
  </conditionalFormatting>
  <conditionalFormatting sqref="Z263:AA263">
    <cfRule type="containsText" dxfId="6621" priority="685" operator="containsText" text="GOOD">
      <formula>NOT(ISERROR(SEARCH("GOOD",Z263)))</formula>
    </cfRule>
  </conditionalFormatting>
  <conditionalFormatting sqref="AR263:AR264">
    <cfRule type="containsText" dxfId="6620" priority="684" operator="containsText" text="VOID">
      <formula>NOT(ISERROR(SEARCH("VOID",AR263)))</formula>
    </cfRule>
  </conditionalFormatting>
  <conditionalFormatting sqref="L264">
    <cfRule type="containsText" dxfId="6619" priority="683" operator="containsText" text="FAIL">
      <formula>NOT(ISERROR(SEARCH("FAIL",L264)))</formula>
    </cfRule>
  </conditionalFormatting>
  <conditionalFormatting sqref="L264">
    <cfRule type="containsText" dxfId="6618" priority="682" operator="containsText" text="GOOD">
      <formula>NOT(ISERROR(SEARCH("GOOD",L264)))</formula>
    </cfRule>
  </conditionalFormatting>
  <conditionalFormatting sqref="Z264:AA264">
    <cfRule type="containsText" dxfId="6617" priority="681" operator="containsText" text="FAIL">
      <formula>NOT(ISERROR(SEARCH("FAIL",Z264)))</formula>
    </cfRule>
  </conditionalFormatting>
  <conditionalFormatting sqref="Z264:AA264">
    <cfRule type="containsText" dxfId="6616" priority="680" operator="containsText" text="GOOD">
      <formula>NOT(ISERROR(SEARCH("GOOD",Z264)))</formula>
    </cfRule>
  </conditionalFormatting>
  <conditionalFormatting sqref="Z288:AA288">
    <cfRule type="containsText" dxfId="6615" priority="668" operator="containsText" text="FAIL">
      <formula>NOT(ISERROR(SEARCH("FAIL",Z288)))</formula>
    </cfRule>
  </conditionalFormatting>
  <conditionalFormatting sqref="Z288:AA288">
    <cfRule type="containsText" dxfId="6614" priority="667" operator="containsText" text="GOOD">
      <formula>NOT(ISERROR(SEARCH("GOOD",Z288)))</formula>
    </cfRule>
  </conditionalFormatting>
  <conditionalFormatting sqref="L288">
    <cfRule type="containsText" dxfId="6613" priority="666" operator="containsText" text="FAIL">
      <formula>NOT(ISERROR(SEARCH("FAIL",L288)))</formula>
    </cfRule>
  </conditionalFormatting>
  <conditionalFormatting sqref="L288">
    <cfRule type="containsText" dxfId="6612" priority="665" operator="containsText" text="GOOD">
      <formula>NOT(ISERROR(SEARCH("GOOD",L288)))</formula>
    </cfRule>
  </conditionalFormatting>
  <conditionalFormatting sqref="AQ288">
    <cfRule type="cellIs" dxfId="6611" priority="662" operator="equal">
      <formula>"Only 1 bidder"</formula>
    </cfRule>
    <cfRule type="containsText" dxfId="6610" priority="664" operator="containsText" text="VOID">
      <formula>NOT(ISERROR(SEARCH("VOID",AQ288)))</formula>
    </cfRule>
  </conditionalFormatting>
  <conditionalFormatting sqref="AR288">
    <cfRule type="containsText" dxfId="6609" priority="663" operator="containsText" text="VOID">
      <formula>NOT(ISERROR(SEARCH("VOID",AR288)))</formula>
    </cfRule>
  </conditionalFormatting>
  <conditionalFormatting sqref="L353">
    <cfRule type="containsText" dxfId="6608" priority="661" operator="containsText" text="FAIL">
      <formula>NOT(ISERROR(SEARCH("FAIL",L353)))</formula>
    </cfRule>
  </conditionalFormatting>
  <conditionalFormatting sqref="L353">
    <cfRule type="containsText" dxfId="6607" priority="660" operator="containsText" text="GOOD">
      <formula>NOT(ISERROR(SEARCH("GOOD",L353)))</formula>
    </cfRule>
  </conditionalFormatting>
  <conditionalFormatting sqref="Z353:AA353">
    <cfRule type="containsText" dxfId="6606" priority="659" operator="containsText" text="FAIL">
      <formula>NOT(ISERROR(SEARCH("FAIL",Z353)))</formula>
    </cfRule>
  </conditionalFormatting>
  <conditionalFormatting sqref="Z353:AA353">
    <cfRule type="containsText" dxfId="6605" priority="658" operator="containsText" text="GOOD">
      <formula>NOT(ISERROR(SEARCH("GOOD",Z353)))</formula>
    </cfRule>
  </conditionalFormatting>
  <conditionalFormatting sqref="AQ353:AQ355">
    <cfRule type="cellIs" dxfId="6604" priority="655" operator="equal">
      <formula>"Only 1 bidder"</formula>
    </cfRule>
    <cfRule type="containsText" dxfId="6603" priority="657" operator="containsText" text="VOID">
      <formula>NOT(ISERROR(SEARCH("VOID",AQ353)))</formula>
    </cfRule>
  </conditionalFormatting>
  <conditionalFormatting sqref="AR353:AR355">
    <cfRule type="containsText" dxfId="6602" priority="656" operator="containsText" text="VOID">
      <formula>NOT(ISERROR(SEARCH("VOID",AR353)))</formula>
    </cfRule>
  </conditionalFormatting>
  <conditionalFormatting sqref="L354">
    <cfRule type="containsText" dxfId="6601" priority="654" operator="containsText" text="FAIL">
      <formula>NOT(ISERROR(SEARCH("FAIL",L354)))</formula>
    </cfRule>
  </conditionalFormatting>
  <conditionalFormatting sqref="L354">
    <cfRule type="containsText" dxfId="6600" priority="653" operator="containsText" text="GOOD">
      <formula>NOT(ISERROR(SEARCH("GOOD",L354)))</formula>
    </cfRule>
  </conditionalFormatting>
  <conditionalFormatting sqref="Z354:AA354">
    <cfRule type="containsText" dxfId="6599" priority="652" operator="containsText" text="FAIL">
      <formula>NOT(ISERROR(SEARCH("FAIL",Z354)))</formula>
    </cfRule>
  </conditionalFormatting>
  <conditionalFormatting sqref="Z354:AA354">
    <cfRule type="containsText" dxfId="6598" priority="651" operator="containsText" text="GOOD">
      <formula>NOT(ISERROR(SEARCH("GOOD",Z354)))</formula>
    </cfRule>
  </conditionalFormatting>
  <conditionalFormatting sqref="L355">
    <cfRule type="containsText" dxfId="6597" priority="650" operator="containsText" text="FAIL">
      <formula>NOT(ISERROR(SEARCH("FAIL",L355)))</formula>
    </cfRule>
  </conditionalFormatting>
  <conditionalFormatting sqref="L355">
    <cfRule type="containsText" dxfId="6596" priority="649" operator="containsText" text="GOOD">
      <formula>NOT(ISERROR(SEARCH("GOOD",L355)))</formula>
    </cfRule>
  </conditionalFormatting>
  <conditionalFormatting sqref="Z355:AA355">
    <cfRule type="containsText" dxfId="6595" priority="648" operator="containsText" text="FAIL">
      <formula>NOT(ISERROR(SEARCH("FAIL",Z355)))</formula>
    </cfRule>
  </conditionalFormatting>
  <conditionalFormatting sqref="Z355:AA355">
    <cfRule type="containsText" dxfId="6594" priority="647" operator="containsText" text="GOOD">
      <formula>NOT(ISERROR(SEARCH("GOOD",Z355)))</formula>
    </cfRule>
  </conditionalFormatting>
  <conditionalFormatting sqref="Z358:AA358">
    <cfRule type="containsText" dxfId="6593" priority="646" operator="containsText" text="FAIL">
      <formula>NOT(ISERROR(SEARCH("FAIL",Z358)))</formula>
    </cfRule>
  </conditionalFormatting>
  <conditionalFormatting sqref="Z358:AA358">
    <cfRule type="containsText" dxfId="6592" priority="645" operator="containsText" text="GOOD">
      <formula>NOT(ISERROR(SEARCH("GOOD",Z358)))</formula>
    </cfRule>
  </conditionalFormatting>
  <conditionalFormatting sqref="L358">
    <cfRule type="containsText" dxfId="6591" priority="644" operator="containsText" text="FAIL">
      <formula>NOT(ISERROR(SEARCH("FAIL",L358)))</formula>
    </cfRule>
  </conditionalFormatting>
  <conditionalFormatting sqref="L358">
    <cfRule type="containsText" dxfId="6590" priority="643" operator="containsText" text="GOOD">
      <formula>NOT(ISERROR(SEARCH("GOOD",L358)))</formula>
    </cfRule>
  </conditionalFormatting>
  <conditionalFormatting sqref="AQ358">
    <cfRule type="cellIs" dxfId="6589" priority="640" operator="equal">
      <formula>"Only 1 bidder"</formula>
    </cfRule>
    <cfRule type="containsText" dxfId="6588" priority="642" operator="containsText" text="VOID">
      <formula>NOT(ISERROR(SEARCH("VOID",AQ358)))</formula>
    </cfRule>
  </conditionalFormatting>
  <conditionalFormatting sqref="AR358">
    <cfRule type="containsText" dxfId="6587" priority="641" operator="containsText" text="VOID">
      <formula>NOT(ISERROR(SEARCH("VOID",AR358)))</formula>
    </cfRule>
  </conditionalFormatting>
  <conditionalFormatting sqref="B359">
    <cfRule type="containsText" dxfId="6586" priority="639" operator="containsText" text="FAIL">
      <formula>NOT(ISERROR(SEARCH("FAIL",B359)))</formula>
    </cfRule>
  </conditionalFormatting>
  <conditionalFormatting sqref="B359">
    <cfRule type="containsText" dxfId="6585" priority="638" operator="containsText" text="GOOD">
      <formula>NOT(ISERROR(SEARCH("GOOD",B359)))</formula>
    </cfRule>
  </conditionalFormatting>
  <conditionalFormatting sqref="L359">
    <cfRule type="containsText" dxfId="6584" priority="637" operator="containsText" text="FAIL">
      <formula>NOT(ISERROR(SEARCH("FAIL",L359)))</formula>
    </cfRule>
  </conditionalFormatting>
  <conditionalFormatting sqref="L359">
    <cfRule type="containsText" dxfId="6583" priority="636" operator="containsText" text="GOOD">
      <formula>NOT(ISERROR(SEARCH("GOOD",L359)))</formula>
    </cfRule>
  </conditionalFormatting>
  <conditionalFormatting sqref="Z359:AA359">
    <cfRule type="containsText" dxfId="6582" priority="635" operator="containsText" text="FAIL">
      <formula>NOT(ISERROR(SEARCH("FAIL",Z359)))</formula>
    </cfRule>
  </conditionalFormatting>
  <conditionalFormatting sqref="Z359:AA359">
    <cfRule type="containsText" dxfId="6581" priority="634" operator="containsText" text="GOOD">
      <formula>NOT(ISERROR(SEARCH("GOOD",Z359)))</formula>
    </cfRule>
  </conditionalFormatting>
  <conditionalFormatting sqref="AQ359:AQ362">
    <cfRule type="cellIs" dxfId="6580" priority="630" operator="equal">
      <formula>"Only 1 bidder"</formula>
    </cfRule>
    <cfRule type="containsText" dxfId="6579" priority="633" operator="containsText" text="VOID">
      <formula>NOT(ISERROR(SEARCH("VOID",AQ359)))</formula>
    </cfRule>
  </conditionalFormatting>
  <conditionalFormatting sqref="AR359">
    <cfRule type="containsText" dxfId="6578" priority="632" operator="containsText" text="VOID">
      <formula>NOT(ISERROR(SEARCH("VOID",AR359)))</formula>
    </cfRule>
  </conditionalFormatting>
  <conditionalFormatting sqref="AQ359">
    <cfRule type="containsText" dxfId="6577" priority="631" operator="containsText" text="Only 1 bidder">
      <formula>NOT(ISERROR(SEARCH("Only 1 bidder",AQ359)))</formula>
    </cfRule>
  </conditionalFormatting>
  <conditionalFormatting sqref="Z360:AA360">
    <cfRule type="containsText" dxfId="6576" priority="629" operator="containsText" text="FAIL">
      <formula>NOT(ISERROR(SEARCH("FAIL",Z360)))</formula>
    </cfRule>
  </conditionalFormatting>
  <conditionalFormatting sqref="Z360:AA360">
    <cfRule type="containsText" dxfId="6575" priority="628" operator="containsText" text="GOOD">
      <formula>NOT(ISERROR(SEARCH("GOOD",Z360)))</formula>
    </cfRule>
  </conditionalFormatting>
  <conditionalFormatting sqref="L360">
    <cfRule type="containsText" dxfId="6574" priority="627" operator="containsText" text="FAIL">
      <formula>NOT(ISERROR(SEARCH("FAIL",L360)))</formula>
    </cfRule>
  </conditionalFormatting>
  <conditionalFormatting sqref="L360">
    <cfRule type="containsText" dxfId="6573" priority="626" operator="containsText" text="GOOD">
      <formula>NOT(ISERROR(SEARCH("GOOD",L360)))</formula>
    </cfRule>
  </conditionalFormatting>
  <conditionalFormatting sqref="AS360:AS361">
    <cfRule type="containsText" dxfId="6572" priority="625" operator="containsText" text="VOID">
      <formula>NOT(ISERROR(SEARCH("VOID",AS360)))</formula>
    </cfRule>
  </conditionalFormatting>
  <conditionalFormatting sqref="AR360:AR361">
    <cfRule type="containsText" dxfId="6571" priority="624" operator="containsText" text="VOID">
      <formula>NOT(ISERROR(SEARCH("VOID",AR360)))</formula>
    </cfRule>
  </conditionalFormatting>
  <conditionalFormatting sqref="B361">
    <cfRule type="containsText" dxfId="6570" priority="623" operator="containsText" text="FAIL">
      <formula>NOT(ISERROR(SEARCH("FAIL",B361)))</formula>
    </cfRule>
  </conditionalFormatting>
  <conditionalFormatting sqref="B361">
    <cfRule type="containsText" dxfId="6569" priority="622" operator="containsText" text="GOOD">
      <formula>NOT(ISERROR(SEARCH("GOOD",B361)))</formula>
    </cfRule>
  </conditionalFormatting>
  <conditionalFormatting sqref="L361">
    <cfRule type="containsText" dxfId="6568" priority="621" operator="containsText" text="FAIL">
      <formula>NOT(ISERROR(SEARCH("FAIL",L361)))</formula>
    </cfRule>
  </conditionalFormatting>
  <conditionalFormatting sqref="L361">
    <cfRule type="containsText" dxfId="6567" priority="620" operator="containsText" text="GOOD">
      <formula>NOT(ISERROR(SEARCH("GOOD",L361)))</formula>
    </cfRule>
  </conditionalFormatting>
  <conditionalFormatting sqref="Z361:AA361">
    <cfRule type="containsText" dxfId="6566" priority="619" operator="containsText" text="FAIL">
      <formula>NOT(ISERROR(SEARCH("FAIL",Z361)))</formula>
    </cfRule>
  </conditionalFormatting>
  <conditionalFormatting sqref="Z361:AA361">
    <cfRule type="containsText" dxfId="6565" priority="618" operator="containsText" text="GOOD">
      <formula>NOT(ISERROR(SEARCH("GOOD",Z361)))</formula>
    </cfRule>
  </conditionalFormatting>
  <conditionalFormatting sqref="L362">
    <cfRule type="containsText" dxfId="6564" priority="617" operator="containsText" text="FAIL">
      <formula>NOT(ISERROR(SEARCH("FAIL",L362)))</formula>
    </cfRule>
  </conditionalFormatting>
  <conditionalFormatting sqref="L362">
    <cfRule type="containsText" dxfId="6563" priority="616" operator="containsText" text="GOOD">
      <formula>NOT(ISERROR(SEARCH("GOOD",L362)))</formula>
    </cfRule>
  </conditionalFormatting>
  <conditionalFormatting sqref="Z362:AA362">
    <cfRule type="containsText" dxfId="6562" priority="615" operator="containsText" text="FAIL">
      <formula>NOT(ISERROR(SEARCH("FAIL",Z362)))</formula>
    </cfRule>
  </conditionalFormatting>
  <conditionalFormatting sqref="Z362:AA362">
    <cfRule type="containsText" dxfId="6561" priority="614" operator="containsText" text="GOOD">
      <formula>NOT(ISERROR(SEARCH("GOOD",Z362)))</formula>
    </cfRule>
  </conditionalFormatting>
  <conditionalFormatting sqref="AR362">
    <cfRule type="containsText" dxfId="6560" priority="613" operator="containsText" text="VOID">
      <formula>NOT(ISERROR(SEARCH("VOID",AR362)))</formula>
    </cfRule>
  </conditionalFormatting>
  <conditionalFormatting sqref="L364">
    <cfRule type="containsText" dxfId="6559" priority="612" operator="containsText" text="FAIL">
      <formula>NOT(ISERROR(SEARCH("FAIL",L364)))</formula>
    </cfRule>
  </conditionalFormatting>
  <conditionalFormatting sqref="L364">
    <cfRule type="containsText" dxfId="6558" priority="611" operator="containsText" text="GOOD">
      <formula>NOT(ISERROR(SEARCH("GOOD",L364)))</formula>
    </cfRule>
  </conditionalFormatting>
  <conditionalFormatting sqref="Z365:AA365">
    <cfRule type="containsText" dxfId="6557" priority="610" operator="containsText" text="FAIL">
      <formula>NOT(ISERROR(SEARCH("FAIL",Z365)))</formula>
    </cfRule>
  </conditionalFormatting>
  <conditionalFormatting sqref="Z365:AA365">
    <cfRule type="containsText" dxfId="6556" priority="609" operator="containsText" text="GOOD">
      <formula>NOT(ISERROR(SEARCH("GOOD",Z365)))</formula>
    </cfRule>
  </conditionalFormatting>
  <conditionalFormatting sqref="L365">
    <cfRule type="containsText" dxfId="6555" priority="608" operator="containsText" text="FAIL">
      <formula>NOT(ISERROR(SEARCH("FAIL",L365)))</formula>
    </cfRule>
  </conditionalFormatting>
  <conditionalFormatting sqref="L365">
    <cfRule type="containsText" dxfId="6554" priority="607" operator="containsText" text="GOOD">
      <formula>NOT(ISERROR(SEARCH("GOOD",L365)))</formula>
    </cfRule>
  </conditionalFormatting>
  <conditionalFormatting sqref="AQ365">
    <cfRule type="cellIs" dxfId="6553" priority="604" operator="equal">
      <formula>"Only 1 bidder"</formula>
    </cfRule>
    <cfRule type="containsText" dxfId="6552" priority="606" operator="containsText" text="VOID">
      <formula>NOT(ISERROR(SEARCH("VOID",AQ365)))</formula>
    </cfRule>
  </conditionalFormatting>
  <conditionalFormatting sqref="AR365">
    <cfRule type="containsText" dxfId="6551" priority="605" operator="containsText" text="VOID">
      <formula>NOT(ISERROR(SEARCH("VOID",AR365)))</formula>
    </cfRule>
  </conditionalFormatting>
  <conditionalFormatting sqref="Z366:AA366">
    <cfRule type="containsText" dxfId="6550" priority="603" operator="containsText" text="FAIL">
      <formula>NOT(ISERROR(SEARCH("FAIL",Z366)))</formula>
    </cfRule>
  </conditionalFormatting>
  <conditionalFormatting sqref="Z366:AA366">
    <cfRule type="containsText" dxfId="6549" priority="602" operator="containsText" text="GOOD">
      <formula>NOT(ISERROR(SEARCH("GOOD",Z366)))</formula>
    </cfRule>
  </conditionalFormatting>
  <conditionalFormatting sqref="L366">
    <cfRule type="containsText" dxfId="6548" priority="601" operator="containsText" text="FAIL">
      <formula>NOT(ISERROR(SEARCH("FAIL",L366)))</formula>
    </cfRule>
  </conditionalFormatting>
  <conditionalFormatting sqref="L366">
    <cfRule type="containsText" dxfId="6547" priority="600" operator="containsText" text="GOOD">
      <formula>NOT(ISERROR(SEARCH("GOOD",L366)))</formula>
    </cfRule>
  </conditionalFormatting>
  <conditionalFormatting sqref="AQ366:AQ374">
    <cfRule type="cellIs" dxfId="6546" priority="597" operator="equal">
      <formula>"Only 1 bidder"</formula>
    </cfRule>
    <cfRule type="containsText" dxfId="6545" priority="599" operator="containsText" text="VOID">
      <formula>NOT(ISERROR(SEARCH("VOID",AQ366)))</formula>
    </cfRule>
  </conditionalFormatting>
  <conditionalFormatting sqref="AR372 AR366:AR369">
    <cfRule type="containsText" dxfId="6544" priority="598" operator="containsText" text="VOID">
      <formula>NOT(ISERROR(SEARCH("VOID",AR366)))</formula>
    </cfRule>
  </conditionalFormatting>
  <conditionalFormatting sqref="Z367:AA367">
    <cfRule type="containsText" dxfId="6543" priority="596" operator="containsText" text="FAIL">
      <formula>NOT(ISERROR(SEARCH("FAIL",Z367)))</formula>
    </cfRule>
  </conditionalFormatting>
  <conditionalFormatting sqref="Z367:AA367">
    <cfRule type="containsText" dxfId="6542" priority="595" operator="containsText" text="GOOD">
      <formula>NOT(ISERROR(SEARCH("GOOD",Z367)))</formula>
    </cfRule>
  </conditionalFormatting>
  <conditionalFormatting sqref="L367">
    <cfRule type="containsText" dxfId="6541" priority="594" operator="containsText" text="FAIL">
      <formula>NOT(ISERROR(SEARCH("FAIL",L367)))</formula>
    </cfRule>
  </conditionalFormatting>
  <conditionalFormatting sqref="L367">
    <cfRule type="containsText" dxfId="6540" priority="593" operator="containsText" text="GOOD">
      <formula>NOT(ISERROR(SEARCH("GOOD",L367)))</formula>
    </cfRule>
  </conditionalFormatting>
  <conditionalFormatting sqref="Z368:AA368">
    <cfRule type="containsText" dxfId="6539" priority="592" operator="containsText" text="FAIL">
      <formula>NOT(ISERROR(SEARCH("FAIL",Z368)))</formula>
    </cfRule>
  </conditionalFormatting>
  <conditionalFormatting sqref="Z368:AA368">
    <cfRule type="containsText" dxfId="6538" priority="591" operator="containsText" text="GOOD">
      <formula>NOT(ISERROR(SEARCH("GOOD",Z368)))</formula>
    </cfRule>
  </conditionalFormatting>
  <conditionalFormatting sqref="L368">
    <cfRule type="containsText" dxfId="6537" priority="590" operator="containsText" text="FAIL">
      <formula>NOT(ISERROR(SEARCH("FAIL",L368)))</formula>
    </cfRule>
  </conditionalFormatting>
  <conditionalFormatting sqref="L368">
    <cfRule type="containsText" dxfId="6536" priority="589" operator="containsText" text="GOOD">
      <formula>NOT(ISERROR(SEARCH("GOOD",L368)))</formula>
    </cfRule>
  </conditionalFormatting>
  <conditionalFormatting sqref="Z369:AA369">
    <cfRule type="containsText" dxfId="6535" priority="588" operator="containsText" text="FAIL">
      <formula>NOT(ISERROR(SEARCH("FAIL",Z369)))</formula>
    </cfRule>
  </conditionalFormatting>
  <conditionalFormatting sqref="Z369:AA369">
    <cfRule type="containsText" dxfId="6534" priority="587" operator="containsText" text="GOOD">
      <formula>NOT(ISERROR(SEARCH("GOOD",Z369)))</formula>
    </cfRule>
  </conditionalFormatting>
  <conditionalFormatting sqref="L369">
    <cfRule type="containsText" dxfId="6533" priority="586" operator="containsText" text="FAIL">
      <formula>NOT(ISERROR(SEARCH("FAIL",L369)))</formula>
    </cfRule>
  </conditionalFormatting>
  <conditionalFormatting sqref="L369">
    <cfRule type="containsText" dxfId="6532" priority="585" operator="containsText" text="GOOD">
      <formula>NOT(ISERROR(SEARCH("GOOD",L369)))</formula>
    </cfRule>
  </conditionalFormatting>
  <conditionalFormatting sqref="L370">
    <cfRule type="containsText" dxfId="6531" priority="584" operator="containsText" text="FAIL">
      <formula>NOT(ISERROR(SEARCH("FAIL",L370)))</formula>
    </cfRule>
  </conditionalFormatting>
  <conditionalFormatting sqref="L370">
    <cfRule type="containsText" dxfId="6530" priority="583" operator="containsText" text="GOOD">
      <formula>NOT(ISERROR(SEARCH("GOOD",L370)))</formula>
    </cfRule>
  </conditionalFormatting>
  <conditionalFormatting sqref="Z370:AA370">
    <cfRule type="containsText" dxfId="6529" priority="582" operator="containsText" text="FAIL">
      <formula>NOT(ISERROR(SEARCH("FAIL",Z370)))</formula>
    </cfRule>
  </conditionalFormatting>
  <conditionalFormatting sqref="Z370:AA370">
    <cfRule type="containsText" dxfId="6528" priority="581" operator="containsText" text="GOOD">
      <formula>NOT(ISERROR(SEARCH("GOOD",Z370)))</formula>
    </cfRule>
  </conditionalFormatting>
  <conditionalFormatting sqref="AS370:AS371">
    <cfRule type="containsText" dxfId="6527" priority="580" operator="containsText" text="VOID">
      <formula>NOT(ISERROR(SEARCH("VOID",AS370)))</formula>
    </cfRule>
  </conditionalFormatting>
  <conditionalFormatting sqref="AR370:AR371">
    <cfRule type="containsText" dxfId="6526" priority="579" operator="containsText" text="VOID">
      <formula>NOT(ISERROR(SEARCH("VOID",AR370)))</formula>
    </cfRule>
  </conditionalFormatting>
  <conditionalFormatting sqref="L371">
    <cfRule type="containsText" dxfId="6525" priority="578" operator="containsText" text="FAIL">
      <formula>NOT(ISERROR(SEARCH("FAIL",L371)))</formula>
    </cfRule>
  </conditionalFormatting>
  <conditionalFormatting sqref="L371">
    <cfRule type="containsText" dxfId="6524" priority="577" operator="containsText" text="GOOD">
      <formula>NOT(ISERROR(SEARCH("GOOD",L371)))</formula>
    </cfRule>
  </conditionalFormatting>
  <conditionalFormatting sqref="Z371:AA371">
    <cfRule type="containsText" dxfId="6523" priority="576" operator="containsText" text="FAIL">
      <formula>NOT(ISERROR(SEARCH("FAIL",Z371)))</formula>
    </cfRule>
  </conditionalFormatting>
  <conditionalFormatting sqref="Z371:AA371">
    <cfRule type="containsText" dxfId="6522" priority="575" operator="containsText" text="GOOD">
      <formula>NOT(ISERROR(SEARCH("GOOD",Z371)))</formula>
    </cfRule>
  </conditionalFormatting>
  <conditionalFormatting sqref="L372">
    <cfRule type="containsText" dxfId="6521" priority="574" operator="containsText" text="FAIL">
      <formula>NOT(ISERROR(SEARCH("FAIL",L372)))</formula>
    </cfRule>
  </conditionalFormatting>
  <conditionalFormatting sqref="L372">
    <cfRule type="containsText" dxfId="6520" priority="573" operator="containsText" text="GOOD">
      <formula>NOT(ISERROR(SEARCH("GOOD",L372)))</formula>
    </cfRule>
  </conditionalFormatting>
  <conditionalFormatting sqref="Z372:AA372">
    <cfRule type="containsText" dxfId="6519" priority="572" operator="containsText" text="FAIL">
      <formula>NOT(ISERROR(SEARCH("FAIL",Z372)))</formula>
    </cfRule>
  </conditionalFormatting>
  <conditionalFormatting sqref="Z372:AA372">
    <cfRule type="containsText" dxfId="6518" priority="571" operator="containsText" text="GOOD">
      <formula>NOT(ISERROR(SEARCH("GOOD",Z372)))</formula>
    </cfRule>
  </conditionalFormatting>
  <conditionalFormatting sqref="L373">
    <cfRule type="containsText" dxfId="6517" priority="570" operator="containsText" text="FAIL">
      <formula>NOT(ISERROR(SEARCH("FAIL",L373)))</formula>
    </cfRule>
  </conditionalFormatting>
  <conditionalFormatting sqref="L373">
    <cfRule type="containsText" dxfId="6516" priority="569" operator="containsText" text="GOOD">
      <formula>NOT(ISERROR(SEARCH("GOOD",L373)))</formula>
    </cfRule>
  </conditionalFormatting>
  <conditionalFormatting sqref="Z373:AA373">
    <cfRule type="containsText" dxfId="6515" priority="568" operator="containsText" text="FAIL">
      <formula>NOT(ISERROR(SEARCH("FAIL",Z373)))</formula>
    </cfRule>
  </conditionalFormatting>
  <conditionalFormatting sqref="Z373:AA373">
    <cfRule type="containsText" dxfId="6514" priority="567" operator="containsText" text="GOOD">
      <formula>NOT(ISERROR(SEARCH("GOOD",Z373)))</formula>
    </cfRule>
  </conditionalFormatting>
  <conditionalFormatting sqref="AR373:AR374">
    <cfRule type="containsText" dxfId="6513" priority="566" operator="containsText" text="VOID">
      <formula>NOT(ISERROR(SEARCH("VOID",AR373)))</formula>
    </cfRule>
  </conditionalFormatting>
  <conditionalFormatting sqref="L374">
    <cfRule type="containsText" dxfId="6512" priority="565" operator="containsText" text="FAIL">
      <formula>NOT(ISERROR(SEARCH("FAIL",L374)))</formula>
    </cfRule>
  </conditionalFormatting>
  <conditionalFormatting sqref="L374">
    <cfRule type="containsText" dxfId="6511" priority="564" operator="containsText" text="GOOD">
      <formula>NOT(ISERROR(SEARCH("GOOD",L374)))</formula>
    </cfRule>
  </conditionalFormatting>
  <conditionalFormatting sqref="Z374:AA374">
    <cfRule type="containsText" dxfId="6510" priority="563" operator="containsText" text="FAIL">
      <formula>NOT(ISERROR(SEARCH("FAIL",Z374)))</formula>
    </cfRule>
  </conditionalFormatting>
  <conditionalFormatting sqref="Z374:AA374">
    <cfRule type="containsText" dxfId="6509" priority="562" operator="containsText" text="GOOD">
      <formula>NOT(ISERROR(SEARCH("GOOD",Z374)))</formula>
    </cfRule>
  </conditionalFormatting>
  <conditionalFormatting sqref="Z377:AA377">
    <cfRule type="containsText" dxfId="6508" priority="561" operator="containsText" text="FAIL">
      <formula>NOT(ISERROR(SEARCH("FAIL",Z377)))</formula>
    </cfRule>
  </conditionalFormatting>
  <conditionalFormatting sqref="Z377:AA377">
    <cfRule type="containsText" dxfId="6507" priority="560" operator="containsText" text="GOOD">
      <formula>NOT(ISERROR(SEARCH("GOOD",Z377)))</formula>
    </cfRule>
  </conditionalFormatting>
  <conditionalFormatting sqref="L377">
    <cfRule type="containsText" dxfId="6506" priority="559" operator="containsText" text="FAIL">
      <formula>NOT(ISERROR(SEARCH("FAIL",L377)))</formula>
    </cfRule>
  </conditionalFormatting>
  <conditionalFormatting sqref="L377">
    <cfRule type="containsText" dxfId="6505" priority="558" operator="containsText" text="GOOD">
      <formula>NOT(ISERROR(SEARCH("GOOD",L377)))</formula>
    </cfRule>
  </conditionalFormatting>
  <conditionalFormatting sqref="AQ377">
    <cfRule type="cellIs" dxfId="6504" priority="555" operator="equal">
      <formula>"Only 1 bidder"</formula>
    </cfRule>
    <cfRule type="containsText" dxfId="6503" priority="557" operator="containsText" text="VOID">
      <formula>NOT(ISERROR(SEARCH("VOID",AQ377)))</formula>
    </cfRule>
  </conditionalFormatting>
  <conditionalFormatting sqref="AR377">
    <cfRule type="containsText" dxfId="6502" priority="556" operator="containsText" text="VOID">
      <formula>NOT(ISERROR(SEARCH("VOID",AR377)))</formula>
    </cfRule>
  </conditionalFormatting>
  <conditionalFormatting sqref="Z378:AA378">
    <cfRule type="containsText" dxfId="6501" priority="554" operator="containsText" text="FAIL">
      <formula>NOT(ISERROR(SEARCH("FAIL",Z378)))</formula>
    </cfRule>
  </conditionalFormatting>
  <conditionalFormatting sqref="Z378:AA378">
    <cfRule type="containsText" dxfId="6500" priority="553" operator="containsText" text="GOOD">
      <formula>NOT(ISERROR(SEARCH("GOOD",Z378)))</formula>
    </cfRule>
  </conditionalFormatting>
  <conditionalFormatting sqref="L378">
    <cfRule type="containsText" dxfId="6499" priority="552" operator="containsText" text="FAIL">
      <formula>NOT(ISERROR(SEARCH("FAIL",L378)))</formula>
    </cfRule>
  </conditionalFormatting>
  <conditionalFormatting sqref="L378">
    <cfRule type="containsText" dxfId="6498" priority="551" operator="containsText" text="GOOD">
      <formula>NOT(ISERROR(SEARCH("GOOD",L378)))</formula>
    </cfRule>
  </conditionalFormatting>
  <conditionalFormatting sqref="AQ378">
    <cfRule type="cellIs" dxfId="6497" priority="548" operator="equal">
      <formula>"Only 1 bidder"</formula>
    </cfRule>
    <cfRule type="containsText" dxfId="6496" priority="550" operator="containsText" text="VOID">
      <formula>NOT(ISERROR(SEARCH("VOID",AQ378)))</formula>
    </cfRule>
  </conditionalFormatting>
  <conditionalFormatting sqref="AR378">
    <cfRule type="containsText" dxfId="6495" priority="549" operator="containsText" text="VOID">
      <formula>NOT(ISERROR(SEARCH("VOID",AR378)))</formula>
    </cfRule>
  </conditionalFormatting>
  <conditionalFormatting sqref="Z379:AA379">
    <cfRule type="containsText" dxfId="6494" priority="547" operator="containsText" text="FAIL">
      <formula>NOT(ISERROR(SEARCH("FAIL",Z379)))</formula>
    </cfRule>
  </conditionalFormatting>
  <conditionalFormatting sqref="Z379:AA379">
    <cfRule type="containsText" dxfId="6493" priority="546" operator="containsText" text="GOOD">
      <formula>NOT(ISERROR(SEARCH("GOOD",Z379)))</formula>
    </cfRule>
  </conditionalFormatting>
  <conditionalFormatting sqref="L379">
    <cfRule type="containsText" dxfId="6492" priority="545" operator="containsText" text="FAIL">
      <formula>NOT(ISERROR(SEARCH("FAIL",L379)))</formula>
    </cfRule>
  </conditionalFormatting>
  <conditionalFormatting sqref="L379">
    <cfRule type="containsText" dxfId="6491" priority="544" operator="containsText" text="GOOD">
      <formula>NOT(ISERROR(SEARCH("GOOD",L379)))</formula>
    </cfRule>
  </conditionalFormatting>
  <conditionalFormatting sqref="AQ379:AQ384">
    <cfRule type="cellIs" dxfId="6490" priority="541" operator="equal">
      <formula>"Only 1 bidder"</formula>
    </cfRule>
    <cfRule type="containsText" dxfId="6489" priority="543" operator="containsText" text="VOID">
      <formula>NOT(ISERROR(SEARCH("VOID",AQ379)))</formula>
    </cfRule>
  </conditionalFormatting>
  <conditionalFormatting sqref="AR379:AR381">
    <cfRule type="containsText" dxfId="6488" priority="542" operator="containsText" text="VOID">
      <formula>NOT(ISERROR(SEARCH("VOID",AR379)))</formula>
    </cfRule>
  </conditionalFormatting>
  <conditionalFormatting sqref="Z380:AA380">
    <cfRule type="containsText" dxfId="6487" priority="540" operator="containsText" text="FAIL">
      <formula>NOT(ISERROR(SEARCH("FAIL",Z380)))</formula>
    </cfRule>
  </conditionalFormatting>
  <conditionalFormatting sqref="Z380:AA380">
    <cfRule type="containsText" dxfId="6486" priority="539" operator="containsText" text="GOOD">
      <formula>NOT(ISERROR(SEARCH("GOOD",Z380)))</formula>
    </cfRule>
  </conditionalFormatting>
  <conditionalFormatting sqref="L380">
    <cfRule type="containsText" dxfId="6485" priority="538" operator="containsText" text="FAIL">
      <formula>NOT(ISERROR(SEARCH("FAIL",L380)))</formula>
    </cfRule>
  </conditionalFormatting>
  <conditionalFormatting sqref="L380">
    <cfRule type="containsText" dxfId="6484" priority="537" operator="containsText" text="GOOD">
      <formula>NOT(ISERROR(SEARCH("GOOD",L380)))</formula>
    </cfRule>
  </conditionalFormatting>
  <conditionalFormatting sqref="Z381:AA381">
    <cfRule type="containsText" dxfId="6483" priority="536" operator="containsText" text="FAIL">
      <formula>NOT(ISERROR(SEARCH("FAIL",Z381)))</formula>
    </cfRule>
  </conditionalFormatting>
  <conditionalFormatting sqref="Z381:AA381">
    <cfRule type="containsText" dxfId="6482" priority="535" operator="containsText" text="GOOD">
      <formula>NOT(ISERROR(SEARCH("GOOD",Z381)))</formula>
    </cfRule>
  </conditionalFormatting>
  <conditionalFormatting sqref="L381">
    <cfRule type="containsText" dxfId="6481" priority="534" operator="containsText" text="FAIL">
      <formula>NOT(ISERROR(SEARCH("FAIL",L381)))</formula>
    </cfRule>
  </conditionalFormatting>
  <conditionalFormatting sqref="L381">
    <cfRule type="containsText" dxfId="6480" priority="533" operator="containsText" text="GOOD">
      <formula>NOT(ISERROR(SEARCH("GOOD",L381)))</formula>
    </cfRule>
  </conditionalFormatting>
  <conditionalFormatting sqref="Z382:AA382">
    <cfRule type="containsText" dxfId="6479" priority="532" operator="containsText" text="FAIL">
      <formula>NOT(ISERROR(SEARCH("FAIL",Z382)))</formula>
    </cfRule>
  </conditionalFormatting>
  <conditionalFormatting sqref="Z382:AA382">
    <cfRule type="containsText" dxfId="6478" priority="531" operator="containsText" text="GOOD">
      <formula>NOT(ISERROR(SEARCH("GOOD",Z382)))</formula>
    </cfRule>
  </conditionalFormatting>
  <conditionalFormatting sqref="L382">
    <cfRule type="containsText" dxfId="6477" priority="530" operator="containsText" text="FAIL">
      <formula>NOT(ISERROR(SEARCH("FAIL",L382)))</formula>
    </cfRule>
  </conditionalFormatting>
  <conditionalFormatting sqref="L382">
    <cfRule type="containsText" dxfId="6476" priority="529" operator="containsText" text="GOOD">
      <formula>NOT(ISERROR(SEARCH("GOOD",L382)))</formula>
    </cfRule>
  </conditionalFormatting>
  <conditionalFormatting sqref="AS382">
    <cfRule type="containsText" dxfId="6475" priority="528" operator="containsText" text="VOID">
      <formula>NOT(ISERROR(SEARCH("VOID",AS382)))</formula>
    </cfRule>
  </conditionalFormatting>
  <conditionalFormatting sqref="AR382">
    <cfRule type="containsText" dxfId="6474" priority="527" operator="containsText" text="VOID">
      <formula>NOT(ISERROR(SEARCH("VOID",AR382)))</formula>
    </cfRule>
  </conditionalFormatting>
  <conditionalFormatting sqref="L383">
    <cfRule type="containsText" dxfId="6473" priority="526" operator="containsText" text="FAIL">
      <formula>NOT(ISERROR(SEARCH("FAIL",L383)))</formula>
    </cfRule>
  </conditionalFormatting>
  <conditionalFormatting sqref="L383">
    <cfRule type="containsText" dxfId="6472" priority="525" operator="containsText" text="GOOD">
      <formula>NOT(ISERROR(SEARCH("GOOD",L383)))</formula>
    </cfRule>
  </conditionalFormatting>
  <conditionalFormatting sqref="Z383:AA383">
    <cfRule type="containsText" dxfId="6471" priority="524" operator="containsText" text="FAIL">
      <formula>NOT(ISERROR(SEARCH("FAIL",Z383)))</formula>
    </cfRule>
  </conditionalFormatting>
  <conditionalFormatting sqref="Z383:AA383">
    <cfRule type="containsText" dxfId="6470" priority="523" operator="containsText" text="GOOD">
      <formula>NOT(ISERROR(SEARCH("GOOD",Z383)))</formula>
    </cfRule>
  </conditionalFormatting>
  <conditionalFormatting sqref="AR383:AR384">
    <cfRule type="containsText" dxfId="6469" priority="522" operator="containsText" text="VOID">
      <formula>NOT(ISERROR(SEARCH("VOID",AR383)))</formula>
    </cfRule>
  </conditionalFormatting>
  <conditionalFormatting sqref="L384">
    <cfRule type="containsText" dxfId="6468" priority="521" operator="containsText" text="FAIL">
      <formula>NOT(ISERROR(SEARCH("FAIL",L384)))</formula>
    </cfRule>
  </conditionalFormatting>
  <conditionalFormatting sqref="L384">
    <cfRule type="containsText" dxfId="6467" priority="520" operator="containsText" text="GOOD">
      <formula>NOT(ISERROR(SEARCH("GOOD",L384)))</formula>
    </cfRule>
  </conditionalFormatting>
  <conditionalFormatting sqref="Z384:AA384">
    <cfRule type="containsText" dxfId="6466" priority="519" operator="containsText" text="FAIL">
      <formula>NOT(ISERROR(SEARCH("FAIL",Z384)))</formula>
    </cfRule>
  </conditionalFormatting>
  <conditionalFormatting sqref="Z384:AA384">
    <cfRule type="containsText" dxfId="6465" priority="518" operator="containsText" text="GOOD">
      <formula>NOT(ISERROR(SEARCH("GOOD",Z384)))</formula>
    </cfRule>
  </conditionalFormatting>
  <conditionalFormatting sqref="L385:L386">
    <cfRule type="containsText" dxfId="6464" priority="517" operator="containsText" text="FAIL">
      <formula>NOT(ISERROR(SEARCH("FAIL",L385)))</formula>
    </cfRule>
  </conditionalFormatting>
  <conditionalFormatting sqref="L385:L386">
    <cfRule type="containsText" dxfId="6463" priority="516" operator="containsText" text="GOOD">
      <formula>NOT(ISERROR(SEARCH("GOOD",L385)))</formula>
    </cfRule>
  </conditionalFormatting>
  <conditionalFormatting sqref="Z389:AA389">
    <cfRule type="containsText" dxfId="6462" priority="497" operator="containsText" text="FAIL">
      <formula>NOT(ISERROR(SEARCH("FAIL",Z389)))</formula>
    </cfRule>
  </conditionalFormatting>
  <conditionalFormatting sqref="Z389:AA389">
    <cfRule type="containsText" dxfId="6461" priority="496" operator="containsText" text="GOOD">
      <formula>NOT(ISERROR(SEARCH("GOOD",Z389)))</formula>
    </cfRule>
  </conditionalFormatting>
  <conditionalFormatting sqref="Z387:AA387">
    <cfRule type="containsText" dxfId="6460" priority="511" operator="containsText" text="FAIL">
      <formula>NOT(ISERROR(SEARCH("FAIL",Z387)))</formula>
    </cfRule>
  </conditionalFormatting>
  <conditionalFormatting sqref="Z387:AA387">
    <cfRule type="containsText" dxfId="6459" priority="510" operator="containsText" text="GOOD">
      <formula>NOT(ISERROR(SEARCH("GOOD",Z387)))</formula>
    </cfRule>
  </conditionalFormatting>
  <conditionalFormatting sqref="L387">
    <cfRule type="containsText" dxfId="6458" priority="509" operator="containsText" text="FAIL">
      <formula>NOT(ISERROR(SEARCH("FAIL",L387)))</formula>
    </cfRule>
  </conditionalFormatting>
  <conditionalFormatting sqref="L387">
    <cfRule type="containsText" dxfId="6457" priority="508" operator="containsText" text="GOOD">
      <formula>NOT(ISERROR(SEARCH("GOOD",L387)))</formula>
    </cfRule>
  </conditionalFormatting>
  <conditionalFormatting sqref="AQ387">
    <cfRule type="cellIs" dxfId="6456" priority="505" operator="equal">
      <formula>"Only 1 bidder"</formula>
    </cfRule>
    <cfRule type="containsText" dxfId="6455" priority="507" operator="containsText" text="VOID">
      <formula>NOT(ISERROR(SEARCH("VOID",AQ387)))</formula>
    </cfRule>
  </conditionalFormatting>
  <conditionalFormatting sqref="AR387">
    <cfRule type="containsText" dxfId="6454" priority="506" operator="containsText" text="VOID">
      <formula>NOT(ISERROR(SEARCH("VOID",AR387)))</formula>
    </cfRule>
  </conditionalFormatting>
  <conditionalFormatting sqref="Z388:AA388">
    <cfRule type="containsText" dxfId="6453" priority="504" operator="containsText" text="FAIL">
      <formula>NOT(ISERROR(SEARCH("FAIL",Z388)))</formula>
    </cfRule>
  </conditionalFormatting>
  <conditionalFormatting sqref="Z388:AA388">
    <cfRule type="containsText" dxfId="6452" priority="503" operator="containsText" text="GOOD">
      <formula>NOT(ISERROR(SEARCH("GOOD",Z388)))</formula>
    </cfRule>
  </conditionalFormatting>
  <conditionalFormatting sqref="L388">
    <cfRule type="containsText" dxfId="6451" priority="502" operator="containsText" text="FAIL">
      <formula>NOT(ISERROR(SEARCH("FAIL",L388)))</formula>
    </cfRule>
  </conditionalFormatting>
  <conditionalFormatting sqref="L388">
    <cfRule type="containsText" dxfId="6450" priority="501" operator="containsText" text="GOOD">
      <formula>NOT(ISERROR(SEARCH("GOOD",L388)))</formula>
    </cfRule>
  </conditionalFormatting>
  <conditionalFormatting sqref="AQ388:AQ395">
    <cfRule type="cellIs" dxfId="6449" priority="498" operator="equal">
      <formula>"Only 1 bidder"</formula>
    </cfRule>
    <cfRule type="containsText" dxfId="6448" priority="500" operator="containsText" text="VOID">
      <formula>NOT(ISERROR(SEARCH("VOID",AQ388)))</formula>
    </cfRule>
  </conditionalFormatting>
  <conditionalFormatting sqref="AR388:AR390">
    <cfRule type="containsText" dxfId="6447" priority="499" operator="containsText" text="VOID">
      <formula>NOT(ISERROR(SEARCH("VOID",AR388)))</formula>
    </cfRule>
  </conditionalFormatting>
  <conditionalFormatting sqref="L389">
    <cfRule type="containsText" dxfId="6446" priority="495" operator="containsText" text="FAIL">
      <formula>NOT(ISERROR(SEARCH("FAIL",L389)))</formula>
    </cfRule>
  </conditionalFormatting>
  <conditionalFormatting sqref="L389">
    <cfRule type="containsText" dxfId="6445" priority="494" operator="containsText" text="GOOD">
      <formula>NOT(ISERROR(SEARCH("GOOD",L389)))</formula>
    </cfRule>
  </conditionalFormatting>
  <conditionalFormatting sqref="B390">
    <cfRule type="containsText" dxfId="6444" priority="493" operator="containsText" text="FAIL">
      <formula>NOT(ISERROR(SEARCH("FAIL",B390)))</formula>
    </cfRule>
  </conditionalFormatting>
  <conditionalFormatting sqref="B390">
    <cfRule type="containsText" dxfId="6443" priority="492" operator="containsText" text="GOOD">
      <formula>NOT(ISERROR(SEARCH("GOOD",B390)))</formula>
    </cfRule>
  </conditionalFormatting>
  <conditionalFormatting sqref="L390">
    <cfRule type="containsText" dxfId="6442" priority="491" operator="containsText" text="FAIL">
      <formula>NOT(ISERROR(SEARCH("FAIL",L390)))</formula>
    </cfRule>
  </conditionalFormatting>
  <conditionalFormatting sqref="L390">
    <cfRule type="containsText" dxfId="6441" priority="490" operator="containsText" text="GOOD">
      <formula>NOT(ISERROR(SEARCH("GOOD",L390)))</formula>
    </cfRule>
  </conditionalFormatting>
  <conditionalFormatting sqref="Z390:AA390">
    <cfRule type="containsText" dxfId="6440" priority="489" operator="containsText" text="FAIL">
      <formula>NOT(ISERROR(SEARCH("FAIL",Z390)))</formula>
    </cfRule>
  </conditionalFormatting>
  <conditionalFormatting sqref="Z390:AA390">
    <cfRule type="containsText" dxfId="6439" priority="488" operator="containsText" text="GOOD">
      <formula>NOT(ISERROR(SEARCH("GOOD",Z390)))</formula>
    </cfRule>
  </conditionalFormatting>
  <conditionalFormatting sqref="AS390">
    <cfRule type="containsText" dxfId="6438" priority="487" operator="containsText" text="VOID">
      <formula>NOT(ISERROR(SEARCH("VOID",AS390)))</formula>
    </cfRule>
  </conditionalFormatting>
  <conditionalFormatting sqref="Z391:AA391">
    <cfRule type="containsText" dxfId="6437" priority="486" operator="containsText" text="FAIL">
      <formula>NOT(ISERROR(SEARCH("FAIL",Z391)))</formula>
    </cfRule>
  </conditionalFormatting>
  <conditionalFormatting sqref="Z391:AA391">
    <cfRule type="containsText" dxfId="6436" priority="485" operator="containsText" text="GOOD">
      <formula>NOT(ISERROR(SEARCH("GOOD",Z391)))</formula>
    </cfRule>
  </conditionalFormatting>
  <conditionalFormatting sqref="L391">
    <cfRule type="containsText" dxfId="6435" priority="484" operator="containsText" text="FAIL">
      <formula>NOT(ISERROR(SEARCH("FAIL",L391)))</formula>
    </cfRule>
  </conditionalFormatting>
  <conditionalFormatting sqref="L391">
    <cfRule type="containsText" dxfId="6434" priority="483" operator="containsText" text="GOOD">
      <formula>NOT(ISERROR(SEARCH("GOOD",L391)))</formula>
    </cfRule>
  </conditionalFormatting>
  <conditionalFormatting sqref="AS391:AS392">
    <cfRule type="containsText" dxfId="6433" priority="482" operator="containsText" text="VOID">
      <formula>NOT(ISERROR(SEARCH("VOID",AS391)))</formula>
    </cfRule>
  </conditionalFormatting>
  <conditionalFormatting sqref="AR391:AR392">
    <cfRule type="containsText" dxfId="6432" priority="481" operator="containsText" text="VOID">
      <formula>NOT(ISERROR(SEARCH("VOID",AR391)))</formula>
    </cfRule>
  </conditionalFormatting>
  <conditionalFormatting sqref="L392">
    <cfRule type="containsText" dxfId="6431" priority="480" operator="containsText" text="FAIL">
      <formula>NOT(ISERROR(SEARCH("FAIL",L392)))</formula>
    </cfRule>
  </conditionalFormatting>
  <conditionalFormatting sqref="L392">
    <cfRule type="containsText" dxfId="6430" priority="479" operator="containsText" text="GOOD">
      <formula>NOT(ISERROR(SEARCH("GOOD",L392)))</formula>
    </cfRule>
  </conditionalFormatting>
  <conditionalFormatting sqref="Z392:AA392">
    <cfRule type="containsText" dxfId="6429" priority="478" operator="containsText" text="FAIL">
      <formula>NOT(ISERROR(SEARCH("FAIL",Z392)))</formula>
    </cfRule>
  </conditionalFormatting>
  <conditionalFormatting sqref="Z392:AA392">
    <cfRule type="containsText" dxfId="6428" priority="477" operator="containsText" text="GOOD">
      <formula>NOT(ISERROR(SEARCH("GOOD",Z392)))</formula>
    </cfRule>
  </conditionalFormatting>
  <conditionalFormatting sqref="L393">
    <cfRule type="containsText" dxfId="6427" priority="476" operator="containsText" text="FAIL">
      <formula>NOT(ISERROR(SEARCH("FAIL",L393)))</formula>
    </cfRule>
  </conditionalFormatting>
  <conditionalFormatting sqref="L393">
    <cfRule type="containsText" dxfId="6426" priority="475" operator="containsText" text="GOOD">
      <formula>NOT(ISERROR(SEARCH("GOOD",L393)))</formula>
    </cfRule>
  </conditionalFormatting>
  <conditionalFormatting sqref="Z393:AA393">
    <cfRule type="containsText" dxfId="6425" priority="474" operator="containsText" text="FAIL">
      <formula>NOT(ISERROR(SEARCH("FAIL",Z393)))</formula>
    </cfRule>
  </conditionalFormatting>
  <conditionalFormatting sqref="Z393:AA393">
    <cfRule type="containsText" dxfId="6424" priority="473" operator="containsText" text="GOOD">
      <formula>NOT(ISERROR(SEARCH("GOOD",Z393)))</formula>
    </cfRule>
  </conditionalFormatting>
  <conditionalFormatting sqref="AR393:AR395">
    <cfRule type="containsText" dxfId="6423" priority="472" operator="containsText" text="VOID">
      <formula>NOT(ISERROR(SEARCH("VOID",AR393)))</formula>
    </cfRule>
  </conditionalFormatting>
  <conditionalFormatting sqref="L394">
    <cfRule type="containsText" dxfId="6422" priority="471" operator="containsText" text="FAIL">
      <formula>NOT(ISERROR(SEARCH("FAIL",L394)))</formula>
    </cfRule>
  </conditionalFormatting>
  <conditionalFormatting sqref="L394">
    <cfRule type="containsText" dxfId="6421" priority="470" operator="containsText" text="GOOD">
      <formula>NOT(ISERROR(SEARCH("GOOD",L394)))</formula>
    </cfRule>
  </conditionalFormatting>
  <conditionalFormatting sqref="Z394:AA394">
    <cfRule type="containsText" dxfId="6420" priority="469" operator="containsText" text="FAIL">
      <formula>NOT(ISERROR(SEARCH("FAIL",Z394)))</formula>
    </cfRule>
  </conditionalFormatting>
  <conditionalFormatting sqref="Z394:AA394">
    <cfRule type="containsText" dxfId="6419" priority="468" operator="containsText" text="GOOD">
      <formula>NOT(ISERROR(SEARCH("GOOD",Z394)))</formula>
    </cfRule>
  </conditionalFormatting>
  <conditionalFormatting sqref="L395">
    <cfRule type="containsText" dxfId="6418" priority="467" operator="containsText" text="FAIL">
      <formula>NOT(ISERROR(SEARCH("FAIL",L395)))</formula>
    </cfRule>
  </conditionalFormatting>
  <conditionalFormatting sqref="L395">
    <cfRule type="containsText" dxfId="6417" priority="466" operator="containsText" text="GOOD">
      <formula>NOT(ISERROR(SEARCH("GOOD",L395)))</formula>
    </cfRule>
  </conditionalFormatting>
  <conditionalFormatting sqref="Z395:AA395">
    <cfRule type="containsText" dxfId="6416" priority="465" operator="containsText" text="FAIL">
      <formula>NOT(ISERROR(SEARCH("FAIL",Z395)))</formula>
    </cfRule>
  </conditionalFormatting>
  <conditionalFormatting sqref="Z395:AA395">
    <cfRule type="containsText" dxfId="6415" priority="464" operator="containsText" text="GOOD">
      <formula>NOT(ISERROR(SEARCH("GOOD",Z395)))</formula>
    </cfRule>
  </conditionalFormatting>
  <conditionalFormatting sqref="Z398:AA398">
    <cfRule type="containsText" dxfId="6414" priority="409" operator="containsText" text="FAIL">
      <formula>NOT(ISERROR(SEARCH("FAIL",Z398)))</formula>
    </cfRule>
  </conditionalFormatting>
  <conditionalFormatting sqref="Z398:AA398">
    <cfRule type="containsText" dxfId="6413" priority="408" operator="containsText" text="GOOD">
      <formula>NOT(ISERROR(SEARCH("GOOD",Z398)))</formula>
    </cfRule>
  </conditionalFormatting>
  <conditionalFormatting sqref="L398">
    <cfRule type="containsText" dxfId="6412" priority="407" operator="containsText" text="FAIL">
      <formula>NOT(ISERROR(SEARCH("FAIL",L398)))</formula>
    </cfRule>
  </conditionalFormatting>
  <conditionalFormatting sqref="L398">
    <cfRule type="containsText" dxfId="6411" priority="406" operator="containsText" text="GOOD">
      <formula>NOT(ISERROR(SEARCH("GOOD",L398)))</formula>
    </cfRule>
  </conditionalFormatting>
  <conditionalFormatting sqref="AQ398">
    <cfRule type="cellIs" dxfId="6410" priority="403" operator="equal">
      <formula>"Only 1 bidder"</formula>
    </cfRule>
    <cfRule type="containsText" dxfId="6409" priority="405" operator="containsText" text="VOID">
      <formula>NOT(ISERROR(SEARCH("VOID",AQ398)))</formula>
    </cfRule>
  </conditionalFormatting>
  <conditionalFormatting sqref="AR398">
    <cfRule type="containsText" dxfId="6408" priority="404" operator="containsText" text="VOID">
      <formula>NOT(ISERROR(SEARCH("VOID",AR398)))</formula>
    </cfRule>
  </conditionalFormatting>
  <conditionalFormatting sqref="Z399:AA399">
    <cfRule type="containsText" dxfId="6407" priority="402" operator="containsText" text="FAIL">
      <formula>NOT(ISERROR(SEARCH("FAIL",Z399)))</formula>
    </cfRule>
  </conditionalFormatting>
  <conditionalFormatting sqref="Z399:AA399">
    <cfRule type="containsText" dxfId="6406" priority="401" operator="containsText" text="GOOD">
      <formula>NOT(ISERROR(SEARCH("GOOD",Z399)))</formula>
    </cfRule>
  </conditionalFormatting>
  <conditionalFormatting sqref="L399">
    <cfRule type="containsText" dxfId="6405" priority="400" operator="containsText" text="FAIL">
      <formula>NOT(ISERROR(SEARCH("FAIL",L399)))</formula>
    </cfRule>
  </conditionalFormatting>
  <conditionalFormatting sqref="L399">
    <cfRule type="containsText" dxfId="6404" priority="399" operator="containsText" text="GOOD">
      <formula>NOT(ISERROR(SEARCH("GOOD",L399)))</formula>
    </cfRule>
  </conditionalFormatting>
  <conditionalFormatting sqref="AQ399:AQ405">
    <cfRule type="cellIs" dxfId="6403" priority="396" operator="equal">
      <formula>"Only 1 bidder"</formula>
    </cfRule>
    <cfRule type="containsText" dxfId="6402" priority="398" operator="containsText" text="VOID">
      <formula>NOT(ISERROR(SEARCH("VOID",AQ399)))</formula>
    </cfRule>
  </conditionalFormatting>
  <conditionalFormatting sqref="AR399:AR401">
    <cfRule type="containsText" dxfId="6401" priority="397" operator="containsText" text="VOID">
      <formula>NOT(ISERROR(SEARCH("VOID",AR399)))</formula>
    </cfRule>
  </conditionalFormatting>
  <conditionalFormatting sqref="Z400:AA400">
    <cfRule type="containsText" dxfId="6400" priority="395" operator="containsText" text="FAIL">
      <formula>NOT(ISERROR(SEARCH("FAIL",Z400)))</formula>
    </cfRule>
  </conditionalFormatting>
  <conditionalFormatting sqref="Z400:AA400">
    <cfRule type="containsText" dxfId="6399" priority="394" operator="containsText" text="GOOD">
      <formula>NOT(ISERROR(SEARCH("GOOD",Z400)))</formula>
    </cfRule>
  </conditionalFormatting>
  <conditionalFormatting sqref="L400">
    <cfRule type="containsText" dxfId="6398" priority="393" operator="containsText" text="FAIL">
      <formula>NOT(ISERROR(SEARCH("FAIL",L400)))</formula>
    </cfRule>
  </conditionalFormatting>
  <conditionalFormatting sqref="L400">
    <cfRule type="containsText" dxfId="6397" priority="392" operator="containsText" text="GOOD">
      <formula>NOT(ISERROR(SEARCH("GOOD",L400)))</formula>
    </cfRule>
  </conditionalFormatting>
  <conditionalFormatting sqref="Z401:AA401">
    <cfRule type="containsText" dxfId="6396" priority="391" operator="containsText" text="FAIL">
      <formula>NOT(ISERROR(SEARCH("FAIL",Z401)))</formula>
    </cfRule>
  </conditionalFormatting>
  <conditionalFormatting sqref="Z401:AA401">
    <cfRule type="containsText" dxfId="6395" priority="390" operator="containsText" text="GOOD">
      <formula>NOT(ISERROR(SEARCH("GOOD",Z401)))</formula>
    </cfRule>
  </conditionalFormatting>
  <conditionalFormatting sqref="L401">
    <cfRule type="containsText" dxfId="6394" priority="389" operator="containsText" text="FAIL">
      <formula>NOT(ISERROR(SEARCH("FAIL",L401)))</formula>
    </cfRule>
  </conditionalFormatting>
  <conditionalFormatting sqref="L401">
    <cfRule type="containsText" dxfId="6393" priority="388" operator="containsText" text="GOOD">
      <formula>NOT(ISERROR(SEARCH("GOOD",L401)))</formula>
    </cfRule>
  </conditionalFormatting>
  <conditionalFormatting sqref="L402">
    <cfRule type="containsText" dxfId="6392" priority="387" operator="containsText" text="FAIL">
      <formula>NOT(ISERROR(SEARCH("FAIL",L402)))</formula>
    </cfRule>
  </conditionalFormatting>
  <conditionalFormatting sqref="L402">
    <cfRule type="containsText" dxfId="6391" priority="386" operator="containsText" text="GOOD">
      <formula>NOT(ISERROR(SEARCH("GOOD",L402)))</formula>
    </cfRule>
  </conditionalFormatting>
  <conditionalFormatting sqref="Z402:AA402">
    <cfRule type="containsText" dxfId="6390" priority="385" operator="containsText" text="FAIL">
      <formula>NOT(ISERROR(SEARCH("FAIL",Z402)))</formula>
    </cfRule>
  </conditionalFormatting>
  <conditionalFormatting sqref="Z402:AA402">
    <cfRule type="containsText" dxfId="6389" priority="384" operator="containsText" text="GOOD">
      <formula>NOT(ISERROR(SEARCH("GOOD",Z402)))</formula>
    </cfRule>
  </conditionalFormatting>
  <conditionalFormatting sqref="AS402:AS403">
    <cfRule type="containsText" dxfId="6388" priority="383" operator="containsText" text="VOID">
      <formula>NOT(ISERROR(SEARCH("VOID",AS402)))</formula>
    </cfRule>
  </conditionalFormatting>
  <conditionalFormatting sqref="AR402:AR403">
    <cfRule type="containsText" dxfId="6387" priority="382" operator="containsText" text="VOID">
      <formula>NOT(ISERROR(SEARCH("VOID",AR402)))</formula>
    </cfRule>
  </conditionalFormatting>
  <conditionalFormatting sqref="L403">
    <cfRule type="containsText" dxfId="6386" priority="381" operator="containsText" text="FAIL">
      <formula>NOT(ISERROR(SEARCH("FAIL",L403)))</formula>
    </cfRule>
  </conditionalFormatting>
  <conditionalFormatting sqref="L403">
    <cfRule type="containsText" dxfId="6385" priority="380" operator="containsText" text="GOOD">
      <formula>NOT(ISERROR(SEARCH("GOOD",L403)))</formula>
    </cfRule>
  </conditionalFormatting>
  <conditionalFormatting sqref="Z403:AA403">
    <cfRule type="containsText" dxfId="6384" priority="379" operator="containsText" text="FAIL">
      <formula>NOT(ISERROR(SEARCH("FAIL",Z403)))</formula>
    </cfRule>
  </conditionalFormatting>
  <conditionalFormatting sqref="Z403:AA403">
    <cfRule type="containsText" dxfId="6383" priority="378" operator="containsText" text="GOOD">
      <formula>NOT(ISERROR(SEARCH("GOOD",Z403)))</formula>
    </cfRule>
  </conditionalFormatting>
  <conditionalFormatting sqref="L404:L405">
    <cfRule type="containsText" dxfId="6382" priority="377" operator="containsText" text="FAIL">
      <formula>NOT(ISERROR(SEARCH("FAIL",L404)))</formula>
    </cfRule>
  </conditionalFormatting>
  <conditionalFormatting sqref="L404:L405">
    <cfRule type="containsText" dxfId="6381" priority="376" operator="containsText" text="GOOD">
      <formula>NOT(ISERROR(SEARCH("GOOD",L404)))</formula>
    </cfRule>
  </conditionalFormatting>
  <conditionalFormatting sqref="Z404:AA405">
    <cfRule type="containsText" dxfId="6380" priority="375" operator="containsText" text="FAIL">
      <formula>NOT(ISERROR(SEARCH("FAIL",Z404)))</formula>
    </cfRule>
  </conditionalFormatting>
  <conditionalFormatting sqref="Z404:AA405">
    <cfRule type="containsText" dxfId="6379" priority="374" operator="containsText" text="GOOD">
      <formula>NOT(ISERROR(SEARCH("GOOD",Z404)))</formula>
    </cfRule>
  </conditionalFormatting>
  <conditionalFormatting sqref="AR404:AR405">
    <cfRule type="containsText" dxfId="6378" priority="373" operator="containsText" text="VOID">
      <formula>NOT(ISERROR(SEARCH("VOID",AR404)))</formula>
    </cfRule>
  </conditionalFormatting>
  <conditionalFormatting sqref="L406:L407">
    <cfRule type="containsText" dxfId="6377" priority="372" operator="containsText" text="FAIL">
      <formula>NOT(ISERROR(SEARCH("FAIL",L406)))</formula>
    </cfRule>
  </conditionalFormatting>
  <conditionalFormatting sqref="L406:L407">
    <cfRule type="containsText" dxfId="6376" priority="371" operator="containsText" text="GOOD">
      <formula>NOT(ISERROR(SEARCH("GOOD",L406)))</formula>
    </cfRule>
  </conditionalFormatting>
  <conditionalFormatting sqref="Z408:AA408">
    <cfRule type="containsText" dxfId="6375" priority="370" operator="containsText" text="FAIL">
      <formula>NOT(ISERROR(SEARCH("FAIL",Z408)))</formula>
    </cfRule>
  </conditionalFormatting>
  <conditionalFormatting sqref="Z408:AA408">
    <cfRule type="containsText" dxfId="6374" priority="369" operator="containsText" text="GOOD">
      <formula>NOT(ISERROR(SEARCH("GOOD",Z408)))</formula>
    </cfRule>
  </conditionalFormatting>
  <conditionalFormatting sqref="L408">
    <cfRule type="containsText" dxfId="6373" priority="368" operator="containsText" text="FAIL">
      <formula>NOT(ISERROR(SEARCH("FAIL",L408)))</formula>
    </cfRule>
  </conditionalFormatting>
  <conditionalFormatting sqref="L408">
    <cfRule type="containsText" dxfId="6372" priority="367" operator="containsText" text="GOOD">
      <formula>NOT(ISERROR(SEARCH("GOOD",L408)))</formula>
    </cfRule>
  </conditionalFormatting>
  <conditionalFormatting sqref="AQ408">
    <cfRule type="cellIs" dxfId="6371" priority="363" operator="equal">
      <formula>"Only 1 bidder"</formula>
    </cfRule>
    <cfRule type="containsText" dxfId="6370" priority="366" operator="containsText" text="VOID">
      <formula>NOT(ISERROR(SEARCH("VOID",AQ408)))</formula>
    </cfRule>
  </conditionalFormatting>
  <conditionalFormatting sqref="AS408">
    <cfRule type="containsText" dxfId="6369" priority="365" operator="containsText" text="VOID">
      <formula>NOT(ISERROR(SEARCH("VOID",AS408)))</formula>
    </cfRule>
  </conditionalFormatting>
  <conditionalFormatting sqref="AR408">
    <cfRule type="containsText" dxfId="6368" priority="364" operator="containsText" text="VOID">
      <formula>NOT(ISERROR(SEARCH("VOID",AR408)))</formula>
    </cfRule>
  </conditionalFormatting>
  <conditionalFormatting sqref="L409:L410">
    <cfRule type="containsText" dxfId="6367" priority="362" operator="containsText" text="FAIL">
      <formula>NOT(ISERROR(SEARCH("FAIL",L409)))</formula>
    </cfRule>
  </conditionalFormatting>
  <conditionalFormatting sqref="L409:L410">
    <cfRule type="containsText" dxfId="6366" priority="361" operator="containsText" text="GOOD">
      <formula>NOT(ISERROR(SEARCH("GOOD",L409)))</formula>
    </cfRule>
  </conditionalFormatting>
  <conditionalFormatting sqref="Z411:AA411">
    <cfRule type="containsText" dxfId="6365" priority="360" operator="containsText" text="FAIL">
      <formula>NOT(ISERROR(SEARCH("FAIL",Z411)))</formula>
    </cfRule>
  </conditionalFormatting>
  <conditionalFormatting sqref="Z411:AA411">
    <cfRule type="containsText" dxfId="6364" priority="359" operator="containsText" text="GOOD">
      <formula>NOT(ISERROR(SEARCH("GOOD",Z411)))</formula>
    </cfRule>
  </conditionalFormatting>
  <conditionalFormatting sqref="L411">
    <cfRule type="containsText" dxfId="6363" priority="358" operator="containsText" text="FAIL">
      <formula>NOT(ISERROR(SEARCH("FAIL",L411)))</formula>
    </cfRule>
  </conditionalFormatting>
  <conditionalFormatting sqref="L411">
    <cfRule type="containsText" dxfId="6362" priority="357" operator="containsText" text="GOOD">
      <formula>NOT(ISERROR(SEARCH("GOOD",L411)))</formula>
    </cfRule>
  </conditionalFormatting>
  <conditionalFormatting sqref="Z414:AA414">
    <cfRule type="containsText" dxfId="6361" priority="353" operator="containsText" text="FAIL">
      <formula>NOT(ISERROR(SEARCH("FAIL",Z414)))</formula>
    </cfRule>
  </conditionalFormatting>
  <conditionalFormatting sqref="Z414:AA414">
    <cfRule type="containsText" dxfId="6360" priority="352" operator="containsText" text="GOOD">
      <formula>NOT(ISERROR(SEARCH("GOOD",Z414)))</formula>
    </cfRule>
  </conditionalFormatting>
  <conditionalFormatting sqref="L414">
    <cfRule type="containsText" dxfId="6359" priority="351" operator="containsText" text="FAIL">
      <formula>NOT(ISERROR(SEARCH("FAIL",L414)))</formula>
    </cfRule>
  </conditionalFormatting>
  <conditionalFormatting sqref="L414">
    <cfRule type="containsText" dxfId="6358" priority="350" operator="containsText" text="GOOD">
      <formula>NOT(ISERROR(SEARCH("GOOD",L414)))</formula>
    </cfRule>
  </conditionalFormatting>
  <conditionalFormatting sqref="Z413:AA414">
    <cfRule type="containsText" dxfId="6357" priority="349" operator="containsText" text="FAIL">
      <formula>NOT(ISERROR(SEARCH("FAIL",Z413)))</formula>
    </cfRule>
  </conditionalFormatting>
  <conditionalFormatting sqref="Z413:AA414">
    <cfRule type="containsText" dxfId="6356" priority="348" operator="containsText" text="GOOD">
      <formula>NOT(ISERROR(SEARCH("GOOD",Z413)))</formula>
    </cfRule>
  </conditionalFormatting>
  <conditionalFormatting sqref="L413:L414">
    <cfRule type="containsText" dxfId="6355" priority="347" operator="containsText" text="FAIL">
      <formula>NOT(ISERROR(SEARCH("FAIL",L413)))</formula>
    </cfRule>
  </conditionalFormatting>
  <conditionalFormatting sqref="L413:L414">
    <cfRule type="containsText" dxfId="6354" priority="346" operator="containsText" text="GOOD">
      <formula>NOT(ISERROR(SEARCH("GOOD",L413)))</formula>
    </cfRule>
  </conditionalFormatting>
  <conditionalFormatting sqref="Z412:AA414">
    <cfRule type="containsText" dxfId="6353" priority="343" operator="containsText" text="FAIL">
      <formula>NOT(ISERROR(SEARCH("FAIL",Z412)))</formula>
    </cfRule>
  </conditionalFormatting>
  <conditionalFormatting sqref="Z412:AA414">
    <cfRule type="containsText" dxfId="6352" priority="342" operator="containsText" text="GOOD">
      <formula>NOT(ISERROR(SEARCH("GOOD",Z412)))</formula>
    </cfRule>
  </conditionalFormatting>
  <conditionalFormatting sqref="L412:L414">
    <cfRule type="containsText" dxfId="6351" priority="341" operator="containsText" text="FAIL">
      <formula>NOT(ISERROR(SEARCH("FAIL",L412)))</formula>
    </cfRule>
  </conditionalFormatting>
  <conditionalFormatting sqref="L412:L414">
    <cfRule type="containsText" dxfId="6350" priority="340" operator="containsText" text="GOOD">
      <formula>NOT(ISERROR(SEARCH("GOOD",L412)))</formula>
    </cfRule>
  </conditionalFormatting>
  <conditionalFormatting sqref="L439">
    <cfRule type="containsText" dxfId="6349" priority="326" operator="containsText" text="FAIL">
      <formula>NOT(ISERROR(SEARCH("FAIL",L439)))</formula>
    </cfRule>
  </conditionalFormatting>
  <conditionalFormatting sqref="L439">
    <cfRule type="containsText" dxfId="6348" priority="325" operator="containsText" text="GOOD">
      <formula>NOT(ISERROR(SEARCH("GOOD",L439)))</formula>
    </cfRule>
  </conditionalFormatting>
  <conditionalFormatting sqref="Z438:AA438">
    <cfRule type="containsText" dxfId="6347" priority="335" operator="containsText" text="FAIL">
      <formula>NOT(ISERROR(SEARCH("FAIL",Z438)))</formula>
    </cfRule>
  </conditionalFormatting>
  <conditionalFormatting sqref="Z438:AA438">
    <cfRule type="containsText" dxfId="6346" priority="334" operator="containsText" text="GOOD">
      <formula>NOT(ISERROR(SEARCH("GOOD",Z438)))</formula>
    </cfRule>
  </conditionalFormatting>
  <conditionalFormatting sqref="L438">
    <cfRule type="containsText" dxfId="6345" priority="333" operator="containsText" text="FAIL">
      <formula>NOT(ISERROR(SEARCH("FAIL",L438)))</formula>
    </cfRule>
  </conditionalFormatting>
  <conditionalFormatting sqref="L438">
    <cfRule type="containsText" dxfId="6344" priority="332" operator="containsText" text="GOOD">
      <formula>NOT(ISERROR(SEARCH("GOOD",L438)))</formula>
    </cfRule>
  </conditionalFormatting>
  <conditionalFormatting sqref="AQ438">
    <cfRule type="cellIs" dxfId="6343" priority="329" operator="equal">
      <formula>"Only 1 bidder"</formula>
    </cfRule>
    <cfRule type="containsText" dxfId="6342" priority="331" operator="containsText" text="VOID">
      <formula>NOT(ISERROR(SEARCH("VOID",AQ438)))</formula>
    </cfRule>
  </conditionalFormatting>
  <conditionalFormatting sqref="AR438">
    <cfRule type="containsText" dxfId="6341" priority="330" operator="containsText" text="VOID">
      <formula>NOT(ISERROR(SEARCH("VOID",AR438)))</formula>
    </cfRule>
  </conditionalFormatting>
  <conditionalFormatting sqref="Z439:AA439">
    <cfRule type="containsText" dxfId="6340" priority="328" operator="containsText" text="FAIL">
      <formula>NOT(ISERROR(SEARCH("FAIL",Z439)))</formula>
    </cfRule>
  </conditionalFormatting>
  <conditionalFormatting sqref="Z439:AA439">
    <cfRule type="containsText" dxfId="6339" priority="327" operator="containsText" text="GOOD">
      <formula>NOT(ISERROR(SEARCH("GOOD",Z439)))</formula>
    </cfRule>
  </conditionalFormatting>
  <conditionalFormatting sqref="AQ439">
    <cfRule type="cellIs" dxfId="6338" priority="322" operator="equal">
      <formula>"Only 1 bidder"</formula>
    </cfRule>
    <cfRule type="containsText" dxfId="6337" priority="324" operator="containsText" text="VOID">
      <formula>NOT(ISERROR(SEARCH("VOID",AQ439)))</formula>
    </cfRule>
  </conditionalFormatting>
  <conditionalFormatting sqref="AR439">
    <cfRule type="containsText" dxfId="6336" priority="323" operator="containsText" text="VOID">
      <formula>NOT(ISERROR(SEARCH("VOID",AR439)))</formula>
    </cfRule>
  </conditionalFormatting>
  <conditionalFormatting sqref="Z440:AA440">
    <cfRule type="containsText" dxfId="6335" priority="321" operator="containsText" text="FAIL">
      <formula>NOT(ISERROR(SEARCH("FAIL",Z440)))</formula>
    </cfRule>
  </conditionalFormatting>
  <conditionalFormatting sqref="Z440:AA440">
    <cfRule type="containsText" dxfId="6334" priority="320" operator="containsText" text="GOOD">
      <formula>NOT(ISERROR(SEARCH("GOOD",Z440)))</formula>
    </cfRule>
  </conditionalFormatting>
  <conditionalFormatting sqref="L440">
    <cfRule type="containsText" dxfId="6333" priority="319" operator="containsText" text="FAIL">
      <formula>NOT(ISERROR(SEARCH("FAIL",L440)))</formula>
    </cfRule>
  </conditionalFormatting>
  <conditionalFormatting sqref="L440">
    <cfRule type="containsText" dxfId="6332" priority="318" operator="containsText" text="GOOD">
      <formula>NOT(ISERROR(SEARCH("GOOD",L440)))</formula>
    </cfRule>
  </conditionalFormatting>
  <conditionalFormatting sqref="AQ440">
    <cfRule type="cellIs" dxfId="6331" priority="315" operator="equal">
      <formula>"Only 1 bidder"</formula>
    </cfRule>
    <cfRule type="containsText" dxfId="6330" priority="317" operator="containsText" text="VOID">
      <formula>NOT(ISERROR(SEARCH("VOID",AQ440)))</formula>
    </cfRule>
  </conditionalFormatting>
  <conditionalFormatting sqref="AR440">
    <cfRule type="containsText" dxfId="6329" priority="316" operator="containsText" text="VOID">
      <formula>NOT(ISERROR(SEARCH("VOID",AR440)))</formula>
    </cfRule>
  </conditionalFormatting>
  <conditionalFormatting sqref="Z441:AA441">
    <cfRule type="containsText" dxfId="6328" priority="314" operator="containsText" text="FAIL">
      <formula>NOT(ISERROR(SEARCH("FAIL",Z441)))</formula>
    </cfRule>
  </conditionalFormatting>
  <conditionalFormatting sqref="Z441:AA441">
    <cfRule type="containsText" dxfId="6327" priority="313" operator="containsText" text="GOOD">
      <formula>NOT(ISERROR(SEARCH("GOOD",Z441)))</formula>
    </cfRule>
  </conditionalFormatting>
  <conditionalFormatting sqref="L441">
    <cfRule type="containsText" dxfId="6326" priority="312" operator="containsText" text="FAIL">
      <formula>NOT(ISERROR(SEARCH("FAIL",L441)))</formula>
    </cfRule>
  </conditionalFormatting>
  <conditionalFormatting sqref="L441">
    <cfRule type="containsText" dxfId="6325" priority="311" operator="containsText" text="GOOD">
      <formula>NOT(ISERROR(SEARCH("GOOD",L441)))</formula>
    </cfRule>
  </conditionalFormatting>
  <conditionalFormatting sqref="AQ441">
    <cfRule type="cellIs" dxfId="6324" priority="308" operator="equal">
      <formula>"Only 1 bidder"</formula>
    </cfRule>
    <cfRule type="containsText" dxfId="6323" priority="310" operator="containsText" text="VOID">
      <formula>NOT(ISERROR(SEARCH("VOID",AQ441)))</formula>
    </cfRule>
  </conditionalFormatting>
  <conditionalFormatting sqref="AR441">
    <cfRule type="containsText" dxfId="6322" priority="309" operator="containsText" text="VOID">
      <formula>NOT(ISERROR(SEARCH("VOID",AR441)))</formula>
    </cfRule>
  </conditionalFormatting>
  <conditionalFormatting sqref="Z442:AA442">
    <cfRule type="containsText" dxfId="6321" priority="307" operator="containsText" text="FAIL">
      <formula>NOT(ISERROR(SEARCH("FAIL",Z442)))</formula>
    </cfRule>
  </conditionalFormatting>
  <conditionalFormatting sqref="Z442:AA442">
    <cfRule type="containsText" dxfId="6320" priority="306" operator="containsText" text="GOOD">
      <formula>NOT(ISERROR(SEARCH("GOOD",Z442)))</formula>
    </cfRule>
  </conditionalFormatting>
  <conditionalFormatting sqref="L442">
    <cfRule type="containsText" dxfId="6319" priority="305" operator="containsText" text="FAIL">
      <formula>NOT(ISERROR(SEARCH("FAIL",L442)))</formula>
    </cfRule>
  </conditionalFormatting>
  <conditionalFormatting sqref="L442">
    <cfRule type="containsText" dxfId="6318" priority="304" operator="containsText" text="GOOD">
      <formula>NOT(ISERROR(SEARCH("GOOD",L442)))</formula>
    </cfRule>
  </conditionalFormatting>
  <conditionalFormatting sqref="AQ442">
    <cfRule type="cellIs" dxfId="6317" priority="301" operator="equal">
      <formula>"Only 1 bidder"</formula>
    </cfRule>
    <cfRule type="containsText" dxfId="6316" priority="303" operator="containsText" text="VOID">
      <formula>NOT(ISERROR(SEARCH("VOID",AQ442)))</formula>
    </cfRule>
  </conditionalFormatting>
  <conditionalFormatting sqref="AR442">
    <cfRule type="containsText" dxfId="6315" priority="302" operator="containsText" text="VOID">
      <formula>NOT(ISERROR(SEARCH("VOID",AR442)))</formula>
    </cfRule>
  </conditionalFormatting>
  <conditionalFormatting sqref="B443">
    <cfRule type="containsText" dxfId="6314" priority="300" operator="containsText" text="FAIL">
      <formula>NOT(ISERROR(SEARCH("FAIL",B443)))</formula>
    </cfRule>
  </conditionalFormatting>
  <conditionalFormatting sqref="B443">
    <cfRule type="containsText" dxfId="6313" priority="299" operator="containsText" text="GOOD">
      <formula>NOT(ISERROR(SEARCH("GOOD",B443)))</formula>
    </cfRule>
  </conditionalFormatting>
  <conditionalFormatting sqref="L443">
    <cfRule type="containsText" dxfId="6312" priority="298" operator="containsText" text="FAIL">
      <formula>NOT(ISERROR(SEARCH("FAIL",L443)))</formula>
    </cfRule>
  </conditionalFormatting>
  <conditionalFormatting sqref="L443">
    <cfRule type="containsText" dxfId="6311" priority="297" operator="containsText" text="GOOD">
      <formula>NOT(ISERROR(SEARCH("GOOD",L443)))</formula>
    </cfRule>
  </conditionalFormatting>
  <conditionalFormatting sqref="Z443:AA443">
    <cfRule type="containsText" dxfId="6310" priority="296" operator="containsText" text="FAIL">
      <formula>NOT(ISERROR(SEARCH("FAIL",Z443)))</formula>
    </cfRule>
  </conditionalFormatting>
  <conditionalFormatting sqref="Z443:AA443">
    <cfRule type="containsText" dxfId="6309" priority="295" operator="containsText" text="GOOD">
      <formula>NOT(ISERROR(SEARCH("GOOD",Z443)))</formula>
    </cfRule>
  </conditionalFormatting>
  <conditionalFormatting sqref="AQ443:AQ453">
    <cfRule type="cellIs" dxfId="6308" priority="291" operator="equal">
      <formula>"Only 1 bidder"</formula>
    </cfRule>
    <cfRule type="containsText" dxfId="6307" priority="294" operator="containsText" text="VOID">
      <formula>NOT(ISERROR(SEARCH("VOID",AQ443)))</formula>
    </cfRule>
  </conditionalFormatting>
  <conditionalFormatting sqref="AR450 AR443:AR448">
    <cfRule type="containsText" dxfId="6306" priority="293" operator="containsText" text="VOID">
      <formula>NOT(ISERROR(SEARCH("VOID",AR443)))</formula>
    </cfRule>
  </conditionalFormatting>
  <conditionalFormatting sqref="AQ443">
    <cfRule type="containsText" dxfId="6305" priority="292" operator="containsText" text="Only 1 bidder">
      <formula>NOT(ISERROR(SEARCH("Only 1 bidder",AQ443)))</formula>
    </cfRule>
  </conditionalFormatting>
  <conditionalFormatting sqref="Z444:AA444">
    <cfRule type="containsText" dxfId="6304" priority="290" operator="containsText" text="FAIL">
      <formula>NOT(ISERROR(SEARCH("FAIL",Z444)))</formula>
    </cfRule>
  </conditionalFormatting>
  <conditionalFormatting sqref="Z444:AA444">
    <cfRule type="containsText" dxfId="6303" priority="289" operator="containsText" text="GOOD">
      <formula>NOT(ISERROR(SEARCH("GOOD",Z444)))</formula>
    </cfRule>
  </conditionalFormatting>
  <conditionalFormatting sqref="L444">
    <cfRule type="containsText" dxfId="6302" priority="288" operator="containsText" text="FAIL">
      <formula>NOT(ISERROR(SEARCH("FAIL",L444)))</formula>
    </cfRule>
  </conditionalFormatting>
  <conditionalFormatting sqref="L444">
    <cfRule type="containsText" dxfId="6301" priority="287" operator="containsText" text="GOOD">
      <formula>NOT(ISERROR(SEARCH("GOOD",L444)))</formula>
    </cfRule>
  </conditionalFormatting>
  <conditionalFormatting sqref="Z445:AA445">
    <cfRule type="containsText" dxfId="6300" priority="286" operator="containsText" text="FAIL">
      <formula>NOT(ISERROR(SEARCH("FAIL",Z445)))</formula>
    </cfRule>
  </conditionalFormatting>
  <conditionalFormatting sqref="Z445:AA445">
    <cfRule type="containsText" dxfId="6299" priority="285" operator="containsText" text="GOOD">
      <formula>NOT(ISERROR(SEARCH("GOOD",Z445)))</formula>
    </cfRule>
  </conditionalFormatting>
  <conditionalFormatting sqref="L445">
    <cfRule type="containsText" dxfId="6298" priority="284" operator="containsText" text="FAIL">
      <formula>NOT(ISERROR(SEARCH("FAIL",L445)))</formula>
    </cfRule>
  </conditionalFormatting>
  <conditionalFormatting sqref="L445">
    <cfRule type="containsText" dxfId="6297" priority="283" operator="containsText" text="GOOD">
      <formula>NOT(ISERROR(SEARCH("GOOD",L445)))</formula>
    </cfRule>
  </conditionalFormatting>
  <conditionalFormatting sqref="Z446:AA446">
    <cfRule type="containsText" dxfId="6296" priority="282" operator="containsText" text="FAIL">
      <formula>NOT(ISERROR(SEARCH("FAIL",Z446)))</formula>
    </cfRule>
  </conditionalFormatting>
  <conditionalFormatting sqref="Z446:AA446">
    <cfRule type="containsText" dxfId="6295" priority="281" operator="containsText" text="GOOD">
      <formula>NOT(ISERROR(SEARCH("GOOD",Z446)))</formula>
    </cfRule>
  </conditionalFormatting>
  <conditionalFormatting sqref="L446">
    <cfRule type="containsText" dxfId="6294" priority="280" operator="containsText" text="FAIL">
      <formula>NOT(ISERROR(SEARCH("FAIL",L446)))</formula>
    </cfRule>
  </conditionalFormatting>
  <conditionalFormatting sqref="L446">
    <cfRule type="containsText" dxfId="6293" priority="279" operator="containsText" text="GOOD">
      <formula>NOT(ISERROR(SEARCH("GOOD",L446)))</formula>
    </cfRule>
  </conditionalFormatting>
  <conditionalFormatting sqref="Z447:AA447">
    <cfRule type="containsText" dxfId="6292" priority="278" operator="containsText" text="FAIL">
      <formula>NOT(ISERROR(SEARCH("FAIL",Z447)))</formula>
    </cfRule>
  </conditionalFormatting>
  <conditionalFormatting sqref="Z447:AA447">
    <cfRule type="containsText" dxfId="6291" priority="277" operator="containsText" text="GOOD">
      <formula>NOT(ISERROR(SEARCH("GOOD",Z447)))</formula>
    </cfRule>
  </conditionalFormatting>
  <conditionalFormatting sqref="L447">
    <cfRule type="containsText" dxfId="6290" priority="276" operator="containsText" text="FAIL">
      <formula>NOT(ISERROR(SEARCH("FAIL",L447)))</formula>
    </cfRule>
  </conditionalFormatting>
  <conditionalFormatting sqref="L447">
    <cfRule type="containsText" dxfId="6289" priority="275" operator="containsText" text="GOOD">
      <formula>NOT(ISERROR(SEARCH("GOOD",L447)))</formula>
    </cfRule>
  </conditionalFormatting>
  <conditionalFormatting sqref="B448">
    <cfRule type="containsText" dxfId="6288" priority="274" operator="containsText" text="FAIL">
      <formula>NOT(ISERROR(SEARCH("FAIL",B448)))</formula>
    </cfRule>
  </conditionalFormatting>
  <conditionalFormatting sqref="B448">
    <cfRule type="containsText" dxfId="6287" priority="273" operator="containsText" text="GOOD">
      <formula>NOT(ISERROR(SEARCH("GOOD",B448)))</formula>
    </cfRule>
  </conditionalFormatting>
  <conditionalFormatting sqref="L448">
    <cfRule type="containsText" dxfId="6286" priority="272" operator="containsText" text="FAIL">
      <formula>NOT(ISERROR(SEARCH("FAIL",L448)))</formula>
    </cfRule>
  </conditionalFormatting>
  <conditionalFormatting sqref="L448">
    <cfRule type="containsText" dxfId="6285" priority="271" operator="containsText" text="GOOD">
      <formula>NOT(ISERROR(SEARCH("GOOD",L448)))</formula>
    </cfRule>
  </conditionalFormatting>
  <conditionalFormatting sqref="Z448:AA448">
    <cfRule type="containsText" dxfId="6284" priority="270" operator="containsText" text="FAIL">
      <formula>NOT(ISERROR(SEARCH("FAIL",Z448)))</formula>
    </cfRule>
  </conditionalFormatting>
  <conditionalFormatting sqref="Z448:AA448">
    <cfRule type="containsText" dxfId="6283" priority="269" operator="containsText" text="GOOD">
      <formula>NOT(ISERROR(SEARCH("GOOD",Z448)))</formula>
    </cfRule>
  </conditionalFormatting>
  <conditionalFormatting sqref="AS448">
    <cfRule type="containsText" dxfId="6282" priority="268" operator="containsText" text="VOID">
      <formula>NOT(ISERROR(SEARCH("VOID",AS448)))</formula>
    </cfRule>
  </conditionalFormatting>
  <conditionalFormatting sqref="L449">
    <cfRule type="containsText" dxfId="6281" priority="267" operator="containsText" text="FAIL">
      <formula>NOT(ISERROR(SEARCH("FAIL",L449)))</formula>
    </cfRule>
  </conditionalFormatting>
  <conditionalFormatting sqref="L449">
    <cfRule type="containsText" dxfId="6280" priority="266" operator="containsText" text="GOOD">
      <formula>NOT(ISERROR(SEARCH("GOOD",L449)))</formula>
    </cfRule>
  </conditionalFormatting>
  <conditionalFormatting sqref="Z449:AA449">
    <cfRule type="containsText" dxfId="6279" priority="265" operator="containsText" text="FAIL">
      <formula>NOT(ISERROR(SEARCH("FAIL",Z449)))</formula>
    </cfRule>
  </conditionalFormatting>
  <conditionalFormatting sqref="Z449:AA449">
    <cfRule type="containsText" dxfId="6278" priority="264" operator="containsText" text="GOOD">
      <formula>NOT(ISERROR(SEARCH("GOOD",Z449)))</formula>
    </cfRule>
  </conditionalFormatting>
  <conditionalFormatting sqref="AS449">
    <cfRule type="containsText" dxfId="6277" priority="263" operator="containsText" text="VOID">
      <formula>NOT(ISERROR(SEARCH("VOID",AS449)))</formula>
    </cfRule>
  </conditionalFormatting>
  <conditionalFormatting sqref="AR449">
    <cfRule type="containsText" dxfId="6276" priority="262" operator="containsText" text="VOID">
      <formula>NOT(ISERROR(SEARCH("VOID",AR449)))</formula>
    </cfRule>
  </conditionalFormatting>
  <conditionalFormatting sqref="L450">
    <cfRule type="containsText" dxfId="6275" priority="261" operator="containsText" text="FAIL">
      <formula>NOT(ISERROR(SEARCH("FAIL",L450)))</formula>
    </cfRule>
  </conditionalFormatting>
  <conditionalFormatting sqref="L450">
    <cfRule type="containsText" dxfId="6274" priority="260" operator="containsText" text="GOOD">
      <formula>NOT(ISERROR(SEARCH("GOOD",L450)))</formula>
    </cfRule>
  </conditionalFormatting>
  <conditionalFormatting sqref="Z450:AA450">
    <cfRule type="containsText" dxfId="6273" priority="259" operator="containsText" text="FAIL">
      <formula>NOT(ISERROR(SEARCH("FAIL",Z450)))</formula>
    </cfRule>
  </conditionalFormatting>
  <conditionalFormatting sqref="Z450:AA450">
    <cfRule type="containsText" dxfId="6272" priority="258" operator="containsText" text="GOOD">
      <formula>NOT(ISERROR(SEARCH("GOOD",Z450)))</formula>
    </cfRule>
  </conditionalFormatting>
  <conditionalFormatting sqref="L451">
    <cfRule type="containsText" dxfId="6271" priority="257" operator="containsText" text="FAIL">
      <formula>NOT(ISERROR(SEARCH("FAIL",L451)))</formula>
    </cfRule>
  </conditionalFormatting>
  <conditionalFormatting sqref="L451">
    <cfRule type="containsText" dxfId="6270" priority="256" operator="containsText" text="GOOD">
      <formula>NOT(ISERROR(SEARCH("GOOD",L451)))</formula>
    </cfRule>
  </conditionalFormatting>
  <conditionalFormatting sqref="Z451:AA451">
    <cfRule type="containsText" dxfId="6269" priority="255" operator="containsText" text="FAIL">
      <formula>NOT(ISERROR(SEARCH("FAIL",Z451)))</formula>
    </cfRule>
  </conditionalFormatting>
  <conditionalFormatting sqref="Z451:AA451">
    <cfRule type="containsText" dxfId="6268" priority="254" operator="containsText" text="GOOD">
      <formula>NOT(ISERROR(SEARCH("GOOD",Z451)))</formula>
    </cfRule>
  </conditionalFormatting>
  <conditionalFormatting sqref="AR451:AR453">
    <cfRule type="containsText" dxfId="6267" priority="253" operator="containsText" text="VOID">
      <formula>NOT(ISERROR(SEARCH("VOID",AR451)))</formula>
    </cfRule>
  </conditionalFormatting>
  <conditionalFormatting sqref="L452:L453">
    <cfRule type="containsText" dxfId="6266" priority="252" operator="containsText" text="FAIL">
      <formula>NOT(ISERROR(SEARCH("FAIL",L452)))</formula>
    </cfRule>
  </conditionalFormatting>
  <conditionalFormatting sqref="L452:L453">
    <cfRule type="containsText" dxfId="6265" priority="251" operator="containsText" text="GOOD">
      <formula>NOT(ISERROR(SEARCH("GOOD",L452)))</formula>
    </cfRule>
  </conditionalFormatting>
  <conditionalFormatting sqref="Z452:AA453">
    <cfRule type="containsText" dxfId="6264" priority="250" operator="containsText" text="FAIL">
      <formula>NOT(ISERROR(SEARCH("FAIL",Z452)))</formula>
    </cfRule>
  </conditionalFormatting>
  <conditionalFormatting sqref="Z452:AA453">
    <cfRule type="containsText" dxfId="6263" priority="249" operator="containsText" text="GOOD">
      <formula>NOT(ISERROR(SEARCH("GOOD",Z452)))</formula>
    </cfRule>
  </conditionalFormatting>
  <conditionalFormatting sqref="L457">
    <cfRule type="containsText" dxfId="6262" priority="235" operator="containsText" text="FAIL">
      <formula>NOT(ISERROR(SEARCH("FAIL",L457)))</formula>
    </cfRule>
  </conditionalFormatting>
  <conditionalFormatting sqref="L457">
    <cfRule type="containsText" dxfId="6261" priority="234" operator="containsText" text="GOOD">
      <formula>NOT(ISERROR(SEARCH("GOOD",L457)))</formula>
    </cfRule>
  </conditionalFormatting>
  <conditionalFormatting sqref="Z456:AA456">
    <cfRule type="containsText" dxfId="6260" priority="244" operator="containsText" text="FAIL">
      <formula>NOT(ISERROR(SEARCH("FAIL",Z456)))</formula>
    </cfRule>
  </conditionalFormatting>
  <conditionalFormatting sqref="Z456:AA456">
    <cfRule type="containsText" dxfId="6259" priority="243" operator="containsText" text="GOOD">
      <formula>NOT(ISERROR(SEARCH("GOOD",Z456)))</formula>
    </cfRule>
  </conditionalFormatting>
  <conditionalFormatting sqref="L456">
    <cfRule type="containsText" dxfId="6258" priority="242" operator="containsText" text="FAIL">
      <formula>NOT(ISERROR(SEARCH("FAIL",L456)))</formula>
    </cfRule>
  </conditionalFormatting>
  <conditionalFormatting sqref="L456">
    <cfRule type="containsText" dxfId="6257" priority="241" operator="containsText" text="GOOD">
      <formula>NOT(ISERROR(SEARCH("GOOD",L456)))</formula>
    </cfRule>
  </conditionalFormatting>
  <conditionalFormatting sqref="AQ456:AQ461">
    <cfRule type="cellIs" dxfId="6256" priority="238" operator="equal">
      <formula>"Only 1 bidder"</formula>
    </cfRule>
    <cfRule type="containsText" dxfId="6255" priority="240" operator="containsText" text="VOID">
      <formula>NOT(ISERROR(SEARCH("VOID",AQ456)))</formula>
    </cfRule>
  </conditionalFormatting>
  <conditionalFormatting sqref="AR456">
    <cfRule type="containsText" dxfId="6254" priority="239" operator="containsText" text="VOID">
      <formula>NOT(ISERROR(SEARCH("VOID",AR456)))</formula>
    </cfRule>
  </conditionalFormatting>
  <conditionalFormatting sqref="Z457:AA457">
    <cfRule type="containsText" dxfId="6253" priority="237" operator="containsText" text="FAIL">
      <formula>NOT(ISERROR(SEARCH("FAIL",Z457)))</formula>
    </cfRule>
  </conditionalFormatting>
  <conditionalFormatting sqref="Z457:AA457">
    <cfRule type="containsText" dxfId="6252" priority="236" operator="containsText" text="GOOD">
      <formula>NOT(ISERROR(SEARCH("GOOD",Z457)))</formula>
    </cfRule>
  </conditionalFormatting>
  <conditionalFormatting sqref="AS457:AS458">
    <cfRule type="containsText" dxfId="6251" priority="233" operator="containsText" text="VOID">
      <formula>NOT(ISERROR(SEARCH("VOID",AS457)))</formula>
    </cfRule>
  </conditionalFormatting>
  <conditionalFormatting sqref="AR457:AR458">
    <cfRule type="containsText" dxfId="6250" priority="232" operator="containsText" text="VOID">
      <formula>NOT(ISERROR(SEARCH("VOID",AR457)))</formula>
    </cfRule>
  </conditionalFormatting>
  <conditionalFormatting sqref="L458">
    <cfRule type="containsText" dxfId="6249" priority="231" operator="containsText" text="FAIL">
      <formula>NOT(ISERROR(SEARCH("FAIL",L458)))</formula>
    </cfRule>
  </conditionalFormatting>
  <conditionalFormatting sqref="L458">
    <cfRule type="containsText" dxfId="6248" priority="230" operator="containsText" text="GOOD">
      <formula>NOT(ISERROR(SEARCH("GOOD",L458)))</formula>
    </cfRule>
  </conditionalFormatting>
  <conditionalFormatting sqref="Z458:AA458">
    <cfRule type="containsText" dxfId="6247" priority="229" operator="containsText" text="FAIL">
      <formula>NOT(ISERROR(SEARCH("FAIL",Z458)))</formula>
    </cfRule>
  </conditionalFormatting>
  <conditionalFormatting sqref="Z458:AA458">
    <cfRule type="containsText" dxfId="6246" priority="228" operator="containsText" text="GOOD">
      <formula>NOT(ISERROR(SEARCH("GOOD",Z458)))</formula>
    </cfRule>
  </conditionalFormatting>
  <conditionalFormatting sqref="L459:L460">
    <cfRule type="containsText" dxfId="6245" priority="227" operator="containsText" text="FAIL">
      <formula>NOT(ISERROR(SEARCH("FAIL",L459)))</formula>
    </cfRule>
  </conditionalFormatting>
  <conditionalFormatting sqref="L459:L460">
    <cfRule type="containsText" dxfId="6244" priority="226" operator="containsText" text="GOOD">
      <formula>NOT(ISERROR(SEARCH("GOOD",L459)))</formula>
    </cfRule>
  </conditionalFormatting>
  <conditionalFormatting sqref="Z459:AA460">
    <cfRule type="containsText" dxfId="6243" priority="225" operator="containsText" text="FAIL">
      <formula>NOT(ISERROR(SEARCH("FAIL",Z459)))</formula>
    </cfRule>
  </conditionalFormatting>
  <conditionalFormatting sqref="Z459:AA460">
    <cfRule type="containsText" dxfId="6242" priority="224" operator="containsText" text="GOOD">
      <formula>NOT(ISERROR(SEARCH("GOOD",Z459)))</formula>
    </cfRule>
  </conditionalFormatting>
  <conditionalFormatting sqref="AR459:AR461">
    <cfRule type="containsText" dxfId="6241" priority="223" operator="containsText" text="VOID">
      <formula>NOT(ISERROR(SEARCH("VOID",AR459)))</formula>
    </cfRule>
  </conditionalFormatting>
  <conditionalFormatting sqref="L461">
    <cfRule type="containsText" dxfId="6240" priority="222" operator="containsText" text="FAIL">
      <formula>NOT(ISERROR(SEARCH("FAIL",L461)))</formula>
    </cfRule>
  </conditionalFormatting>
  <conditionalFormatting sqref="L461">
    <cfRule type="containsText" dxfId="6239" priority="221" operator="containsText" text="GOOD">
      <formula>NOT(ISERROR(SEARCH("GOOD",L461)))</formula>
    </cfRule>
  </conditionalFormatting>
  <conditionalFormatting sqref="Z461:AA461">
    <cfRule type="containsText" dxfId="6238" priority="220" operator="containsText" text="FAIL">
      <formula>NOT(ISERROR(SEARCH("FAIL",Z461)))</formula>
    </cfRule>
  </conditionalFormatting>
  <conditionalFormatting sqref="Z461:AA461">
    <cfRule type="containsText" dxfId="6237" priority="219" operator="containsText" text="GOOD">
      <formula>NOT(ISERROR(SEARCH("GOOD",Z461)))</formula>
    </cfRule>
  </conditionalFormatting>
  <conditionalFormatting sqref="Z464:AA464">
    <cfRule type="containsText" dxfId="6236" priority="107" operator="containsText" text="FAIL">
      <formula>NOT(ISERROR(SEARCH("FAIL",Z464)))</formula>
    </cfRule>
  </conditionalFormatting>
  <conditionalFormatting sqref="Z464:AA464">
    <cfRule type="containsText" dxfId="6235" priority="106" operator="containsText" text="GOOD">
      <formula>NOT(ISERROR(SEARCH("GOOD",Z464)))</formula>
    </cfRule>
  </conditionalFormatting>
  <conditionalFormatting sqref="L464">
    <cfRule type="containsText" dxfId="6234" priority="105" operator="containsText" text="FAIL">
      <formula>NOT(ISERROR(SEARCH("FAIL",L464)))</formula>
    </cfRule>
  </conditionalFormatting>
  <conditionalFormatting sqref="L464">
    <cfRule type="containsText" dxfId="6233" priority="104" operator="containsText" text="GOOD">
      <formula>NOT(ISERROR(SEARCH("GOOD",L464)))</formula>
    </cfRule>
  </conditionalFormatting>
  <conditionalFormatting sqref="AQ464">
    <cfRule type="cellIs" dxfId="6232" priority="101" operator="equal">
      <formula>"Only 1 bidder"</formula>
    </cfRule>
    <cfRule type="containsText" dxfId="6231" priority="103" operator="containsText" text="VOID">
      <formula>NOT(ISERROR(SEARCH("VOID",AQ464)))</formula>
    </cfRule>
  </conditionalFormatting>
  <conditionalFormatting sqref="AR464">
    <cfRule type="containsText" dxfId="6230" priority="102" operator="containsText" text="VOID">
      <formula>NOT(ISERROR(SEARCH("VOID",AR464)))</formula>
    </cfRule>
  </conditionalFormatting>
  <conditionalFormatting sqref="L466">
    <cfRule type="containsText" dxfId="6229" priority="91" operator="containsText" text="FAIL">
      <formula>NOT(ISERROR(SEARCH("FAIL",L466)))</formula>
    </cfRule>
  </conditionalFormatting>
  <conditionalFormatting sqref="L466">
    <cfRule type="containsText" dxfId="6228" priority="90" operator="containsText" text="GOOD">
      <formula>NOT(ISERROR(SEARCH("GOOD",L466)))</formula>
    </cfRule>
  </conditionalFormatting>
  <conditionalFormatting sqref="Z467:AA467">
    <cfRule type="containsText" dxfId="6227" priority="89" operator="containsText" text="FAIL">
      <formula>NOT(ISERROR(SEARCH("FAIL",Z467)))</formula>
    </cfRule>
  </conditionalFormatting>
  <conditionalFormatting sqref="Z467:AA467">
    <cfRule type="containsText" dxfId="6226" priority="88" operator="containsText" text="GOOD">
      <formula>NOT(ISERROR(SEARCH("GOOD",Z467)))</formula>
    </cfRule>
  </conditionalFormatting>
  <conditionalFormatting sqref="Z465:AA465">
    <cfRule type="containsText" dxfId="6225" priority="100" operator="containsText" text="FAIL">
      <formula>NOT(ISERROR(SEARCH("FAIL",Z465)))</formula>
    </cfRule>
  </conditionalFormatting>
  <conditionalFormatting sqref="Z465:AA465">
    <cfRule type="containsText" dxfId="6224" priority="99" operator="containsText" text="GOOD">
      <formula>NOT(ISERROR(SEARCH("GOOD",Z465)))</formula>
    </cfRule>
  </conditionalFormatting>
  <conditionalFormatting sqref="L465">
    <cfRule type="containsText" dxfId="6223" priority="98" operator="containsText" text="FAIL">
      <formula>NOT(ISERROR(SEARCH("FAIL",L465)))</formula>
    </cfRule>
  </conditionalFormatting>
  <conditionalFormatting sqref="L465">
    <cfRule type="containsText" dxfId="6222" priority="97" operator="containsText" text="GOOD">
      <formula>NOT(ISERROR(SEARCH("GOOD",L465)))</formula>
    </cfRule>
  </conditionalFormatting>
  <conditionalFormatting sqref="AQ465:AQ489">
    <cfRule type="cellIs" dxfId="6221" priority="94" operator="equal">
      <formula>"Only 1 bidder"</formula>
    </cfRule>
    <cfRule type="containsText" dxfId="6220" priority="96" operator="containsText" text="VOID">
      <formula>NOT(ISERROR(SEARCH("VOID",AQ465)))</formula>
    </cfRule>
  </conditionalFormatting>
  <conditionalFormatting sqref="AR465:AR473">
    <cfRule type="containsText" dxfId="6219" priority="95" operator="containsText" text="VOID">
      <formula>NOT(ISERROR(SEARCH("VOID",AR465)))</formula>
    </cfRule>
  </conditionalFormatting>
  <conditionalFormatting sqref="Z466:AA466">
    <cfRule type="containsText" dxfId="6218" priority="93" operator="containsText" text="FAIL">
      <formula>NOT(ISERROR(SEARCH("FAIL",Z466)))</formula>
    </cfRule>
  </conditionalFormatting>
  <conditionalFormatting sqref="Z466:AA466">
    <cfRule type="containsText" dxfId="6217" priority="92" operator="containsText" text="GOOD">
      <formula>NOT(ISERROR(SEARCH("GOOD",Z466)))</formula>
    </cfRule>
  </conditionalFormatting>
  <conditionalFormatting sqref="L467">
    <cfRule type="containsText" dxfId="6216" priority="87" operator="containsText" text="FAIL">
      <formula>NOT(ISERROR(SEARCH("FAIL",L467)))</formula>
    </cfRule>
  </conditionalFormatting>
  <conditionalFormatting sqref="L467">
    <cfRule type="containsText" dxfId="6215" priority="86" operator="containsText" text="GOOD">
      <formula>NOT(ISERROR(SEARCH("GOOD",L467)))</formula>
    </cfRule>
  </conditionalFormatting>
  <conditionalFormatting sqref="Z468:AA468">
    <cfRule type="containsText" dxfId="6214" priority="85" operator="containsText" text="FAIL">
      <formula>NOT(ISERROR(SEARCH("FAIL",Z468)))</formula>
    </cfRule>
  </conditionalFormatting>
  <conditionalFormatting sqref="Z468:AA468">
    <cfRule type="containsText" dxfId="6213" priority="84" operator="containsText" text="GOOD">
      <formula>NOT(ISERROR(SEARCH("GOOD",Z468)))</formula>
    </cfRule>
  </conditionalFormatting>
  <conditionalFormatting sqref="L468">
    <cfRule type="containsText" dxfId="6212" priority="83" operator="containsText" text="FAIL">
      <formula>NOT(ISERROR(SEARCH("FAIL",L468)))</formula>
    </cfRule>
  </conditionalFormatting>
  <conditionalFormatting sqref="L468">
    <cfRule type="containsText" dxfId="6211" priority="82" operator="containsText" text="GOOD">
      <formula>NOT(ISERROR(SEARCH("GOOD",L468)))</formula>
    </cfRule>
  </conditionalFormatting>
  <conditionalFormatting sqref="Z469:AA470">
    <cfRule type="containsText" dxfId="6210" priority="81" operator="containsText" text="FAIL">
      <formula>NOT(ISERROR(SEARCH("FAIL",Z469)))</formula>
    </cfRule>
  </conditionalFormatting>
  <conditionalFormatting sqref="Z469:AA470">
    <cfRule type="containsText" dxfId="6209" priority="80" operator="containsText" text="GOOD">
      <formula>NOT(ISERROR(SEARCH("GOOD",Z469)))</formula>
    </cfRule>
  </conditionalFormatting>
  <conditionalFormatting sqref="L469:L470">
    <cfRule type="containsText" dxfId="6208" priority="79" operator="containsText" text="FAIL">
      <formula>NOT(ISERROR(SEARCH("FAIL",L469)))</formula>
    </cfRule>
  </conditionalFormatting>
  <conditionalFormatting sqref="L469:L470">
    <cfRule type="containsText" dxfId="6207" priority="78" operator="containsText" text="GOOD">
      <formula>NOT(ISERROR(SEARCH("GOOD",L469)))</formula>
    </cfRule>
  </conditionalFormatting>
  <conditionalFormatting sqref="Z471:AA471">
    <cfRule type="containsText" dxfId="6206" priority="77" operator="containsText" text="FAIL">
      <formula>NOT(ISERROR(SEARCH("FAIL",Z471)))</formula>
    </cfRule>
  </conditionalFormatting>
  <conditionalFormatting sqref="Z471:AA471">
    <cfRule type="containsText" dxfId="6205" priority="76" operator="containsText" text="GOOD">
      <formula>NOT(ISERROR(SEARCH("GOOD",Z471)))</formula>
    </cfRule>
  </conditionalFormatting>
  <conditionalFormatting sqref="L471">
    <cfRule type="containsText" dxfId="6204" priority="75" operator="containsText" text="FAIL">
      <formula>NOT(ISERROR(SEARCH("FAIL",L471)))</formula>
    </cfRule>
  </conditionalFormatting>
  <conditionalFormatting sqref="L471">
    <cfRule type="containsText" dxfId="6203" priority="74" operator="containsText" text="GOOD">
      <formula>NOT(ISERROR(SEARCH("GOOD",L471)))</formula>
    </cfRule>
  </conditionalFormatting>
  <conditionalFormatting sqref="Z472:AA472">
    <cfRule type="containsText" dxfId="6202" priority="73" operator="containsText" text="FAIL">
      <formula>NOT(ISERROR(SEARCH("FAIL",Z472)))</formula>
    </cfRule>
  </conditionalFormatting>
  <conditionalFormatting sqref="Z472:AA472">
    <cfRule type="containsText" dxfId="6201" priority="72" operator="containsText" text="GOOD">
      <formula>NOT(ISERROR(SEARCH("GOOD",Z472)))</formula>
    </cfRule>
  </conditionalFormatting>
  <conditionalFormatting sqref="L472">
    <cfRule type="containsText" dxfId="6200" priority="71" operator="containsText" text="FAIL">
      <formula>NOT(ISERROR(SEARCH("FAIL",L472)))</formula>
    </cfRule>
  </conditionalFormatting>
  <conditionalFormatting sqref="L472">
    <cfRule type="containsText" dxfId="6199" priority="70" operator="containsText" text="GOOD">
      <formula>NOT(ISERROR(SEARCH("GOOD",L472)))</formula>
    </cfRule>
  </conditionalFormatting>
  <conditionalFormatting sqref="Z473:AA473">
    <cfRule type="containsText" dxfId="6198" priority="69" operator="containsText" text="FAIL">
      <formula>NOT(ISERROR(SEARCH("FAIL",Z473)))</formula>
    </cfRule>
  </conditionalFormatting>
  <conditionalFormatting sqref="Z473:AA473">
    <cfRule type="containsText" dxfId="6197" priority="68" operator="containsText" text="GOOD">
      <formula>NOT(ISERROR(SEARCH("GOOD",Z473)))</formula>
    </cfRule>
  </conditionalFormatting>
  <conditionalFormatting sqref="L473">
    <cfRule type="containsText" dxfId="6196" priority="67" operator="containsText" text="FAIL">
      <formula>NOT(ISERROR(SEARCH("FAIL",L473)))</formula>
    </cfRule>
  </conditionalFormatting>
  <conditionalFormatting sqref="L473">
    <cfRule type="containsText" dxfId="6195" priority="66" operator="containsText" text="GOOD">
      <formula>NOT(ISERROR(SEARCH("GOOD",L473)))</formula>
    </cfRule>
  </conditionalFormatting>
  <conditionalFormatting sqref="Z474:AA474">
    <cfRule type="containsText" dxfId="6194" priority="65" operator="containsText" text="FAIL">
      <formula>NOT(ISERROR(SEARCH("FAIL",Z474)))</formula>
    </cfRule>
  </conditionalFormatting>
  <conditionalFormatting sqref="Z474:AA474">
    <cfRule type="containsText" dxfId="6193" priority="64" operator="containsText" text="GOOD">
      <formula>NOT(ISERROR(SEARCH("GOOD",Z474)))</formula>
    </cfRule>
  </conditionalFormatting>
  <conditionalFormatting sqref="L474">
    <cfRule type="containsText" dxfId="6192" priority="63" operator="containsText" text="FAIL">
      <formula>NOT(ISERROR(SEARCH("FAIL",L474)))</formula>
    </cfRule>
  </conditionalFormatting>
  <conditionalFormatting sqref="L474">
    <cfRule type="containsText" dxfId="6191" priority="62" operator="containsText" text="GOOD">
      <formula>NOT(ISERROR(SEARCH("GOOD",L474)))</formula>
    </cfRule>
  </conditionalFormatting>
  <conditionalFormatting sqref="AS474:AS482">
    <cfRule type="containsText" dxfId="6190" priority="61" operator="containsText" text="VOID">
      <formula>NOT(ISERROR(SEARCH("VOID",AS474)))</formula>
    </cfRule>
  </conditionalFormatting>
  <conditionalFormatting sqref="AR474:AR482">
    <cfRule type="containsText" dxfId="6189" priority="60" operator="containsText" text="VOID">
      <formula>NOT(ISERROR(SEARCH("VOID",AR474)))</formula>
    </cfRule>
  </conditionalFormatting>
  <conditionalFormatting sqref="Z475:AA475">
    <cfRule type="containsText" dxfId="6188" priority="59" operator="containsText" text="FAIL">
      <formula>NOT(ISERROR(SEARCH("FAIL",Z475)))</formula>
    </cfRule>
  </conditionalFormatting>
  <conditionalFormatting sqref="Z475:AA475">
    <cfRule type="containsText" dxfId="6187" priority="58" operator="containsText" text="GOOD">
      <formula>NOT(ISERROR(SEARCH("GOOD",Z475)))</formula>
    </cfRule>
  </conditionalFormatting>
  <conditionalFormatting sqref="L475">
    <cfRule type="containsText" dxfId="6186" priority="57" operator="containsText" text="FAIL">
      <formula>NOT(ISERROR(SEARCH("FAIL",L475)))</formula>
    </cfRule>
  </conditionalFormatting>
  <conditionalFormatting sqref="L475">
    <cfRule type="containsText" dxfId="6185" priority="56" operator="containsText" text="GOOD">
      <formula>NOT(ISERROR(SEARCH("GOOD",L475)))</formula>
    </cfRule>
  </conditionalFormatting>
  <conditionalFormatting sqref="Z476:AA476">
    <cfRule type="containsText" dxfId="6184" priority="55" operator="containsText" text="FAIL">
      <formula>NOT(ISERROR(SEARCH("FAIL",Z476)))</formula>
    </cfRule>
  </conditionalFormatting>
  <conditionalFormatting sqref="Z476:AA476">
    <cfRule type="containsText" dxfId="6183" priority="54" operator="containsText" text="GOOD">
      <formula>NOT(ISERROR(SEARCH("GOOD",Z476)))</formula>
    </cfRule>
  </conditionalFormatting>
  <conditionalFormatting sqref="L476">
    <cfRule type="containsText" dxfId="6182" priority="53" operator="containsText" text="FAIL">
      <formula>NOT(ISERROR(SEARCH("FAIL",L476)))</formula>
    </cfRule>
  </conditionalFormatting>
  <conditionalFormatting sqref="L476">
    <cfRule type="containsText" dxfId="6181" priority="52" operator="containsText" text="GOOD">
      <formula>NOT(ISERROR(SEARCH("GOOD",L476)))</formula>
    </cfRule>
  </conditionalFormatting>
  <conditionalFormatting sqref="Z477:AA477">
    <cfRule type="containsText" dxfId="6180" priority="51" operator="containsText" text="FAIL">
      <formula>NOT(ISERROR(SEARCH("FAIL",Z477)))</formula>
    </cfRule>
  </conditionalFormatting>
  <conditionalFormatting sqref="Z477:AA477">
    <cfRule type="containsText" dxfId="6179" priority="50" operator="containsText" text="GOOD">
      <formula>NOT(ISERROR(SEARCH("GOOD",Z477)))</formula>
    </cfRule>
  </conditionalFormatting>
  <conditionalFormatting sqref="L477">
    <cfRule type="containsText" dxfId="6178" priority="49" operator="containsText" text="FAIL">
      <formula>NOT(ISERROR(SEARCH("FAIL",L477)))</formula>
    </cfRule>
  </conditionalFormatting>
  <conditionalFormatting sqref="L477">
    <cfRule type="containsText" dxfId="6177" priority="48" operator="containsText" text="GOOD">
      <formula>NOT(ISERROR(SEARCH("GOOD",L477)))</formula>
    </cfRule>
  </conditionalFormatting>
  <conditionalFormatting sqref="Z478:AA478">
    <cfRule type="containsText" dxfId="6176" priority="47" operator="containsText" text="FAIL">
      <formula>NOT(ISERROR(SEARCH("FAIL",Z478)))</formula>
    </cfRule>
  </conditionalFormatting>
  <conditionalFormatting sqref="Z478:AA478">
    <cfRule type="containsText" dxfId="6175" priority="46" operator="containsText" text="GOOD">
      <formula>NOT(ISERROR(SEARCH("GOOD",Z478)))</formula>
    </cfRule>
  </conditionalFormatting>
  <conditionalFormatting sqref="L478">
    <cfRule type="containsText" dxfId="6174" priority="45" operator="containsText" text="FAIL">
      <formula>NOT(ISERROR(SEARCH("FAIL",L478)))</formula>
    </cfRule>
  </conditionalFormatting>
  <conditionalFormatting sqref="L478">
    <cfRule type="containsText" dxfId="6173" priority="44" operator="containsText" text="GOOD">
      <formula>NOT(ISERROR(SEARCH("GOOD",L478)))</formula>
    </cfRule>
  </conditionalFormatting>
  <conditionalFormatting sqref="L479">
    <cfRule type="containsText" dxfId="6172" priority="43" operator="containsText" text="FAIL">
      <formula>NOT(ISERROR(SEARCH("FAIL",L479)))</formula>
    </cfRule>
  </conditionalFormatting>
  <conditionalFormatting sqref="L479">
    <cfRule type="containsText" dxfId="6171" priority="42" operator="containsText" text="GOOD">
      <formula>NOT(ISERROR(SEARCH("GOOD",L479)))</formula>
    </cfRule>
  </conditionalFormatting>
  <conditionalFormatting sqref="Z479:AA479">
    <cfRule type="containsText" dxfId="6170" priority="41" operator="containsText" text="FAIL">
      <formula>NOT(ISERROR(SEARCH("FAIL",Z479)))</formula>
    </cfRule>
  </conditionalFormatting>
  <conditionalFormatting sqref="Z479:AA479">
    <cfRule type="containsText" dxfId="6169" priority="40" operator="containsText" text="GOOD">
      <formula>NOT(ISERROR(SEARCH("GOOD",Z479)))</formula>
    </cfRule>
  </conditionalFormatting>
  <conditionalFormatting sqref="L480:L481">
    <cfRule type="containsText" dxfId="6168" priority="39" operator="containsText" text="FAIL">
      <formula>NOT(ISERROR(SEARCH("FAIL",L480)))</formula>
    </cfRule>
  </conditionalFormatting>
  <conditionalFormatting sqref="L480:L481">
    <cfRule type="containsText" dxfId="6167" priority="38" operator="containsText" text="GOOD">
      <formula>NOT(ISERROR(SEARCH("GOOD",L480)))</formula>
    </cfRule>
  </conditionalFormatting>
  <conditionalFormatting sqref="Z480:AA481">
    <cfRule type="containsText" dxfId="6166" priority="37" operator="containsText" text="FAIL">
      <formula>NOT(ISERROR(SEARCH("FAIL",Z480)))</formula>
    </cfRule>
  </conditionalFormatting>
  <conditionalFormatting sqref="Z480:AA481">
    <cfRule type="containsText" dxfId="6165" priority="36" operator="containsText" text="GOOD">
      <formula>NOT(ISERROR(SEARCH("GOOD",Z480)))</formula>
    </cfRule>
  </conditionalFormatting>
  <conditionalFormatting sqref="B482">
    <cfRule type="containsText" dxfId="6164" priority="35" operator="containsText" text="FAIL">
      <formula>NOT(ISERROR(SEARCH("FAIL",B482)))</formula>
    </cfRule>
  </conditionalFormatting>
  <conditionalFormatting sqref="B482">
    <cfRule type="containsText" dxfId="6163" priority="34" operator="containsText" text="GOOD">
      <formula>NOT(ISERROR(SEARCH("GOOD",B482)))</formula>
    </cfRule>
  </conditionalFormatting>
  <conditionalFormatting sqref="L482">
    <cfRule type="containsText" dxfId="6162" priority="33" operator="containsText" text="FAIL">
      <formula>NOT(ISERROR(SEARCH("FAIL",L482)))</formula>
    </cfRule>
  </conditionalFormatting>
  <conditionalFormatting sqref="L482">
    <cfRule type="containsText" dxfId="6161" priority="32" operator="containsText" text="GOOD">
      <formula>NOT(ISERROR(SEARCH("GOOD",L482)))</formula>
    </cfRule>
  </conditionalFormatting>
  <conditionalFormatting sqref="Z482:AA482">
    <cfRule type="containsText" dxfId="6160" priority="31" operator="containsText" text="FAIL">
      <formula>NOT(ISERROR(SEARCH("FAIL",Z482)))</formula>
    </cfRule>
  </conditionalFormatting>
  <conditionalFormatting sqref="Z482:AA482">
    <cfRule type="containsText" dxfId="6159" priority="30" operator="containsText" text="GOOD">
      <formula>NOT(ISERROR(SEARCH("GOOD",Z482)))</formula>
    </cfRule>
  </conditionalFormatting>
  <conditionalFormatting sqref="L483">
    <cfRule type="containsText" dxfId="6158" priority="29" operator="containsText" text="FAIL">
      <formula>NOT(ISERROR(SEARCH("FAIL",L483)))</formula>
    </cfRule>
  </conditionalFormatting>
  <conditionalFormatting sqref="L483">
    <cfRule type="containsText" dxfId="6157" priority="28" operator="containsText" text="GOOD">
      <formula>NOT(ISERROR(SEARCH("GOOD",L483)))</formula>
    </cfRule>
  </conditionalFormatting>
  <conditionalFormatting sqref="Z483:AA483">
    <cfRule type="containsText" dxfId="6156" priority="27" operator="containsText" text="FAIL">
      <formula>NOT(ISERROR(SEARCH("FAIL",Z483)))</formula>
    </cfRule>
  </conditionalFormatting>
  <conditionalFormatting sqref="Z483:AA483">
    <cfRule type="containsText" dxfId="6155" priority="26" operator="containsText" text="GOOD">
      <formula>NOT(ISERROR(SEARCH("GOOD",Z483)))</formula>
    </cfRule>
  </conditionalFormatting>
  <conditionalFormatting sqref="AR483:AR489">
    <cfRule type="containsText" dxfId="6154" priority="25" operator="containsText" text="VOID">
      <formula>NOT(ISERROR(SEARCH("VOID",AR483)))</formula>
    </cfRule>
  </conditionalFormatting>
  <conditionalFormatting sqref="L484">
    <cfRule type="containsText" dxfId="6153" priority="24" operator="containsText" text="FAIL">
      <formula>NOT(ISERROR(SEARCH("FAIL",L484)))</formula>
    </cfRule>
  </conditionalFormatting>
  <conditionalFormatting sqref="L484">
    <cfRule type="containsText" dxfId="6152" priority="23" operator="containsText" text="GOOD">
      <formula>NOT(ISERROR(SEARCH("GOOD",L484)))</formula>
    </cfRule>
  </conditionalFormatting>
  <conditionalFormatting sqref="Z484:AA484">
    <cfRule type="containsText" dxfId="6151" priority="22" operator="containsText" text="FAIL">
      <formula>NOT(ISERROR(SEARCH("FAIL",Z484)))</formula>
    </cfRule>
  </conditionalFormatting>
  <conditionalFormatting sqref="Z484:AA484">
    <cfRule type="containsText" dxfId="6150" priority="21" operator="containsText" text="GOOD">
      <formula>NOT(ISERROR(SEARCH("GOOD",Z484)))</formula>
    </cfRule>
  </conditionalFormatting>
  <conditionalFormatting sqref="L485">
    <cfRule type="containsText" dxfId="6149" priority="20" operator="containsText" text="FAIL">
      <formula>NOT(ISERROR(SEARCH("FAIL",L485)))</formula>
    </cfRule>
  </conditionalFormatting>
  <conditionalFormatting sqref="L485">
    <cfRule type="containsText" dxfId="6148" priority="19" operator="containsText" text="GOOD">
      <formula>NOT(ISERROR(SEARCH("GOOD",L485)))</formula>
    </cfRule>
  </conditionalFormatting>
  <conditionalFormatting sqref="Z485:AA485">
    <cfRule type="containsText" dxfId="6147" priority="18" operator="containsText" text="FAIL">
      <formula>NOT(ISERROR(SEARCH("FAIL",Z485)))</formula>
    </cfRule>
  </conditionalFormatting>
  <conditionalFormatting sqref="Z485:AA485">
    <cfRule type="containsText" dxfId="6146" priority="17" operator="containsText" text="GOOD">
      <formula>NOT(ISERROR(SEARCH("GOOD",Z485)))</formula>
    </cfRule>
  </conditionalFormatting>
  <conditionalFormatting sqref="L486">
    <cfRule type="containsText" dxfId="6145" priority="16" operator="containsText" text="FAIL">
      <formula>NOT(ISERROR(SEARCH("FAIL",L486)))</formula>
    </cfRule>
  </conditionalFormatting>
  <conditionalFormatting sqref="L486">
    <cfRule type="containsText" dxfId="6144" priority="15" operator="containsText" text="GOOD">
      <formula>NOT(ISERROR(SEARCH("GOOD",L486)))</formula>
    </cfRule>
  </conditionalFormatting>
  <conditionalFormatting sqref="Z486:AA486">
    <cfRule type="containsText" dxfId="6143" priority="14" operator="containsText" text="FAIL">
      <formula>NOT(ISERROR(SEARCH("FAIL",Z486)))</formula>
    </cfRule>
  </conditionalFormatting>
  <conditionalFormatting sqref="Z486:AA486">
    <cfRule type="containsText" dxfId="6142" priority="13" operator="containsText" text="GOOD">
      <formula>NOT(ISERROR(SEARCH("GOOD",Z486)))</formula>
    </cfRule>
  </conditionalFormatting>
  <conditionalFormatting sqref="L487">
    <cfRule type="containsText" dxfId="6141" priority="12" operator="containsText" text="FAIL">
      <formula>NOT(ISERROR(SEARCH("FAIL",L487)))</formula>
    </cfRule>
  </conditionalFormatting>
  <conditionalFormatting sqref="L487">
    <cfRule type="containsText" dxfId="6140" priority="11" operator="containsText" text="GOOD">
      <formula>NOT(ISERROR(SEARCH("GOOD",L487)))</formula>
    </cfRule>
  </conditionalFormatting>
  <conditionalFormatting sqref="Z487:AA487">
    <cfRule type="containsText" dxfId="6139" priority="10" operator="containsText" text="FAIL">
      <formula>NOT(ISERROR(SEARCH("FAIL",Z487)))</formula>
    </cfRule>
  </conditionalFormatting>
  <conditionalFormatting sqref="Z487:AA487">
    <cfRule type="containsText" dxfId="6138" priority="9" operator="containsText" text="GOOD">
      <formula>NOT(ISERROR(SEARCH("GOOD",Z487)))</formula>
    </cfRule>
  </conditionalFormatting>
  <conditionalFormatting sqref="L488">
    <cfRule type="containsText" dxfId="6137" priority="8" operator="containsText" text="FAIL">
      <formula>NOT(ISERROR(SEARCH("FAIL",L488)))</formula>
    </cfRule>
  </conditionalFormatting>
  <conditionalFormatting sqref="L488">
    <cfRule type="containsText" dxfId="6136" priority="7" operator="containsText" text="GOOD">
      <formula>NOT(ISERROR(SEARCH("GOOD",L488)))</formula>
    </cfRule>
  </conditionalFormatting>
  <conditionalFormatting sqref="Z488:AA488">
    <cfRule type="containsText" dxfId="6135" priority="6" operator="containsText" text="FAIL">
      <formula>NOT(ISERROR(SEARCH("FAIL",Z488)))</formula>
    </cfRule>
  </conditionalFormatting>
  <conditionalFormatting sqref="Z488:AA488">
    <cfRule type="containsText" dxfId="6134" priority="5" operator="containsText" text="GOOD">
      <formula>NOT(ISERROR(SEARCH("GOOD",Z488)))</formula>
    </cfRule>
  </conditionalFormatting>
  <conditionalFormatting sqref="L489">
    <cfRule type="containsText" dxfId="6133" priority="4" operator="containsText" text="FAIL">
      <formula>NOT(ISERROR(SEARCH("FAIL",L489)))</formula>
    </cfRule>
  </conditionalFormatting>
  <conditionalFormatting sqref="L489">
    <cfRule type="containsText" dxfId="6132" priority="3" operator="containsText" text="GOOD">
      <formula>NOT(ISERROR(SEARCH("GOOD",L489)))</formula>
    </cfRule>
  </conditionalFormatting>
  <conditionalFormatting sqref="Z489:AA489">
    <cfRule type="containsText" dxfId="6131" priority="2" operator="containsText" text="FAIL">
      <formula>NOT(ISERROR(SEARCH("FAIL",Z489)))</formula>
    </cfRule>
  </conditionalFormatting>
  <conditionalFormatting sqref="Z489:AA489">
    <cfRule type="containsText" dxfId="6130" priority="1" operator="containsText" text="GOOD">
      <formula>NOT(ISERROR(SEARCH("GOOD",Z489)))</formula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131" operator="containsText" text="FAIL" id="{B9AE4D2D-08CB-4B5D-AE2E-FB8D564A1A18}">
            <xm:f>NOT(ISERROR(SEARCH("FAIL",SUMMARY!L497)))</xm:f>
            <x14:dxf>
              <font>
                <b/>
                <i/>
                <color theme="0"/>
              </font>
              <fill>
                <patternFill>
                  <bgColor rgb="FFFF0000"/>
                </patternFill>
              </fill>
            </x14:dxf>
          </x14:cfRule>
          <xm:sqref>L514</xm:sqref>
        </x14:conditionalFormatting>
        <x14:conditionalFormatting xmlns:xm="http://schemas.microsoft.com/office/excel/2006/main">
          <x14:cfRule type="containsText" priority="3130" operator="containsText" text="GOOD" id="{C3E3181B-9600-4EE0-971E-7D0F4D4271DB}">
            <xm:f>NOT(ISERROR(SEARCH("GOOD",SUMMARY!L497)))</xm:f>
            <x14:dxf>
              <font>
                <b/>
                <i/>
                <color theme="0"/>
              </font>
              <fill>
                <patternFill>
                  <bgColor rgb="FF00B050"/>
                </patternFill>
              </fill>
            </x14:dxf>
          </x14:cfRule>
          <xm:sqref>L514</xm:sqref>
        </x14:conditionalFormatting>
        <x14:conditionalFormatting xmlns:xm="http://schemas.microsoft.com/office/excel/2006/main">
          <x14:cfRule type="containsText" priority="3134" operator="containsText" text="FAIL" id="{4D06D7FB-6DE6-4CF8-85A8-88E53CA5B618}">
            <xm:f>NOT(ISERROR(SEARCH("FAIL",SUMMARY!L499)))</xm:f>
            <x14:dxf>
              <font>
                <b/>
                <i/>
                <color theme="0"/>
              </font>
              <fill>
                <patternFill>
                  <bgColor rgb="FFFF0000"/>
                </patternFill>
              </fill>
            </x14:dxf>
          </x14:cfRule>
          <xm:sqref>L515:L517</xm:sqref>
        </x14:conditionalFormatting>
        <x14:conditionalFormatting xmlns:xm="http://schemas.microsoft.com/office/excel/2006/main">
          <x14:cfRule type="containsText" priority="3135" operator="containsText" text="GOOD" id="{256D4219-B653-4A73-ABEC-A6CA0CC76806}">
            <xm:f>NOT(ISERROR(SEARCH("GOOD",SUMMARY!L499)))</xm:f>
            <x14:dxf>
              <font>
                <b/>
                <i/>
                <color theme="0"/>
              </font>
              <fill>
                <patternFill>
                  <bgColor rgb="FF00B050"/>
                </patternFill>
              </fill>
            </x14:dxf>
          </x14:cfRule>
          <xm:sqref>L515:L517</xm:sqref>
        </x14:conditionalFormatting>
        <x14:conditionalFormatting xmlns:xm="http://schemas.microsoft.com/office/excel/2006/main">
          <x14:cfRule type="containsText" priority="3136" operator="containsText" text="FAIL" id="{3C396695-7EAE-497D-8205-0DBD6E57B45F}">
            <xm:f>NOT(ISERROR(SEARCH("FAIL",SUMMARY!L503)))</xm:f>
            <x14:dxf>
              <font>
                <b/>
                <i/>
                <color theme="0"/>
              </font>
              <fill>
                <patternFill>
                  <bgColor rgb="FFFF0000"/>
                </patternFill>
              </fill>
            </x14:dxf>
          </x14:cfRule>
          <xm:sqref>L518:L520</xm:sqref>
        </x14:conditionalFormatting>
        <x14:conditionalFormatting xmlns:xm="http://schemas.microsoft.com/office/excel/2006/main">
          <x14:cfRule type="containsText" priority="3137" operator="containsText" text="GOOD" id="{8114775E-6655-450B-8791-4155408A5D87}">
            <xm:f>NOT(ISERROR(SEARCH("GOOD",SUMMARY!L503)))</xm:f>
            <x14:dxf>
              <font>
                <b/>
                <i/>
                <color theme="0"/>
              </font>
              <fill>
                <patternFill>
                  <bgColor rgb="FF00B050"/>
                </patternFill>
              </fill>
            </x14:dxf>
          </x14:cfRule>
          <xm:sqref>L518:L520</xm:sqref>
        </x14:conditionalFormatting>
        <x14:conditionalFormatting xmlns:xm="http://schemas.microsoft.com/office/excel/2006/main">
          <x14:cfRule type="containsText" priority="3138" operator="containsText" text="FAIL" id="{65338F04-79A9-4188-9FD8-E479BBD234B8}">
            <xm:f>NOT(ISERROR(SEARCH("FAIL",SUMMARY!L510)))</xm:f>
            <x14:dxf>
              <font>
                <b/>
                <i/>
                <color theme="0"/>
              </font>
              <fill>
                <patternFill>
                  <bgColor rgb="FFFF0000"/>
                </patternFill>
              </fill>
            </x14:dxf>
          </x14:cfRule>
          <xm:sqref>L521:L522</xm:sqref>
        </x14:conditionalFormatting>
        <x14:conditionalFormatting xmlns:xm="http://schemas.microsoft.com/office/excel/2006/main">
          <x14:cfRule type="containsText" priority="3139" operator="containsText" text="GOOD" id="{F1CAB69D-FE65-4C82-9B75-A7248EF5DB5F}">
            <xm:f>NOT(ISERROR(SEARCH("GOOD",SUMMARY!L510)))</xm:f>
            <x14:dxf>
              <font>
                <b/>
                <i/>
                <color theme="0"/>
              </font>
              <fill>
                <patternFill>
                  <bgColor rgb="FF00B050"/>
                </patternFill>
              </fill>
            </x14:dxf>
          </x14:cfRule>
          <xm:sqref>L521:L522</xm:sqref>
        </x14:conditionalFormatting>
        <x14:conditionalFormatting xmlns:xm="http://schemas.microsoft.com/office/excel/2006/main">
          <x14:cfRule type="containsText" priority="3140" operator="containsText" text="FAIL" id="{87A16D5B-FE34-4676-B19F-79E25B7C809D}">
            <xm:f>NOT(ISERROR(SEARCH("FAIL",SUMMARY!L513)))</xm:f>
            <x14:dxf>
              <font>
                <b/>
                <i/>
                <color theme="0"/>
              </font>
              <fill>
                <patternFill>
                  <bgColor rgb="FFFF0000"/>
                </patternFill>
              </fill>
            </x14:dxf>
          </x14:cfRule>
          <xm:sqref>L523:L525</xm:sqref>
        </x14:conditionalFormatting>
        <x14:conditionalFormatting xmlns:xm="http://schemas.microsoft.com/office/excel/2006/main">
          <x14:cfRule type="containsText" priority="3141" operator="containsText" text="GOOD" id="{65FF5BE1-CF22-4B1D-8CF8-09462A0B0F04}">
            <xm:f>NOT(ISERROR(SEARCH("GOOD",SUMMARY!L513)))</xm:f>
            <x14:dxf>
              <font>
                <b/>
                <i/>
                <color theme="0"/>
              </font>
              <fill>
                <patternFill>
                  <bgColor rgb="FF00B050"/>
                </patternFill>
              </fill>
            </x14:dxf>
          </x14:cfRule>
          <xm:sqref>L523:L525</xm:sqref>
        </x14:conditionalFormatting>
        <x14:conditionalFormatting xmlns:xm="http://schemas.microsoft.com/office/excel/2006/main">
          <x14:cfRule type="containsText" priority="3142" operator="containsText" text="FAIL" id="{AC9C7251-322A-4F70-BC47-191FBACEC521}">
            <xm:f>NOT(ISERROR(SEARCH("FAIL",SUMMARY!L518)))</xm:f>
            <x14:dxf>
              <font>
                <b/>
                <i/>
                <color theme="0"/>
              </font>
              <fill>
                <patternFill>
                  <bgColor rgb="FFFF0000"/>
                </patternFill>
              </fill>
            </x14:dxf>
          </x14:cfRule>
          <xm:sqref>L526</xm:sqref>
        </x14:conditionalFormatting>
        <x14:conditionalFormatting xmlns:xm="http://schemas.microsoft.com/office/excel/2006/main">
          <x14:cfRule type="containsText" priority="3143" operator="containsText" text="GOOD" id="{E0429B9F-73CD-40D5-982D-EBC9870C6D41}">
            <xm:f>NOT(ISERROR(SEARCH("GOOD",SUMMARY!L518)))</xm:f>
            <x14:dxf>
              <font>
                <b/>
                <i/>
                <color theme="0"/>
              </font>
              <fill>
                <patternFill>
                  <bgColor rgb="FF00B050"/>
                </patternFill>
              </fill>
            </x14:dxf>
          </x14:cfRule>
          <xm:sqref>L526</xm:sqref>
        </x14:conditionalFormatting>
        <x14:conditionalFormatting xmlns:xm="http://schemas.microsoft.com/office/excel/2006/main">
          <x14:cfRule type="containsText" priority="3144" operator="containsText" text="FAIL" id="{115757A7-3EDE-4304-89B7-4B4D915E9A2C}">
            <xm:f>NOT(ISERROR(SEARCH("FAIL",SUMMARY!L523)))</xm:f>
            <x14:dxf>
              <font>
                <b/>
                <i/>
                <color theme="0"/>
              </font>
              <fill>
                <patternFill>
                  <bgColor rgb="FFFF0000"/>
                </patternFill>
              </fill>
            </x14:dxf>
          </x14:cfRule>
          <xm:sqref>L527</xm:sqref>
        </x14:conditionalFormatting>
        <x14:conditionalFormatting xmlns:xm="http://schemas.microsoft.com/office/excel/2006/main">
          <x14:cfRule type="containsText" priority="3145" operator="containsText" text="GOOD" id="{037B7618-384C-4BB6-A15B-3CE53DBB3BB9}">
            <xm:f>NOT(ISERROR(SEARCH("GOOD",SUMMARY!L523)))</xm:f>
            <x14:dxf>
              <font>
                <b/>
                <i/>
                <color theme="0"/>
              </font>
              <fill>
                <patternFill>
                  <bgColor rgb="FF00B050"/>
                </patternFill>
              </fill>
            </x14:dxf>
          </x14:cfRule>
          <xm:sqref>L527</xm:sqref>
        </x14:conditionalFormatting>
        <x14:conditionalFormatting xmlns:xm="http://schemas.microsoft.com/office/excel/2006/main">
          <x14:cfRule type="containsText" priority="3146" operator="containsText" text="FAIL" id="{474C30F7-E98C-4517-93E8-C7DEF9110396}">
            <xm:f>NOT(ISERROR(SEARCH("FAIL",SUMMARY!L527)))</xm:f>
            <x14:dxf>
              <font>
                <b/>
                <i/>
                <color theme="0"/>
              </font>
              <fill>
                <patternFill>
                  <bgColor rgb="FFFF0000"/>
                </patternFill>
              </fill>
            </x14:dxf>
          </x14:cfRule>
          <xm:sqref>L528</xm:sqref>
        </x14:conditionalFormatting>
        <x14:conditionalFormatting xmlns:xm="http://schemas.microsoft.com/office/excel/2006/main">
          <x14:cfRule type="containsText" priority="3147" operator="containsText" text="GOOD" id="{BB2FB3F5-397E-4FCD-9F41-C3BCE731D33C}">
            <xm:f>NOT(ISERROR(SEARCH("GOOD",SUMMARY!L527)))</xm:f>
            <x14:dxf>
              <font>
                <b/>
                <i/>
                <color theme="0"/>
              </font>
              <fill>
                <patternFill>
                  <bgColor rgb="FF00B050"/>
                </patternFill>
              </fill>
            </x14:dxf>
          </x14:cfRule>
          <xm:sqref>L528</xm:sqref>
        </x14:conditionalFormatting>
        <x14:conditionalFormatting xmlns:xm="http://schemas.microsoft.com/office/excel/2006/main">
          <x14:cfRule type="containsText" priority="3148" operator="containsText" text="FAIL" id="{9CE9FC87-6989-472E-9CE9-67788865ABFF}">
            <xm:f>NOT(ISERROR(SEARCH("FAIL",SUMMARY!L556)))</xm:f>
            <x14:dxf>
              <font>
                <b/>
                <i/>
                <color theme="0"/>
              </font>
              <fill>
                <patternFill>
                  <bgColor rgb="FFFF0000"/>
                </patternFill>
              </fill>
            </x14:dxf>
          </x14:cfRule>
          <xm:sqref>L549</xm:sqref>
        </x14:conditionalFormatting>
        <x14:conditionalFormatting xmlns:xm="http://schemas.microsoft.com/office/excel/2006/main">
          <x14:cfRule type="containsText" priority="3149" operator="containsText" text="GOOD" id="{750B59E7-078E-4301-B6F8-213F89817AD5}">
            <xm:f>NOT(ISERROR(SEARCH("GOOD",SUMMARY!L556)))</xm:f>
            <x14:dxf>
              <font>
                <b/>
                <i/>
                <color theme="0"/>
              </font>
              <fill>
                <patternFill>
                  <bgColor rgb="FF00B050"/>
                </patternFill>
              </fill>
            </x14:dxf>
          </x14:cfRule>
          <xm:sqref>L549</xm:sqref>
        </x14:conditionalFormatting>
        <x14:conditionalFormatting xmlns:xm="http://schemas.microsoft.com/office/excel/2006/main">
          <x14:cfRule type="containsText" priority="3150" operator="containsText" text="FAIL" id="{3485D907-9DDC-44A4-A7FC-1FDC48600A0C}">
            <xm:f>NOT(ISERROR(SEARCH("FAIL",SUMMARY!L561)))</xm:f>
            <x14:dxf>
              <font>
                <b/>
                <i/>
                <color theme="0"/>
              </font>
              <fill>
                <patternFill>
                  <bgColor rgb="FFFF0000"/>
                </patternFill>
              </fill>
            </x14:dxf>
          </x14:cfRule>
          <xm:sqref>L550:L551</xm:sqref>
        </x14:conditionalFormatting>
        <x14:conditionalFormatting xmlns:xm="http://schemas.microsoft.com/office/excel/2006/main">
          <x14:cfRule type="containsText" priority="3151" operator="containsText" text="GOOD" id="{A33FE260-F443-43E6-9537-51B4487C36D3}">
            <xm:f>NOT(ISERROR(SEARCH("GOOD",SUMMARY!L561)))</xm:f>
            <x14:dxf>
              <font>
                <b/>
                <i/>
                <color theme="0"/>
              </font>
              <fill>
                <patternFill>
                  <bgColor rgb="FF00B050"/>
                </patternFill>
              </fill>
            </x14:dxf>
          </x14:cfRule>
          <xm:sqref>L550:L551</xm:sqref>
        </x14:conditionalFormatting>
        <x14:conditionalFormatting xmlns:xm="http://schemas.microsoft.com/office/excel/2006/main">
          <x14:cfRule type="containsText" priority="3152" operator="containsText" text="FAIL" id="{C05B2FF3-25CF-4285-BBC2-9E27F05D84FF}">
            <xm:f>NOT(ISERROR(SEARCH("FAIL",SUMMARY!L570)))</xm:f>
            <x14:dxf>
              <font>
                <b/>
                <i/>
                <color theme="0"/>
              </font>
              <fill>
                <patternFill>
                  <bgColor rgb="FFFF0000"/>
                </patternFill>
              </fill>
            </x14:dxf>
          </x14:cfRule>
          <xm:sqref>L552</xm:sqref>
        </x14:conditionalFormatting>
        <x14:conditionalFormatting xmlns:xm="http://schemas.microsoft.com/office/excel/2006/main">
          <x14:cfRule type="containsText" priority="3153" operator="containsText" text="GOOD" id="{10929BF4-D11F-4E79-ADE1-4C74084962D9}">
            <xm:f>NOT(ISERROR(SEARCH("GOOD",SUMMARY!L570)))</xm:f>
            <x14:dxf>
              <font>
                <b/>
                <i/>
                <color theme="0"/>
              </font>
              <fill>
                <patternFill>
                  <bgColor rgb="FF00B050"/>
                </patternFill>
              </fill>
            </x14:dxf>
          </x14:cfRule>
          <xm:sqref>L552</xm:sqref>
        </x14:conditionalFormatting>
        <x14:conditionalFormatting xmlns:xm="http://schemas.microsoft.com/office/excel/2006/main">
          <x14:cfRule type="containsText" priority="3154" operator="containsText" text="FAIL" id="{0DBD6149-BAFE-4B30-800A-FBCC588F5871}">
            <xm:f>NOT(ISERROR(SEARCH("FAIL",SUMMARY!L578)))</xm:f>
            <x14:dxf>
              <font>
                <b/>
                <i/>
                <color theme="0"/>
              </font>
              <fill>
                <patternFill>
                  <bgColor rgb="FFFF0000"/>
                </patternFill>
              </fill>
            </x14:dxf>
          </x14:cfRule>
          <xm:sqref>L553:L554</xm:sqref>
        </x14:conditionalFormatting>
        <x14:conditionalFormatting xmlns:xm="http://schemas.microsoft.com/office/excel/2006/main">
          <x14:cfRule type="containsText" priority="3155" operator="containsText" text="GOOD" id="{7607FC30-2021-480F-BB88-E5C77D5B6512}">
            <xm:f>NOT(ISERROR(SEARCH("GOOD",SUMMARY!L578)))</xm:f>
            <x14:dxf>
              <font>
                <b/>
                <i/>
                <color theme="0"/>
              </font>
              <fill>
                <patternFill>
                  <bgColor rgb="FF00B050"/>
                </patternFill>
              </fill>
            </x14:dxf>
          </x14:cfRule>
          <xm:sqref>L553:L554</xm:sqref>
        </x14:conditionalFormatting>
        <x14:conditionalFormatting xmlns:xm="http://schemas.microsoft.com/office/excel/2006/main">
          <x14:cfRule type="containsText" priority="3156" operator="containsText" text="FAIL" id="{45164969-83EC-4020-939C-849A2098446B}">
            <xm:f>NOT(ISERROR(SEARCH("FAIL",SUMMARY!L582)))</xm:f>
            <x14:dxf>
              <font>
                <b/>
                <i/>
                <color theme="0"/>
              </font>
              <fill>
                <patternFill>
                  <bgColor rgb="FFFF0000"/>
                </patternFill>
              </fill>
            </x14:dxf>
          </x14:cfRule>
          <xm:sqref>L555:L556</xm:sqref>
        </x14:conditionalFormatting>
        <x14:conditionalFormatting xmlns:xm="http://schemas.microsoft.com/office/excel/2006/main">
          <x14:cfRule type="containsText" priority="3157" operator="containsText" text="GOOD" id="{38AABF73-E909-490C-AD7D-21A9DDD03E4B}">
            <xm:f>NOT(ISERROR(SEARCH("GOOD",SUMMARY!L582)))</xm:f>
            <x14:dxf>
              <font>
                <b/>
                <i/>
                <color theme="0"/>
              </font>
              <fill>
                <patternFill>
                  <bgColor rgb="FF00B050"/>
                </patternFill>
              </fill>
            </x14:dxf>
          </x14:cfRule>
          <xm:sqref>L555:L556</xm:sqref>
        </x14:conditionalFormatting>
        <x14:conditionalFormatting xmlns:xm="http://schemas.microsoft.com/office/excel/2006/main">
          <x14:cfRule type="containsText" priority="3158" operator="containsText" text="FAIL" id="{DF48FF4C-1B01-483B-B90F-BC1F59BA07BD}">
            <xm:f>NOT(ISERROR(SEARCH("FAIL",SUMMARY!L615)))</xm:f>
            <x14:dxf>
              <font>
                <b/>
                <i/>
                <color theme="0"/>
              </font>
              <fill>
                <patternFill>
                  <bgColor rgb="FFFF0000"/>
                </patternFill>
              </fill>
            </x14:dxf>
          </x14:cfRule>
          <xm:sqref>L578</xm:sqref>
        </x14:conditionalFormatting>
        <x14:conditionalFormatting xmlns:xm="http://schemas.microsoft.com/office/excel/2006/main">
          <x14:cfRule type="containsText" priority="3159" operator="containsText" text="GOOD" id="{D9A63A75-B711-48B1-9E4D-1241E1EDA241}">
            <xm:f>NOT(ISERROR(SEARCH("GOOD",SUMMARY!L615)))</xm:f>
            <x14:dxf>
              <font>
                <b/>
                <i/>
                <color theme="0"/>
              </font>
              <fill>
                <patternFill>
                  <bgColor rgb="FF00B050"/>
                </patternFill>
              </fill>
            </x14:dxf>
          </x14:cfRule>
          <xm:sqref>L578</xm:sqref>
        </x14:conditionalFormatting>
        <x14:conditionalFormatting xmlns:xm="http://schemas.microsoft.com/office/excel/2006/main">
          <x14:cfRule type="containsText" priority="3160" operator="containsText" text="FAIL" id="{86FA3373-1976-40BF-8911-51723861452A}">
            <xm:f>NOT(ISERROR(SEARCH("FAIL",SUMMARY!L618)))</xm:f>
            <x14:dxf>
              <font>
                <b/>
                <i/>
                <color theme="0"/>
              </font>
              <fill>
                <patternFill>
                  <bgColor rgb="FFFF0000"/>
                </patternFill>
              </fill>
            </x14:dxf>
          </x14:cfRule>
          <xm:sqref>L579</xm:sqref>
        </x14:conditionalFormatting>
        <x14:conditionalFormatting xmlns:xm="http://schemas.microsoft.com/office/excel/2006/main">
          <x14:cfRule type="containsText" priority="3161" operator="containsText" text="GOOD" id="{64CB44FA-A04A-47EF-B733-782EF7657356}">
            <xm:f>NOT(ISERROR(SEARCH("GOOD",SUMMARY!L618)))</xm:f>
            <x14:dxf>
              <font>
                <b/>
                <i/>
                <color theme="0"/>
              </font>
              <fill>
                <patternFill>
                  <bgColor rgb="FF00B050"/>
                </patternFill>
              </fill>
            </x14:dxf>
          </x14:cfRule>
          <xm:sqref>L579</xm:sqref>
        </x14:conditionalFormatting>
        <x14:conditionalFormatting xmlns:xm="http://schemas.microsoft.com/office/excel/2006/main">
          <x14:cfRule type="containsText" priority="3162" operator="containsText" text="FAIL" id="{02BEAAB8-AEF8-45A4-9318-1A946F670B09}">
            <xm:f>NOT(ISERROR(SEARCH("FAIL",SUMMARY!L621)))</xm:f>
            <x14:dxf>
              <font>
                <b/>
                <i/>
                <color theme="0"/>
              </font>
              <fill>
                <patternFill>
                  <bgColor rgb="FFFF0000"/>
                </patternFill>
              </fill>
            </x14:dxf>
          </x14:cfRule>
          <xm:sqref>L580</xm:sqref>
        </x14:conditionalFormatting>
        <x14:conditionalFormatting xmlns:xm="http://schemas.microsoft.com/office/excel/2006/main">
          <x14:cfRule type="containsText" priority="3163" operator="containsText" text="GOOD" id="{EBD36611-A807-4BF1-9BD4-5F43078567CB}">
            <xm:f>NOT(ISERROR(SEARCH("GOOD",SUMMARY!L621)))</xm:f>
            <x14:dxf>
              <font>
                <b/>
                <i/>
                <color theme="0"/>
              </font>
              <fill>
                <patternFill>
                  <bgColor rgb="FF00B050"/>
                </patternFill>
              </fill>
            </x14:dxf>
          </x14:cfRule>
          <xm:sqref>L580</xm:sqref>
        </x14:conditionalFormatting>
        <x14:conditionalFormatting xmlns:xm="http://schemas.microsoft.com/office/excel/2006/main">
          <x14:cfRule type="containsText" priority="3164" operator="containsText" text="FAIL" id="{8959AA8B-0092-40E6-A73A-C21123D46BEB}">
            <xm:f>NOT(ISERROR(SEARCH("FAIL",SUMMARY!L628)))</xm:f>
            <x14:dxf>
              <font>
                <b/>
                <i/>
                <color theme="0"/>
              </font>
              <fill>
                <patternFill>
                  <bgColor rgb="FFFF0000"/>
                </patternFill>
              </fill>
            </x14:dxf>
          </x14:cfRule>
          <xm:sqref>L581</xm:sqref>
        </x14:conditionalFormatting>
        <x14:conditionalFormatting xmlns:xm="http://schemas.microsoft.com/office/excel/2006/main">
          <x14:cfRule type="containsText" priority="3165" operator="containsText" text="GOOD" id="{BDBB31B2-E098-4E95-825B-671D8DA2167C}">
            <xm:f>NOT(ISERROR(SEARCH("GOOD",SUMMARY!L628)))</xm:f>
            <x14:dxf>
              <font>
                <b/>
                <i/>
                <color theme="0"/>
              </font>
              <fill>
                <patternFill>
                  <bgColor rgb="FF00B050"/>
                </patternFill>
              </fill>
            </x14:dxf>
          </x14:cfRule>
          <xm:sqref>L581</xm:sqref>
        </x14:conditionalFormatting>
        <x14:conditionalFormatting xmlns:xm="http://schemas.microsoft.com/office/excel/2006/main">
          <x14:cfRule type="containsText" priority="3166" operator="containsText" text="FAIL" id="{BBC30210-8212-4E6B-9542-808A4DA490F5}">
            <xm:f>NOT(ISERROR(SEARCH("FAIL",SUMMARY!L630)))</xm:f>
            <x14:dxf>
              <font>
                <b/>
                <i/>
                <color theme="0"/>
              </font>
              <fill>
                <patternFill>
                  <bgColor rgb="FFFF0000"/>
                </patternFill>
              </fill>
            </x14:dxf>
          </x14:cfRule>
          <xm:sqref>L582</xm:sqref>
        </x14:conditionalFormatting>
        <x14:conditionalFormatting xmlns:xm="http://schemas.microsoft.com/office/excel/2006/main">
          <x14:cfRule type="containsText" priority="3167" operator="containsText" text="GOOD" id="{9C119198-6A78-4DDB-933F-32546A30918A}">
            <xm:f>NOT(ISERROR(SEARCH("GOOD",SUMMARY!L630)))</xm:f>
            <x14:dxf>
              <font>
                <b/>
                <i/>
                <color theme="0"/>
              </font>
              <fill>
                <patternFill>
                  <bgColor rgb="FF00B050"/>
                </patternFill>
              </fill>
            </x14:dxf>
          </x14:cfRule>
          <xm:sqref>L582</xm:sqref>
        </x14:conditionalFormatting>
        <x14:conditionalFormatting xmlns:xm="http://schemas.microsoft.com/office/excel/2006/main">
          <x14:cfRule type="containsText" priority="3168" operator="containsText" text="FAIL" id="{50C0F57C-4E0B-472A-BB52-32F9C3F8444B}">
            <xm:f>NOT(ISERROR(SEARCH("FAIL",SUMMARY!L635)))</xm:f>
            <x14:dxf>
              <font>
                <b/>
                <i/>
                <color theme="0"/>
              </font>
              <fill>
                <patternFill>
                  <bgColor rgb="FFFF0000"/>
                </patternFill>
              </fill>
            </x14:dxf>
          </x14:cfRule>
          <xm:sqref>L583</xm:sqref>
        </x14:conditionalFormatting>
        <x14:conditionalFormatting xmlns:xm="http://schemas.microsoft.com/office/excel/2006/main">
          <x14:cfRule type="containsText" priority="3169" operator="containsText" text="GOOD" id="{AFECBD2B-6D79-460A-8CB7-7C50BAE4A78E}">
            <xm:f>NOT(ISERROR(SEARCH("GOOD",SUMMARY!L635)))</xm:f>
            <x14:dxf>
              <font>
                <b/>
                <i/>
                <color theme="0"/>
              </font>
              <fill>
                <patternFill>
                  <bgColor rgb="FF00B050"/>
                </patternFill>
              </fill>
            </x14:dxf>
          </x14:cfRule>
          <xm:sqref>L583</xm:sqref>
        </x14:conditionalFormatting>
        <x14:conditionalFormatting xmlns:xm="http://schemas.microsoft.com/office/excel/2006/main">
          <x14:cfRule type="containsText" priority="3170" operator="containsText" text="FAIL" id="{D27033FF-01AC-4F6A-9ED8-7A3EB35ACAEB}">
            <xm:f>NOT(ISERROR(SEARCH("FAIL",SUMMARY!L681)))</xm:f>
            <x14:dxf>
              <font>
                <b/>
                <i/>
                <color theme="0"/>
              </font>
              <fill>
                <patternFill>
                  <bgColor rgb="FFFF0000"/>
                </patternFill>
              </fill>
            </x14:dxf>
          </x14:cfRule>
          <xm:sqref>L605</xm:sqref>
        </x14:conditionalFormatting>
        <x14:conditionalFormatting xmlns:xm="http://schemas.microsoft.com/office/excel/2006/main">
          <x14:cfRule type="containsText" priority="3171" operator="containsText" text="GOOD" id="{42C0604F-0DBE-48FD-AB85-19B0E7436103}">
            <xm:f>NOT(ISERROR(SEARCH("GOOD",SUMMARY!L681)))</xm:f>
            <x14:dxf>
              <font>
                <b/>
                <i/>
                <color theme="0"/>
              </font>
              <fill>
                <patternFill>
                  <bgColor rgb="FF00B050"/>
                </patternFill>
              </fill>
            </x14:dxf>
          </x14:cfRule>
          <xm:sqref>L605</xm:sqref>
        </x14:conditionalFormatting>
        <x14:conditionalFormatting xmlns:xm="http://schemas.microsoft.com/office/excel/2006/main">
          <x14:cfRule type="containsText" priority="3172" operator="containsText" text="FAIL" id="{7E4A2C2E-0C79-4FCD-A56F-F0C44CEDE4FD}">
            <xm:f>NOT(ISERROR(SEARCH("FAIL",SUMMARY!L686)))</xm:f>
            <x14:dxf>
              <font>
                <b/>
                <i/>
                <color theme="0"/>
              </font>
              <fill>
                <patternFill>
                  <bgColor rgb="FFFF0000"/>
                </patternFill>
              </fill>
            </x14:dxf>
          </x14:cfRule>
          <xm:sqref>L606</xm:sqref>
        </x14:conditionalFormatting>
        <x14:conditionalFormatting xmlns:xm="http://schemas.microsoft.com/office/excel/2006/main">
          <x14:cfRule type="containsText" priority="3173" operator="containsText" text="GOOD" id="{3091A15D-DAB0-4D75-8CF0-46736A987E4D}">
            <xm:f>NOT(ISERROR(SEARCH("GOOD",SUMMARY!L686)))</xm:f>
            <x14:dxf>
              <font>
                <b/>
                <i/>
                <color theme="0"/>
              </font>
              <fill>
                <patternFill>
                  <bgColor rgb="FF00B050"/>
                </patternFill>
              </fill>
            </x14:dxf>
          </x14:cfRule>
          <xm:sqref>L606</xm:sqref>
        </x14:conditionalFormatting>
        <x14:conditionalFormatting xmlns:xm="http://schemas.microsoft.com/office/excel/2006/main">
          <x14:cfRule type="containsText" priority="3174" operator="containsText" text="FAIL" id="{A43CB23C-B4F8-4486-98E9-89ADA68DF1CD}">
            <xm:f>NOT(ISERROR(SEARCH("FAIL",SUMMARY!L482)))</xm:f>
            <x14:dxf>
              <font>
                <b/>
                <i/>
                <color theme="0"/>
              </font>
              <fill>
                <patternFill>
                  <bgColor rgb="FFFF0000"/>
                </patternFill>
              </fill>
            </x14:dxf>
          </x14:cfRule>
          <xm:sqref>BB418</xm:sqref>
        </x14:conditionalFormatting>
        <x14:conditionalFormatting xmlns:xm="http://schemas.microsoft.com/office/excel/2006/main">
          <x14:cfRule type="containsText" priority="3175" operator="containsText" text="GOOD" id="{5CADE120-5F4A-4A1F-831B-F8330B911214}">
            <xm:f>NOT(ISERROR(SEARCH("GOOD",SUMMARY!L482)))</xm:f>
            <x14:dxf>
              <font>
                <b/>
                <i/>
                <color theme="0"/>
              </font>
              <fill>
                <patternFill>
                  <bgColor rgb="FF00B050"/>
                </patternFill>
              </fill>
            </x14:dxf>
          </x14:cfRule>
          <xm:sqref>BB418</xm:sqref>
        </x14:conditionalFormatting>
      </x14:conditionalFormattings>
    </ext>
  </extLst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sheetPr codeName="Sheet81"/>
  <dimension ref="A2:O47"/>
  <sheetViews>
    <sheetView zoomScaleNormal="100" workbookViewId="0">
      <selection activeCell="E24" sqref="E24"/>
    </sheetView>
  </sheetViews>
  <sheetFormatPr defaultRowHeight="15" x14ac:dyDescent="0.25"/>
  <cols>
    <col min="1" max="2" width="4.42578125" customWidth="1"/>
    <col min="3" max="3" width="2.7109375" customWidth="1"/>
    <col min="4" max="4" width="24.7109375" customWidth="1"/>
    <col min="5" max="5" width="2.7109375" customWidth="1"/>
    <col min="6" max="6" width="15.7109375" customWidth="1"/>
    <col min="7" max="7" width="8.5703125" customWidth="1"/>
    <col min="8" max="8" width="5.85546875" customWidth="1"/>
    <col min="9" max="15" width="15.7109375" customWidth="1"/>
  </cols>
  <sheetData>
    <row r="2" spans="1:14" x14ac:dyDescent="0.25">
      <c r="C2" s="15" t="s">
        <v>32</v>
      </c>
      <c r="E2" s="15"/>
      <c r="F2" s="15"/>
      <c r="G2" s="15" t="s">
        <v>33</v>
      </c>
      <c r="H2" s="15"/>
      <c r="I2" s="15"/>
      <c r="J2" s="15"/>
      <c r="K2" s="15"/>
    </row>
    <row r="3" spans="1:14" ht="18.75" x14ac:dyDescent="0.3">
      <c r="C3" s="3" t="s">
        <v>26</v>
      </c>
      <c r="J3" s="8" t="s">
        <v>48</v>
      </c>
    </row>
    <row r="4" spans="1:14" x14ac:dyDescent="0.25">
      <c r="C4" s="1"/>
      <c r="D4" s="2" t="s">
        <v>0</v>
      </c>
      <c r="E4" s="1"/>
      <c r="F4" t="s">
        <v>828</v>
      </c>
      <c r="I4" s="2" t="s">
        <v>4</v>
      </c>
      <c r="J4" t="s">
        <v>616</v>
      </c>
    </row>
    <row r="5" spans="1:14" x14ac:dyDescent="0.25">
      <c r="D5" s="2" t="s">
        <v>1</v>
      </c>
      <c r="F5" t="s">
        <v>829</v>
      </c>
    </row>
    <row r="6" spans="1:14" x14ac:dyDescent="0.25">
      <c r="D6" s="2" t="s">
        <v>2</v>
      </c>
      <c r="F6" s="6">
        <v>42739</v>
      </c>
      <c r="H6" s="11"/>
    </row>
    <row r="7" spans="1:14" x14ac:dyDescent="0.25">
      <c r="D7" s="2" t="s">
        <v>3</v>
      </c>
      <c r="F7" s="5">
        <f>+K7+J7+I7+(L7*K7)</f>
        <v>28695000</v>
      </c>
      <c r="G7" s="2" t="s">
        <v>190</v>
      </c>
      <c r="H7" s="11"/>
      <c r="I7" s="19">
        <v>9296313</v>
      </c>
      <c r="J7" s="19">
        <v>16703687</v>
      </c>
      <c r="K7" s="19">
        <v>2450000</v>
      </c>
      <c r="L7" s="20">
        <v>0.1</v>
      </c>
    </row>
    <row r="8" spans="1:14" x14ac:dyDescent="0.25">
      <c r="D8" s="2" t="s">
        <v>18</v>
      </c>
      <c r="F8" s="5">
        <f>MIN(L23:L43)</f>
        <v>31768035</v>
      </c>
      <c r="H8" s="11"/>
      <c r="I8" s="18" t="s">
        <v>43</v>
      </c>
      <c r="J8" s="18" t="s">
        <v>44</v>
      </c>
      <c r="K8" s="18" t="s">
        <v>49</v>
      </c>
      <c r="L8" s="18" t="s">
        <v>50</v>
      </c>
    </row>
    <row r="9" spans="1:14" x14ac:dyDescent="0.25">
      <c r="D9" s="2" t="s">
        <v>19</v>
      </c>
      <c r="F9" s="4">
        <f>+F8-F7</f>
        <v>3073035</v>
      </c>
      <c r="G9" s="16">
        <f>+F9/F7</f>
        <v>0.10709304756926294</v>
      </c>
      <c r="H9" s="12" t="s">
        <v>20</v>
      </c>
      <c r="I9" s="11" t="str">
        <f>(IF(G9&lt;-0.1,"FAIL",IF(G9&gt;0.05,"FAIL","GOOD")))</f>
        <v>FAIL</v>
      </c>
      <c r="J9" s="14" t="s">
        <v>72</v>
      </c>
    </row>
    <row r="10" spans="1:14" x14ac:dyDescent="0.25">
      <c r="D10" s="2" t="s">
        <v>68</v>
      </c>
      <c r="F10" s="4">
        <f>+F7-F12</f>
        <v>-4604542.5</v>
      </c>
      <c r="H10" s="11"/>
      <c r="K10" s="31"/>
      <c r="N10" t="e">
        <f>LOOKUP(1,D23:D43)</f>
        <v>#N/A</v>
      </c>
    </row>
    <row r="11" spans="1:14" x14ac:dyDescent="0.25">
      <c r="A11" s="30"/>
      <c r="D11" s="2" t="s">
        <v>71</v>
      </c>
      <c r="F11" s="11" t="str">
        <f>(IF(F7&lt;J12,"FAIL",IF(F7&gt;J13,"FAIL","GOOD")))</f>
        <v>GOOD</v>
      </c>
      <c r="H11" s="11"/>
      <c r="L11" s="31"/>
      <c r="N11" t="e">
        <f>MATCH(1,D23:H43,0)</f>
        <v>#N/A</v>
      </c>
    </row>
    <row r="12" spans="1:14" x14ac:dyDescent="0.25">
      <c r="D12" s="2" t="s">
        <v>28</v>
      </c>
      <c r="F12" s="4">
        <f>SUM(L23:L43)/H12</f>
        <v>33299542.5</v>
      </c>
      <c r="G12" s="14"/>
      <c r="H12" s="11">
        <f>COUNT(L23:L43)</f>
        <v>2</v>
      </c>
      <c r="I12" s="1" t="s">
        <v>31</v>
      </c>
      <c r="J12" s="4">
        <f>+F8*0.9</f>
        <v>28591231.5</v>
      </c>
      <c r="K12" s="1" t="s">
        <v>69</v>
      </c>
      <c r="N12" t="str">
        <f>INDEX(D23:D43,MATCH(1,H23:H43,0))</f>
        <v>Grace Industries</v>
      </c>
    </row>
    <row r="13" spans="1:14" x14ac:dyDescent="0.25">
      <c r="D13" s="2" t="s">
        <v>29</v>
      </c>
      <c r="F13" s="4">
        <f>MAX(L23:L43)-MIN(L23:L43)</f>
        <v>3063015</v>
      </c>
      <c r="G13" s="399">
        <f>MEDIAN(L23:L43)</f>
        <v>33299542.5</v>
      </c>
      <c r="H13" s="400"/>
      <c r="I13" s="1" t="s">
        <v>30</v>
      </c>
      <c r="J13" s="4">
        <f>+F12*1.1</f>
        <v>36629496.75</v>
      </c>
      <c r="K13" s="1" t="s">
        <v>70</v>
      </c>
    </row>
    <row r="14" spans="1:14" x14ac:dyDescent="0.25">
      <c r="H14" s="11"/>
    </row>
    <row r="15" spans="1:14" x14ac:dyDescent="0.25">
      <c r="D15" s="2" t="s">
        <v>8</v>
      </c>
      <c r="F15" s="4">
        <v>5000000</v>
      </c>
      <c r="G15" s="1" t="s">
        <v>9</v>
      </c>
      <c r="H15" s="11"/>
      <c r="I15" t="s">
        <v>15</v>
      </c>
      <c r="J15" s="7">
        <f>+F16/F15</f>
        <v>1.2</v>
      </c>
    </row>
    <row r="16" spans="1:14" x14ac:dyDescent="0.25">
      <c r="F16" s="4">
        <v>6000000</v>
      </c>
      <c r="G16" s="1" t="s">
        <v>10</v>
      </c>
      <c r="H16" s="11"/>
      <c r="I16" t="s">
        <v>14</v>
      </c>
      <c r="J16" s="7">
        <f>+F17/F16</f>
        <v>1.0833333333333333</v>
      </c>
    </row>
    <row r="17" spans="3:15" x14ac:dyDescent="0.25">
      <c r="F17" s="4">
        <v>6500000</v>
      </c>
      <c r="G17" s="1" t="s">
        <v>11</v>
      </c>
      <c r="H17" s="11"/>
      <c r="I17" t="s">
        <v>13</v>
      </c>
      <c r="J17" s="7">
        <f>+F18/F17</f>
        <v>4.4146153846153844</v>
      </c>
    </row>
    <row r="18" spans="3:15" x14ac:dyDescent="0.25">
      <c r="F18" s="4">
        <f>+F7</f>
        <v>28695000</v>
      </c>
      <c r="G18" s="1" t="s">
        <v>12</v>
      </c>
      <c r="H18" s="11"/>
      <c r="I18" t="s">
        <v>16</v>
      </c>
      <c r="J18" s="7">
        <f>+F8/F18</f>
        <v>1.1070930475692629</v>
      </c>
    </row>
    <row r="19" spans="3:15" x14ac:dyDescent="0.25">
      <c r="F19" s="2" t="s">
        <v>51</v>
      </c>
      <c r="G19">
        <v>0</v>
      </c>
      <c r="H19" s="11" t="s">
        <v>52</v>
      </c>
      <c r="I19" t="s">
        <v>41</v>
      </c>
      <c r="J19" s="7">
        <f>+F8/F15</f>
        <v>6.3536070000000002</v>
      </c>
    </row>
    <row r="20" spans="3:15" x14ac:dyDescent="0.25">
      <c r="H20" s="11"/>
    </row>
    <row r="21" spans="3:15" x14ac:dyDescent="0.25">
      <c r="C21" s="9"/>
      <c r="D21" s="13" t="s">
        <v>21</v>
      </c>
      <c r="E21" s="9"/>
      <c r="F21" s="9" t="s">
        <v>22</v>
      </c>
      <c r="G21" s="9" t="s">
        <v>23</v>
      </c>
      <c r="H21" s="13" t="s">
        <v>27</v>
      </c>
      <c r="I21" s="10" t="s">
        <v>38</v>
      </c>
      <c r="J21" s="10" t="s">
        <v>37</v>
      </c>
      <c r="K21" s="17" t="s">
        <v>42</v>
      </c>
      <c r="L21" s="10" t="s">
        <v>39</v>
      </c>
      <c r="M21" s="21"/>
      <c r="N21" s="21"/>
      <c r="O21" s="21"/>
    </row>
    <row r="22" spans="3:15" ht="6" customHeight="1" x14ac:dyDescent="0.25">
      <c r="M22" s="21"/>
      <c r="N22" s="21"/>
      <c r="O22" s="21"/>
    </row>
    <row r="23" spans="3:15" x14ac:dyDescent="0.25">
      <c r="C23" s="33" t="str">
        <f>IF(H23=1,"u","")</f>
        <v>u</v>
      </c>
      <c r="D23" s="11" t="s">
        <v>665</v>
      </c>
      <c r="E23" s="33"/>
      <c r="F23" t="s">
        <v>413</v>
      </c>
      <c r="G23" t="s">
        <v>93</v>
      </c>
      <c r="H23">
        <f>RANK(L23,L$23:L$43,1)</f>
        <v>1</v>
      </c>
      <c r="I23" s="4">
        <v>8950535</v>
      </c>
      <c r="J23" s="4">
        <v>20000000</v>
      </c>
      <c r="K23" s="7">
        <v>0.15</v>
      </c>
      <c r="L23" s="4">
        <f>+I23+J23+(K23*K$7)+$K$7</f>
        <v>31768035</v>
      </c>
      <c r="M23" s="22"/>
      <c r="N23" s="22"/>
      <c r="O23" s="22"/>
    </row>
    <row r="24" spans="3:15" x14ac:dyDescent="0.25">
      <c r="C24" s="33" t="str">
        <f>IF(H24=1,"u","")</f>
        <v/>
      </c>
      <c r="D24" s="11" t="s">
        <v>745</v>
      </c>
      <c r="E24" s="33"/>
      <c r="F24" t="s">
        <v>159</v>
      </c>
      <c r="G24" t="s">
        <v>93</v>
      </c>
      <c r="H24">
        <f>RANK(L24,L$23:L$43,1)</f>
        <v>2</v>
      </c>
      <c r="I24" s="4">
        <v>22050000</v>
      </c>
      <c r="J24" s="4">
        <v>9963550</v>
      </c>
      <c r="K24" s="7">
        <v>0.15</v>
      </c>
      <c r="L24" s="4">
        <f>+I24+J24+(K24*K$7)+$K$7</f>
        <v>34831050</v>
      </c>
      <c r="M24" s="22"/>
      <c r="N24" s="22"/>
      <c r="O24" s="22"/>
    </row>
    <row r="25" spans="3:15" x14ac:dyDescent="0.25">
      <c r="C25" s="33" t="str">
        <f>IF(H25=1,"u","")</f>
        <v/>
      </c>
      <c r="D25" s="11"/>
      <c r="E25" s="33"/>
      <c r="I25" s="4"/>
      <c r="J25" s="4"/>
      <c r="K25" s="7"/>
      <c r="L25" s="4"/>
      <c r="M25" s="22"/>
      <c r="N25" s="22"/>
      <c r="O25" s="22"/>
    </row>
    <row r="26" spans="3:15" x14ac:dyDescent="0.25">
      <c r="C26" s="33" t="str">
        <f t="shared" ref="C26:C43" si="0">IF(H26=1,"u","")</f>
        <v/>
      </c>
      <c r="D26" s="11"/>
      <c r="E26" s="33"/>
      <c r="I26" s="4"/>
      <c r="J26" s="4"/>
      <c r="K26" s="7"/>
      <c r="L26" s="4"/>
      <c r="M26" s="22"/>
      <c r="N26" s="22"/>
      <c r="O26" s="22"/>
    </row>
    <row r="27" spans="3:15" x14ac:dyDescent="0.25">
      <c r="C27" s="33" t="str">
        <f t="shared" si="0"/>
        <v/>
      </c>
      <c r="D27" s="11"/>
      <c r="E27" s="33"/>
      <c r="I27" s="4"/>
      <c r="J27" s="4"/>
      <c r="K27" s="7"/>
      <c r="L27" s="4"/>
      <c r="M27" s="22"/>
      <c r="N27" s="22"/>
      <c r="O27" s="22"/>
    </row>
    <row r="28" spans="3:15" x14ac:dyDescent="0.25">
      <c r="C28" s="33" t="str">
        <f t="shared" si="0"/>
        <v/>
      </c>
      <c r="D28" s="11"/>
      <c r="E28" s="33"/>
      <c r="I28" s="4"/>
      <c r="J28" s="4"/>
      <c r="K28" s="7"/>
      <c r="L28" s="4"/>
      <c r="M28" s="22"/>
      <c r="N28" s="22"/>
      <c r="O28" s="22"/>
    </row>
    <row r="29" spans="3:15" x14ac:dyDescent="0.25">
      <c r="C29" s="33" t="str">
        <f t="shared" si="0"/>
        <v/>
      </c>
      <c r="D29" s="11"/>
      <c r="E29" s="33"/>
      <c r="I29" s="4"/>
      <c r="J29" s="4"/>
      <c r="K29" s="7"/>
      <c r="L29" s="4"/>
      <c r="M29" s="22"/>
      <c r="N29" s="22"/>
      <c r="O29" s="22"/>
    </row>
    <row r="30" spans="3:15" x14ac:dyDescent="0.25">
      <c r="C30" s="33" t="str">
        <f t="shared" si="0"/>
        <v/>
      </c>
      <c r="D30" s="11"/>
      <c r="E30" s="33" t="str">
        <f t="shared" ref="E30:E43" si="1">IF(H30=1,"t","")</f>
        <v/>
      </c>
      <c r="I30" s="4"/>
      <c r="J30" s="4"/>
      <c r="K30" s="7"/>
      <c r="L30" s="4"/>
      <c r="M30" s="22"/>
      <c r="N30" s="22"/>
      <c r="O30" s="22"/>
    </row>
    <row r="31" spans="3:15" x14ac:dyDescent="0.25">
      <c r="C31" s="33" t="str">
        <f t="shared" si="0"/>
        <v/>
      </c>
      <c r="D31" s="11"/>
      <c r="E31" s="33" t="str">
        <f t="shared" si="1"/>
        <v/>
      </c>
      <c r="I31" s="4"/>
      <c r="J31" s="4"/>
      <c r="K31" s="7"/>
      <c r="L31" s="4"/>
      <c r="M31" s="22"/>
      <c r="N31" s="22"/>
      <c r="O31" s="22"/>
    </row>
    <row r="32" spans="3:15" x14ac:dyDescent="0.25">
      <c r="C32" s="33" t="str">
        <f t="shared" si="0"/>
        <v/>
      </c>
      <c r="D32" s="11"/>
      <c r="E32" s="33" t="str">
        <f t="shared" si="1"/>
        <v/>
      </c>
      <c r="I32" s="4"/>
      <c r="J32" s="4"/>
      <c r="K32" s="7"/>
      <c r="L32" s="4"/>
      <c r="M32" s="22"/>
      <c r="N32" s="22"/>
      <c r="O32" s="22"/>
    </row>
    <row r="33" spans="3:15" x14ac:dyDescent="0.25">
      <c r="C33" s="33" t="str">
        <f t="shared" si="0"/>
        <v/>
      </c>
      <c r="D33" s="11"/>
      <c r="E33" s="33" t="str">
        <f t="shared" si="1"/>
        <v/>
      </c>
      <c r="I33" s="4"/>
      <c r="J33" s="4"/>
      <c r="K33" s="7"/>
      <c r="L33" s="4"/>
      <c r="M33" s="21"/>
      <c r="N33" s="21"/>
      <c r="O33" s="21"/>
    </row>
    <row r="34" spans="3:15" x14ac:dyDescent="0.25">
      <c r="C34" s="33" t="str">
        <f t="shared" si="0"/>
        <v/>
      </c>
      <c r="D34" s="11"/>
      <c r="E34" s="33" t="str">
        <f t="shared" si="1"/>
        <v/>
      </c>
      <c r="K34" s="7"/>
      <c r="M34" s="21"/>
      <c r="N34" s="21"/>
      <c r="O34" s="21"/>
    </row>
    <row r="35" spans="3:15" x14ac:dyDescent="0.25">
      <c r="C35" s="33" t="str">
        <f t="shared" si="0"/>
        <v/>
      </c>
      <c r="D35" s="11"/>
      <c r="E35" s="33" t="str">
        <f t="shared" si="1"/>
        <v/>
      </c>
      <c r="K35" s="7"/>
      <c r="M35" s="21"/>
      <c r="N35" s="21"/>
      <c r="O35" s="21"/>
    </row>
    <row r="36" spans="3:15" x14ac:dyDescent="0.25">
      <c r="C36" s="33" t="str">
        <f t="shared" si="0"/>
        <v/>
      </c>
      <c r="D36" s="11"/>
      <c r="E36" s="33" t="str">
        <f t="shared" si="1"/>
        <v/>
      </c>
      <c r="K36" s="7"/>
      <c r="M36" s="21"/>
      <c r="N36" s="21"/>
      <c r="O36" s="21"/>
    </row>
    <row r="37" spans="3:15" x14ac:dyDescent="0.25">
      <c r="C37" s="33" t="str">
        <f t="shared" si="0"/>
        <v/>
      </c>
      <c r="D37" s="11"/>
      <c r="E37" s="33" t="str">
        <f t="shared" si="1"/>
        <v/>
      </c>
      <c r="K37" s="7"/>
      <c r="M37" s="21"/>
      <c r="N37" s="21"/>
      <c r="O37" s="21"/>
    </row>
    <row r="38" spans="3:15" x14ac:dyDescent="0.25">
      <c r="C38" s="33" t="str">
        <f t="shared" si="0"/>
        <v/>
      </c>
      <c r="D38" s="11"/>
      <c r="E38" s="33" t="str">
        <f t="shared" si="1"/>
        <v/>
      </c>
      <c r="K38" s="7"/>
      <c r="M38" s="21"/>
      <c r="N38" s="21"/>
      <c r="O38" s="21"/>
    </row>
    <row r="39" spans="3:15" x14ac:dyDescent="0.25">
      <c r="C39" s="33" t="str">
        <f t="shared" si="0"/>
        <v/>
      </c>
      <c r="D39" s="11"/>
      <c r="E39" s="33" t="str">
        <f t="shared" si="1"/>
        <v/>
      </c>
      <c r="K39" s="7"/>
      <c r="M39" s="21"/>
      <c r="N39" s="21"/>
      <c r="O39" s="21"/>
    </row>
    <row r="40" spans="3:15" x14ac:dyDescent="0.25">
      <c r="C40" s="33" t="str">
        <f t="shared" si="0"/>
        <v/>
      </c>
      <c r="D40" s="11"/>
      <c r="E40" s="33" t="str">
        <f t="shared" si="1"/>
        <v/>
      </c>
      <c r="K40" s="7"/>
      <c r="M40" s="21"/>
      <c r="N40" s="21"/>
      <c r="O40" s="21"/>
    </row>
    <row r="41" spans="3:15" x14ac:dyDescent="0.25">
      <c r="C41" s="33" t="str">
        <f t="shared" si="0"/>
        <v/>
      </c>
      <c r="D41" s="11"/>
      <c r="E41" s="33" t="str">
        <f t="shared" si="1"/>
        <v/>
      </c>
      <c r="K41" s="7"/>
      <c r="M41" s="21"/>
      <c r="N41" s="21"/>
      <c r="O41" s="21"/>
    </row>
    <row r="42" spans="3:15" x14ac:dyDescent="0.25">
      <c r="C42" s="33" t="str">
        <f t="shared" si="0"/>
        <v/>
      </c>
      <c r="D42" s="11"/>
      <c r="E42" s="33" t="str">
        <f t="shared" si="1"/>
        <v/>
      </c>
      <c r="K42" s="7"/>
      <c r="M42" s="21"/>
      <c r="N42" s="21"/>
      <c r="O42" s="21"/>
    </row>
    <row r="43" spans="3:15" x14ac:dyDescent="0.25">
      <c r="C43" s="33" t="str">
        <f t="shared" si="0"/>
        <v/>
      </c>
      <c r="D43" s="11"/>
      <c r="E43" s="33" t="str">
        <f t="shared" si="1"/>
        <v/>
      </c>
      <c r="K43" s="7"/>
      <c r="M43" s="21"/>
      <c r="N43" s="21"/>
      <c r="O43" s="21"/>
    </row>
    <row r="44" spans="3:15" ht="6" customHeight="1" x14ac:dyDescent="0.25">
      <c r="C44" s="9"/>
      <c r="D44" s="9"/>
      <c r="E44" s="9"/>
      <c r="F44" s="9"/>
      <c r="G44" s="9"/>
      <c r="H44" s="9"/>
      <c r="I44" s="9"/>
      <c r="J44" s="9"/>
      <c r="K44" s="9"/>
      <c r="L44" s="9"/>
      <c r="M44" s="21"/>
      <c r="N44" s="21"/>
      <c r="O44" s="21"/>
    </row>
    <row r="45" spans="3:15" ht="6" customHeight="1" x14ac:dyDescent="0.25">
      <c r="M45" s="21"/>
      <c r="N45" s="21"/>
      <c r="O45" s="21"/>
    </row>
    <row r="46" spans="3:15" x14ac:dyDescent="0.25">
      <c r="C46" s="15" t="s">
        <v>79</v>
      </c>
      <c r="M46" s="21"/>
      <c r="N46" s="21"/>
      <c r="O46" s="21"/>
    </row>
    <row r="47" spans="3:15" x14ac:dyDescent="0.25">
      <c r="C47" s="15" t="s">
        <v>78</v>
      </c>
      <c r="M47" s="21"/>
      <c r="N47" s="21"/>
      <c r="O47" s="21"/>
    </row>
  </sheetData>
  <mergeCells count="1">
    <mergeCell ref="G13:H13"/>
  </mergeCells>
  <conditionalFormatting sqref="I9 F11">
    <cfRule type="containsText" dxfId="1205" priority="8" operator="containsText" text="FAIL">
      <formula>NOT(ISERROR(SEARCH("FAIL",F9)))</formula>
    </cfRule>
  </conditionalFormatting>
  <conditionalFormatting sqref="I9 F11">
    <cfRule type="containsText" dxfId="1204" priority="7" operator="containsText" text="GOOD">
      <formula>NOT(ISERROR(SEARCH("GOOD",F9)))</formula>
    </cfRule>
  </conditionalFormatting>
  <conditionalFormatting sqref="I9">
    <cfRule type="containsText" dxfId="1203" priority="6" operator="containsText" text="FAIL">
      <formula>NOT(ISERROR(SEARCH("FAIL",I9)))</formula>
    </cfRule>
  </conditionalFormatting>
  <conditionalFormatting sqref="I9">
    <cfRule type="containsText" dxfId="1202" priority="5" operator="containsText" text="GOOD">
      <formula>NOT(ISERROR(SEARCH("GOOD",I9)))</formula>
    </cfRule>
  </conditionalFormatting>
  <conditionalFormatting sqref="D25">
    <cfRule type="expression" dxfId="1201" priority="4" stopIfTrue="1">
      <formula>IF($H$25=1,0)</formula>
    </cfRule>
  </conditionalFormatting>
  <conditionalFormatting sqref="D23:D43">
    <cfRule type="expression" dxfId="1200" priority="3">
      <formula>H23=1</formula>
    </cfRule>
  </conditionalFormatting>
  <conditionalFormatting sqref="C23:C43">
    <cfRule type="expression" dxfId="1199" priority="2">
      <formula>H23=1</formula>
    </cfRule>
  </conditionalFormatting>
  <conditionalFormatting sqref="E23:E43">
    <cfRule type="expression" dxfId="1198" priority="1">
      <formula>H23=1</formula>
    </cfRule>
  </conditionalFormatting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sheetPr codeName="Sheet91"/>
  <dimension ref="A2:O47"/>
  <sheetViews>
    <sheetView zoomScaleNormal="100" workbookViewId="0">
      <selection activeCell="K24" sqref="K24"/>
    </sheetView>
  </sheetViews>
  <sheetFormatPr defaultRowHeight="15" x14ac:dyDescent="0.25"/>
  <cols>
    <col min="1" max="2" width="4.42578125" customWidth="1"/>
    <col min="3" max="3" width="3" customWidth="1"/>
    <col min="4" max="4" width="24.85546875" customWidth="1"/>
    <col min="5" max="5" width="3" customWidth="1"/>
    <col min="6" max="6" width="15.7109375" customWidth="1"/>
    <col min="7" max="7" width="8.5703125" customWidth="1"/>
    <col min="8" max="8" width="5.85546875" customWidth="1"/>
    <col min="9" max="15" width="15.7109375" customWidth="1"/>
  </cols>
  <sheetData>
    <row r="2" spans="1:11" x14ac:dyDescent="0.25">
      <c r="C2" s="15" t="s">
        <v>32</v>
      </c>
      <c r="E2" s="15"/>
      <c r="F2" s="15"/>
      <c r="G2" s="15" t="s">
        <v>33</v>
      </c>
      <c r="H2" s="15"/>
      <c r="I2" s="15"/>
      <c r="J2" s="15"/>
      <c r="K2" s="15"/>
    </row>
    <row r="3" spans="1:11" ht="18.75" x14ac:dyDescent="0.3">
      <c r="C3" s="3" t="s">
        <v>26</v>
      </c>
      <c r="J3" s="8" t="s">
        <v>17</v>
      </c>
    </row>
    <row r="4" spans="1:11" x14ac:dyDescent="0.25">
      <c r="D4" s="2" t="s">
        <v>0</v>
      </c>
      <c r="E4" s="1"/>
      <c r="F4" t="s">
        <v>754</v>
      </c>
      <c r="I4" s="2" t="s">
        <v>4</v>
      </c>
      <c r="J4" t="s">
        <v>616</v>
      </c>
    </row>
    <row r="5" spans="1:11" x14ac:dyDescent="0.25">
      <c r="D5" s="2" t="s">
        <v>1</v>
      </c>
      <c r="F5" t="s">
        <v>755</v>
      </c>
    </row>
    <row r="6" spans="1:11" x14ac:dyDescent="0.25">
      <c r="D6" s="2" t="s">
        <v>2</v>
      </c>
      <c r="F6" s="6">
        <v>42681</v>
      </c>
      <c r="H6" s="11"/>
    </row>
    <row r="7" spans="1:11" x14ac:dyDescent="0.25">
      <c r="D7" s="2" t="s">
        <v>3</v>
      </c>
      <c r="F7" s="5">
        <v>7200000</v>
      </c>
      <c r="G7" s="2" t="s">
        <v>756</v>
      </c>
      <c r="H7" s="11"/>
    </row>
    <row r="8" spans="1:11" x14ac:dyDescent="0.25">
      <c r="D8" s="2" t="s">
        <v>18</v>
      </c>
      <c r="F8" s="5">
        <f>MIN(I23:I43)</f>
        <v>5899500</v>
      </c>
      <c r="H8" s="11"/>
    </row>
    <row r="9" spans="1:11" x14ac:dyDescent="0.25">
      <c r="D9" s="2" t="s">
        <v>67</v>
      </c>
      <c r="F9" s="4">
        <f>+F8-F7</f>
        <v>-1300500</v>
      </c>
      <c r="G9" s="16">
        <f>+F9/F7</f>
        <v>-0.18062500000000001</v>
      </c>
      <c r="H9" s="12" t="s">
        <v>20</v>
      </c>
      <c r="I9" s="11" t="str">
        <f>(IF(G9&lt;-0.1,"FAIL",IF(G9&gt;0.05,"FAIL","GOOD")))</f>
        <v>FAIL</v>
      </c>
      <c r="J9" s="14" t="s">
        <v>72</v>
      </c>
    </row>
    <row r="10" spans="1:11" x14ac:dyDescent="0.25">
      <c r="D10" s="2" t="s">
        <v>68</v>
      </c>
      <c r="F10" s="4">
        <f>+F7-F12</f>
        <v>27850</v>
      </c>
      <c r="H10" s="11"/>
    </row>
    <row r="11" spans="1:11" x14ac:dyDescent="0.25">
      <c r="A11" s="52"/>
      <c r="D11" s="2" t="s">
        <v>71</v>
      </c>
      <c r="F11" s="11" t="str">
        <f>(IF(F7&lt;J12,"FAIL",IF(F7&gt;J13,"FAIL","GOOD")))</f>
        <v>GOOD</v>
      </c>
      <c r="H11" s="11"/>
    </row>
    <row r="12" spans="1:11" x14ac:dyDescent="0.25">
      <c r="D12" s="2" t="s">
        <v>28</v>
      </c>
      <c r="F12" s="4">
        <f>SUM(I23:I43)/H12</f>
        <v>7172150</v>
      </c>
      <c r="G12" s="14"/>
      <c r="H12" s="11">
        <f>COUNT(I23:I43)</f>
        <v>4</v>
      </c>
      <c r="I12" s="1" t="s">
        <v>31</v>
      </c>
      <c r="J12" s="4">
        <f>+F8*0.9</f>
        <v>5309550</v>
      </c>
      <c r="K12" s="1" t="s">
        <v>69</v>
      </c>
    </row>
    <row r="13" spans="1:11" x14ac:dyDescent="0.25">
      <c r="D13" s="2" t="s">
        <v>29</v>
      </c>
      <c r="F13" s="4">
        <f>MAX(I23:I43)-MIN(I23:I43)</f>
        <v>3380500</v>
      </c>
      <c r="G13" s="399">
        <f>MEDIAN(I23:I43)</f>
        <v>6754550</v>
      </c>
      <c r="H13" s="400"/>
      <c r="I13" s="1" t="s">
        <v>30</v>
      </c>
      <c r="J13" s="4">
        <f>+F12*1.1</f>
        <v>7889365.0000000009</v>
      </c>
      <c r="K13" s="1" t="s">
        <v>70</v>
      </c>
    </row>
    <row r="14" spans="1:11" x14ac:dyDescent="0.25">
      <c r="H14" s="11"/>
    </row>
    <row r="15" spans="1:11" x14ac:dyDescent="0.25">
      <c r="D15" s="2" t="s">
        <v>8</v>
      </c>
      <c r="F15" s="4"/>
      <c r="G15" s="1" t="s">
        <v>9</v>
      </c>
      <c r="H15" s="11"/>
      <c r="I15" t="s">
        <v>15</v>
      </c>
      <c r="J15" s="7" t="e">
        <f>+F16/F15</f>
        <v>#DIV/0!</v>
      </c>
    </row>
    <row r="16" spans="1:11" x14ac:dyDescent="0.25">
      <c r="F16" s="4"/>
      <c r="G16" s="1" t="s">
        <v>10</v>
      </c>
      <c r="H16" s="11"/>
      <c r="I16" t="s">
        <v>14</v>
      </c>
      <c r="J16" s="7" t="e">
        <f>+F17/F16</f>
        <v>#DIV/0!</v>
      </c>
    </row>
    <row r="17" spans="3:15" x14ac:dyDescent="0.25">
      <c r="F17" s="4"/>
      <c r="G17" s="1" t="s">
        <v>11</v>
      </c>
      <c r="H17" s="11"/>
      <c r="I17" t="s">
        <v>13</v>
      </c>
      <c r="J17" s="7" t="e">
        <f>+F18/F17</f>
        <v>#DIV/0!</v>
      </c>
      <c r="M17" s="21"/>
      <c r="N17" s="21"/>
      <c r="O17" s="21"/>
    </row>
    <row r="18" spans="3:15" x14ac:dyDescent="0.25">
      <c r="F18" s="4"/>
      <c r="G18" s="1" t="s">
        <v>12</v>
      </c>
      <c r="H18" s="11"/>
      <c r="I18" t="s">
        <v>16</v>
      </c>
      <c r="J18" s="7" t="e">
        <f>+F8/F18</f>
        <v>#DIV/0!</v>
      </c>
      <c r="M18" s="21"/>
      <c r="N18" s="21"/>
      <c r="O18" s="21"/>
    </row>
    <row r="19" spans="3:15" x14ac:dyDescent="0.25">
      <c r="F19" s="2" t="s">
        <v>51</v>
      </c>
      <c r="G19">
        <v>0</v>
      </c>
      <c r="H19" s="11" t="s">
        <v>52</v>
      </c>
      <c r="I19" t="s">
        <v>41</v>
      </c>
      <c r="J19" s="7" t="e">
        <f>+F8/F15</f>
        <v>#DIV/0!</v>
      </c>
      <c r="M19" s="21"/>
      <c r="N19" s="21"/>
      <c r="O19" s="21"/>
    </row>
    <row r="20" spans="3:15" x14ac:dyDescent="0.25">
      <c r="H20" s="11"/>
      <c r="M20" s="21"/>
      <c r="N20" s="21"/>
      <c r="O20" s="21"/>
    </row>
    <row r="21" spans="3:15" x14ac:dyDescent="0.25">
      <c r="C21" s="9"/>
      <c r="D21" s="13" t="s">
        <v>21</v>
      </c>
      <c r="E21" s="9"/>
      <c r="F21" s="9" t="s">
        <v>22</v>
      </c>
      <c r="G21" s="9" t="s">
        <v>23</v>
      </c>
      <c r="H21" s="13" t="s">
        <v>27</v>
      </c>
      <c r="I21" s="10" t="s">
        <v>24</v>
      </c>
      <c r="J21" s="9"/>
      <c r="K21" s="9"/>
      <c r="L21" s="9"/>
      <c r="M21" s="21"/>
      <c r="N21" s="21"/>
      <c r="O21" s="21"/>
    </row>
    <row r="22" spans="3:15" ht="6" customHeight="1" x14ac:dyDescent="0.25">
      <c r="M22" s="21"/>
      <c r="N22" s="21"/>
      <c r="O22" s="21"/>
    </row>
    <row r="23" spans="3:15" x14ac:dyDescent="0.25">
      <c r="C23" s="33" t="str">
        <f>IF(H23=1,"u","")</f>
        <v/>
      </c>
      <c r="D23" s="11" t="s">
        <v>499</v>
      </c>
      <c r="E23" s="33"/>
      <c r="F23" t="s">
        <v>100</v>
      </c>
      <c r="G23" t="s">
        <v>93</v>
      </c>
      <c r="H23">
        <f>RANK(I23,I$23:I$43,1)</f>
        <v>3</v>
      </c>
      <c r="I23" s="4">
        <v>6928400</v>
      </c>
      <c r="J23" s="4"/>
      <c r="K23" s="4"/>
      <c r="L23" s="4"/>
      <c r="M23" s="22"/>
      <c r="N23" s="22"/>
      <c r="O23" s="22"/>
    </row>
    <row r="24" spans="3:15" x14ac:dyDescent="0.25">
      <c r="C24" s="33" t="str">
        <f>IF(H24=1,"u","")</f>
        <v>u</v>
      </c>
      <c r="D24" s="11" t="s">
        <v>491</v>
      </c>
      <c r="E24" s="33"/>
      <c r="F24" t="s">
        <v>203</v>
      </c>
      <c r="G24" t="s">
        <v>204</v>
      </c>
      <c r="H24">
        <f>RANK(I24,I$23:I$43,1)</f>
        <v>1</v>
      </c>
      <c r="I24" s="4">
        <v>5899500</v>
      </c>
      <c r="J24" s="4"/>
      <c r="K24" s="4"/>
      <c r="L24" s="4"/>
      <c r="M24" s="22"/>
      <c r="N24" s="22"/>
      <c r="O24" s="22"/>
    </row>
    <row r="25" spans="3:15" x14ac:dyDescent="0.25">
      <c r="C25" s="33" t="str">
        <f>IF(H25=1,"u","")</f>
        <v/>
      </c>
      <c r="D25" s="11" t="s">
        <v>547</v>
      </c>
      <c r="E25" s="33"/>
      <c r="F25" t="s">
        <v>88</v>
      </c>
      <c r="G25" t="s">
        <v>25</v>
      </c>
      <c r="H25">
        <f>RANK(I25,I$23:I$43,1)</f>
        <v>4</v>
      </c>
      <c r="I25" s="4">
        <v>9280000</v>
      </c>
      <c r="J25" s="4"/>
      <c r="K25" s="4"/>
      <c r="L25" s="4"/>
      <c r="M25" s="22"/>
      <c r="N25" s="22"/>
      <c r="O25" s="22"/>
    </row>
    <row r="26" spans="3:15" x14ac:dyDescent="0.25">
      <c r="C26" s="33" t="str">
        <f t="shared" ref="C26:C43" si="0">IF(H26=1,"u","")</f>
        <v/>
      </c>
      <c r="D26" s="11" t="s">
        <v>757</v>
      </c>
      <c r="E26" s="33"/>
      <c r="F26" t="s">
        <v>350</v>
      </c>
      <c r="G26" t="s">
        <v>93</v>
      </c>
      <c r="H26">
        <f>RANK(I26,I$23:I$43,1)</f>
        <v>2</v>
      </c>
      <c r="I26" s="4">
        <v>6580700</v>
      </c>
      <c r="J26" s="4"/>
      <c r="K26" s="4"/>
      <c r="L26" s="4"/>
      <c r="M26" s="22"/>
      <c r="N26" s="22"/>
      <c r="O26" s="22"/>
    </row>
    <row r="27" spans="3:15" x14ac:dyDescent="0.25">
      <c r="C27" s="33" t="str">
        <f t="shared" si="0"/>
        <v/>
      </c>
      <c r="D27" s="11"/>
      <c r="E27" s="33"/>
      <c r="I27" s="4"/>
      <c r="J27" s="4"/>
      <c r="K27" s="4"/>
      <c r="L27" s="4"/>
      <c r="M27" s="22"/>
      <c r="N27" s="22"/>
      <c r="O27" s="22"/>
    </row>
    <row r="28" spans="3:15" x14ac:dyDescent="0.25">
      <c r="C28" s="33" t="str">
        <f t="shared" si="0"/>
        <v/>
      </c>
      <c r="D28" s="11"/>
      <c r="E28" s="33"/>
      <c r="I28" s="4"/>
      <c r="J28" s="4"/>
      <c r="K28" s="4"/>
      <c r="L28" s="4"/>
      <c r="M28" s="22"/>
      <c r="N28" s="22"/>
      <c r="O28" s="22"/>
    </row>
    <row r="29" spans="3:15" x14ac:dyDescent="0.25">
      <c r="C29" s="33" t="str">
        <f t="shared" si="0"/>
        <v/>
      </c>
      <c r="D29" s="11"/>
      <c r="E29" s="33"/>
      <c r="I29" s="4"/>
      <c r="J29" s="4"/>
      <c r="K29" s="4"/>
      <c r="L29" s="4"/>
      <c r="M29" s="22"/>
      <c r="N29" s="22"/>
      <c r="O29" s="22"/>
    </row>
    <row r="30" spans="3:15" x14ac:dyDescent="0.25">
      <c r="C30" s="33" t="str">
        <f t="shared" si="0"/>
        <v/>
      </c>
      <c r="D30" s="11"/>
      <c r="E30" s="33"/>
      <c r="I30" s="4"/>
      <c r="J30" s="4"/>
      <c r="K30" s="4"/>
      <c r="L30" s="4"/>
      <c r="M30" s="22"/>
      <c r="N30" s="22"/>
      <c r="O30" s="22"/>
    </row>
    <row r="31" spans="3:15" x14ac:dyDescent="0.25">
      <c r="C31" s="33" t="str">
        <f t="shared" si="0"/>
        <v/>
      </c>
      <c r="D31" s="11"/>
      <c r="E31" s="33"/>
      <c r="I31" s="4"/>
      <c r="J31" s="4"/>
      <c r="K31" s="4"/>
      <c r="L31" s="4"/>
      <c r="M31" s="22"/>
      <c r="N31" s="22"/>
      <c r="O31" s="22"/>
    </row>
    <row r="32" spans="3:15" x14ac:dyDescent="0.25">
      <c r="C32" s="33" t="str">
        <f t="shared" si="0"/>
        <v/>
      </c>
      <c r="D32" s="11"/>
      <c r="E32" s="33"/>
      <c r="I32" s="4"/>
      <c r="J32" s="4"/>
      <c r="K32" s="4"/>
      <c r="L32" s="4"/>
      <c r="M32" s="22"/>
      <c r="N32" s="22"/>
      <c r="O32" s="22"/>
    </row>
    <row r="33" spans="3:15" x14ac:dyDescent="0.25">
      <c r="C33" s="33" t="str">
        <f t="shared" si="0"/>
        <v/>
      </c>
      <c r="D33" s="11"/>
      <c r="E33" s="33"/>
      <c r="I33" s="4"/>
      <c r="M33" s="21"/>
      <c r="N33" s="21"/>
      <c r="O33" s="21"/>
    </row>
    <row r="34" spans="3:15" x14ac:dyDescent="0.25">
      <c r="C34" s="33" t="str">
        <f t="shared" si="0"/>
        <v/>
      </c>
      <c r="D34" s="11"/>
      <c r="E34" s="33" t="str">
        <f t="shared" ref="E34:E43" si="1">IF(H34=1,"t","")</f>
        <v/>
      </c>
      <c r="M34" s="21"/>
      <c r="N34" s="21"/>
      <c r="O34" s="21"/>
    </row>
    <row r="35" spans="3:15" x14ac:dyDescent="0.25">
      <c r="C35" s="33" t="str">
        <f t="shared" si="0"/>
        <v/>
      </c>
      <c r="D35" s="11"/>
      <c r="E35" s="33" t="str">
        <f t="shared" si="1"/>
        <v/>
      </c>
      <c r="M35" s="21"/>
      <c r="N35" s="21"/>
      <c r="O35" s="21"/>
    </row>
    <row r="36" spans="3:15" x14ac:dyDescent="0.25">
      <c r="C36" s="33" t="str">
        <f t="shared" si="0"/>
        <v/>
      </c>
      <c r="D36" s="11"/>
      <c r="E36" s="33" t="str">
        <f t="shared" si="1"/>
        <v/>
      </c>
      <c r="M36" s="21"/>
      <c r="N36" s="21"/>
      <c r="O36" s="21"/>
    </row>
    <row r="37" spans="3:15" x14ac:dyDescent="0.25">
      <c r="C37" s="33" t="str">
        <f t="shared" si="0"/>
        <v/>
      </c>
      <c r="D37" s="11"/>
      <c r="E37" s="33" t="str">
        <f t="shared" si="1"/>
        <v/>
      </c>
      <c r="M37" s="21"/>
      <c r="N37" s="21"/>
      <c r="O37" s="21"/>
    </row>
    <row r="38" spans="3:15" x14ac:dyDescent="0.25">
      <c r="C38" s="33" t="str">
        <f t="shared" si="0"/>
        <v/>
      </c>
      <c r="D38" s="11"/>
      <c r="E38" s="33" t="str">
        <f t="shared" si="1"/>
        <v/>
      </c>
      <c r="M38" s="21"/>
      <c r="N38" s="21"/>
      <c r="O38" s="21"/>
    </row>
    <row r="39" spans="3:15" x14ac:dyDescent="0.25">
      <c r="C39" s="33" t="str">
        <f t="shared" si="0"/>
        <v/>
      </c>
      <c r="D39" s="11"/>
      <c r="E39" s="33" t="str">
        <f t="shared" si="1"/>
        <v/>
      </c>
      <c r="M39" s="21"/>
      <c r="N39" s="21"/>
      <c r="O39" s="21"/>
    </row>
    <row r="40" spans="3:15" x14ac:dyDescent="0.25">
      <c r="C40" s="33" t="str">
        <f t="shared" si="0"/>
        <v/>
      </c>
      <c r="D40" s="11"/>
      <c r="E40" s="33" t="str">
        <f t="shared" si="1"/>
        <v/>
      </c>
      <c r="M40" s="21"/>
      <c r="N40" s="21"/>
      <c r="O40" s="21"/>
    </row>
    <row r="41" spans="3:15" x14ac:dyDescent="0.25">
      <c r="C41" s="33" t="str">
        <f t="shared" si="0"/>
        <v/>
      </c>
      <c r="D41" s="11"/>
      <c r="E41" s="33" t="str">
        <f t="shared" si="1"/>
        <v/>
      </c>
      <c r="M41" s="21"/>
      <c r="N41" s="21"/>
      <c r="O41" s="21"/>
    </row>
    <row r="42" spans="3:15" x14ac:dyDescent="0.25">
      <c r="C42" s="33" t="str">
        <f t="shared" si="0"/>
        <v/>
      </c>
      <c r="D42" s="11"/>
      <c r="E42" s="33" t="str">
        <f t="shared" si="1"/>
        <v/>
      </c>
      <c r="M42" s="21"/>
      <c r="N42" s="21"/>
      <c r="O42" s="21"/>
    </row>
    <row r="43" spans="3:15" x14ac:dyDescent="0.25">
      <c r="C43" s="33" t="str">
        <f t="shared" si="0"/>
        <v/>
      </c>
      <c r="D43" s="11"/>
      <c r="E43" s="33" t="str">
        <f t="shared" si="1"/>
        <v/>
      </c>
      <c r="M43" s="21"/>
      <c r="N43" s="21"/>
      <c r="O43" s="21"/>
    </row>
    <row r="44" spans="3:15" ht="6" customHeight="1" x14ac:dyDescent="0.25">
      <c r="C44" s="9"/>
      <c r="D44" s="9"/>
      <c r="E44" s="9"/>
      <c r="F44" s="9"/>
      <c r="G44" s="9"/>
      <c r="H44" s="9"/>
      <c r="I44" s="9"/>
      <c r="J44" s="9"/>
      <c r="K44" s="9"/>
      <c r="L44" s="9"/>
      <c r="M44" s="21"/>
      <c r="N44" s="21"/>
      <c r="O44" s="21"/>
    </row>
    <row r="45" spans="3:15" ht="6" customHeight="1" x14ac:dyDescent="0.25">
      <c r="M45" s="21"/>
      <c r="N45" s="21"/>
      <c r="O45" s="21"/>
    </row>
    <row r="46" spans="3:15" x14ac:dyDescent="0.25">
      <c r="C46" s="15" t="s">
        <v>79</v>
      </c>
      <c r="M46" s="21"/>
      <c r="N46" s="21"/>
      <c r="O46" s="21"/>
    </row>
    <row r="47" spans="3:15" x14ac:dyDescent="0.25">
      <c r="C47" s="15" t="s">
        <v>78</v>
      </c>
    </row>
  </sheetData>
  <mergeCells count="1">
    <mergeCell ref="G13:H13"/>
  </mergeCells>
  <conditionalFormatting sqref="I9">
    <cfRule type="containsText" dxfId="1035" priority="10" operator="containsText" text="FAIL">
      <formula>NOT(ISERROR(SEARCH("FAIL",I9)))</formula>
    </cfRule>
  </conditionalFormatting>
  <conditionalFormatting sqref="I9">
    <cfRule type="containsText" dxfId="1034" priority="9" operator="containsText" text="GOOD">
      <formula>NOT(ISERROR(SEARCH("GOOD",I9)))</formula>
    </cfRule>
  </conditionalFormatting>
  <conditionalFormatting sqref="F11">
    <cfRule type="containsText" dxfId="1033" priority="8" operator="containsText" text="FAIL">
      <formula>NOT(ISERROR(SEARCH("FAIL",F11)))</formula>
    </cfRule>
  </conditionalFormatting>
  <conditionalFormatting sqref="F11">
    <cfRule type="containsText" dxfId="1032" priority="7" operator="containsText" text="GOOD">
      <formula>NOT(ISERROR(SEARCH("GOOD",F11)))</formula>
    </cfRule>
  </conditionalFormatting>
  <conditionalFormatting sqref="D25">
    <cfRule type="expression" dxfId="1031" priority="6" stopIfTrue="1">
      <formula>IF($H$25=1,0)</formula>
    </cfRule>
  </conditionalFormatting>
  <conditionalFormatting sqref="D23:D43">
    <cfRule type="expression" dxfId="1030" priority="5">
      <formula>H23=1</formula>
    </cfRule>
  </conditionalFormatting>
  <conditionalFormatting sqref="C23:C43">
    <cfRule type="expression" dxfId="1029" priority="4">
      <formula>H23=1</formula>
    </cfRule>
  </conditionalFormatting>
  <conditionalFormatting sqref="E23:E43">
    <cfRule type="expression" dxfId="1028" priority="3">
      <formula>H23=1</formula>
    </cfRule>
  </conditionalFormatting>
  <conditionalFormatting sqref="F11">
    <cfRule type="containsText" dxfId="1027" priority="2" operator="containsText" text="FAIL">
      <formula>NOT(ISERROR(SEARCH("FAIL",F11)))</formula>
    </cfRule>
  </conditionalFormatting>
  <conditionalFormatting sqref="F11">
    <cfRule type="containsText" dxfId="1026" priority="1" operator="containsText" text="GOOD">
      <formula>NOT(ISERROR(SEARCH("GOOD",F11)))</formula>
    </cfRule>
  </conditionalFormatting>
  <pageMargins left="0.7" right="0.7" top="0.75" bottom="0.75" header="0.3" footer="0.3"/>
  <pageSetup scale="68"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600-000000000000}">
  <sheetPr codeName="Sheet168"/>
  <dimension ref="A2:O47"/>
  <sheetViews>
    <sheetView workbookViewId="0">
      <selection activeCell="K26" sqref="K26"/>
    </sheetView>
  </sheetViews>
  <sheetFormatPr defaultRowHeight="15" x14ac:dyDescent="0.25"/>
  <cols>
    <col min="1" max="2" width="4.42578125" customWidth="1"/>
    <col min="3" max="3" width="3" customWidth="1"/>
    <col min="4" max="4" width="24.85546875" customWidth="1"/>
    <col min="5" max="5" width="3" customWidth="1"/>
    <col min="6" max="6" width="15.7109375" customWidth="1"/>
    <col min="7" max="7" width="8.5703125" customWidth="1"/>
    <col min="8" max="8" width="5.85546875" customWidth="1"/>
    <col min="9" max="15" width="15.7109375" customWidth="1"/>
  </cols>
  <sheetData>
    <row r="2" spans="1:11" x14ac:dyDescent="0.25">
      <c r="C2" s="15" t="s">
        <v>32</v>
      </c>
      <c r="E2" s="15"/>
      <c r="F2" s="15"/>
      <c r="G2" s="15" t="s">
        <v>33</v>
      </c>
      <c r="H2" s="15"/>
      <c r="I2" s="15"/>
      <c r="J2" s="15"/>
      <c r="K2" s="15"/>
    </row>
    <row r="3" spans="1:11" ht="18.75" x14ac:dyDescent="0.3">
      <c r="C3" s="3" t="s">
        <v>26</v>
      </c>
      <c r="J3" s="8" t="s">
        <v>17</v>
      </c>
    </row>
    <row r="4" spans="1:11" x14ac:dyDescent="0.25">
      <c r="D4" s="2" t="s">
        <v>0</v>
      </c>
      <c r="E4" s="1"/>
      <c r="F4" t="s">
        <v>402</v>
      </c>
      <c r="I4" s="2" t="s">
        <v>4</v>
      </c>
    </row>
    <row r="5" spans="1:11" x14ac:dyDescent="0.25">
      <c r="D5" s="2" t="s">
        <v>1</v>
      </c>
      <c r="F5" t="s">
        <v>403</v>
      </c>
    </row>
    <row r="6" spans="1:11" x14ac:dyDescent="0.25">
      <c r="D6" s="2" t="s">
        <v>2</v>
      </c>
      <c r="F6" s="6">
        <v>42060</v>
      </c>
      <c r="H6" s="11"/>
    </row>
    <row r="7" spans="1:11" x14ac:dyDescent="0.25">
      <c r="D7" s="2" t="s">
        <v>3</v>
      </c>
      <c r="F7" s="5">
        <v>640000</v>
      </c>
      <c r="G7" s="2" t="s">
        <v>177</v>
      </c>
      <c r="H7" s="11"/>
    </row>
    <row r="8" spans="1:11" x14ac:dyDescent="0.25">
      <c r="D8" s="2" t="s">
        <v>18</v>
      </c>
      <c r="F8" s="5">
        <f>MIN(I23:I43)</f>
        <v>574000</v>
      </c>
      <c r="H8" s="11"/>
    </row>
    <row r="9" spans="1:11" x14ac:dyDescent="0.25">
      <c r="D9" s="2" t="s">
        <v>67</v>
      </c>
      <c r="F9" s="4">
        <f>+F8-F7</f>
        <v>-66000</v>
      </c>
      <c r="G9" s="16">
        <f>+F9/F7</f>
        <v>-0.10312499999999999</v>
      </c>
      <c r="H9" s="12" t="s">
        <v>20</v>
      </c>
      <c r="I9" s="11" t="str">
        <f>(IF(G9&lt;-0.1,"FAIL",IF(G9&gt;0.05,"FAIL","GOOD")))</f>
        <v>FAIL</v>
      </c>
      <c r="J9" s="14" t="s">
        <v>72</v>
      </c>
    </row>
    <row r="10" spans="1:11" x14ac:dyDescent="0.25">
      <c r="D10" s="2" t="s">
        <v>68</v>
      </c>
      <c r="F10" s="4">
        <f>+F7-F12</f>
        <v>-111437.71499999997</v>
      </c>
      <c r="H10" s="11"/>
    </row>
    <row r="11" spans="1:11" x14ac:dyDescent="0.25">
      <c r="A11" s="30"/>
      <c r="D11" s="2" t="s">
        <v>71</v>
      </c>
      <c r="F11" s="11" t="str">
        <f>(IF(F7&lt;J12,"FAIL",IF(F7&gt;J13,"FAIL","GOOD")))</f>
        <v>GOOD</v>
      </c>
      <c r="H11" s="11"/>
    </row>
    <row r="12" spans="1:11" x14ac:dyDescent="0.25">
      <c r="D12" s="2" t="s">
        <v>28</v>
      </c>
      <c r="F12" s="4">
        <f>SUM(I23:I43)/H12</f>
        <v>751437.71499999997</v>
      </c>
      <c r="G12" s="14"/>
      <c r="H12" s="11">
        <f>COUNT(I23:I43)</f>
        <v>4</v>
      </c>
      <c r="I12" s="1" t="s">
        <v>31</v>
      </c>
      <c r="J12" s="4">
        <f>+F8*0.9</f>
        <v>516600</v>
      </c>
      <c r="K12" s="1" t="s">
        <v>69</v>
      </c>
    </row>
    <row r="13" spans="1:11" x14ac:dyDescent="0.25">
      <c r="D13" s="2" t="s">
        <v>29</v>
      </c>
      <c r="F13" s="4">
        <f>MAX(I23:I43)-MIN(I23:I43)</f>
        <v>414000</v>
      </c>
      <c r="G13" s="399">
        <f>MEDIAN(I23:I43)</f>
        <v>721875.42999999993</v>
      </c>
      <c r="H13" s="400"/>
      <c r="I13" s="1" t="s">
        <v>30</v>
      </c>
      <c r="J13" s="4">
        <f>+F12*1.1</f>
        <v>826581.4865</v>
      </c>
      <c r="K13" s="1" t="s">
        <v>70</v>
      </c>
    </row>
    <row r="14" spans="1:11" x14ac:dyDescent="0.25">
      <c r="H14" s="11"/>
    </row>
    <row r="15" spans="1:11" x14ac:dyDescent="0.25">
      <c r="D15" s="2" t="s">
        <v>8</v>
      </c>
      <c r="F15" s="4"/>
      <c r="G15" s="1" t="s">
        <v>9</v>
      </c>
      <c r="H15" s="11"/>
      <c r="I15" t="s">
        <v>15</v>
      </c>
      <c r="J15" s="7" t="e">
        <f>+F16/F15</f>
        <v>#DIV/0!</v>
      </c>
    </row>
    <row r="16" spans="1:11" x14ac:dyDescent="0.25">
      <c r="F16" s="4"/>
      <c r="G16" s="1" t="s">
        <v>10</v>
      </c>
      <c r="H16" s="11"/>
      <c r="I16" t="s">
        <v>14</v>
      </c>
      <c r="J16" s="7" t="e">
        <f>+F17/F16</f>
        <v>#DIV/0!</v>
      </c>
    </row>
    <row r="17" spans="3:15" x14ac:dyDescent="0.25">
      <c r="F17" s="4"/>
      <c r="G17" s="1" t="s">
        <v>11</v>
      </c>
      <c r="H17" s="11"/>
      <c r="I17" t="s">
        <v>13</v>
      </c>
      <c r="J17" s="7" t="e">
        <f>+F18/F17</f>
        <v>#DIV/0!</v>
      </c>
      <c r="M17" s="21"/>
      <c r="N17" s="21"/>
      <c r="O17" s="21"/>
    </row>
    <row r="18" spans="3:15" x14ac:dyDescent="0.25">
      <c r="F18" s="4"/>
      <c r="G18" s="1" t="s">
        <v>12</v>
      </c>
      <c r="H18" s="11"/>
      <c r="I18" t="s">
        <v>16</v>
      </c>
      <c r="J18" s="7" t="e">
        <f>+F8/F18</f>
        <v>#DIV/0!</v>
      </c>
      <c r="M18" s="21"/>
      <c r="N18" s="21"/>
      <c r="O18" s="21"/>
    </row>
    <row r="19" spans="3:15" x14ac:dyDescent="0.25">
      <c r="F19" s="2" t="s">
        <v>51</v>
      </c>
      <c r="G19">
        <v>0</v>
      </c>
      <c r="H19" s="11" t="s">
        <v>52</v>
      </c>
      <c r="I19" t="s">
        <v>41</v>
      </c>
      <c r="J19" s="7" t="e">
        <f>+F8/F15</f>
        <v>#DIV/0!</v>
      </c>
      <c r="M19" s="21"/>
      <c r="N19" s="21"/>
      <c r="O19" s="21"/>
    </row>
    <row r="20" spans="3:15" x14ac:dyDescent="0.25">
      <c r="H20" s="11"/>
      <c r="M20" s="21"/>
      <c r="N20" s="21"/>
      <c r="O20" s="21"/>
    </row>
    <row r="21" spans="3:15" x14ac:dyDescent="0.25">
      <c r="C21" s="9"/>
      <c r="D21" s="13" t="s">
        <v>21</v>
      </c>
      <c r="E21" s="9"/>
      <c r="F21" s="9" t="s">
        <v>22</v>
      </c>
      <c r="G21" s="9" t="s">
        <v>23</v>
      </c>
      <c r="H21" s="13" t="s">
        <v>27</v>
      </c>
      <c r="I21" s="10" t="s">
        <v>24</v>
      </c>
      <c r="J21" s="9"/>
      <c r="K21" s="9"/>
      <c r="L21" s="9"/>
      <c r="M21" s="21"/>
      <c r="N21" s="21"/>
      <c r="O21" s="21"/>
    </row>
    <row r="22" spans="3:15" ht="6" customHeight="1" x14ac:dyDescent="0.25">
      <c r="M22" s="21"/>
      <c r="N22" s="21"/>
      <c r="O22" s="21"/>
    </row>
    <row r="23" spans="3:15" x14ac:dyDescent="0.25">
      <c r="C23" s="33" t="str">
        <f>IF(H23=1,"u","")</f>
        <v>u</v>
      </c>
      <c r="D23" s="23" t="s">
        <v>404</v>
      </c>
      <c r="E23" s="33"/>
      <c r="F23" t="s">
        <v>405</v>
      </c>
      <c r="G23" t="s">
        <v>93</v>
      </c>
      <c r="H23">
        <f>RANK(I23,I$23:I$43,1)</f>
        <v>1</v>
      </c>
      <c r="I23" s="4">
        <v>574000</v>
      </c>
      <c r="J23" s="4"/>
      <c r="K23" s="4"/>
      <c r="L23" s="4"/>
      <c r="M23" s="22"/>
      <c r="N23" s="22"/>
      <c r="O23" s="22"/>
    </row>
    <row r="24" spans="3:15" x14ac:dyDescent="0.25">
      <c r="C24" s="33" t="str">
        <f>IF(H24=1,"u","")</f>
        <v/>
      </c>
      <c r="D24" s="23" t="s">
        <v>406</v>
      </c>
      <c r="E24" s="33"/>
      <c r="F24" t="s">
        <v>407</v>
      </c>
      <c r="G24" t="s">
        <v>93</v>
      </c>
      <c r="H24">
        <f>RANK(I24,I$23:I$43,1)</f>
        <v>2</v>
      </c>
      <c r="I24" s="4">
        <v>610750.86</v>
      </c>
      <c r="J24" s="4"/>
      <c r="K24" s="4"/>
      <c r="L24" s="4"/>
      <c r="M24" s="22"/>
      <c r="N24" s="22"/>
      <c r="O24" s="22"/>
    </row>
    <row r="25" spans="3:15" x14ac:dyDescent="0.25">
      <c r="C25" s="33" t="str">
        <f>IF(H25=1,"u","")</f>
        <v/>
      </c>
      <c r="D25" s="23" t="s">
        <v>408</v>
      </c>
      <c r="E25" s="33"/>
      <c r="F25" t="s">
        <v>186</v>
      </c>
      <c r="G25" t="s">
        <v>93</v>
      </c>
      <c r="H25">
        <f>RANK(I25,I$23:I$43,1)</f>
        <v>3</v>
      </c>
      <c r="I25" s="4">
        <v>833000</v>
      </c>
      <c r="J25" s="4"/>
      <c r="K25" s="4"/>
      <c r="L25" s="4"/>
      <c r="M25" s="22"/>
      <c r="N25" s="22"/>
      <c r="O25" s="22"/>
    </row>
    <row r="26" spans="3:15" x14ac:dyDescent="0.25">
      <c r="C26" s="33" t="str">
        <f t="shared" ref="C26:C43" si="0">IF(H26=1,"u","")</f>
        <v/>
      </c>
      <c r="D26" s="23" t="s">
        <v>409</v>
      </c>
      <c r="E26" s="33"/>
      <c r="F26" t="s">
        <v>131</v>
      </c>
      <c r="G26" t="s">
        <v>25</v>
      </c>
      <c r="H26">
        <f>RANK(I26,I$23:I$43,1)</f>
        <v>4</v>
      </c>
      <c r="I26" s="4">
        <v>988000</v>
      </c>
      <c r="J26" s="4"/>
      <c r="K26" s="4"/>
      <c r="L26" s="4"/>
      <c r="M26" s="22"/>
      <c r="N26" s="22"/>
      <c r="O26" s="22"/>
    </row>
    <row r="27" spans="3:15" x14ac:dyDescent="0.25">
      <c r="C27" s="33" t="str">
        <f t="shared" si="0"/>
        <v/>
      </c>
      <c r="D27" s="23"/>
      <c r="E27" s="33" t="str">
        <f t="shared" ref="E27:E43" si="1">IF(H27=1,"t","")</f>
        <v/>
      </c>
      <c r="I27" s="4"/>
      <c r="J27" s="4"/>
      <c r="K27" s="4"/>
      <c r="L27" s="4"/>
      <c r="M27" s="22"/>
      <c r="N27" s="22"/>
      <c r="O27" s="22"/>
    </row>
    <row r="28" spans="3:15" x14ac:dyDescent="0.25">
      <c r="C28" s="33" t="str">
        <f t="shared" si="0"/>
        <v/>
      </c>
      <c r="D28" s="23"/>
      <c r="E28" s="33" t="str">
        <f t="shared" si="1"/>
        <v/>
      </c>
      <c r="I28" s="4"/>
      <c r="J28" s="4"/>
      <c r="K28" s="4"/>
      <c r="L28" s="4"/>
      <c r="M28" s="22"/>
      <c r="N28" s="22"/>
      <c r="O28" s="22"/>
    </row>
    <row r="29" spans="3:15" x14ac:dyDescent="0.25">
      <c r="C29" s="33" t="str">
        <f t="shared" si="0"/>
        <v/>
      </c>
      <c r="D29" s="11"/>
      <c r="E29" s="33" t="str">
        <f t="shared" si="1"/>
        <v/>
      </c>
      <c r="I29" s="4"/>
      <c r="J29" s="4"/>
      <c r="K29" s="4"/>
      <c r="L29" s="4"/>
      <c r="M29" s="22"/>
      <c r="N29" s="22"/>
      <c r="O29" s="22"/>
    </row>
    <row r="30" spans="3:15" x14ac:dyDescent="0.25">
      <c r="C30" s="33" t="str">
        <f t="shared" si="0"/>
        <v/>
      </c>
      <c r="D30" s="11"/>
      <c r="E30" s="33" t="str">
        <f t="shared" si="1"/>
        <v/>
      </c>
      <c r="I30" s="4"/>
      <c r="J30" s="4"/>
      <c r="K30" s="4"/>
      <c r="L30" s="4"/>
      <c r="M30" s="22"/>
      <c r="N30" s="22"/>
      <c r="O30" s="22"/>
    </row>
    <row r="31" spans="3:15" x14ac:dyDescent="0.25">
      <c r="C31" s="33" t="str">
        <f t="shared" si="0"/>
        <v/>
      </c>
      <c r="D31" s="11"/>
      <c r="E31" s="33" t="str">
        <f t="shared" si="1"/>
        <v/>
      </c>
      <c r="I31" s="4"/>
      <c r="J31" s="4"/>
      <c r="K31" s="4"/>
      <c r="L31" s="4"/>
      <c r="M31" s="22"/>
      <c r="N31" s="22"/>
      <c r="O31" s="22"/>
    </row>
    <row r="32" spans="3:15" x14ac:dyDescent="0.25">
      <c r="C32" s="33" t="str">
        <f t="shared" si="0"/>
        <v/>
      </c>
      <c r="D32" s="11"/>
      <c r="E32" s="33" t="str">
        <f t="shared" si="1"/>
        <v/>
      </c>
      <c r="I32" s="4"/>
      <c r="J32" s="4"/>
      <c r="K32" s="4"/>
      <c r="L32" s="4"/>
      <c r="M32" s="22"/>
      <c r="N32" s="22"/>
      <c r="O32" s="22"/>
    </row>
    <row r="33" spans="3:15" x14ac:dyDescent="0.25">
      <c r="C33" s="33" t="str">
        <f t="shared" si="0"/>
        <v/>
      </c>
      <c r="D33" s="11"/>
      <c r="E33" s="33" t="str">
        <f t="shared" si="1"/>
        <v/>
      </c>
      <c r="M33" s="21"/>
      <c r="N33" s="21"/>
      <c r="O33" s="21"/>
    </row>
    <row r="34" spans="3:15" x14ac:dyDescent="0.25">
      <c r="C34" s="33" t="str">
        <f t="shared" si="0"/>
        <v/>
      </c>
      <c r="D34" s="11"/>
      <c r="E34" s="33" t="str">
        <f t="shared" si="1"/>
        <v/>
      </c>
      <c r="M34" s="21"/>
      <c r="N34" s="21"/>
      <c r="O34" s="21"/>
    </row>
    <row r="35" spans="3:15" x14ac:dyDescent="0.25">
      <c r="C35" s="33" t="str">
        <f t="shared" si="0"/>
        <v/>
      </c>
      <c r="D35" s="11"/>
      <c r="E35" s="33" t="str">
        <f t="shared" si="1"/>
        <v/>
      </c>
      <c r="M35" s="21"/>
      <c r="N35" s="21"/>
      <c r="O35" s="21"/>
    </row>
    <row r="36" spans="3:15" x14ac:dyDescent="0.25">
      <c r="C36" s="33" t="str">
        <f t="shared" si="0"/>
        <v/>
      </c>
      <c r="D36" s="11"/>
      <c r="E36" s="33" t="str">
        <f t="shared" si="1"/>
        <v/>
      </c>
      <c r="M36" s="21"/>
      <c r="N36" s="21"/>
      <c r="O36" s="21"/>
    </row>
    <row r="37" spans="3:15" x14ac:dyDescent="0.25">
      <c r="C37" s="33" t="str">
        <f t="shared" si="0"/>
        <v/>
      </c>
      <c r="D37" s="11"/>
      <c r="E37" s="33" t="str">
        <f t="shared" si="1"/>
        <v/>
      </c>
      <c r="M37" s="21"/>
      <c r="N37" s="21"/>
      <c r="O37" s="21"/>
    </row>
    <row r="38" spans="3:15" x14ac:dyDescent="0.25">
      <c r="C38" s="33" t="str">
        <f t="shared" si="0"/>
        <v/>
      </c>
      <c r="D38" s="11"/>
      <c r="E38" s="33" t="str">
        <f t="shared" si="1"/>
        <v/>
      </c>
      <c r="M38" s="21"/>
      <c r="N38" s="21"/>
      <c r="O38" s="21"/>
    </row>
    <row r="39" spans="3:15" x14ac:dyDescent="0.25">
      <c r="C39" s="33" t="str">
        <f t="shared" si="0"/>
        <v/>
      </c>
      <c r="D39" s="11"/>
      <c r="E39" s="33" t="str">
        <f t="shared" si="1"/>
        <v/>
      </c>
      <c r="M39" s="21"/>
      <c r="N39" s="21"/>
      <c r="O39" s="21"/>
    </row>
    <row r="40" spans="3:15" x14ac:dyDescent="0.25">
      <c r="C40" s="33" t="str">
        <f t="shared" si="0"/>
        <v/>
      </c>
      <c r="D40" s="11"/>
      <c r="E40" s="33" t="str">
        <f t="shared" si="1"/>
        <v/>
      </c>
      <c r="M40" s="21"/>
      <c r="N40" s="21"/>
      <c r="O40" s="21"/>
    </row>
    <row r="41" spans="3:15" x14ac:dyDescent="0.25">
      <c r="C41" s="33" t="str">
        <f t="shared" si="0"/>
        <v/>
      </c>
      <c r="D41" s="11"/>
      <c r="E41" s="33" t="str">
        <f t="shared" si="1"/>
        <v/>
      </c>
      <c r="M41" s="21"/>
      <c r="N41" s="21"/>
      <c r="O41" s="21"/>
    </row>
    <row r="42" spans="3:15" x14ac:dyDescent="0.25">
      <c r="C42" s="33" t="str">
        <f t="shared" si="0"/>
        <v/>
      </c>
      <c r="D42" s="11"/>
      <c r="E42" s="33" t="str">
        <f t="shared" si="1"/>
        <v/>
      </c>
      <c r="M42" s="21"/>
      <c r="N42" s="21"/>
      <c r="O42" s="21"/>
    </row>
    <row r="43" spans="3:15" x14ac:dyDescent="0.25">
      <c r="C43" s="33" t="str">
        <f t="shared" si="0"/>
        <v/>
      </c>
      <c r="D43" s="11"/>
      <c r="E43" s="33" t="str">
        <f t="shared" si="1"/>
        <v/>
      </c>
      <c r="M43" s="21"/>
      <c r="N43" s="21"/>
      <c r="O43" s="21"/>
    </row>
    <row r="44" spans="3:15" ht="6" customHeight="1" x14ac:dyDescent="0.25">
      <c r="C44" s="9"/>
      <c r="D44" s="9"/>
      <c r="E44" s="9"/>
      <c r="F44" s="9"/>
      <c r="G44" s="9"/>
      <c r="H44" s="9"/>
      <c r="I44" s="9"/>
      <c r="J44" s="9"/>
      <c r="K44" s="9"/>
      <c r="L44" s="9"/>
      <c r="M44" s="21"/>
      <c r="N44" s="21"/>
      <c r="O44" s="21"/>
    </row>
    <row r="45" spans="3:15" ht="6" customHeight="1" x14ac:dyDescent="0.25">
      <c r="M45" s="21"/>
      <c r="N45" s="21"/>
      <c r="O45" s="21"/>
    </row>
    <row r="46" spans="3:15" x14ac:dyDescent="0.25">
      <c r="C46" s="15" t="s">
        <v>79</v>
      </c>
      <c r="M46" s="21"/>
      <c r="N46" s="21"/>
      <c r="O46" s="21"/>
    </row>
    <row r="47" spans="3:15" x14ac:dyDescent="0.25">
      <c r="C47" s="15" t="s">
        <v>78</v>
      </c>
    </row>
  </sheetData>
  <mergeCells count="1">
    <mergeCell ref="G13:H13"/>
  </mergeCells>
  <conditionalFormatting sqref="I9">
    <cfRule type="containsText" dxfId="88" priority="10" operator="containsText" text="FAIL">
      <formula>NOT(ISERROR(SEARCH("FAIL",I9)))</formula>
    </cfRule>
  </conditionalFormatting>
  <conditionalFormatting sqref="I9">
    <cfRule type="containsText" dxfId="87" priority="9" operator="containsText" text="GOOD">
      <formula>NOT(ISERROR(SEARCH("GOOD",I9)))</formula>
    </cfRule>
  </conditionalFormatting>
  <conditionalFormatting sqref="F11">
    <cfRule type="containsText" dxfId="86" priority="8" operator="containsText" text="FAIL">
      <formula>NOT(ISERROR(SEARCH("FAIL",F11)))</formula>
    </cfRule>
  </conditionalFormatting>
  <conditionalFormatting sqref="F11">
    <cfRule type="containsText" dxfId="85" priority="7" operator="containsText" text="GOOD">
      <formula>NOT(ISERROR(SEARCH("GOOD",F11)))</formula>
    </cfRule>
  </conditionalFormatting>
  <conditionalFormatting sqref="D25">
    <cfRule type="expression" dxfId="84" priority="6" stopIfTrue="1">
      <formula>IF($H$25=1,0)</formula>
    </cfRule>
  </conditionalFormatting>
  <conditionalFormatting sqref="D23:D43">
    <cfRule type="expression" dxfId="83" priority="5">
      <formula>H23=1</formula>
    </cfRule>
  </conditionalFormatting>
  <conditionalFormatting sqref="C23:C43">
    <cfRule type="expression" dxfId="82" priority="4">
      <formula>H23=1</formula>
    </cfRule>
  </conditionalFormatting>
  <conditionalFormatting sqref="E23:E43">
    <cfRule type="expression" dxfId="81" priority="3">
      <formula>H23=1</formula>
    </cfRule>
  </conditionalFormatting>
  <conditionalFormatting sqref="F11">
    <cfRule type="containsText" dxfId="80" priority="2" operator="containsText" text="FAIL">
      <formula>NOT(ISERROR(SEARCH("FAIL",F11)))</formula>
    </cfRule>
  </conditionalFormatting>
  <conditionalFormatting sqref="F11">
    <cfRule type="containsText" dxfId="79" priority="1" operator="containsText" text="GOOD">
      <formula>NOT(ISERROR(SEARCH("GOOD",F11)))</formula>
    </cfRule>
  </conditionalFormatting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F00-000000000000}">
  <sheetPr codeName="Sheet97"/>
  <dimension ref="A2:O47"/>
  <sheetViews>
    <sheetView zoomScaleNormal="100" workbookViewId="0">
      <selection activeCell="O24" sqref="O24"/>
    </sheetView>
  </sheetViews>
  <sheetFormatPr defaultRowHeight="15" x14ac:dyDescent="0.25"/>
  <cols>
    <col min="1" max="2" width="4.42578125" customWidth="1"/>
    <col min="3" max="3" width="2.7109375" customWidth="1"/>
    <col min="4" max="4" width="24.7109375" customWidth="1"/>
    <col min="5" max="5" width="2.7109375" customWidth="1"/>
    <col min="6" max="6" width="15.7109375" customWidth="1"/>
    <col min="7" max="7" width="8.5703125" customWidth="1"/>
    <col min="8" max="8" width="5.85546875" customWidth="1"/>
    <col min="9" max="15" width="15.7109375" customWidth="1"/>
  </cols>
  <sheetData>
    <row r="2" spans="1:14" x14ac:dyDescent="0.25">
      <c r="C2" s="15" t="s">
        <v>32</v>
      </c>
      <c r="E2" s="15"/>
      <c r="F2" s="15"/>
      <c r="G2" s="15" t="s">
        <v>33</v>
      </c>
      <c r="H2" s="15"/>
      <c r="I2" s="15"/>
      <c r="J2" s="15"/>
      <c r="K2" s="15"/>
    </row>
    <row r="3" spans="1:14" ht="18.75" x14ac:dyDescent="0.3">
      <c r="C3" s="3" t="s">
        <v>26</v>
      </c>
      <c r="J3" s="8" t="s">
        <v>48</v>
      </c>
    </row>
    <row r="4" spans="1:14" x14ac:dyDescent="0.25">
      <c r="C4" s="1"/>
      <c r="D4" s="2" t="s">
        <v>0</v>
      </c>
      <c r="E4" s="1"/>
      <c r="F4" t="s">
        <v>743</v>
      </c>
      <c r="I4" s="2" t="s">
        <v>4</v>
      </c>
      <c r="J4" t="s">
        <v>442</v>
      </c>
    </row>
    <row r="5" spans="1:14" x14ac:dyDescent="0.25">
      <c r="D5" s="2" t="s">
        <v>1</v>
      </c>
      <c r="F5" t="s">
        <v>744</v>
      </c>
    </row>
    <row r="6" spans="1:14" x14ac:dyDescent="0.25">
      <c r="D6" s="2" t="s">
        <v>2</v>
      </c>
      <c r="F6" s="6">
        <v>42626</v>
      </c>
      <c r="H6" s="11"/>
    </row>
    <row r="7" spans="1:14" x14ac:dyDescent="0.25">
      <c r="D7" s="2" t="s">
        <v>3</v>
      </c>
      <c r="F7" s="5">
        <f>+K7+J7+I7+(K7*L7)</f>
        <v>73640000</v>
      </c>
      <c r="G7" s="2" t="s">
        <v>190</v>
      </c>
      <c r="H7" s="11"/>
      <c r="I7" s="19">
        <v>25600000</v>
      </c>
      <c r="J7" s="19">
        <v>46500000</v>
      </c>
      <c r="K7" s="19">
        <v>1400000</v>
      </c>
      <c r="L7" s="20">
        <v>0.1</v>
      </c>
    </row>
    <row r="8" spans="1:14" x14ac:dyDescent="0.25">
      <c r="D8" s="2" t="s">
        <v>18</v>
      </c>
      <c r="F8" s="5">
        <f>MIN(L23:L43)</f>
        <v>68462700</v>
      </c>
      <c r="H8" s="11"/>
      <c r="I8" s="18" t="s">
        <v>43</v>
      </c>
      <c r="J8" s="18" t="s">
        <v>44</v>
      </c>
      <c r="K8" s="18" t="s">
        <v>49</v>
      </c>
      <c r="L8" s="18" t="s">
        <v>50</v>
      </c>
    </row>
    <row r="9" spans="1:14" x14ac:dyDescent="0.25">
      <c r="D9" s="2" t="s">
        <v>19</v>
      </c>
      <c r="F9" s="4">
        <f>+F8-F7</f>
        <v>-5177300</v>
      </c>
      <c r="G9" s="16">
        <f>+F9/F7</f>
        <v>-7.0305540467137426E-2</v>
      </c>
      <c r="H9" s="12" t="s">
        <v>20</v>
      </c>
      <c r="I9" s="11" t="str">
        <f>(IF(G9&lt;-0.1,"FAIL",IF(G9&gt;0.05,"FAIL","GOOD")))</f>
        <v>GOOD</v>
      </c>
      <c r="J9" s="14" t="s">
        <v>72</v>
      </c>
    </row>
    <row r="10" spans="1:14" x14ac:dyDescent="0.25">
      <c r="D10" s="2" t="s">
        <v>68</v>
      </c>
      <c r="F10" s="4">
        <f>+F7-F12</f>
        <v>-1170850</v>
      </c>
      <c r="H10" s="11"/>
      <c r="K10" s="31"/>
      <c r="N10" t="e">
        <f>LOOKUP(1,D23:D43)</f>
        <v>#N/A</v>
      </c>
    </row>
    <row r="11" spans="1:14" x14ac:dyDescent="0.25">
      <c r="A11" s="30"/>
      <c r="D11" s="2" t="s">
        <v>71</v>
      </c>
      <c r="F11" s="11" t="str">
        <f>(IF(F7&lt;J12,"FAIL",IF(F7&gt;J13,"FAIL","GOOD")))</f>
        <v>GOOD</v>
      </c>
      <c r="H11" s="11"/>
      <c r="L11" s="31"/>
      <c r="N11" t="e">
        <f>MATCH(1,D23:H43,0)</f>
        <v>#N/A</v>
      </c>
    </row>
    <row r="12" spans="1:14" x14ac:dyDescent="0.25">
      <c r="D12" s="2" t="s">
        <v>28</v>
      </c>
      <c r="F12" s="4">
        <f>SUM(L23:L43)/H12</f>
        <v>74810850</v>
      </c>
      <c r="G12" s="14"/>
      <c r="H12" s="11">
        <f>COUNT(L23:L43)</f>
        <v>2</v>
      </c>
      <c r="I12" s="1" t="s">
        <v>31</v>
      </c>
      <c r="J12" s="4">
        <f>+F8*0.9</f>
        <v>61616430</v>
      </c>
      <c r="K12" s="1" t="s">
        <v>69</v>
      </c>
      <c r="N12" t="str">
        <f>INDEX(D23:D43,MATCH(1,H23:H43,0))</f>
        <v>Tully/Intercounty JV</v>
      </c>
    </row>
    <row r="13" spans="1:14" x14ac:dyDescent="0.25">
      <c r="D13" s="2" t="s">
        <v>29</v>
      </c>
      <c r="F13" s="4">
        <f>MAX(L23:L43)-MIN(L23:L43)</f>
        <v>12696300</v>
      </c>
      <c r="G13" s="399">
        <f>MEDIAN(L23:L43)</f>
        <v>74810850</v>
      </c>
      <c r="H13" s="400"/>
      <c r="I13" s="1" t="s">
        <v>30</v>
      </c>
      <c r="J13" s="4">
        <f>+F12*1.1</f>
        <v>82291935</v>
      </c>
      <c r="K13" s="1" t="s">
        <v>70</v>
      </c>
    </row>
    <row r="14" spans="1:14" x14ac:dyDescent="0.25">
      <c r="H14" s="11"/>
    </row>
    <row r="15" spans="1:14" x14ac:dyDescent="0.25">
      <c r="D15" s="2" t="s">
        <v>8</v>
      </c>
      <c r="F15" s="4">
        <v>5000000</v>
      </c>
      <c r="G15" s="1" t="s">
        <v>9</v>
      </c>
      <c r="H15" s="11"/>
      <c r="I15" t="s">
        <v>15</v>
      </c>
      <c r="J15" s="7">
        <f>+F16/F15</f>
        <v>1.2</v>
      </c>
    </row>
    <row r="16" spans="1:14" x14ac:dyDescent="0.25">
      <c r="F16" s="4">
        <v>6000000</v>
      </c>
      <c r="G16" s="1" t="s">
        <v>10</v>
      </c>
      <c r="H16" s="11"/>
      <c r="I16" t="s">
        <v>14</v>
      </c>
      <c r="J16" s="7">
        <f>+F17/F16</f>
        <v>1.0833333333333333</v>
      </c>
    </row>
    <row r="17" spans="3:15" x14ac:dyDescent="0.25">
      <c r="F17" s="4">
        <v>6500000</v>
      </c>
      <c r="G17" s="1" t="s">
        <v>11</v>
      </c>
      <c r="H17" s="11"/>
      <c r="I17" t="s">
        <v>13</v>
      </c>
      <c r="J17" s="7">
        <f>+F18/F17</f>
        <v>11.329230769230769</v>
      </c>
    </row>
    <row r="18" spans="3:15" x14ac:dyDescent="0.25">
      <c r="F18" s="4">
        <f>+F7</f>
        <v>73640000</v>
      </c>
      <c r="G18" s="1" t="s">
        <v>12</v>
      </c>
      <c r="H18" s="11"/>
      <c r="I18" t="s">
        <v>16</v>
      </c>
      <c r="J18" s="7">
        <f>+F8/F18</f>
        <v>0.92969445953286256</v>
      </c>
    </row>
    <row r="19" spans="3:15" x14ac:dyDescent="0.25">
      <c r="F19" s="2" t="s">
        <v>51</v>
      </c>
      <c r="G19">
        <v>0</v>
      </c>
      <c r="H19" s="11" t="s">
        <v>52</v>
      </c>
      <c r="I19" t="s">
        <v>41</v>
      </c>
      <c r="J19" s="7">
        <f>+F8/F15</f>
        <v>13.692539999999999</v>
      </c>
    </row>
    <row r="20" spans="3:15" x14ac:dyDescent="0.25">
      <c r="H20" s="11"/>
    </row>
    <row r="21" spans="3:15" x14ac:dyDescent="0.25">
      <c r="C21" s="9"/>
      <c r="D21" s="13" t="s">
        <v>21</v>
      </c>
      <c r="E21" s="9"/>
      <c r="F21" s="9" t="s">
        <v>22</v>
      </c>
      <c r="G21" s="9" t="s">
        <v>23</v>
      </c>
      <c r="H21" s="13" t="s">
        <v>27</v>
      </c>
      <c r="I21" s="10" t="s">
        <v>38</v>
      </c>
      <c r="J21" s="10" t="s">
        <v>37</v>
      </c>
      <c r="K21" s="17" t="s">
        <v>42</v>
      </c>
      <c r="L21" s="10" t="s">
        <v>39</v>
      </c>
      <c r="M21" s="21"/>
      <c r="N21" s="21"/>
      <c r="O21" s="21"/>
    </row>
    <row r="22" spans="3:15" ht="6" customHeight="1" x14ac:dyDescent="0.25">
      <c r="M22" s="21"/>
      <c r="N22" s="21"/>
      <c r="O22" s="21"/>
    </row>
    <row r="23" spans="3:15" x14ac:dyDescent="0.25">
      <c r="C23" s="33" t="str">
        <f>IF(H23=1,"u","")</f>
        <v>u</v>
      </c>
      <c r="D23" s="11" t="s">
        <v>745</v>
      </c>
      <c r="E23" s="33"/>
      <c r="F23" t="s">
        <v>159</v>
      </c>
      <c r="G23" t="s">
        <v>93</v>
      </c>
      <c r="H23">
        <f>RANK(L23,L$23:L$43,1)</f>
        <v>1</v>
      </c>
      <c r="I23" s="4">
        <v>19262700</v>
      </c>
      <c r="J23" s="4">
        <v>47590000</v>
      </c>
      <c r="K23" s="7">
        <v>0.15</v>
      </c>
      <c r="L23" s="4">
        <f>+I23+J23+(K23*K$7)+$K$7</f>
        <v>68462700</v>
      </c>
      <c r="M23" s="22"/>
      <c r="N23" s="22"/>
      <c r="O23" s="22"/>
    </row>
    <row r="24" spans="3:15" x14ac:dyDescent="0.25">
      <c r="C24" s="33" t="str">
        <f>IF(H24=1,"u","")</f>
        <v/>
      </c>
      <c r="D24" s="11" t="s">
        <v>665</v>
      </c>
      <c r="E24" s="33"/>
      <c r="F24" t="s">
        <v>413</v>
      </c>
      <c r="G24" t="s">
        <v>93</v>
      </c>
      <c r="H24">
        <f>RANK(L24,L$23:L$43,1)</f>
        <v>2</v>
      </c>
      <c r="I24" s="4">
        <v>14546150</v>
      </c>
      <c r="J24" s="4">
        <v>64932850</v>
      </c>
      <c r="K24" s="7">
        <v>0.2</v>
      </c>
      <c r="L24" s="4">
        <f>+I24+J24+(K24*K$7)+$K$7</f>
        <v>81159000</v>
      </c>
      <c r="M24" s="22"/>
      <c r="N24" s="22"/>
      <c r="O24" s="22"/>
    </row>
    <row r="25" spans="3:15" x14ac:dyDescent="0.25">
      <c r="C25" s="33"/>
      <c r="D25" s="11"/>
      <c r="E25" s="33"/>
      <c r="I25" s="4"/>
      <c r="J25" s="4"/>
      <c r="K25" s="7"/>
      <c r="L25" s="4"/>
      <c r="M25" s="22"/>
      <c r="N25" s="22"/>
      <c r="O25" s="22"/>
    </row>
    <row r="26" spans="3:15" x14ac:dyDescent="0.25">
      <c r="C26" s="33"/>
      <c r="D26" s="11"/>
      <c r="E26" s="33"/>
      <c r="I26" s="4"/>
      <c r="J26" s="4"/>
      <c r="K26" s="7"/>
      <c r="L26" s="4"/>
      <c r="M26" s="22"/>
      <c r="N26" s="22"/>
      <c r="O26" s="22"/>
    </row>
    <row r="27" spans="3:15" x14ac:dyDescent="0.25">
      <c r="C27" s="33"/>
      <c r="D27" s="11"/>
      <c r="E27" s="33"/>
      <c r="I27" s="4"/>
      <c r="J27" s="4"/>
      <c r="K27" s="7"/>
      <c r="L27" s="4"/>
      <c r="M27" s="22"/>
      <c r="N27" s="22"/>
      <c r="O27" s="22"/>
    </row>
    <row r="28" spans="3:15" x14ac:dyDescent="0.25">
      <c r="C28" s="33"/>
      <c r="D28" s="11"/>
      <c r="E28" s="33"/>
      <c r="I28" s="4"/>
      <c r="J28" s="4"/>
      <c r="K28" s="7"/>
      <c r="L28" s="4"/>
      <c r="M28" s="22"/>
      <c r="N28" s="22"/>
      <c r="O28" s="22"/>
    </row>
    <row r="29" spans="3:15" x14ac:dyDescent="0.25">
      <c r="C29" s="33"/>
      <c r="D29" s="11"/>
      <c r="E29" s="33"/>
      <c r="I29" s="4"/>
      <c r="J29" s="4"/>
      <c r="K29" s="7"/>
      <c r="L29" s="4"/>
      <c r="M29" s="22"/>
      <c r="N29" s="22"/>
      <c r="O29" s="22"/>
    </row>
    <row r="30" spans="3:15" x14ac:dyDescent="0.25">
      <c r="C30" s="33" t="str">
        <f t="shared" ref="C30:C43" si="0">IF(H30=1,"u","")</f>
        <v/>
      </c>
      <c r="D30" s="11"/>
      <c r="E30" s="33" t="str">
        <f t="shared" ref="E30:E43" si="1">IF(H30=1,"t","")</f>
        <v/>
      </c>
      <c r="I30" s="4"/>
      <c r="J30" s="4"/>
      <c r="K30" s="7"/>
      <c r="L30" s="4"/>
      <c r="M30" s="22"/>
      <c r="N30" s="22"/>
      <c r="O30" s="22"/>
    </row>
    <row r="31" spans="3:15" x14ac:dyDescent="0.25">
      <c r="C31" s="33" t="str">
        <f t="shared" si="0"/>
        <v/>
      </c>
      <c r="D31" s="11"/>
      <c r="E31" s="33" t="str">
        <f t="shared" si="1"/>
        <v/>
      </c>
      <c r="I31" s="4"/>
      <c r="J31" s="4"/>
      <c r="K31" s="7"/>
      <c r="L31" s="4"/>
      <c r="M31" s="22"/>
      <c r="N31" s="22"/>
      <c r="O31" s="22"/>
    </row>
    <row r="32" spans="3:15" x14ac:dyDescent="0.25">
      <c r="C32" s="33" t="str">
        <f t="shared" si="0"/>
        <v/>
      </c>
      <c r="D32" s="11"/>
      <c r="E32" s="33" t="str">
        <f t="shared" si="1"/>
        <v/>
      </c>
      <c r="I32" s="4"/>
      <c r="J32" s="4"/>
      <c r="K32" s="7"/>
      <c r="L32" s="4"/>
      <c r="M32" s="22"/>
      <c r="N32" s="22"/>
      <c r="O32" s="22"/>
    </row>
    <row r="33" spans="3:15" x14ac:dyDescent="0.25">
      <c r="C33" s="33" t="str">
        <f t="shared" si="0"/>
        <v/>
      </c>
      <c r="D33" s="11"/>
      <c r="E33" s="33" t="str">
        <f t="shared" si="1"/>
        <v/>
      </c>
      <c r="I33" s="4"/>
      <c r="J33" s="4"/>
      <c r="K33" s="7"/>
      <c r="L33" s="4"/>
      <c r="M33" s="21"/>
      <c r="N33" s="21"/>
      <c r="O33" s="21"/>
    </row>
    <row r="34" spans="3:15" x14ac:dyDescent="0.25">
      <c r="C34" s="33" t="str">
        <f t="shared" si="0"/>
        <v/>
      </c>
      <c r="D34" s="11"/>
      <c r="E34" s="33" t="str">
        <f t="shared" si="1"/>
        <v/>
      </c>
      <c r="K34" s="7"/>
      <c r="M34" s="21"/>
      <c r="N34" s="21"/>
      <c r="O34" s="21"/>
    </row>
    <row r="35" spans="3:15" x14ac:dyDescent="0.25">
      <c r="C35" s="33" t="str">
        <f t="shared" si="0"/>
        <v/>
      </c>
      <c r="D35" s="11"/>
      <c r="E35" s="33" t="str">
        <f t="shared" si="1"/>
        <v/>
      </c>
      <c r="K35" s="7"/>
      <c r="M35" s="21"/>
      <c r="N35" s="21"/>
      <c r="O35" s="21"/>
    </row>
    <row r="36" spans="3:15" x14ac:dyDescent="0.25">
      <c r="C36" s="33" t="str">
        <f t="shared" si="0"/>
        <v/>
      </c>
      <c r="D36" s="11"/>
      <c r="E36" s="33" t="str">
        <f t="shared" si="1"/>
        <v/>
      </c>
      <c r="K36" s="7"/>
      <c r="M36" s="21"/>
      <c r="N36" s="21"/>
      <c r="O36" s="21"/>
    </row>
    <row r="37" spans="3:15" x14ac:dyDescent="0.25">
      <c r="C37" s="33" t="str">
        <f t="shared" si="0"/>
        <v/>
      </c>
      <c r="D37" s="11"/>
      <c r="E37" s="33" t="str">
        <f t="shared" si="1"/>
        <v/>
      </c>
      <c r="K37" s="7"/>
      <c r="M37" s="21"/>
      <c r="N37" s="21"/>
      <c r="O37" s="21"/>
    </row>
    <row r="38" spans="3:15" x14ac:dyDescent="0.25">
      <c r="C38" s="33" t="str">
        <f t="shared" si="0"/>
        <v/>
      </c>
      <c r="D38" s="11"/>
      <c r="E38" s="33" t="str">
        <f t="shared" si="1"/>
        <v/>
      </c>
      <c r="K38" s="7"/>
      <c r="M38" s="21"/>
      <c r="N38" s="21"/>
      <c r="O38" s="21"/>
    </row>
    <row r="39" spans="3:15" x14ac:dyDescent="0.25">
      <c r="C39" s="33" t="str">
        <f t="shared" si="0"/>
        <v/>
      </c>
      <c r="D39" s="11"/>
      <c r="E39" s="33" t="str">
        <f t="shared" si="1"/>
        <v/>
      </c>
      <c r="K39" s="7"/>
      <c r="M39" s="21"/>
      <c r="N39" s="21"/>
      <c r="O39" s="21"/>
    </row>
    <row r="40" spans="3:15" x14ac:dyDescent="0.25">
      <c r="C40" s="33" t="str">
        <f t="shared" si="0"/>
        <v/>
      </c>
      <c r="D40" s="11"/>
      <c r="E40" s="33" t="str">
        <f t="shared" si="1"/>
        <v/>
      </c>
      <c r="K40" s="7"/>
      <c r="M40" s="21"/>
      <c r="N40" s="21"/>
      <c r="O40" s="21"/>
    </row>
    <row r="41" spans="3:15" x14ac:dyDescent="0.25">
      <c r="C41" s="33" t="str">
        <f t="shared" si="0"/>
        <v/>
      </c>
      <c r="D41" s="11"/>
      <c r="E41" s="33" t="str">
        <f t="shared" si="1"/>
        <v/>
      </c>
      <c r="K41" s="7"/>
      <c r="M41" s="21"/>
      <c r="N41" s="21"/>
      <c r="O41" s="21"/>
    </row>
    <row r="42" spans="3:15" x14ac:dyDescent="0.25">
      <c r="C42" s="33" t="str">
        <f t="shared" si="0"/>
        <v/>
      </c>
      <c r="D42" s="11"/>
      <c r="E42" s="33" t="str">
        <f t="shared" si="1"/>
        <v/>
      </c>
      <c r="K42" s="7"/>
      <c r="M42" s="21"/>
      <c r="N42" s="21"/>
      <c r="O42" s="21"/>
    </row>
    <row r="43" spans="3:15" x14ac:dyDescent="0.25">
      <c r="C43" s="33" t="str">
        <f t="shared" si="0"/>
        <v/>
      </c>
      <c r="D43" s="11"/>
      <c r="E43" s="33" t="str">
        <f t="shared" si="1"/>
        <v/>
      </c>
      <c r="K43" s="7"/>
      <c r="M43" s="21"/>
      <c r="N43" s="21"/>
      <c r="O43" s="21"/>
    </row>
    <row r="44" spans="3:15" ht="6" customHeight="1" x14ac:dyDescent="0.25">
      <c r="C44" s="9"/>
      <c r="D44" s="9"/>
      <c r="E44" s="9"/>
      <c r="F44" s="9"/>
      <c r="G44" s="9"/>
      <c r="H44" s="9"/>
      <c r="I44" s="9"/>
      <c r="J44" s="9"/>
      <c r="K44" s="9"/>
      <c r="L44" s="9"/>
      <c r="M44" s="21"/>
      <c r="N44" s="21"/>
      <c r="O44" s="21"/>
    </row>
    <row r="45" spans="3:15" ht="6" customHeight="1" x14ac:dyDescent="0.25">
      <c r="M45" s="21"/>
      <c r="N45" s="21"/>
      <c r="O45" s="21"/>
    </row>
    <row r="46" spans="3:15" x14ac:dyDescent="0.25">
      <c r="C46" s="15" t="s">
        <v>79</v>
      </c>
      <c r="M46" s="21"/>
      <c r="N46" s="21"/>
      <c r="O46" s="21"/>
    </row>
    <row r="47" spans="3:15" x14ac:dyDescent="0.25">
      <c r="C47" s="15" t="s">
        <v>78</v>
      </c>
      <c r="M47" s="21"/>
      <c r="N47" s="21"/>
      <c r="O47" s="21"/>
    </row>
  </sheetData>
  <mergeCells count="1">
    <mergeCell ref="G13:H13"/>
  </mergeCells>
  <conditionalFormatting sqref="I9 F11">
    <cfRule type="containsText" dxfId="964" priority="8" operator="containsText" text="FAIL">
      <formula>NOT(ISERROR(SEARCH("FAIL",F9)))</formula>
    </cfRule>
  </conditionalFormatting>
  <conditionalFormatting sqref="I9 F11">
    <cfRule type="containsText" dxfId="963" priority="7" operator="containsText" text="GOOD">
      <formula>NOT(ISERROR(SEARCH("GOOD",F9)))</formula>
    </cfRule>
  </conditionalFormatting>
  <conditionalFormatting sqref="I9">
    <cfRule type="containsText" dxfId="962" priority="6" operator="containsText" text="FAIL">
      <formula>NOT(ISERROR(SEARCH("FAIL",I9)))</formula>
    </cfRule>
  </conditionalFormatting>
  <conditionalFormatting sqref="I9">
    <cfRule type="containsText" dxfId="961" priority="5" operator="containsText" text="GOOD">
      <formula>NOT(ISERROR(SEARCH("GOOD",I9)))</formula>
    </cfRule>
  </conditionalFormatting>
  <conditionalFormatting sqref="D25">
    <cfRule type="expression" dxfId="960" priority="4" stopIfTrue="1">
      <formula>IF($H$25=1,0)</formula>
    </cfRule>
  </conditionalFormatting>
  <conditionalFormatting sqref="D23:D43">
    <cfRule type="expression" dxfId="959" priority="3">
      <formula>H23=1</formula>
    </cfRule>
  </conditionalFormatting>
  <conditionalFormatting sqref="C23:C43">
    <cfRule type="expression" dxfId="958" priority="2">
      <formula>H23=1</formula>
    </cfRule>
  </conditionalFormatting>
  <conditionalFormatting sqref="E23:E43">
    <cfRule type="expression" dxfId="957" priority="1">
      <formula>H23=1</formula>
    </cfRule>
  </conditionalFormatting>
  <pageMargins left="0.7" right="0.7" top="0.75" bottom="0.75" header="0.3" footer="0.3"/>
  <pageSetup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20"/>
  <dimension ref="A2:P47"/>
  <sheetViews>
    <sheetView zoomScaleNormal="100" workbookViewId="0">
      <selection activeCell="L28" sqref="L28"/>
    </sheetView>
  </sheetViews>
  <sheetFormatPr defaultRowHeight="15" x14ac:dyDescent="0.25"/>
  <cols>
    <col min="1" max="2" width="4.42578125" customWidth="1"/>
    <col min="3" max="3" width="3" customWidth="1"/>
    <col min="4" max="4" width="24.85546875" customWidth="1"/>
    <col min="5" max="5" width="3" customWidth="1"/>
    <col min="6" max="6" width="15.7109375" customWidth="1"/>
    <col min="7" max="7" width="8.5703125" customWidth="1"/>
    <col min="8" max="8" width="5.85546875" customWidth="1"/>
    <col min="9" max="15" width="15.7109375" customWidth="1"/>
  </cols>
  <sheetData>
    <row r="2" spans="1:16" x14ac:dyDescent="0.25">
      <c r="C2" s="15" t="s">
        <v>32</v>
      </c>
      <c r="E2" s="15"/>
      <c r="F2" s="15"/>
      <c r="G2" s="15" t="s">
        <v>33</v>
      </c>
      <c r="H2" s="15"/>
      <c r="I2" s="15"/>
      <c r="J2" s="15"/>
      <c r="K2" s="15"/>
    </row>
    <row r="3" spans="1:16" ht="18.75" x14ac:dyDescent="0.3">
      <c r="C3" s="3" t="s">
        <v>26</v>
      </c>
      <c r="J3" s="8" t="s">
        <v>17</v>
      </c>
      <c r="P3" s="100"/>
    </row>
    <row r="4" spans="1:16" x14ac:dyDescent="0.25">
      <c r="D4" s="2" t="s">
        <v>0</v>
      </c>
      <c r="E4" s="1"/>
      <c r="F4" t="s">
        <v>1135</v>
      </c>
      <c r="I4" s="2" t="s">
        <v>4</v>
      </c>
      <c r="J4" t="s">
        <v>616</v>
      </c>
    </row>
    <row r="5" spans="1:16" x14ac:dyDescent="0.25">
      <c r="D5" s="2" t="s">
        <v>1</v>
      </c>
      <c r="F5" t="s">
        <v>982</v>
      </c>
    </row>
    <row r="6" spans="1:16" x14ac:dyDescent="0.25">
      <c r="D6" s="2" t="s">
        <v>2</v>
      </c>
      <c r="F6" s="6">
        <v>43074</v>
      </c>
      <c r="H6" s="11"/>
    </row>
    <row r="7" spans="1:16" x14ac:dyDescent="0.25">
      <c r="D7" s="2" t="s">
        <v>3</v>
      </c>
      <c r="F7" s="5">
        <v>38000000</v>
      </c>
      <c r="G7" s="2" t="s">
        <v>34</v>
      </c>
      <c r="H7" s="11"/>
    </row>
    <row r="8" spans="1:16" x14ac:dyDescent="0.25">
      <c r="D8" s="2" t="s">
        <v>18</v>
      </c>
      <c r="F8" s="5">
        <f>MIN(I23:I43)</f>
        <v>28470000</v>
      </c>
      <c r="H8" s="11"/>
    </row>
    <row r="9" spans="1:16" x14ac:dyDescent="0.25">
      <c r="D9" s="2" t="s">
        <v>67</v>
      </c>
      <c r="F9" s="4">
        <f>+F8-F7</f>
        <v>-9530000</v>
      </c>
      <c r="G9" s="16">
        <f>+F9/F7</f>
        <v>-0.25078947368421051</v>
      </c>
      <c r="H9" s="12" t="s">
        <v>20</v>
      </c>
      <c r="I9" s="11" t="str">
        <f>(IF(G9&lt;-0.1,"FAIL",IF(G9&gt;0.05,"FAIL","GOOD")))</f>
        <v>FAIL</v>
      </c>
      <c r="J9" s="14" t="s">
        <v>72</v>
      </c>
    </row>
    <row r="10" spans="1:16" x14ac:dyDescent="0.25">
      <c r="D10" s="2" t="s">
        <v>68</v>
      </c>
      <c r="F10" s="4">
        <f>+F7-F12</f>
        <v>-1946675.75</v>
      </c>
      <c r="H10" s="11"/>
    </row>
    <row r="11" spans="1:16" x14ac:dyDescent="0.25">
      <c r="A11" s="52"/>
      <c r="D11" s="2" t="s">
        <v>71</v>
      </c>
      <c r="F11" s="11" t="str">
        <f>(IF(F7&lt;J12,"FAIL",IF(F7&gt;J13,"FAIL","GOOD")))</f>
        <v>GOOD</v>
      </c>
      <c r="H11" s="11"/>
    </row>
    <row r="12" spans="1:16" x14ac:dyDescent="0.25">
      <c r="D12" s="2" t="s">
        <v>28</v>
      </c>
      <c r="F12" s="4">
        <f>SUM(I23:I43)/H12</f>
        <v>39946675.75</v>
      </c>
      <c r="G12" s="14"/>
      <c r="H12" s="11">
        <f>COUNT(I23:I43)</f>
        <v>4</v>
      </c>
      <c r="I12" s="1" t="s">
        <v>31</v>
      </c>
      <c r="J12" s="4">
        <f>+F8*0.9</f>
        <v>25623000</v>
      </c>
      <c r="K12" s="1" t="s">
        <v>69</v>
      </c>
    </row>
    <row r="13" spans="1:16" x14ac:dyDescent="0.25">
      <c r="D13" s="2" t="s">
        <v>29</v>
      </c>
      <c r="F13" s="4">
        <f>MAX(I23:I43)-MIN(I23:I43)</f>
        <v>22323396</v>
      </c>
      <c r="G13" s="399">
        <f>MEDIAN(I23:I43)</f>
        <v>40261653.5</v>
      </c>
      <c r="H13" s="400"/>
      <c r="I13" s="1" t="s">
        <v>30</v>
      </c>
      <c r="J13" s="4">
        <f>+F12*1.1</f>
        <v>43941343.325000003</v>
      </c>
      <c r="K13" s="1" t="s">
        <v>70</v>
      </c>
    </row>
    <row r="14" spans="1:16" x14ac:dyDescent="0.25">
      <c r="H14" s="11"/>
    </row>
    <row r="15" spans="1:16" x14ac:dyDescent="0.25">
      <c r="D15" s="2" t="s">
        <v>8</v>
      </c>
      <c r="F15" s="4"/>
      <c r="G15" s="1" t="s">
        <v>9</v>
      </c>
      <c r="H15" s="11"/>
      <c r="I15" t="s">
        <v>15</v>
      </c>
      <c r="J15" s="7" t="e">
        <f>+F16/F15</f>
        <v>#DIV/0!</v>
      </c>
    </row>
    <row r="16" spans="1:16" x14ac:dyDescent="0.25">
      <c r="F16" s="4"/>
      <c r="G16" s="1" t="s">
        <v>10</v>
      </c>
      <c r="H16" s="11"/>
      <c r="I16" t="s">
        <v>14</v>
      </c>
      <c r="J16" s="7" t="e">
        <f>+F17/F16</f>
        <v>#DIV/0!</v>
      </c>
    </row>
    <row r="17" spans="3:15" x14ac:dyDescent="0.25">
      <c r="F17" s="4"/>
      <c r="G17" s="1" t="s">
        <v>11</v>
      </c>
      <c r="H17" s="11"/>
      <c r="I17" t="s">
        <v>13</v>
      </c>
      <c r="J17" s="7" t="e">
        <f>+F18/F17</f>
        <v>#DIV/0!</v>
      </c>
      <c r="M17" s="21"/>
      <c r="N17" s="21"/>
      <c r="O17" s="21"/>
    </row>
    <row r="18" spans="3:15" x14ac:dyDescent="0.25">
      <c r="F18" s="4"/>
      <c r="G18" s="1" t="s">
        <v>12</v>
      </c>
      <c r="H18" s="11"/>
      <c r="I18" t="s">
        <v>16</v>
      </c>
      <c r="J18" s="7" t="e">
        <f>+F8/F18</f>
        <v>#DIV/0!</v>
      </c>
      <c r="M18" s="21"/>
      <c r="N18" s="21"/>
      <c r="O18" s="21"/>
    </row>
    <row r="19" spans="3:15" x14ac:dyDescent="0.25">
      <c r="F19" s="2" t="s">
        <v>51</v>
      </c>
      <c r="G19">
        <v>0</v>
      </c>
      <c r="H19" s="11" t="s">
        <v>52</v>
      </c>
      <c r="I19" t="s">
        <v>41</v>
      </c>
      <c r="J19" s="7" t="e">
        <f>+F8/F15</f>
        <v>#DIV/0!</v>
      </c>
      <c r="M19" s="21"/>
      <c r="N19" s="21"/>
      <c r="O19" s="21"/>
    </row>
    <row r="20" spans="3:15" x14ac:dyDescent="0.25">
      <c r="H20" s="11"/>
      <c r="M20" s="21"/>
      <c r="N20" s="21"/>
      <c r="O20" s="21"/>
    </row>
    <row r="21" spans="3:15" x14ac:dyDescent="0.25">
      <c r="C21" s="9"/>
      <c r="D21" s="13" t="s">
        <v>21</v>
      </c>
      <c r="E21" s="9"/>
      <c r="F21" s="9" t="s">
        <v>22</v>
      </c>
      <c r="G21" s="9" t="s">
        <v>23</v>
      </c>
      <c r="H21" s="13" t="s">
        <v>27</v>
      </c>
      <c r="I21" s="10" t="s">
        <v>24</v>
      </c>
      <c r="J21" s="9"/>
      <c r="K21" s="9"/>
      <c r="L21" s="9"/>
      <c r="M21" s="21"/>
      <c r="N21" s="21"/>
      <c r="O21" s="21"/>
    </row>
    <row r="22" spans="3:15" ht="6" customHeight="1" x14ac:dyDescent="0.25">
      <c r="M22" s="21"/>
      <c r="N22" s="21"/>
      <c r="O22" s="21"/>
    </row>
    <row r="23" spans="3:15" x14ac:dyDescent="0.25">
      <c r="C23" s="33" t="str">
        <f>IF(H23=1,"u","")</f>
        <v/>
      </c>
      <c r="D23" s="11" t="s">
        <v>968</v>
      </c>
      <c r="E23" s="33"/>
      <c r="F23" t="s">
        <v>203</v>
      </c>
      <c r="G23" t="s">
        <v>204</v>
      </c>
      <c r="I23" s="4" t="s">
        <v>1219</v>
      </c>
      <c r="J23" s="4"/>
      <c r="K23" s="4"/>
      <c r="L23" s="4"/>
      <c r="M23" s="22"/>
      <c r="N23" s="22"/>
      <c r="O23" s="22"/>
    </row>
    <row r="24" spans="3:15" x14ac:dyDescent="0.25">
      <c r="C24" s="33" t="str">
        <f>IF(H24=1,"u","")</f>
        <v/>
      </c>
      <c r="D24" s="11" t="s">
        <v>1103</v>
      </c>
      <c r="E24" s="33"/>
      <c r="F24" t="s">
        <v>92</v>
      </c>
      <c r="G24" t="s">
        <v>93</v>
      </c>
      <c r="H24">
        <f>RANK(I24,I$23:I$43,1)</f>
        <v>4</v>
      </c>
      <c r="I24" s="4">
        <v>50793396</v>
      </c>
      <c r="J24" s="4"/>
      <c r="K24" s="4"/>
      <c r="L24" s="4"/>
      <c r="M24" s="22"/>
      <c r="N24" s="22"/>
      <c r="O24" s="22"/>
    </row>
    <row r="25" spans="3:15" x14ac:dyDescent="0.25">
      <c r="C25" s="33" t="str">
        <f>IF(H25=1,"u","")</f>
        <v/>
      </c>
      <c r="D25" s="11" t="s">
        <v>874</v>
      </c>
      <c r="E25" s="33"/>
      <c r="F25" t="s">
        <v>532</v>
      </c>
      <c r="G25" t="s">
        <v>93</v>
      </c>
      <c r="H25">
        <f>RANK(I25,I$23:I$43,1)</f>
        <v>2</v>
      </c>
      <c r="I25" s="4">
        <v>33693128</v>
      </c>
      <c r="J25" s="4"/>
      <c r="K25" s="4"/>
      <c r="L25" s="4"/>
      <c r="M25" s="22"/>
      <c r="N25" s="22"/>
      <c r="O25" s="22"/>
    </row>
    <row r="26" spans="3:15" x14ac:dyDescent="0.25">
      <c r="C26" s="33"/>
      <c r="D26" s="11" t="s">
        <v>1034</v>
      </c>
      <c r="E26" s="33"/>
      <c r="F26" t="s">
        <v>413</v>
      </c>
      <c r="G26" t="s">
        <v>93</v>
      </c>
      <c r="I26" s="4" t="s">
        <v>1219</v>
      </c>
      <c r="J26" s="4"/>
      <c r="K26" s="4"/>
      <c r="L26" s="4"/>
      <c r="M26" s="22">
        <v>19988800</v>
      </c>
      <c r="N26" s="22"/>
      <c r="O26" s="22"/>
    </row>
    <row r="27" spans="3:15" x14ac:dyDescent="0.25">
      <c r="C27" s="33"/>
      <c r="D27" s="11" t="s">
        <v>450</v>
      </c>
      <c r="E27" s="33"/>
      <c r="F27" t="s">
        <v>451</v>
      </c>
      <c r="G27" t="s">
        <v>93</v>
      </c>
      <c r="H27">
        <f>RANK(I27,I$23:I$43,1)</f>
        <v>1</v>
      </c>
      <c r="I27" s="4">
        <v>28470000</v>
      </c>
      <c r="J27" s="4"/>
      <c r="K27" s="4"/>
      <c r="L27" s="4"/>
      <c r="M27" s="22"/>
      <c r="N27" s="22"/>
      <c r="O27" s="22"/>
    </row>
    <row r="28" spans="3:15" x14ac:dyDescent="0.25">
      <c r="C28" s="33"/>
      <c r="D28" s="11" t="s">
        <v>640</v>
      </c>
      <c r="E28" s="33"/>
      <c r="F28" t="s">
        <v>170</v>
      </c>
      <c r="G28" t="s">
        <v>93</v>
      </c>
      <c r="H28">
        <f>RANK(I28,I$23:I$43,1)</f>
        <v>3</v>
      </c>
      <c r="I28" s="4">
        <v>46830179</v>
      </c>
      <c r="J28" s="4"/>
      <c r="K28" s="4"/>
      <c r="L28" s="4"/>
      <c r="M28" s="22"/>
      <c r="N28" s="22"/>
      <c r="O28" s="22"/>
    </row>
    <row r="29" spans="3:15" x14ac:dyDescent="0.25">
      <c r="C29" s="33" t="str">
        <f t="shared" ref="C29:C43" si="0">IF(H29=1,"u","")</f>
        <v/>
      </c>
      <c r="D29" s="11"/>
      <c r="E29" s="33"/>
      <c r="I29" s="4"/>
      <c r="J29" s="4"/>
      <c r="K29" s="4"/>
      <c r="L29" s="4"/>
      <c r="M29" s="22"/>
      <c r="N29" s="22"/>
      <c r="O29" s="22"/>
    </row>
    <row r="30" spans="3:15" x14ac:dyDescent="0.25">
      <c r="C30" s="33" t="str">
        <f t="shared" si="0"/>
        <v/>
      </c>
      <c r="D30" s="11"/>
      <c r="E30" s="33"/>
      <c r="I30" s="4"/>
      <c r="J30" s="4"/>
      <c r="K30" s="4"/>
      <c r="L30" s="4"/>
      <c r="M30" s="22"/>
      <c r="N30" s="22"/>
      <c r="O30" s="22"/>
    </row>
    <row r="31" spans="3:15" x14ac:dyDescent="0.25">
      <c r="C31" s="33" t="str">
        <f t="shared" si="0"/>
        <v/>
      </c>
      <c r="D31" s="11"/>
      <c r="E31" s="33"/>
      <c r="I31" s="4"/>
      <c r="J31" s="4"/>
      <c r="K31" s="4"/>
      <c r="L31" s="4"/>
      <c r="M31" s="22"/>
      <c r="N31" s="22"/>
      <c r="O31" s="22"/>
    </row>
    <row r="32" spans="3:15" x14ac:dyDescent="0.25">
      <c r="C32" s="33" t="str">
        <f t="shared" si="0"/>
        <v/>
      </c>
      <c r="D32" s="11"/>
      <c r="E32" s="33"/>
      <c r="I32" s="4"/>
      <c r="J32" s="4"/>
      <c r="K32" s="4"/>
      <c r="L32" s="4"/>
      <c r="M32" s="22"/>
      <c r="N32" s="22"/>
      <c r="O32" s="22"/>
    </row>
    <row r="33" spans="3:15" x14ac:dyDescent="0.25">
      <c r="C33" s="33" t="str">
        <f t="shared" si="0"/>
        <v/>
      </c>
      <c r="D33" s="11"/>
      <c r="E33" s="33"/>
      <c r="I33" s="4"/>
      <c r="M33" s="21"/>
      <c r="N33" s="21"/>
      <c r="O33" s="21"/>
    </row>
    <row r="34" spans="3:15" x14ac:dyDescent="0.25">
      <c r="C34" s="33" t="str">
        <f t="shared" si="0"/>
        <v/>
      </c>
      <c r="D34" s="11"/>
      <c r="E34" s="33"/>
      <c r="I34" s="4"/>
      <c r="M34" s="21"/>
      <c r="N34" s="21"/>
      <c r="O34" s="21"/>
    </row>
    <row r="35" spans="3:15" x14ac:dyDescent="0.25">
      <c r="C35" s="33" t="str">
        <f t="shared" si="0"/>
        <v/>
      </c>
      <c r="D35" s="11"/>
      <c r="E35" s="33"/>
      <c r="I35" s="4"/>
      <c r="M35" s="21"/>
      <c r="N35" s="21"/>
      <c r="O35" s="21"/>
    </row>
    <row r="36" spans="3:15" x14ac:dyDescent="0.25">
      <c r="C36" s="33" t="str">
        <f t="shared" si="0"/>
        <v/>
      </c>
      <c r="D36" s="11"/>
      <c r="E36" s="33" t="str">
        <f t="shared" ref="E36:E43" si="1">IF(H36=1,"t","")</f>
        <v/>
      </c>
      <c r="M36" s="21"/>
      <c r="N36" s="21"/>
      <c r="O36" s="21"/>
    </row>
    <row r="37" spans="3:15" x14ac:dyDescent="0.25">
      <c r="C37" s="33" t="str">
        <f t="shared" si="0"/>
        <v/>
      </c>
      <c r="D37" s="11"/>
      <c r="E37" s="33" t="str">
        <f t="shared" si="1"/>
        <v/>
      </c>
      <c r="M37" s="21"/>
      <c r="N37" s="21"/>
      <c r="O37" s="21"/>
    </row>
    <row r="38" spans="3:15" x14ac:dyDescent="0.25">
      <c r="C38" s="33" t="str">
        <f t="shared" si="0"/>
        <v/>
      </c>
      <c r="D38" s="11"/>
      <c r="E38" s="33" t="str">
        <f t="shared" si="1"/>
        <v/>
      </c>
      <c r="M38" s="21"/>
      <c r="N38" s="21"/>
      <c r="O38" s="21"/>
    </row>
    <row r="39" spans="3:15" x14ac:dyDescent="0.25">
      <c r="C39" s="33" t="str">
        <f t="shared" si="0"/>
        <v/>
      </c>
      <c r="D39" s="11"/>
      <c r="E39" s="33" t="str">
        <f t="shared" si="1"/>
        <v/>
      </c>
      <c r="M39" s="21"/>
      <c r="N39" s="21"/>
      <c r="O39" s="21"/>
    </row>
    <row r="40" spans="3:15" x14ac:dyDescent="0.25">
      <c r="C40" s="33" t="str">
        <f t="shared" si="0"/>
        <v/>
      </c>
      <c r="D40" s="11"/>
      <c r="E40" s="33" t="str">
        <f t="shared" si="1"/>
        <v/>
      </c>
      <c r="M40" s="21"/>
      <c r="N40" s="21"/>
      <c r="O40" s="21"/>
    </row>
    <row r="41" spans="3:15" x14ac:dyDescent="0.25">
      <c r="C41" s="33" t="str">
        <f t="shared" si="0"/>
        <v/>
      </c>
      <c r="D41" s="11"/>
      <c r="E41" s="33" t="str">
        <f t="shared" si="1"/>
        <v/>
      </c>
      <c r="M41" s="21"/>
      <c r="N41" s="21"/>
      <c r="O41" s="21"/>
    </row>
    <row r="42" spans="3:15" x14ac:dyDescent="0.25">
      <c r="C42" s="33" t="str">
        <f t="shared" si="0"/>
        <v/>
      </c>
      <c r="D42" s="11"/>
      <c r="E42" s="33" t="str">
        <f t="shared" si="1"/>
        <v/>
      </c>
      <c r="M42" s="21"/>
      <c r="N42" s="21"/>
      <c r="O42" s="21"/>
    </row>
    <row r="43" spans="3:15" x14ac:dyDescent="0.25">
      <c r="C43" s="33" t="str">
        <f t="shared" si="0"/>
        <v/>
      </c>
      <c r="D43" s="11"/>
      <c r="E43" s="33" t="str">
        <f t="shared" si="1"/>
        <v/>
      </c>
      <c r="M43" s="21"/>
      <c r="N43" s="21"/>
      <c r="O43" s="21"/>
    </row>
    <row r="44" spans="3:15" ht="6" customHeight="1" x14ac:dyDescent="0.25">
      <c r="C44" s="9"/>
      <c r="D44" s="9"/>
      <c r="E44" s="9"/>
      <c r="F44" s="9"/>
      <c r="G44" s="9"/>
      <c r="H44" s="9"/>
      <c r="I44" s="9"/>
      <c r="J44" s="9"/>
      <c r="K44" s="9"/>
      <c r="L44" s="9"/>
      <c r="M44" s="21"/>
      <c r="N44" s="21"/>
      <c r="O44" s="21"/>
    </row>
    <row r="45" spans="3:15" ht="6" customHeight="1" x14ac:dyDescent="0.25">
      <c r="M45" s="21"/>
      <c r="N45" s="21"/>
      <c r="O45" s="21"/>
    </row>
    <row r="46" spans="3:15" x14ac:dyDescent="0.25">
      <c r="C46" s="15" t="s">
        <v>79</v>
      </c>
      <c r="M46" s="21"/>
      <c r="N46" s="21"/>
      <c r="O46" s="21"/>
    </row>
    <row r="47" spans="3:15" x14ac:dyDescent="0.25">
      <c r="C47" s="15" t="s">
        <v>78</v>
      </c>
    </row>
  </sheetData>
  <mergeCells count="1">
    <mergeCell ref="G13:H13"/>
  </mergeCells>
  <conditionalFormatting sqref="I9">
    <cfRule type="containsText" dxfId="2355" priority="18" operator="containsText" text="FAIL">
      <formula>NOT(ISERROR(SEARCH("FAIL",I9)))</formula>
    </cfRule>
  </conditionalFormatting>
  <conditionalFormatting sqref="I9">
    <cfRule type="containsText" dxfId="2354" priority="17" operator="containsText" text="GOOD">
      <formula>NOT(ISERROR(SEARCH("GOOD",I9)))</formula>
    </cfRule>
  </conditionalFormatting>
  <conditionalFormatting sqref="F11">
    <cfRule type="containsText" dxfId="2353" priority="16" operator="containsText" text="FAIL">
      <formula>NOT(ISERROR(SEARCH("FAIL",F11)))</formula>
    </cfRule>
  </conditionalFormatting>
  <conditionalFormatting sqref="F11">
    <cfRule type="containsText" dxfId="2352" priority="15" operator="containsText" text="GOOD">
      <formula>NOT(ISERROR(SEARCH("GOOD",F11)))</formula>
    </cfRule>
  </conditionalFormatting>
  <conditionalFormatting sqref="D25">
    <cfRule type="expression" dxfId="2351" priority="14" stopIfTrue="1">
      <formula>IF($H$25=1,0)</formula>
    </cfRule>
  </conditionalFormatting>
  <conditionalFormatting sqref="D23 D29:D43 D25">
    <cfRule type="expression" dxfId="2350" priority="13">
      <formula>H23=1</formula>
    </cfRule>
  </conditionalFormatting>
  <conditionalFormatting sqref="C23:C26 C29:C43">
    <cfRule type="expression" dxfId="2349" priority="12">
      <formula>H23=1</formula>
    </cfRule>
  </conditionalFormatting>
  <conditionalFormatting sqref="E23 E29:E43 E25">
    <cfRule type="expression" dxfId="2348" priority="11">
      <formula>H23=1</formula>
    </cfRule>
  </conditionalFormatting>
  <conditionalFormatting sqref="F11">
    <cfRule type="containsText" dxfId="2347" priority="10" operator="containsText" text="FAIL">
      <formula>NOT(ISERROR(SEARCH("FAIL",F11)))</formula>
    </cfRule>
  </conditionalFormatting>
  <conditionalFormatting sqref="F11">
    <cfRule type="containsText" dxfId="2346" priority="9" operator="containsText" text="GOOD">
      <formula>NOT(ISERROR(SEARCH("GOOD",F11)))</formula>
    </cfRule>
  </conditionalFormatting>
  <conditionalFormatting sqref="D27:D28">
    <cfRule type="expression" dxfId="2345" priority="8">
      <formula>H27=1</formula>
    </cfRule>
  </conditionalFormatting>
  <conditionalFormatting sqref="C27:C28">
    <cfRule type="expression" dxfId="2344" priority="7">
      <formula>H27=1</formula>
    </cfRule>
  </conditionalFormatting>
  <conditionalFormatting sqref="E27:E28">
    <cfRule type="expression" dxfId="2343" priority="6">
      <formula>H27=1</formula>
    </cfRule>
  </conditionalFormatting>
  <conditionalFormatting sqref="D24">
    <cfRule type="expression" dxfId="2342" priority="5" stopIfTrue="1">
      <formula>IF($H$25=1,0)</formula>
    </cfRule>
  </conditionalFormatting>
  <conditionalFormatting sqref="D24">
    <cfRule type="expression" dxfId="2341" priority="4">
      <formula>H24=1</formula>
    </cfRule>
  </conditionalFormatting>
  <conditionalFormatting sqref="E24">
    <cfRule type="expression" dxfId="2340" priority="3">
      <formula>H24=1</formula>
    </cfRule>
  </conditionalFormatting>
  <conditionalFormatting sqref="D26">
    <cfRule type="expression" dxfId="2339" priority="2">
      <formula>H26=1</formula>
    </cfRule>
  </conditionalFormatting>
  <conditionalFormatting sqref="E26">
    <cfRule type="expression" dxfId="2338" priority="1">
      <formula>H26=1</formula>
    </cfRule>
  </conditionalFormatting>
  <pageMargins left="0.7" right="0.7" top="0.75" bottom="0.75" header="0.3" footer="0.3"/>
  <pageSetup scale="68" orientation="portrait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sheetPr codeName="Sheet52"/>
  <dimension ref="A2:P47"/>
  <sheetViews>
    <sheetView zoomScaleNormal="100" workbookViewId="0">
      <selection activeCell="I29" sqref="I29"/>
    </sheetView>
  </sheetViews>
  <sheetFormatPr defaultRowHeight="15" x14ac:dyDescent="0.25"/>
  <cols>
    <col min="1" max="2" width="4.42578125" customWidth="1"/>
    <col min="3" max="3" width="3" customWidth="1"/>
    <col min="4" max="4" width="24.85546875" customWidth="1"/>
    <col min="5" max="5" width="3" customWidth="1"/>
    <col min="6" max="6" width="15.7109375" customWidth="1"/>
    <col min="7" max="7" width="8.5703125" customWidth="1"/>
    <col min="8" max="8" width="5.85546875" customWidth="1"/>
    <col min="9" max="15" width="15.7109375" customWidth="1"/>
  </cols>
  <sheetData>
    <row r="2" spans="1:16" x14ac:dyDescent="0.25">
      <c r="C2" s="15" t="s">
        <v>32</v>
      </c>
      <c r="E2" s="15"/>
      <c r="F2" s="15"/>
      <c r="G2" s="15" t="s">
        <v>33</v>
      </c>
      <c r="H2" s="15"/>
      <c r="I2" s="15"/>
      <c r="J2" s="15"/>
      <c r="K2" s="15"/>
    </row>
    <row r="3" spans="1:16" ht="18.75" x14ac:dyDescent="0.3">
      <c r="C3" s="3" t="s">
        <v>26</v>
      </c>
      <c r="J3" s="8" t="s">
        <v>17</v>
      </c>
      <c r="P3" s="100"/>
    </row>
    <row r="4" spans="1:16" x14ac:dyDescent="0.25">
      <c r="D4" s="2" t="s">
        <v>0</v>
      </c>
      <c r="E4" s="1"/>
      <c r="F4" t="s">
        <v>1009</v>
      </c>
      <c r="I4" s="2" t="s">
        <v>4</v>
      </c>
      <c r="J4" t="s">
        <v>442</v>
      </c>
    </row>
    <row r="5" spans="1:16" x14ac:dyDescent="0.25">
      <c r="D5" s="2" t="s">
        <v>1</v>
      </c>
      <c r="F5" t="s">
        <v>1010</v>
      </c>
    </row>
    <row r="6" spans="1:16" x14ac:dyDescent="0.25">
      <c r="D6" s="2" t="s">
        <v>2</v>
      </c>
      <c r="F6" s="6">
        <v>42880</v>
      </c>
      <c r="H6" s="11"/>
    </row>
    <row r="7" spans="1:16" x14ac:dyDescent="0.25">
      <c r="D7" s="2" t="s">
        <v>3</v>
      </c>
      <c r="F7" s="5">
        <v>2850000</v>
      </c>
      <c r="G7" s="2" t="s">
        <v>34</v>
      </c>
      <c r="H7" s="11"/>
    </row>
    <row r="8" spans="1:16" x14ac:dyDescent="0.25">
      <c r="D8" s="2" t="s">
        <v>18</v>
      </c>
      <c r="F8" s="5">
        <f>MIN(I23:I43)</f>
        <v>1808548</v>
      </c>
      <c r="H8" s="11"/>
    </row>
    <row r="9" spans="1:16" x14ac:dyDescent="0.25">
      <c r="D9" s="2" t="s">
        <v>67</v>
      </c>
      <c r="F9" s="4">
        <f>+F8-F7</f>
        <v>-1041452</v>
      </c>
      <c r="G9" s="16">
        <f>+F9/F7</f>
        <v>-0.36542175438596491</v>
      </c>
      <c r="H9" s="12" t="s">
        <v>20</v>
      </c>
      <c r="I9" s="11" t="str">
        <f>(IF(G9&lt;-0.1,"FAIL",IF(G9&gt;0.05,"FAIL","GOOD")))</f>
        <v>FAIL</v>
      </c>
      <c r="J9" s="14" t="s">
        <v>72</v>
      </c>
    </row>
    <row r="10" spans="1:16" x14ac:dyDescent="0.25">
      <c r="D10" s="2" t="s">
        <v>68</v>
      </c>
      <c r="F10" s="4">
        <f>+F7-F12</f>
        <v>300061.09090909082</v>
      </c>
      <c r="H10" s="11"/>
    </row>
    <row r="11" spans="1:16" x14ac:dyDescent="0.25">
      <c r="A11" s="52"/>
      <c r="D11" s="2" t="s">
        <v>71</v>
      </c>
      <c r="F11" s="11" t="str">
        <f>(IF(F7&lt;J12,"FAIL",IF(F7&gt;J13,"FAIL","GOOD")))</f>
        <v>FAIL</v>
      </c>
      <c r="H11" s="11"/>
    </row>
    <row r="12" spans="1:16" x14ac:dyDescent="0.25">
      <c r="D12" s="2" t="s">
        <v>28</v>
      </c>
      <c r="F12" s="4">
        <f>SUM(I23:I43)/H12</f>
        <v>2549938.9090909092</v>
      </c>
      <c r="G12" s="14"/>
      <c r="H12" s="11">
        <f>COUNT(I23:I43)</f>
        <v>11</v>
      </c>
      <c r="I12" s="1" t="s">
        <v>31</v>
      </c>
      <c r="J12" s="4">
        <f>+F8*0.9</f>
        <v>1627693.2</v>
      </c>
      <c r="K12" s="1" t="s">
        <v>69</v>
      </c>
    </row>
    <row r="13" spans="1:16" x14ac:dyDescent="0.25">
      <c r="D13" s="2" t="s">
        <v>29</v>
      </c>
      <c r="F13" s="4">
        <f>MAX(I23:I43)-MIN(I23:I43)</f>
        <v>1690452</v>
      </c>
      <c r="G13" s="399">
        <f>MEDIAN(I23:I43)</f>
        <v>2579444</v>
      </c>
      <c r="H13" s="400"/>
      <c r="I13" s="1" t="s">
        <v>30</v>
      </c>
      <c r="J13" s="4">
        <f>+F12*1.1</f>
        <v>2804932.8000000003</v>
      </c>
      <c r="K13" s="1" t="s">
        <v>70</v>
      </c>
    </row>
    <row r="14" spans="1:16" x14ac:dyDescent="0.25">
      <c r="H14" s="11"/>
    </row>
    <row r="15" spans="1:16" x14ac:dyDescent="0.25">
      <c r="D15" s="2" t="s">
        <v>8</v>
      </c>
      <c r="F15" s="4"/>
      <c r="G15" s="1" t="s">
        <v>9</v>
      </c>
      <c r="H15" s="11"/>
      <c r="I15" t="s">
        <v>15</v>
      </c>
      <c r="J15" s="7" t="e">
        <f>+F16/F15</f>
        <v>#DIV/0!</v>
      </c>
    </row>
    <row r="16" spans="1:16" x14ac:dyDescent="0.25">
      <c r="F16" s="4"/>
      <c r="G16" s="1" t="s">
        <v>10</v>
      </c>
      <c r="H16" s="11"/>
      <c r="I16" t="s">
        <v>14</v>
      </c>
      <c r="J16" s="7" t="e">
        <f>+F17/F16</f>
        <v>#DIV/0!</v>
      </c>
    </row>
    <row r="17" spans="3:15" x14ac:dyDescent="0.25">
      <c r="F17" s="4"/>
      <c r="G17" s="1" t="s">
        <v>11</v>
      </c>
      <c r="H17" s="11"/>
      <c r="I17" t="s">
        <v>13</v>
      </c>
      <c r="J17" s="7" t="e">
        <f>+F18/F17</f>
        <v>#DIV/0!</v>
      </c>
      <c r="M17" s="21"/>
      <c r="N17" s="21"/>
      <c r="O17" s="21"/>
    </row>
    <row r="18" spans="3:15" x14ac:dyDescent="0.25">
      <c r="F18" s="4"/>
      <c r="G18" s="1" t="s">
        <v>12</v>
      </c>
      <c r="H18" s="11"/>
      <c r="I18" t="s">
        <v>16</v>
      </c>
      <c r="J18" s="7" t="e">
        <f>+F8/F18</f>
        <v>#DIV/0!</v>
      </c>
      <c r="M18" s="21"/>
      <c r="N18" s="21"/>
      <c r="O18" s="21"/>
    </row>
    <row r="19" spans="3:15" x14ac:dyDescent="0.25">
      <c r="F19" s="2" t="s">
        <v>51</v>
      </c>
      <c r="G19">
        <v>0</v>
      </c>
      <c r="H19" s="11" t="s">
        <v>52</v>
      </c>
      <c r="I19" t="s">
        <v>41</v>
      </c>
      <c r="J19" s="7" t="e">
        <f>+F8/F15</f>
        <v>#DIV/0!</v>
      </c>
      <c r="M19" s="21"/>
      <c r="N19" s="21"/>
      <c r="O19" s="21"/>
    </row>
    <row r="20" spans="3:15" x14ac:dyDescent="0.25">
      <c r="H20" s="11"/>
      <c r="M20" s="21"/>
      <c r="N20" s="21"/>
      <c r="O20" s="21"/>
    </row>
    <row r="21" spans="3:15" x14ac:dyDescent="0.25">
      <c r="C21" s="9"/>
      <c r="D21" s="13" t="s">
        <v>21</v>
      </c>
      <c r="E21" s="9"/>
      <c r="F21" s="9" t="s">
        <v>22</v>
      </c>
      <c r="G21" s="9" t="s">
        <v>23</v>
      </c>
      <c r="H21" s="13" t="s">
        <v>27</v>
      </c>
      <c r="I21" s="10" t="s">
        <v>24</v>
      </c>
      <c r="J21" s="9"/>
      <c r="K21" s="9"/>
      <c r="L21" s="9"/>
      <c r="M21" s="21"/>
      <c r="N21" s="21"/>
      <c r="O21" s="21"/>
    </row>
    <row r="22" spans="3:15" ht="6" customHeight="1" x14ac:dyDescent="0.25">
      <c r="M22" s="21"/>
      <c r="N22" s="21"/>
      <c r="O22" s="21"/>
    </row>
    <row r="23" spans="3:15" x14ac:dyDescent="0.25">
      <c r="C23" s="33" t="str">
        <f>IF(H23=1,"u","")</f>
        <v/>
      </c>
      <c r="D23" s="11" t="s">
        <v>1011</v>
      </c>
      <c r="E23" s="33"/>
      <c r="F23" t="s">
        <v>159</v>
      </c>
      <c r="G23" t="s">
        <v>93</v>
      </c>
      <c r="H23">
        <f>RANK(I23,I$23:I$43,1)</f>
        <v>2</v>
      </c>
      <c r="I23" s="4">
        <v>1922775</v>
      </c>
      <c r="J23" s="4"/>
      <c r="K23" s="4"/>
      <c r="L23" s="4"/>
      <c r="M23" s="22"/>
      <c r="N23" s="22"/>
      <c r="O23" s="22"/>
    </row>
    <row r="24" spans="3:15" x14ac:dyDescent="0.25">
      <c r="C24" s="33" t="str">
        <f>IF(H24=1,"u","")</f>
        <v/>
      </c>
      <c r="D24" s="11" t="s">
        <v>347</v>
      </c>
      <c r="E24" s="33"/>
      <c r="F24" t="s">
        <v>147</v>
      </c>
      <c r="G24" t="s">
        <v>93</v>
      </c>
      <c r="H24">
        <f t="shared" ref="H24:H31" si="0">RANK(I24,I$23:I$43,1)</f>
        <v>6</v>
      </c>
      <c r="I24" s="4">
        <v>2579444</v>
      </c>
      <c r="J24" s="4"/>
      <c r="K24" s="4"/>
      <c r="L24" s="4"/>
      <c r="M24" s="22"/>
      <c r="N24" s="22"/>
      <c r="O24" s="22"/>
    </row>
    <row r="25" spans="3:15" x14ac:dyDescent="0.25">
      <c r="C25" s="33" t="str">
        <f>IF(H25=1,"u","")</f>
        <v/>
      </c>
      <c r="D25" s="11" t="s">
        <v>676</v>
      </c>
      <c r="E25" s="33"/>
      <c r="F25" t="s">
        <v>85</v>
      </c>
      <c r="G25" t="s">
        <v>25</v>
      </c>
      <c r="H25">
        <f t="shared" si="0"/>
        <v>8</v>
      </c>
      <c r="I25" s="4">
        <v>2760325</v>
      </c>
      <c r="J25" s="4"/>
      <c r="K25" s="4"/>
      <c r="L25" s="4"/>
      <c r="M25" s="22"/>
      <c r="N25" s="22"/>
      <c r="O25" s="22"/>
    </row>
    <row r="26" spans="3:15" x14ac:dyDescent="0.25">
      <c r="C26" s="33"/>
      <c r="D26" s="11" t="s">
        <v>665</v>
      </c>
      <c r="E26" s="33"/>
      <c r="F26" t="s">
        <v>413</v>
      </c>
      <c r="G26" t="s">
        <v>93</v>
      </c>
      <c r="H26">
        <f t="shared" si="0"/>
        <v>3</v>
      </c>
      <c r="I26" s="4">
        <v>1989970</v>
      </c>
      <c r="J26" s="4"/>
      <c r="K26" s="4"/>
      <c r="L26" s="4"/>
      <c r="M26" s="22"/>
      <c r="N26" s="22"/>
      <c r="O26" s="22"/>
    </row>
    <row r="27" spans="3:15" x14ac:dyDescent="0.25">
      <c r="C27" s="33"/>
      <c r="D27" s="11" t="s">
        <v>681</v>
      </c>
      <c r="E27" s="33"/>
      <c r="F27" t="s">
        <v>199</v>
      </c>
      <c r="G27" t="s">
        <v>93</v>
      </c>
      <c r="H27">
        <f t="shared" si="0"/>
        <v>11</v>
      </c>
      <c r="I27" s="4">
        <v>3499000</v>
      </c>
      <c r="J27" s="4"/>
      <c r="K27" s="4"/>
      <c r="L27" s="4"/>
      <c r="M27" s="22"/>
      <c r="N27" s="22"/>
      <c r="O27" s="22"/>
    </row>
    <row r="28" spans="3:15" x14ac:dyDescent="0.25">
      <c r="C28" s="33"/>
      <c r="D28" s="11" t="s">
        <v>502</v>
      </c>
      <c r="E28" s="33"/>
      <c r="F28" t="s">
        <v>95</v>
      </c>
      <c r="G28" t="s">
        <v>93</v>
      </c>
      <c r="H28">
        <f t="shared" si="0"/>
        <v>10</v>
      </c>
      <c r="I28" s="4">
        <v>2967000</v>
      </c>
      <c r="J28" s="4"/>
      <c r="K28" s="4"/>
      <c r="L28" s="4"/>
      <c r="M28" s="22"/>
      <c r="N28" s="22"/>
      <c r="O28" s="22"/>
    </row>
    <row r="29" spans="3:15" x14ac:dyDescent="0.25">
      <c r="C29" s="33" t="str">
        <f t="shared" ref="C29:C43" si="1">IF(H29=1,"u","")</f>
        <v>u</v>
      </c>
      <c r="D29" s="11" t="s">
        <v>1012</v>
      </c>
      <c r="E29" s="33"/>
      <c r="F29" t="s">
        <v>1013</v>
      </c>
      <c r="G29" t="s">
        <v>321</v>
      </c>
      <c r="H29">
        <f t="shared" si="0"/>
        <v>1</v>
      </c>
      <c r="I29" s="4">
        <v>1808548</v>
      </c>
      <c r="J29" s="4"/>
      <c r="K29" s="4"/>
      <c r="L29" s="4"/>
      <c r="M29" s="22"/>
      <c r="N29" s="22"/>
      <c r="O29" s="22"/>
    </row>
    <row r="30" spans="3:15" x14ac:dyDescent="0.25">
      <c r="C30" s="33" t="str">
        <f t="shared" si="1"/>
        <v/>
      </c>
      <c r="D30" s="11" t="s">
        <v>703</v>
      </c>
      <c r="E30" s="33"/>
      <c r="F30" t="s">
        <v>413</v>
      </c>
      <c r="G30" t="s">
        <v>93</v>
      </c>
      <c r="H30">
        <f t="shared" si="0"/>
        <v>5</v>
      </c>
      <c r="I30" s="4">
        <v>2567500</v>
      </c>
      <c r="J30" s="4"/>
      <c r="K30" s="4"/>
      <c r="L30" s="4"/>
      <c r="M30" s="22"/>
      <c r="N30" s="22"/>
      <c r="O30" s="22"/>
    </row>
    <row r="31" spans="3:15" x14ac:dyDescent="0.25">
      <c r="C31" s="33" t="str">
        <f t="shared" si="1"/>
        <v/>
      </c>
      <c r="D31" s="11" t="s">
        <v>679</v>
      </c>
      <c r="E31" s="33"/>
      <c r="F31" t="s">
        <v>193</v>
      </c>
      <c r="G31" t="s">
        <v>25</v>
      </c>
      <c r="H31">
        <f t="shared" si="0"/>
        <v>9</v>
      </c>
      <c r="I31" s="4">
        <v>2807000</v>
      </c>
      <c r="J31" s="4"/>
      <c r="K31" s="4"/>
      <c r="L31" s="4"/>
      <c r="M31" s="22"/>
      <c r="N31" s="22"/>
      <c r="O31" s="22"/>
    </row>
    <row r="32" spans="3:15" x14ac:dyDescent="0.25">
      <c r="C32" s="33" t="str">
        <f t="shared" si="1"/>
        <v/>
      </c>
      <c r="D32" s="11" t="s">
        <v>491</v>
      </c>
      <c r="E32" s="33"/>
      <c r="F32" t="s">
        <v>203</v>
      </c>
      <c r="G32" t="s">
        <v>204</v>
      </c>
      <c r="H32">
        <f>RANK(I32,I$23:I$43,1)</f>
        <v>7</v>
      </c>
      <c r="I32" s="4">
        <v>2726402</v>
      </c>
      <c r="J32" s="4"/>
      <c r="K32" s="4"/>
      <c r="L32" s="4"/>
      <c r="M32" s="22"/>
      <c r="N32" s="22"/>
      <c r="O32" s="22"/>
    </row>
    <row r="33" spans="3:15" x14ac:dyDescent="0.25">
      <c r="C33" s="33" t="str">
        <f t="shared" si="1"/>
        <v/>
      </c>
      <c r="D33" s="11" t="s">
        <v>606</v>
      </c>
      <c r="E33" s="33"/>
      <c r="F33" t="s">
        <v>100</v>
      </c>
      <c r="G33" t="s">
        <v>93</v>
      </c>
      <c r="H33">
        <f>RANK(I33,I$23:I$43,1)</f>
        <v>4</v>
      </c>
      <c r="I33" s="4">
        <v>2421364</v>
      </c>
      <c r="M33" s="21"/>
      <c r="N33" s="21"/>
      <c r="O33" s="21"/>
    </row>
    <row r="34" spans="3:15" x14ac:dyDescent="0.25">
      <c r="C34" s="33" t="str">
        <f t="shared" si="1"/>
        <v/>
      </c>
      <c r="D34" s="11"/>
      <c r="E34" s="33" t="str">
        <f t="shared" ref="E34:E43" si="2">IF(H34=1,"t","")</f>
        <v/>
      </c>
      <c r="M34" s="21"/>
      <c r="N34" s="21"/>
      <c r="O34" s="21"/>
    </row>
    <row r="35" spans="3:15" x14ac:dyDescent="0.25">
      <c r="C35" s="33" t="str">
        <f t="shared" si="1"/>
        <v/>
      </c>
      <c r="D35" s="11"/>
      <c r="E35" s="33" t="str">
        <f t="shared" si="2"/>
        <v/>
      </c>
      <c r="M35" s="21"/>
      <c r="N35" s="21"/>
      <c r="O35" s="21"/>
    </row>
    <row r="36" spans="3:15" x14ac:dyDescent="0.25">
      <c r="C36" s="33" t="str">
        <f t="shared" si="1"/>
        <v/>
      </c>
      <c r="D36" s="11"/>
      <c r="E36" s="33" t="str">
        <f t="shared" si="2"/>
        <v/>
      </c>
      <c r="M36" s="21"/>
      <c r="N36" s="21"/>
      <c r="O36" s="21"/>
    </row>
    <row r="37" spans="3:15" x14ac:dyDescent="0.25">
      <c r="C37" s="33" t="str">
        <f t="shared" si="1"/>
        <v/>
      </c>
      <c r="D37" s="11"/>
      <c r="E37" s="33" t="str">
        <f t="shared" si="2"/>
        <v/>
      </c>
      <c r="M37" s="21"/>
      <c r="N37" s="21"/>
      <c r="O37" s="21"/>
    </row>
    <row r="38" spans="3:15" x14ac:dyDescent="0.25">
      <c r="C38" s="33" t="str">
        <f t="shared" si="1"/>
        <v/>
      </c>
      <c r="D38" s="11"/>
      <c r="E38" s="33" t="str">
        <f t="shared" si="2"/>
        <v/>
      </c>
      <c r="M38" s="21"/>
      <c r="N38" s="21"/>
      <c r="O38" s="21"/>
    </row>
    <row r="39" spans="3:15" x14ac:dyDescent="0.25">
      <c r="C39" s="33" t="str">
        <f t="shared" si="1"/>
        <v/>
      </c>
      <c r="D39" s="11"/>
      <c r="E39" s="33" t="str">
        <f t="shared" si="2"/>
        <v/>
      </c>
      <c r="M39" s="21"/>
      <c r="N39" s="21"/>
      <c r="O39" s="21"/>
    </row>
    <row r="40" spans="3:15" x14ac:dyDescent="0.25">
      <c r="C40" s="33" t="str">
        <f t="shared" si="1"/>
        <v/>
      </c>
      <c r="D40" s="11"/>
      <c r="E40" s="33" t="str">
        <f t="shared" si="2"/>
        <v/>
      </c>
      <c r="M40" s="21"/>
      <c r="N40" s="21"/>
      <c r="O40" s="21"/>
    </row>
    <row r="41" spans="3:15" x14ac:dyDescent="0.25">
      <c r="C41" s="33" t="str">
        <f t="shared" si="1"/>
        <v/>
      </c>
      <c r="D41" s="11"/>
      <c r="E41" s="33" t="str">
        <f t="shared" si="2"/>
        <v/>
      </c>
      <c r="M41" s="21"/>
      <c r="N41" s="21"/>
      <c r="O41" s="21"/>
    </row>
    <row r="42" spans="3:15" x14ac:dyDescent="0.25">
      <c r="C42" s="33" t="str">
        <f t="shared" si="1"/>
        <v/>
      </c>
      <c r="D42" s="11"/>
      <c r="E42" s="33" t="str">
        <f t="shared" si="2"/>
        <v/>
      </c>
      <c r="M42" s="21"/>
      <c r="N42" s="21"/>
      <c r="O42" s="21"/>
    </row>
    <row r="43" spans="3:15" x14ac:dyDescent="0.25">
      <c r="C43" s="33" t="str">
        <f t="shared" si="1"/>
        <v/>
      </c>
      <c r="D43" s="11"/>
      <c r="E43" s="33" t="str">
        <f t="shared" si="2"/>
        <v/>
      </c>
      <c r="M43" s="21"/>
      <c r="N43" s="21"/>
      <c r="O43" s="21"/>
    </row>
    <row r="44" spans="3:15" ht="6" customHeight="1" x14ac:dyDescent="0.25">
      <c r="C44" s="9"/>
      <c r="D44" s="9"/>
      <c r="E44" s="9"/>
      <c r="F44" s="9"/>
      <c r="G44" s="9"/>
      <c r="H44" s="9"/>
      <c r="I44" s="9"/>
      <c r="J44" s="9"/>
      <c r="K44" s="9"/>
      <c r="L44" s="9"/>
      <c r="M44" s="21"/>
      <c r="N44" s="21"/>
      <c r="O44" s="21"/>
    </row>
    <row r="45" spans="3:15" ht="6" customHeight="1" x14ac:dyDescent="0.25">
      <c r="M45" s="21"/>
      <c r="N45" s="21"/>
      <c r="O45" s="21"/>
    </row>
    <row r="46" spans="3:15" x14ac:dyDescent="0.25">
      <c r="C46" s="15" t="s">
        <v>79</v>
      </c>
      <c r="M46" s="21"/>
      <c r="N46" s="21"/>
      <c r="O46" s="21"/>
    </row>
    <row r="47" spans="3:15" x14ac:dyDescent="0.25">
      <c r="C47" s="15" t="s">
        <v>78</v>
      </c>
    </row>
  </sheetData>
  <mergeCells count="1">
    <mergeCell ref="G13:H13"/>
  </mergeCells>
  <conditionalFormatting sqref="I9">
    <cfRule type="containsText" dxfId="1709" priority="16" operator="containsText" text="FAIL">
      <formula>NOT(ISERROR(SEARCH("FAIL",I9)))</formula>
    </cfRule>
  </conditionalFormatting>
  <conditionalFormatting sqref="I9">
    <cfRule type="containsText" dxfId="1708" priority="15" operator="containsText" text="GOOD">
      <formula>NOT(ISERROR(SEARCH("GOOD",I9)))</formula>
    </cfRule>
  </conditionalFormatting>
  <conditionalFormatting sqref="F11">
    <cfRule type="containsText" dxfId="1707" priority="14" operator="containsText" text="FAIL">
      <formula>NOT(ISERROR(SEARCH("FAIL",F11)))</formula>
    </cfRule>
  </conditionalFormatting>
  <conditionalFormatting sqref="F11">
    <cfRule type="containsText" dxfId="1706" priority="13" operator="containsText" text="GOOD">
      <formula>NOT(ISERROR(SEARCH("GOOD",F11)))</formula>
    </cfRule>
  </conditionalFormatting>
  <conditionalFormatting sqref="D25">
    <cfRule type="expression" dxfId="1705" priority="12" stopIfTrue="1">
      <formula>IF($H$25=1,0)</formula>
    </cfRule>
  </conditionalFormatting>
  <conditionalFormatting sqref="D23 D29:D43 D25:D26">
    <cfRule type="expression" dxfId="1704" priority="11">
      <formula>H23=1</formula>
    </cfRule>
  </conditionalFormatting>
  <conditionalFormatting sqref="C23:C26 C29:C43">
    <cfRule type="expression" dxfId="1703" priority="10">
      <formula>H23=1</formula>
    </cfRule>
  </conditionalFormatting>
  <conditionalFormatting sqref="E23 E29:E43 E25:E26">
    <cfRule type="expression" dxfId="1702" priority="9">
      <formula>H23=1</formula>
    </cfRule>
  </conditionalFormatting>
  <conditionalFormatting sqref="F11">
    <cfRule type="containsText" dxfId="1701" priority="8" operator="containsText" text="FAIL">
      <formula>NOT(ISERROR(SEARCH("FAIL",F11)))</formula>
    </cfRule>
  </conditionalFormatting>
  <conditionalFormatting sqref="F11">
    <cfRule type="containsText" dxfId="1700" priority="7" operator="containsText" text="GOOD">
      <formula>NOT(ISERROR(SEARCH("GOOD",F11)))</formula>
    </cfRule>
  </conditionalFormatting>
  <conditionalFormatting sqref="D27:D28">
    <cfRule type="expression" dxfId="1699" priority="6">
      <formula>H27=1</formula>
    </cfRule>
  </conditionalFormatting>
  <conditionalFormatting sqref="C27:C28">
    <cfRule type="expression" dxfId="1698" priority="5">
      <formula>H27=1</formula>
    </cfRule>
  </conditionalFormatting>
  <conditionalFormatting sqref="E27:E28">
    <cfRule type="expression" dxfId="1697" priority="4">
      <formula>H27=1</formula>
    </cfRule>
  </conditionalFormatting>
  <conditionalFormatting sqref="D24">
    <cfRule type="expression" dxfId="1696" priority="3" stopIfTrue="1">
      <formula>IF($H$25=1,0)</formula>
    </cfRule>
  </conditionalFormatting>
  <conditionalFormatting sqref="D24">
    <cfRule type="expression" dxfId="1695" priority="2">
      <formula>H24=1</formula>
    </cfRule>
  </conditionalFormatting>
  <conditionalFormatting sqref="E24">
    <cfRule type="expression" dxfId="1694" priority="1">
      <formula>H24=1</formula>
    </cfRule>
  </conditionalFormatting>
  <pageMargins left="0.7" right="0.7" top="0.75" bottom="0.75" header="0.3" footer="0.3"/>
  <pageSetup scale="68" orientation="portrait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9"/>
  <dimension ref="A2:O56"/>
  <sheetViews>
    <sheetView zoomScaleNormal="100" workbookViewId="0">
      <selection activeCell="J14" sqref="J14"/>
    </sheetView>
  </sheetViews>
  <sheetFormatPr defaultRowHeight="15" x14ac:dyDescent="0.25"/>
  <cols>
    <col min="1" max="2" width="4.42578125" customWidth="1"/>
    <col min="3" max="3" width="3" customWidth="1"/>
    <col min="4" max="4" width="24.7109375" customWidth="1"/>
    <col min="5" max="5" width="3" customWidth="1"/>
    <col min="6" max="6" width="15.7109375" customWidth="1"/>
    <col min="7" max="7" width="8.5703125" customWidth="1"/>
    <col min="8" max="8" width="5.85546875" customWidth="1"/>
    <col min="9" max="15" width="15.7109375" customWidth="1"/>
  </cols>
  <sheetData>
    <row r="2" spans="1:11" x14ac:dyDescent="0.25">
      <c r="C2" s="15" t="s">
        <v>32</v>
      </c>
      <c r="E2" s="15"/>
      <c r="F2" s="15"/>
      <c r="G2" s="15" t="s">
        <v>33</v>
      </c>
      <c r="H2" s="15"/>
      <c r="I2" s="15"/>
      <c r="J2" s="15"/>
      <c r="K2" s="15"/>
    </row>
    <row r="3" spans="1:11" ht="18.75" x14ac:dyDescent="0.3">
      <c r="C3" s="3" t="s">
        <v>26</v>
      </c>
      <c r="J3" s="8" t="s">
        <v>47</v>
      </c>
    </row>
    <row r="4" spans="1:11" x14ac:dyDescent="0.25">
      <c r="D4" s="2" t="s">
        <v>0</v>
      </c>
      <c r="E4" s="1"/>
      <c r="F4" t="s">
        <v>1101</v>
      </c>
      <c r="I4" s="2" t="s">
        <v>4</v>
      </c>
      <c r="J4" t="s">
        <v>616</v>
      </c>
    </row>
    <row r="5" spans="1:11" x14ac:dyDescent="0.25">
      <c r="D5" s="2" t="s">
        <v>1</v>
      </c>
      <c r="F5" t="s">
        <v>1102</v>
      </c>
    </row>
    <row r="6" spans="1:11" x14ac:dyDescent="0.25">
      <c r="D6" s="2" t="s">
        <v>2</v>
      </c>
      <c r="F6" s="6">
        <v>43025</v>
      </c>
      <c r="H6" s="11"/>
    </row>
    <row r="7" spans="1:11" x14ac:dyDescent="0.25">
      <c r="D7" s="2" t="s">
        <v>3</v>
      </c>
      <c r="F7" s="5">
        <f>+I7+J7</f>
        <v>2800000</v>
      </c>
      <c r="G7" s="2" t="s">
        <v>34</v>
      </c>
      <c r="H7" s="11"/>
      <c r="I7" s="19">
        <v>20000</v>
      </c>
      <c r="J7" s="19">
        <v>2780000</v>
      </c>
    </row>
    <row r="8" spans="1:11" x14ac:dyDescent="0.25">
      <c r="D8" s="2" t="s">
        <v>18</v>
      </c>
      <c r="F8" s="5">
        <f>MIN(K23:K43)</f>
        <v>2847000</v>
      </c>
      <c r="H8" s="11"/>
      <c r="I8" s="18" t="s">
        <v>43</v>
      </c>
      <c r="J8" s="18" t="s">
        <v>44</v>
      </c>
    </row>
    <row r="9" spans="1:11" x14ac:dyDescent="0.25">
      <c r="D9" s="2" t="s">
        <v>19</v>
      </c>
      <c r="F9" s="4">
        <f>+F8-F7</f>
        <v>47000</v>
      </c>
      <c r="G9" s="16">
        <f>+F9/F7</f>
        <v>1.6785714285714286E-2</v>
      </c>
      <c r="H9" s="12" t="s">
        <v>20</v>
      </c>
      <c r="I9" s="11" t="str">
        <f>(IF(G9&lt;-0.1,"FAIL",IF(G9&gt;0.05,"FAIL","GOOD")))</f>
        <v>GOOD</v>
      </c>
      <c r="J9" s="14" t="s">
        <v>72</v>
      </c>
    </row>
    <row r="10" spans="1:11" x14ac:dyDescent="0.25">
      <c r="D10" s="2" t="s">
        <v>68</v>
      </c>
      <c r="F10" s="4">
        <f>+F7-F12</f>
        <v>-921299.77777777798</v>
      </c>
      <c r="H10" s="11"/>
    </row>
    <row r="11" spans="1:11" x14ac:dyDescent="0.25">
      <c r="A11" s="30"/>
      <c r="D11" s="2" t="s">
        <v>71</v>
      </c>
      <c r="F11" s="11" t="str">
        <f>(IF(F7&lt;J12,"FAIL",IF(F7&gt;J13,"FAIL","GOOD")))</f>
        <v>GOOD</v>
      </c>
      <c r="H11" s="11"/>
    </row>
    <row r="12" spans="1:11" x14ac:dyDescent="0.25">
      <c r="D12" s="2" t="s">
        <v>28</v>
      </c>
      <c r="F12" s="4">
        <f>SUM(K23:K43)/H12</f>
        <v>3721299.777777778</v>
      </c>
      <c r="G12" s="14"/>
      <c r="H12" s="11">
        <f>COUNT(K23:K43)</f>
        <v>9</v>
      </c>
      <c r="I12" s="1" t="s">
        <v>31</v>
      </c>
      <c r="J12" s="4">
        <f>+F8*0.9</f>
        <v>2562300</v>
      </c>
      <c r="K12" s="1" t="s">
        <v>69</v>
      </c>
    </row>
    <row r="13" spans="1:11" x14ac:dyDescent="0.25">
      <c r="D13" s="2" t="s">
        <v>29</v>
      </c>
      <c r="F13" s="4">
        <f>MAX(K23:K43)-MIN(K23:K43)</f>
        <v>1497200</v>
      </c>
      <c r="G13" s="399">
        <f>MEDIAN(K23:K43)</f>
        <v>3888888</v>
      </c>
      <c r="H13" s="400"/>
      <c r="I13" s="1" t="s">
        <v>30</v>
      </c>
      <c r="J13" s="4">
        <f>+F12*1.1</f>
        <v>4093429.7555555562</v>
      </c>
      <c r="K13" s="1" t="s">
        <v>70</v>
      </c>
    </row>
    <row r="14" spans="1:11" x14ac:dyDescent="0.25">
      <c r="H14" s="11"/>
    </row>
    <row r="15" spans="1:11" hidden="1" x14ac:dyDescent="0.25">
      <c r="D15" s="2" t="s">
        <v>8</v>
      </c>
      <c r="F15" s="4">
        <v>30000000</v>
      </c>
      <c r="G15" s="1" t="s">
        <v>9</v>
      </c>
      <c r="H15" s="11"/>
      <c r="I15" t="s">
        <v>15</v>
      </c>
      <c r="J15" s="7">
        <f>+F16/F15</f>
        <v>0.93333333333333335</v>
      </c>
    </row>
    <row r="16" spans="1:11" hidden="1" x14ac:dyDescent="0.25">
      <c r="F16" s="4">
        <v>28000000</v>
      </c>
      <c r="G16" s="1" t="s">
        <v>10</v>
      </c>
      <c r="H16" s="11"/>
      <c r="I16" t="s">
        <v>14</v>
      </c>
      <c r="J16" s="7">
        <f>+F17/F16</f>
        <v>1.0535714285714286</v>
      </c>
    </row>
    <row r="17" spans="3:15" hidden="1" x14ac:dyDescent="0.25">
      <c r="F17" s="4">
        <v>29500000</v>
      </c>
      <c r="G17" s="1" t="s">
        <v>11</v>
      </c>
      <c r="H17" s="11"/>
      <c r="I17" t="s">
        <v>13</v>
      </c>
      <c r="J17" s="7">
        <f>+F18/F17</f>
        <v>9.4915254237288138E-2</v>
      </c>
    </row>
    <row r="18" spans="3:15" hidden="1" x14ac:dyDescent="0.25">
      <c r="F18" s="4">
        <f>+F7</f>
        <v>2800000</v>
      </c>
      <c r="G18" s="1" t="s">
        <v>12</v>
      </c>
      <c r="H18" s="11"/>
      <c r="I18" t="s">
        <v>16</v>
      </c>
      <c r="J18" s="7">
        <f>+F8/F18</f>
        <v>1.0167857142857142</v>
      </c>
    </row>
    <row r="19" spans="3:15" hidden="1" x14ac:dyDescent="0.25">
      <c r="F19" s="2" t="s">
        <v>51</v>
      </c>
      <c r="G19">
        <v>0</v>
      </c>
      <c r="H19" s="11" t="s">
        <v>52</v>
      </c>
      <c r="I19" t="s">
        <v>41</v>
      </c>
      <c r="J19" s="7">
        <f>+F8/F15</f>
        <v>9.4899999999999998E-2</v>
      </c>
    </row>
    <row r="20" spans="3:15" x14ac:dyDescent="0.25">
      <c r="H20" s="11"/>
      <c r="M20" s="21"/>
      <c r="N20" s="21"/>
      <c r="O20" s="21"/>
    </row>
    <row r="21" spans="3:15" x14ac:dyDescent="0.25">
      <c r="C21" s="9"/>
      <c r="D21" s="13" t="s">
        <v>21</v>
      </c>
      <c r="E21" s="9"/>
      <c r="F21" s="9" t="s">
        <v>22</v>
      </c>
      <c r="G21" s="9" t="s">
        <v>23</v>
      </c>
      <c r="H21" s="13" t="s">
        <v>27</v>
      </c>
      <c r="I21" s="10" t="s">
        <v>38</v>
      </c>
      <c r="J21" s="10" t="s">
        <v>37</v>
      </c>
      <c r="K21" s="10" t="s">
        <v>39</v>
      </c>
      <c r="L21" s="9"/>
      <c r="M21" s="21"/>
      <c r="N21" s="21"/>
      <c r="O21" s="21"/>
    </row>
    <row r="22" spans="3:15" ht="6" customHeight="1" x14ac:dyDescent="0.25">
      <c r="M22" s="21"/>
      <c r="N22" s="21"/>
      <c r="O22" s="21"/>
    </row>
    <row r="23" spans="3:15" x14ac:dyDescent="0.25">
      <c r="C23" s="33" t="str">
        <f>IF(H23=1,"u","")</f>
        <v/>
      </c>
      <c r="D23" s="11" t="s">
        <v>1103</v>
      </c>
      <c r="E23" s="33"/>
      <c r="F23" t="s">
        <v>92</v>
      </c>
      <c r="G23" t="s">
        <v>93</v>
      </c>
      <c r="H23">
        <f>RANK(K23,K$23:K$43,1)</f>
        <v>9</v>
      </c>
      <c r="I23" s="4">
        <v>38400</v>
      </c>
      <c r="J23" s="4">
        <v>4305800</v>
      </c>
      <c r="K23" s="4">
        <f>+J23+I23</f>
        <v>4344200</v>
      </c>
      <c r="L23" s="4"/>
      <c r="M23" s="22"/>
      <c r="N23" s="22"/>
      <c r="O23" s="22"/>
    </row>
    <row r="24" spans="3:15" x14ac:dyDescent="0.25">
      <c r="C24" s="33" t="str">
        <f>IF(H24=1,"u","")</f>
        <v/>
      </c>
      <c r="D24" s="11" t="s">
        <v>968</v>
      </c>
      <c r="E24" s="33"/>
      <c r="F24" t="s">
        <v>203</v>
      </c>
      <c r="G24" t="s">
        <v>204</v>
      </c>
      <c r="H24">
        <f t="shared" ref="H24:H31" si="0">RANK(K24,K$23:K$43,1)</f>
        <v>3</v>
      </c>
      <c r="I24" s="4">
        <v>19200</v>
      </c>
      <c r="J24" s="4">
        <v>3402360</v>
      </c>
      <c r="K24" s="4">
        <f t="shared" ref="K24:K31" si="1">+J24+I24</f>
        <v>3421560</v>
      </c>
      <c r="L24" s="4"/>
      <c r="M24" s="22"/>
      <c r="N24" s="22"/>
      <c r="O24" s="22"/>
    </row>
    <row r="25" spans="3:15" x14ac:dyDescent="0.25">
      <c r="C25" s="33" t="str">
        <f>IF(H25=1,"u","")</f>
        <v/>
      </c>
      <c r="D25" s="11" t="s">
        <v>499</v>
      </c>
      <c r="E25" s="33"/>
      <c r="F25" t="s">
        <v>1104</v>
      </c>
      <c r="G25" t="s">
        <v>93</v>
      </c>
      <c r="H25">
        <f t="shared" si="0"/>
        <v>8</v>
      </c>
      <c r="I25" s="4">
        <v>11200</v>
      </c>
      <c r="J25" s="4">
        <v>4117970</v>
      </c>
      <c r="K25" s="4">
        <f t="shared" si="1"/>
        <v>4129170</v>
      </c>
      <c r="L25" s="4"/>
      <c r="M25" s="22"/>
      <c r="N25" s="22"/>
      <c r="O25" s="22"/>
    </row>
    <row r="26" spans="3:15" x14ac:dyDescent="0.25">
      <c r="C26" s="33" t="str">
        <f t="shared" ref="C26:C43" si="2">IF(H26=1,"u","")</f>
        <v>u</v>
      </c>
      <c r="D26" s="11" t="s">
        <v>450</v>
      </c>
      <c r="E26" s="33"/>
      <c r="F26" t="s">
        <v>451</v>
      </c>
      <c r="G26" t="s">
        <v>93</v>
      </c>
      <c r="H26">
        <f t="shared" si="0"/>
        <v>1</v>
      </c>
      <c r="I26" s="4">
        <v>16000</v>
      </c>
      <c r="J26" s="4">
        <v>2831000</v>
      </c>
      <c r="K26" s="4">
        <f t="shared" si="1"/>
        <v>2847000</v>
      </c>
      <c r="L26" s="4"/>
      <c r="M26" s="22"/>
      <c r="N26" s="22"/>
      <c r="O26" s="22"/>
    </row>
    <row r="27" spans="3:15" x14ac:dyDescent="0.25">
      <c r="C27" s="33" t="str">
        <f t="shared" si="2"/>
        <v/>
      </c>
      <c r="D27" s="11" t="s">
        <v>607</v>
      </c>
      <c r="E27" s="33"/>
      <c r="F27" t="s">
        <v>170</v>
      </c>
      <c r="G27" t="s">
        <v>93</v>
      </c>
      <c r="H27">
        <f t="shared" si="0"/>
        <v>4</v>
      </c>
      <c r="I27" s="4">
        <v>37120</v>
      </c>
      <c r="J27" s="4">
        <v>3838420</v>
      </c>
      <c r="K27" s="4">
        <f t="shared" si="1"/>
        <v>3875540</v>
      </c>
      <c r="L27" s="4"/>
      <c r="M27" s="22"/>
      <c r="N27" s="22"/>
      <c r="O27" s="22"/>
    </row>
    <row r="28" spans="3:15" x14ac:dyDescent="0.25">
      <c r="C28" s="33" t="str">
        <f t="shared" si="2"/>
        <v/>
      </c>
      <c r="D28" s="11" t="s">
        <v>1105</v>
      </c>
      <c r="E28" s="33"/>
      <c r="F28" t="s">
        <v>413</v>
      </c>
      <c r="G28" t="s">
        <v>93</v>
      </c>
      <c r="H28">
        <f t="shared" si="0"/>
        <v>2</v>
      </c>
      <c r="I28" s="4">
        <v>24000</v>
      </c>
      <c r="J28" s="4">
        <v>3023960</v>
      </c>
      <c r="K28" s="4">
        <f t="shared" si="1"/>
        <v>3047960</v>
      </c>
      <c r="L28" s="4"/>
      <c r="M28" s="22"/>
      <c r="N28" s="22"/>
      <c r="O28" s="22"/>
    </row>
    <row r="29" spans="3:15" x14ac:dyDescent="0.25">
      <c r="C29" s="33" t="str">
        <f t="shared" si="2"/>
        <v/>
      </c>
      <c r="D29" s="11" t="s">
        <v>1106</v>
      </c>
      <c r="E29" s="33"/>
      <c r="F29" t="s">
        <v>95</v>
      </c>
      <c r="G29" t="s">
        <v>93</v>
      </c>
      <c r="H29">
        <f t="shared" si="0"/>
        <v>6</v>
      </c>
      <c r="I29" s="4">
        <v>20800</v>
      </c>
      <c r="J29" s="4">
        <v>3946200</v>
      </c>
      <c r="K29" s="4">
        <f t="shared" si="1"/>
        <v>3967000</v>
      </c>
      <c r="L29" s="4"/>
      <c r="M29" s="22"/>
      <c r="N29" s="22"/>
      <c r="O29" s="22"/>
    </row>
    <row r="30" spans="3:15" x14ac:dyDescent="0.25">
      <c r="C30" s="33" t="str">
        <f t="shared" si="2"/>
        <v/>
      </c>
      <c r="D30" s="11" t="s">
        <v>874</v>
      </c>
      <c r="E30" s="33"/>
      <c r="F30" t="s">
        <v>532</v>
      </c>
      <c r="G30" t="s">
        <v>93</v>
      </c>
      <c r="H30">
        <f t="shared" si="0"/>
        <v>7</v>
      </c>
      <c r="I30" s="4">
        <v>32000</v>
      </c>
      <c r="J30" s="4">
        <v>3938380</v>
      </c>
      <c r="K30" s="4">
        <f t="shared" si="1"/>
        <v>3970380</v>
      </c>
      <c r="L30" s="4"/>
      <c r="M30" s="22"/>
      <c r="N30" s="22"/>
      <c r="O30" s="22"/>
    </row>
    <row r="31" spans="3:15" x14ac:dyDescent="0.25">
      <c r="C31" s="33" t="str">
        <f t="shared" si="2"/>
        <v/>
      </c>
      <c r="D31" s="11" t="s">
        <v>347</v>
      </c>
      <c r="E31" s="33"/>
      <c r="F31" t="s">
        <v>147</v>
      </c>
      <c r="G31" t="s">
        <v>93</v>
      </c>
      <c r="H31">
        <f t="shared" si="0"/>
        <v>5</v>
      </c>
      <c r="I31" s="4">
        <v>48000</v>
      </c>
      <c r="J31" s="4">
        <v>3840888</v>
      </c>
      <c r="K31" s="4">
        <f t="shared" si="1"/>
        <v>3888888</v>
      </c>
      <c r="L31" s="4"/>
      <c r="M31" s="22"/>
      <c r="N31" s="22"/>
      <c r="O31" s="22"/>
    </row>
    <row r="32" spans="3:15" x14ac:dyDescent="0.25">
      <c r="C32" s="33" t="str">
        <f t="shared" si="2"/>
        <v/>
      </c>
      <c r="D32" s="11"/>
      <c r="E32" s="33"/>
      <c r="I32" s="4"/>
      <c r="J32" s="4"/>
      <c r="K32" s="4"/>
      <c r="L32" s="4"/>
      <c r="M32" s="22"/>
      <c r="N32" s="22"/>
      <c r="O32" s="22"/>
    </row>
    <row r="33" spans="3:15" x14ac:dyDescent="0.25">
      <c r="C33" s="33" t="str">
        <f t="shared" si="2"/>
        <v/>
      </c>
      <c r="D33" s="11"/>
      <c r="E33" s="33"/>
      <c r="I33" s="4"/>
      <c r="J33" s="4"/>
      <c r="K33" s="4"/>
      <c r="M33" s="21"/>
      <c r="N33" s="21"/>
      <c r="O33" s="21"/>
    </row>
    <row r="34" spans="3:15" x14ac:dyDescent="0.25">
      <c r="C34" s="33" t="str">
        <f t="shared" si="2"/>
        <v/>
      </c>
      <c r="D34" s="11"/>
      <c r="E34" s="33"/>
      <c r="I34" s="4"/>
      <c r="J34" s="4"/>
      <c r="K34" s="4"/>
      <c r="M34" s="21"/>
      <c r="N34" s="21"/>
      <c r="O34" s="21"/>
    </row>
    <row r="35" spans="3:15" x14ac:dyDescent="0.25">
      <c r="C35" s="33" t="str">
        <f t="shared" si="2"/>
        <v/>
      </c>
      <c r="D35" s="11"/>
      <c r="E35" s="33"/>
      <c r="I35" s="4"/>
      <c r="J35" s="4"/>
      <c r="K35" s="4"/>
      <c r="M35" s="21"/>
      <c r="N35" s="21"/>
      <c r="O35" s="21"/>
    </row>
    <row r="36" spans="3:15" x14ac:dyDescent="0.25">
      <c r="C36" s="33" t="str">
        <f t="shared" si="2"/>
        <v/>
      </c>
      <c r="D36" s="11"/>
      <c r="E36" s="33"/>
      <c r="I36" s="4"/>
      <c r="J36" s="4"/>
      <c r="K36" s="4"/>
      <c r="M36" s="21"/>
      <c r="N36" s="21"/>
      <c r="O36" s="21"/>
    </row>
    <row r="37" spans="3:15" x14ac:dyDescent="0.25">
      <c r="C37" s="33" t="str">
        <f t="shared" si="2"/>
        <v/>
      </c>
      <c r="D37" s="11"/>
      <c r="E37" s="33"/>
      <c r="I37" s="4"/>
      <c r="J37" s="4"/>
      <c r="K37" s="4"/>
      <c r="M37" s="21"/>
      <c r="N37" s="21"/>
      <c r="O37" s="21"/>
    </row>
    <row r="38" spans="3:15" x14ac:dyDescent="0.25">
      <c r="C38" s="33" t="str">
        <f t="shared" si="2"/>
        <v/>
      </c>
      <c r="D38" s="11"/>
      <c r="E38" s="33"/>
      <c r="I38" s="4"/>
      <c r="J38" s="4"/>
      <c r="K38" s="4"/>
      <c r="M38" s="21"/>
      <c r="N38" s="21"/>
      <c r="O38" s="21"/>
    </row>
    <row r="39" spans="3:15" x14ac:dyDescent="0.25">
      <c r="C39" s="33" t="str">
        <f t="shared" si="2"/>
        <v/>
      </c>
      <c r="D39" s="11"/>
      <c r="E39" s="33" t="str">
        <f>IF(H39=1,"t","")</f>
        <v/>
      </c>
      <c r="K39" s="4"/>
      <c r="M39" s="21"/>
      <c r="N39" s="21"/>
      <c r="O39" s="21"/>
    </row>
    <row r="40" spans="3:15" x14ac:dyDescent="0.25">
      <c r="C40" s="33" t="str">
        <f t="shared" si="2"/>
        <v/>
      </c>
      <c r="D40" s="11"/>
      <c r="E40" s="33" t="str">
        <f>IF(H40=1,"t","")</f>
        <v/>
      </c>
      <c r="K40" s="4"/>
      <c r="M40" s="21"/>
      <c r="N40" s="21"/>
      <c r="O40" s="21"/>
    </row>
    <row r="41" spans="3:15" x14ac:dyDescent="0.25">
      <c r="C41" s="33" t="str">
        <f t="shared" si="2"/>
        <v/>
      </c>
      <c r="D41" s="11"/>
      <c r="E41" s="33" t="str">
        <f>IF(H41=1,"t","")</f>
        <v/>
      </c>
      <c r="K41" s="4"/>
      <c r="M41" s="21"/>
      <c r="N41" s="21"/>
      <c r="O41" s="21"/>
    </row>
    <row r="42" spans="3:15" x14ac:dyDescent="0.25">
      <c r="C42" s="33" t="str">
        <f t="shared" si="2"/>
        <v/>
      </c>
      <c r="D42" s="11"/>
      <c r="E42" s="33" t="str">
        <f>IF(H42=1,"t","")</f>
        <v/>
      </c>
      <c r="K42" s="4"/>
      <c r="M42" s="21"/>
      <c r="N42" s="21"/>
      <c r="O42" s="21"/>
    </row>
    <row r="43" spans="3:15" x14ac:dyDescent="0.25">
      <c r="C43" s="33" t="str">
        <f t="shared" si="2"/>
        <v/>
      </c>
      <c r="D43" s="11"/>
      <c r="E43" s="33" t="str">
        <f>IF(H43=1,"t","")</f>
        <v/>
      </c>
      <c r="K43" s="4"/>
      <c r="M43" s="21"/>
      <c r="N43" s="21"/>
      <c r="O43" s="21"/>
    </row>
    <row r="44" spans="3:15" ht="6" customHeight="1" x14ac:dyDescent="0.25">
      <c r="C44" s="9"/>
      <c r="D44" s="9"/>
      <c r="E44" s="9"/>
      <c r="F44" s="9"/>
      <c r="G44" s="9"/>
      <c r="H44" s="9"/>
      <c r="I44" s="9"/>
      <c r="J44" s="9"/>
      <c r="K44" s="9"/>
      <c r="L44" s="9"/>
      <c r="M44" s="21"/>
      <c r="N44" s="21"/>
      <c r="O44" s="21"/>
    </row>
    <row r="45" spans="3:15" ht="6" customHeight="1" x14ac:dyDescent="0.25">
      <c r="M45" s="21"/>
      <c r="N45" s="21"/>
      <c r="O45" s="21"/>
    </row>
    <row r="46" spans="3:15" x14ac:dyDescent="0.25">
      <c r="C46" s="15" t="s">
        <v>79</v>
      </c>
      <c r="M46" s="21"/>
      <c r="N46" s="21"/>
      <c r="O46" s="21"/>
    </row>
    <row r="47" spans="3:15" x14ac:dyDescent="0.25">
      <c r="C47" s="15" t="s">
        <v>78</v>
      </c>
    </row>
    <row r="49" spans="3:10" x14ac:dyDescent="0.25">
      <c r="C49" s="31" t="s">
        <v>948</v>
      </c>
      <c r="D49" s="31"/>
      <c r="H49" t="s">
        <v>949</v>
      </c>
      <c r="I49" t="s">
        <v>784</v>
      </c>
      <c r="J49" s="6">
        <v>42802</v>
      </c>
    </row>
    <row r="50" spans="3:10" ht="6" customHeight="1" x14ac:dyDescent="0.25"/>
    <row r="51" spans="3:10" x14ac:dyDescent="0.25">
      <c r="D51" s="93" t="s">
        <v>950</v>
      </c>
    </row>
    <row r="52" spans="3:10" x14ac:dyDescent="0.25">
      <c r="D52" s="93" t="s">
        <v>951</v>
      </c>
    </row>
    <row r="53" spans="3:10" x14ac:dyDescent="0.25">
      <c r="D53" s="93" t="s">
        <v>952</v>
      </c>
    </row>
    <row r="54" spans="3:10" x14ac:dyDescent="0.25">
      <c r="D54" s="93" t="s">
        <v>953</v>
      </c>
    </row>
    <row r="55" spans="3:10" x14ac:dyDescent="0.25">
      <c r="D55" s="93" t="s">
        <v>954</v>
      </c>
    </row>
    <row r="56" spans="3:10" x14ac:dyDescent="0.25">
      <c r="D56" s="93" t="s">
        <v>955</v>
      </c>
    </row>
  </sheetData>
  <mergeCells count="1">
    <mergeCell ref="G13:H13"/>
  </mergeCells>
  <conditionalFormatting sqref="I9">
    <cfRule type="containsText" dxfId="2143" priority="32" operator="containsText" text="FAIL">
      <formula>NOT(ISERROR(SEARCH("FAIL",I9)))</formula>
    </cfRule>
  </conditionalFormatting>
  <conditionalFormatting sqref="I9">
    <cfRule type="containsText" dxfId="2142" priority="31" operator="containsText" text="GOOD">
      <formula>NOT(ISERROR(SEARCH("GOOD",I9)))</formula>
    </cfRule>
  </conditionalFormatting>
  <conditionalFormatting sqref="I9">
    <cfRule type="containsText" dxfId="2141" priority="30" operator="containsText" text="FAIL">
      <formula>NOT(ISERROR(SEARCH("FAIL",I9)))</formula>
    </cfRule>
  </conditionalFormatting>
  <conditionalFormatting sqref="I9">
    <cfRule type="containsText" dxfId="2140" priority="29" operator="containsText" text="GOOD">
      <formula>NOT(ISERROR(SEARCH("GOOD",I9)))</formula>
    </cfRule>
  </conditionalFormatting>
  <conditionalFormatting sqref="I9">
    <cfRule type="containsText" dxfId="2139" priority="28" operator="containsText" text="FAIL">
      <formula>NOT(ISERROR(SEARCH("FAIL",I9)))</formula>
    </cfRule>
  </conditionalFormatting>
  <conditionalFormatting sqref="I9">
    <cfRule type="containsText" dxfId="2138" priority="27" operator="containsText" text="GOOD">
      <formula>NOT(ISERROR(SEARCH("GOOD",I9)))</formula>
    </cfRule>
  </conditionalFormatting>
  <conditionalFormatting sqref="F11">
    <cfRule type="containsText" dxfId="2137" priority="26" operator="containsText" text="FAIL">
      <formula>NOT(ISERROR(SEARCH("FAIL",F11)))</formula>
    </cfRule>
  </conditionalFormatting>
  <conditionalFormatting sqref="F11">
    <cfRule type="containsText" dxfId="2136" priority="25" operator="containsText" text="GOOD">
      <formula>NOT(ISERROR(SEARCH("GOOD",F11)))</formula>
    </cfRule>
  </conditionalFormatting>
  <conditionalFormatting sqref="I9">
    <cfRule type="containsText" dxfId="2135" priority="24" operator="containsText" text="FAIL">
      <formula>NOT(ISERROR(SEARCH("FAIL",I9)))</formula>
    </cfRule>
  </conditionalFormatting>
  <conditionalFormatting sqref="I9">
    <cfRule type="containsText" dxfId="2134" priority="23" operator="containsText" text="GOOD">
      <formula>NOT(ISERROR(SEARCH("GOOD",I9)))</formula>
    </cfRule>
  </conditionalFormatting>
  <conditionalFormatting sqref="F11">
    <cfRule type="containsText" dxfId="2133" priority="22" operator="containsText" text="FAIL">
      <formula>NOT(ISERROR(SEARCH("FAIL",F11)))</formula>
    </cfRule>
  </conditionalFormatting>
  <conditionalFormatting sqref="F11">
    <cfRule type="containsText" dxfId="2132" priority="21" operator="containsText" text="GOOD">
      <formula>NOT(ISERROR(SEARCH("GOOD",F11)))</formula>
    </cfRule>
  </conditionalFormatting>
  <conditionalFormatting sqref="D25">
    <cfRule type="expression" dxfId="2131" priority="20" stopIfTrue="1">
      <formula>IF($H$25=1,0)</formula>
    </cfRule>
  </conditionalFormatting>
  <conditionalFormatting sqref="D23 D39:D43 D25:D33">
    <cfRule type="expression" dxfId="2130" priority="19">
      <formula>H23=1</formula>
    </cfRule>
  </conditionalFormatting>
  <conditionalFormatting sqref="C23 C39:C43 C25:C33">
    <cfRule type="expression" dxfId="2129" priority="18">
      <formula>H23=1</formula>
    </cfRule>
  </conditionalFormatting>
  <conditionalFormatting sqref="E23 E39:E43 E25:E33">
    <cfRule type="expression" dxfId="2128" priority="17">
      <formula>H23=1</formula>
    </cfRule>
  </conditionalFormatting>
  <conditionalFormatting sqref="E23 E39:E43 E25:E33">
    <cfRule type="expression" dxfId="2127" priority="16">
      <formula>H23=1</formula>
    </cfRule>
  </conditionalFormatting>
  <conditionalFormatting sqref="F11">
    <cfRule type="containsText" dxfId="2126" priority="15" operator="containsText" text="FAIL">
      <formula>NOT(ISERROR(SEARCH("FAIL",F11)))</formula>
    </cfRule>
  </conditionalFormatting>
  <conditionalFormatting sqref="F11">
    <cfRule type="containsText" dxfId="2125" priority="14" operator="containsText" text="GOOD">
      <formula>NOT(ISERROR(SEARCH("GOOD",F11)))</formula>
    </cfRule>
  </conditionalFormatting>
  <conditionalFormatting sqref="D34:D37">
    <cfRule type="expression" dxfId="2124" priority="13">
      <formula>H34=1</formula>
    </cfRule>
  </conditionalFormatting>
  <conditionalFormatting sqref="C34:C37">
    <cfRule type="expression" dxfId="2123" priority="12">
      <formula>H34=1</formula>
    </cfRule>
  </conditionalFormatting>
  <conditionalFormatting sqref="E34:E37">
    <cfRule type="expression" dxfId="2122" priority="11">
      <formula>H34=1</formula>
    </cfRule>
  </conditionalFormatting>
  <conditionalFormatting sqref="E34:E37">
    <cfRule type="expression" dxfId="2121" priority="10">
      <formula>H34=1</formula>
    </cfRule>
  </conditionalFormatting>
  <conditionalFormatting sqref="D38">
    <cfRule type="expression" dxfId="2120" priority="9">
      <formula>H38=1</formula>
    </cfRule>
  </conditionalFormatting>
  <conditionalFormatting sqref="C38">
    <cfRule type="expression" dxfId="2119" priority="8">
      <formula>H38=1</formula>
    </cfRule>
  </conditionalFormatting>
  <conditionalFormatting sqref="E38">
    <cfRule type="expression" dxfId="2118" priority="7">
      <formula>H38=1</formula>
    </cfRule>
  </conditionalFormatting>
  <conditionalFormatting sqref="E38">
    <cfRule type="expression" dxfId="2117" priority="6">
      <formula>H38=1</formula>
    </cfRule>
  </conditionalFormatting>
  <conditionalFormatting sqref="E24">
    <cfRule type="expression" dxfId="2116" priority="1">
      <formula>H24=1</formula>
    </cfRule>
  </conditionalFormatting>
  <conditionalFormatting sqref="D24">
    <cfRule type="expression" dxfId="2115" priority="5" stopIfTrue="1">
      <formula>IF($H$25=1,0)</formula>
    </cfRule>
  </conditionalFormatting>
  <conditionalFormatting sqref="D24">
    <cfRule type="expression" dxfId="2114" priority="4">
      <formula>H24=1</formula>
    </cfRule>
  </conditionalFormatting>
  <conditionalFormatting sqref="C24">
    <cfRule type="expression" dxfId="2113" priority="3">
      <formula>H24=1</formula>
    </cfRule>
  </conditionalFormatting>
  <conditionalFormatting sqref="E24">
    <cfRule type="expression" dxfId="2112" priority="2">
      <formula>H24=1</formula>
    </cfRule>
  </conditionalFormatting>
  <pageMargins left="0.7" right="0.7" top="0.75" bottom="0.75" header="0.3" footer="0.3"/>
  <pageSetup scale="68" orientation="portrait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sheetPr codeName="Sheet75"/>
  <dimension ref="A2:O47"/>
  <sheetViews>
    <sheetView zoomScaleNormal="100" workbookViewId="0">
      <selection activeCell="L7" sqref="L7"/>
    </sheetView>
  </sheetViews>
  <sheetFormatPr defaultRowHeight="15" x14ac:dyDescent="0.25"/>
  <cols>
    <col min="1" max="2" width="4.42578125" customWidth="1"/>
    <col min="3" max="3" width="3" customWidth="1"/>
    <col min="4" max="4" width="24.85546875" customWidth="1"/>
    <col min="5" max="5" width="3" customWidth="1"/>
    <col min="6" max="6" width="15.7109375" customWidth="1"/>
    <col min="7" max="7" width="8.5703125" customWidth="1"/>
    <col min="8" max="8" width="5.85546875" customWidth="1"/>
    <col min="9" max="15" width="15.7109375" customWidth="1"/>
  </cols>
  <sheetData>
    <row r="2" spans="1:11" x14ac:dyDescent="0.25">
      <c r="C2" s="15" t="s">
        <v>32</v>
      </c>
      <c r="E2" s="15"/>
      <c r="F2" s="15"/>
      <c r="G2" s="15" t="s">
        <v>33</v>
      </c>
      <c r="H2" s="15"/>
      <c r="I2" s="15"/>
      <c r="J2" s="15"/>
      <c r="K2" s="15"/>
    </row>
    <row r="3" spans="1:11" ht="18.75" x14ac:dyDescent="0.3">
      <c r="C3" s="3" t="s">
        <v>26</v>
      </c>
      <c r="J3" s="8" t="s">
        <v>17</v>
      </c>
    </row>
    <row r="4" spans="1:11" x14ac:dyDescent="0.25">
      <c r="D4" s="2" t="s">
        <v>0</v>
      </c>
      <c r="E4" s="1"/>
      <c r="F4" t="s">
        <v>876</v>
      </c>
      <c r="I4" s="2" t="s">
        <v>4</v>
      </c>
      <c r="J4" t="s">
        <v>447</v>
      </c>
    </row>
    <row r="5" spans="1:11" x14ac:dyDescent="0.25">
      <c r="D5" s="2" t="s">
        <v>1</v>
      </c>
      <c r="F5" t="s">
        <v>877</v>
      </c>
    </row>
    <row r="6" spans="1:11" x14ac:dyDescent="0.25">
      <c r="D6" s="2" t="s">
        <v>2</v>
      </c>
      <c r="F6" s="6">
        <v>42765</v>
      </c>
      <c r="H6" s="11"/>
    </row>
    <row r="7" spans="1:11" x14ac:dyDescent="0.25">
      <c r="D7" s="2" t="s">
        <v>3</v>
      </c>
      <c r="F7" s="5">
        <v>6500000</v>
      </c>
      <c r="G7" s="2" t="s">
        <v>756</v>
      </c>
      <c r="H7" s="11"/>
    </row>
    <row r="8" spans="1:11" x14ac:dyDescent="0.25">
      <c r="D8" s="2" t="s">
        <v>18</v>
      </c>
      <c r="F8" s="5">
        <f>MIN(I23:I43)</f>
        <v>5987000</v>
      </c>
      <c r="H8" s="11"/>
    </row>
    <row r="9" spans="1:11" x14ac:dyDescent="0.25">
      <c r="D9" s="2" t="s">
        <v>67</v>
      </c>
      <c r="F9" s="4">
        <f>+F8-F7</f>
        <v>-513000</v>
      </c>
      <c r="G9" s="16">
        <f>+F9/F7</f>
        <v>-7.8923076923076929E-2</v>
      </c>
      <c r="H9" s="12" t="s">
        <v>20</v>
      </c>
      <c r="I9" s="11" t="str">
        <f>(IF(G9&lt;-0.1,"FAIL",IF(G9&gt;0.05,"FAIL","GOOD")))</f>
        <v>GOOD</v>
      </c>
      <c r="J9" s="14" t="s">
        <v>72</v>
      </c>
    </row>
    <row r="10" spans="1:11" x14ac:dyDescent="0.25">
      <c r="D10" s="2" t="s">
        <v>68</v>
      </c>
      <c r="F10" s="4">
        <f>+F7-F12</f>
        <v>-676261</v>
      </c>
      <c r="H10" s="11"/>
    </row>
    <row r="11" spans="1:11" x14ac:dyDescent="0.25">
      <c r="A11" s="52"/>
      <c r="D11" s="2" t="s">
        <v>71</v>
      </c>
      <c r="F11" s="11" t="str">
        <f>(IF(F7&lt;J12,"FAIL",IF(F7&gt;J13,"FAIL","GOOD")))</f>
        <v>GOOD</v>
      </c>
      <c r="H11" s="11"/>
    </row>
    <row r="12" spans="1:11" x14ac:dyDescent="0.25">
      <c r="D12" s="2" t="s">
        <v>28</v>
      </c>
      <c r="F12" s="4">
        <f>SUM(I23:I43)/H12</f>
        <v>7176261</v>
      </c>
      <c r="G12" s="14"/>
      <c r="H12" s="11">
        <f>COUNT(I23:I43)</f>
        <v>5</v>
      </c>
      <c r="I12" s="1" t="s">
        <v>31</v>
      </c>
      <c r="J12" s="4">
        <f>+F8*0.9</f>
        <v>5388300</v>
      </c>
      <c r="K12" s="1" t="s">
        <v>69</v>
      </c>
    </row>
    <row r="13" spans="1:11" x14ac:dyDescent="0.25">
      <c r="D13" s="2" t="s">
        <v>29</v>
      </c>
      <c r="F13" s="4">
        <f>MAX(I23:I43)-MIN(I23:I43)</f>
        <v>2409881</v>
      </c>
      <c r="G13" s="399">
        <f>MEDIAN(I23:I43)</f>
        <v>6984474</v>
      </c>
      <c r="H13" s="400"/>
      <c r="I13" s="1" t="s">
        <v>30</v>
      </c>
      <c r="J13" s="4">
        <f>+F12*1.1</f>
        <v>7893887.1000000006</v>
      </c>
      <c r="K13" s="1" t="s">
        <v>70</v>
      </c>
    </row>
    <row r="14" spans="1:11" x14ac:dyDescent="0.25">
      <c r="H14" s="11"/>
    </row>
    <row r="15" spans="1:11" x14ac:dyDescent="0.25">
      <c r="D15" s="2" t="s">
        <v>8</v>
      </c>
      <c r="F15" s="4"/>
      <c r="G15" s="1" t="s">
        <v>9</v>
      </c>
      <c r="H15" s="11"/>
      <c r="I15" t="s">
        <v>15</v>
      </c>
      <c r="J15" s="7" t="e">
        <f>+F16/F15</f>
        <v>#DIV/0!</v>
      </c>
    </row>
    <row r="16" spans="1:11" x14ac:dyDescent="0.25">
      <c r="F16" s="4"/>
      <c r="G16" s="1" t="s">
        <v>10</v>
      </c>
      <c r="H16" s="11"/>
      <c r="I16" t="s">
        <v>14</v>
      </c>
      <c r="J16" s="7" t="e">
        <f>+F17/F16</f>
        <v>#DIV/0!</v>
      </c>
    </row>
    <row r="17" spans="3:15" x14ac:dyDescent="0.25">
      <c r="F17" s="4"/>
      <c r="G17" s="1" t="s">
        <v>11</v>
      </c>
      <c r="H17" s="11"/>
      <c r="I17" t="s">
        <v>13</v>
      </c>
      <c r="J17" s="7" t="e">
        <f>+F18/F17</f>
        <v>#DIV/0!</v>
      </c>
      <c r="M17" s="21"/>
      <c r="N17" s="21"/>
      <c r="O17" s="21"/>
    </row>
    <row r="18" spans="3:15" x14ac:dyDescent="0.25">
      <c r="F18" s="4"/>
      <c r="G18" s="1" t="s">
        <v>12</v>
      </c>
      <c r="H18" s="11"/>
      <c r="I18" t="s">
        <v>16</v>
      </c>
      <c r="J18" s="7" t="e">
        <f>+F8/F18</f>
        <v>#DIV/0!</v>
      </c>
      <c r="M18" s="21"/>
      <c r="N18" s="21"/>
      <c r="O18" s="21"/>
    </row>
    <row r="19" spans="3:15" x14ac:dyDescent="0.25">
      <c r="F19" s="2" t="s">
        <v>51</v>
      </c>
      <c r="G19">
        <v>0</v>
      </c>
      <c r="H19" s="11" t="s">
        <v>52</v>
      </c>
      <c r="I19" t="s">
        <v>41</v>
      </c>
      <c r="J19" s="7" t="e">
        <f>+F8/F15</f>
        <v>#DIV/0!</v>
      </c>
      <c r="M19" s="21"/>
      <c r="N19" s="21"/>
      <c r="O19" s="21"/>
    </row>
    <row r="20" spans="3:15" x14ac:dyDescent="0.25">
      <c r="H20" s="11"/>
      <c r="M20" s="21"/>
      <c r="N20" s="21"/>
      <c r="O20" s="21"/>
    </row>
    <row r="21" spans="3:15" x14ac:dyDescent="0.25">
      <c r="C21" s="9"/>
      <c r="D21" s="13" t="s">
        <v>21</v>
      </c>
      <c r="E21" s="9"/>
      <c r="F21" s="9" t="s">
        <v>22</v>
      </c>
      <c r="G21" s="9" t="s">
        <v>23</v>
      </c>
      <c r="H21" s="13" t="s">
        <v>27</v>
      </c>
      <c r="I21" s="10" t="s">
        <v>24</v>
      </c>
      <c r="J21" s="9"/>
      <c r="K21" s="9"/>
      <c r="L21" s="9"/>
      <c r="M21" s="21"/>
      <c r="N21" s="21"/>
      <c r="O21" s="21"/>
    </row>
    <row r="22" spans="3:15" ht="6" customHeight="1" x14ac:dyDescent="0.25">
      <c r="M22" s="21"/>
      <c r="N22" s="21"/>
      <c r="O22" s="21"/>
    </row>
    <row r="23" spans="3:15" x14ac:dyDescent="0.25">
      <c r="C23" s="33" t="str">
        <f>IF(H23=1,"u","")</f>
        <v/>
      </c>
      <c r="D23" s="11" t="s">
        <v>491</v>
      </c>
      <c r="E23" s="33"/>
      <c r="F23" t="s">
        <v>203</v>
      </c>
      <c r="G23" t="s">
        <v>204</v>
      </c>
      <c r="H23">
        <f>RANK(I23,I$23:I$43,1)</f>
        <v>3</v>
      </c>
      <c r="I23" s="4">
        <v>6984474</v>
      </c>
      <c r="J23" s="4"/>
      <c r="K23" s="4"/>
      <c r="L23" s="4"/>
      <c r="M23" s="22"/>
      <c r="N23" s="22"/>
      <c r="O23" s="22"/>
    </row>
    <row r="24" spans="3:15" x14ac:dyDescent="0.25">
      <c r="C24" s="33" t="str">
        <f>IF(H24=1,"u","")</f>
        <v/>
      </c>
      <c r="D24" s="11" t="s">
        <v>676</v>
      </c>
      <c r="E24" s="33"/>
      <c r="F24" t="s">
        <v>85</v>
      </c>
      <c r="G24" t="s">
        <v>25</v>
      </c>
      <c r="H24">
        <f>RANK(I24,I$23:I$43,1)</f>
        <v>5</v>
      </c>
      <c r="I24" s="4">
        <v>8396881</v>
      </c>
      <c r="J24" s="4"/>
      <c r="K24" s="4"/>
      <c r="L24" s="4"/>
      <c r="M24" s="22"/>
      <c r="N24" s="22"/>
      <c r="O24" s="22"/>
    </row>
    <row r="25" spans="3:15" x14ac:dyDescent="0.25">
      <c r="C25" s="33" t="str">
        <f>IF(H25=1,"u","")</f>
        <v/>
      </c>
      <c r="D25" s="11" t="s">
        <v>606</v>
      </c>
      <c r="E25" s="33"/>
      <c r="F25" t="s">
        <v>100</v>
      </c>
      <c r="G25" t="s">
        <v>93</v>
      </c>
      <c r="H25">
        <f>RANK(I25,I$23:I$43,1)</f>
        <v>2</v>
      </c>
      <c r="I25" s="4">
        <v>6682950</v>
      </c>
      <c r="J25" s="4"/>
      <c r="K25" s="4"/>
      <c r="L25" s="4"/>
      <c r="M25" s="22"/>
      <c r="N25" s="22"/>
      <c r="O25" s="22"/>
    </row>
    <row r="26" spans="3:15" x14ac:dyDescent="0.25">
      <c r="C26" s="33" t="str">
        <f t="shared" ref="C26:C43" si="0">IF(H26=1,"u","")</f>
        <v>u</v>
      </c>
      <c r="D26" s="11" t="s">
        <v>502</v>
      </c>
      <c r="E26" s="33"/>
      <c r="F26" t="s">
        <v>95</v>
      </c>
      <c r="G26" t="s">
        <v>93</v>
      </c>
      <c r="H26">
        <f>RANK(I26,I$23:I$43,1)</f>
        <v>1</v>
      </c>
      <c r="I26" s="4">
        <v>5987000</v>
      </c>
      <c r="J26" s="4"/>
      <c r="K26" s="4"/>
      <c r="L26" s="4"/>
      <c r="M26" s="22"/>
      <c r="N26" s="22"/>
      <c r="O26" s="22"/>
    </row>
    <row r="27" spans="3:15" x14ac:dyDescent="0.25">
      <c r="C27" s="33" t="str">
        <f t="shared" si="0"/>
        <v/>
      </c>
      <c r="D27" s="11" t="s">
        <v>681</v>
      </c>
      <c r="E27" s="33"/>
      <c r="F27" t="s">
        <v>199</v>
      </c>
      <c r="G27" t="s">
        <v>93</v>
      </c>
      <c r="H27">
        <f>RANK(I27,I$23:I$43,1)</f>
        <v>4</v>
      </c>
      <c r="I27" s="4">
        <v>7830000</v>
      </c>
      <c r="J27" s="4"/>
      <c r="K27" s="4"/>
      <c r="L27" s="4"/>
      <c r="M27" s="22"/>
      <c r="N27" s="22"/>
      <c r="O27" s="22"/>
    </row>
    <row r="28" spans="3:15" x14ac:dyDescent="0.25">
      <c r="C28" s="33" t="str">
        <f t="shared" si="0"/>
        <v/>
      </c>
      <c r="D28" s="11"/>
      <c r="E28" s="33"/>
      <c r="I28" s="4"/>
      <c r="J28" s="4"/>
      <c r="K28" s="4"/>
      <c r="L28" s="4"/>
      <c r="M28" s="22"/>
      <c r="N28" s="22"/>
      <c r="O28" s="22"/>
    </row>
    <row r="29" spans="3:15" x14ac:dyDescent="0.25">
      <c r="C29" s="33" t="str">
        <f t="shared" si="0"/>
        <v/>
      </c>
      <c r="D29" s="11"/>
      <c r="E29" s="33"/>
      <c r="I29" s="4"/>
      <c r="J29" s="4"/>
      <c r="K29" s="4"/>
      <c r="L29" s="4"/>
      <c r="M29" s="22"/>
      <c r="N29" s="22"/>
      <c r="O29" s="22"/>
    </row>
    <row r="30" spans="3:15" x14ac:dyDescent="0.25">
      <c r="C30" s="33" t="str">
        <f t="shared" si="0"/>
        <v/>
      </c>
      <c r="D30" s="11"/>
      <c r="E30" s="33"/>
      <c r="I30" s="4"/>
      <c r="J30" s="4"/>
      <c r="K30" s="4"/>
      <c r="L30" s="4"/>
      <c r="M30" s="22"/>
      <c r="N30" s="22"/>
      <c r="O30" s="22"/>
    </row>
    <row r="31" spans="3:15" x14ac:dyDescent="0.25">
      <c r="C31" s="33" t="str">
        <f t="shared" si="0"/>
        <v/>
      </c>
      <c r="D31" s="11"/>
      <c r="E31" s="33"/>
      <c r="I31" s="4"/>
      <c r="J31" s="4"/>
      <c r="K31" s="4"/>
      <c r="L31" s="4"/>
      <c r="M31" s="22"/>
      <c r="N31" s="22"/>
      <c r="O31" s="22"/>
    </row>
    <row r="32" spans="3:15" x14ac:dyDescent="0.25">
      <c r="C32" s="33" t="str">
        <f t="shared" si="0"/>
        <v/>
      </c>
      <c r="D32" s="11"/>
      <c r="E32" s="33"/>
      <c r="I32" s="4"/>
      <c r="J32" s="4"/>
      <c r="K32" s="4"/>
      <c r="L32" s="4"/>
      <c r="M32" s="22"/>
      <c r="N32" s="22"/>
      <c r="O32" s="22"/>
    </row>
    <row r="33" spans="3:15" x14ac:dyDescent="0.25">
      <c r="C33" s="33" t="str">
        <f t="shared" si="0"/>
        <v/>
      </c>
      <c r="D33" s="11"/>
      <c r="E33" s="33"/>
      <c r="I33" s="4"/>
      <c r="M33" s="21"/>
      <c r="N33" s="21"/>
      <c r="O33" s="21"/>
    </row>
    <row r="34" spans="3:15" x14ac:dyDescent="0.25">
      <c r="C34" s="33" t="str">
        <f t="shared" si="0"/>
        <v/>
      </c>
      <c r="D34" s="11"/>
      <c r="E34" s="33" t="str">
        <f t="shared" ref="E34:E43" si="1">IF(H34=1,"t","")</f>
        <v/>
      </c>
      <c r="M34" s="21"/>
      <c r="N34" s="21"/>
      <c r="O34" s="21"/>
    </row>
    <row r="35" spans="3:15" x14ac:dyDescent="0.25">
      <c r="C35" s="33" t="str">
        <f t="shared" si="0"/>
        <v/>
      </c>
      <c r="D35" s="11"/>
      <c r="E35" s="33" t="str">
        <f t="shared" si="1"/>
        <v/>
      </c>
      <c r="M35" s="21"/>
      <c r="N35" s="21"/>
      <c r="O35" s="21"/>
    </row>
    <row r="36" spans="3:15" x14ac:dyDescent="0.25">
      <c r="C36" s="33" t="str">
        <f t="shared" si="0"/>
        <v/>
      </c>
      <c r="D36" s="11"/>
      <c r="E36" s="33" t="str">
        <f t="shared" si="1"/>
        <v/>
      </c>
      <c r="M36" s="21"/>
      <c r="N36" s="21"/>
      <c r="O36" s="21"/>
    </row>
    <row r="37" spans="3:15" x14ac:dyDescent="0.25">
      <c r="C37" s="33" t="str">
        <f t="shared" si="0"/>
        <v/>
      </c>
      <c r="D37" s="11"/>
      <c r="E37" s="33" t="str">
        <f t="shared" si="1"/>
        <v/>
      </c>
      <c r="M37" s="21"/>
      <c r="N37" s="21"/>
      <c r="O37" s="21"/>
    </row>
    <row r="38" spans="3:15" x14ac:dyDescent="0.25">
      <c r="C38" s="33" t="str">
        <f t="shared" si="0"/>
        <v/>
      </c>
      <c r="D38" s="11"/>
      <c r="E38" s="33" t="str">
        <f t="shared" si="1"/>
        <v/>
      </c>
      <c r="M38" s="21"/>
      <c r="N38" s="21"/>
      <c r="O38" s="21"/>
    </row>
    <row r="39" spans="3:15" x14ac:dyDescent="0.25">
      <c r="C39" s="33" t="str">
        <f t="shared" si="0"/>
        <v/>
      </c>
      <c r="D39" s="11"/>
      <c r="E39" s="33" t="str">
        <f t="shared" si="1"/>
        <v/>
      </c>
      <c r="M39" s="21"/>
      <c r="N39" s="21"/>
      <c r="O39" s="21"/>
    </row>
    <row r="40" spans="3:15" x14ac:dyDescent="0.25">
      <c r="C40" s="33" t="str">
        <f t="shared" si="0"/>
        <v/>
      </c>
      <c r="D40" s="11"/>
      <c r="E40" s="33" t="str">
        <f t="shared" si="1"/>
        <v/>
      </c>
      <c r="M40" s="21"/>
      <c r="N40" s="21"/>
      <c r="O40" s="21"/>
    </row>
    <row r="41" spans="3:15" x14ac:dyDescent="0.25">
      <c r="C41" s="33" t="str">
        <f t="shared" si="0"/>
        <v/>
      </c>
      <c r="D41" s="11"/>
      <c r="E41" s="33" t="str">
        <f t="shared" si="1"/>
        <v/>
      </c>
      <c r="M41" s="21"/>
      <c r="N41" s="21"/>
      <c r="O41" s="21"/>
    </row>
    <row r="42" spans="3:15" x14ac:dyDescent="0.25">
      <c r="C42" s="33" t="str">
        <f t="shared" si="0"/>
        <v/>
      </c>
      <c r="D42" s="11"/>
      <c r="E42" s="33" t="str">
        <f t="shared" si="1"/>
        <v/>
      </c>
      <c r="M42" s="21"/>
      <c r="N42" s="21"/>
      <c r="O42" s="21"/>
    </row>
    <row r="43" spans="3:15" x14ac:dyDescent="0.25">
      <c r="C43" s="33" t="str">
        <f t="shared" si="0"/>
        <v/>
      </c>
      <c r="D43" s="11"/>
      <c r="E43" s="33" t="str">
        <f t="shared" si="1"/>
        <v/>
      </c>
      <c r="M43" s="21"/>
      <c r="N43" s="21"/>
      <c r="O43" s="21"/>
    </row>
    <row r="44" spans="3:15" ht="6" customHeight="1" x14ac:dyDescent="0.25">
      <c r="C44" s="9"/>
      <c r="D44" s="9"/>
      <c r="E44" s="9"/>
      <c r="F44" s="9"/>
      <c r="G44" s="9"/>
      <c r="H44" s="9"/>
      <c r="I44" s="9"/>
      <c r="J44" s="9"/>
      <c r="K44" s="9"/>
      <c r="L44" s="9"/>
      <c r="M44" s="21"/>
      <c r="N44" s="21"/>
      <c r="O44" s="21"/>
    </row>
    <row r="45" spans="3:15" ht="6" customHeight="1" x14ac:dyDescent="0.25">
      <c r="M45" s="21"/>
      <c r="N45" s="21"/>
      <c r="O45" s="21"/>
    </row>
    <row r="46" spans="3:15" x14ac:dyDescent="0.25">
      <c r="C46" s="15" t="s">
        <v>79</v>
      </c>
      <c r="M46" s="21"/>
      <c r="N46" s="21"/>
      <c r="O46" s="21"/>
    </row>
    <row r="47" spans="3:15" x14ac:dyDescent="0.25">
      <c r="C47" s="15" t="s">
        <v>78</v>
      </c>
    </row>
  </sheetData>
  <mergeCells count="1">
    <mergeCell ref="G13:H13"/>
  </mergeCells>
  <conditionalFormatting sqref="I9">
    <cfRule type="containsText" dxfId="1281" priority="13" operator="containsText" text="FAIL">
      <formula>NOT(ISERROR(SEARCH("FAIL",I9)))</formula>
    </cfRule>
  </conditionalFormatting>
  <conditionalFormatting sqref="I9">
    <cfRule type="containsText" dxfId="1280" priority="12" operator="containsText" text="GOOD">
      <formula>NOT(ISERROR(SEARCH("GOOD",I9)))</formula>
    </cfRule>
  </conditionalFormatting>
  <conditionalFormatting sqref="F11">
    <cfRule type="containsText" dxfId="1279" priority="11" operator="containsText" text="FAIL">
      <formula>NOT(ISERROR(SEARCH("FAIL",F11)))</formula>
    </cfRule>
  </conditionalFormatting>
  <conditionalFormatting sqref="F11">
    <cfRule type="containsText" dxfId="1278" priority="10" operator="containsText" text="GOOD">
      <formula>NOT(ISERROR(SEARCH("GOOD",F11)))</formula>
    </cfRule>
  </conditionalFormatting>
  <conditionalFormatting sqref="D25">
    <cfRule type="expression" dxfId="1277" priority="9" stopIfTrue="1">
      <formula>IF($H$25=1,0)</formula>
    </cfRule>
  </conditionalFormatting>
  <conditionalFormatting sqref="D23:D26 D29:D43">
    <cfRule type="expression" dxfId="1276" priority="8">
      <formula>H23=1</formula>
    </cfRule>
  </conditionalFormatting>
  <conditionalFormatting sqref="C23:C26 C29:C43">
    <cfRule type="expression" dxfId="1275" priority="7">
      <formula>H23=1</formula>
    </cfRule>
  </conditionalFormatting>
  <conditionalFormatting sqref="E23:E26 E29:E43">
    <cfRule type="expression" dxfId="1274" priority="6">
      <formula>H23=1</formula>
    </cfRule>
  </conditionalFormatting>
  <conditionalFormatting sqref="F11">
    <cfRule type="containsText" dxfId="1273" priority="5" operator="containsText" text="FAIL">
      <formula>NOT(ISERROR(SEARCH("FAIL",F11)))</formula>
    </cfRule>
  </conditionalFormatting>
  <conditionalFormatting sqref="F11">
    <cfRule type="containsText" dxfId="1272" priority="4" operator="containsText" text="GOOD">
      <formula>NOT(ISERROR(SEARCH("GOOD",F11)))</formula>
    </cfRule>
  </conditionalFormatting>
  <conditionalFormatting sqref="D27:D28">
    <cfRule type="expression" dxfId="1271" priority="3">
      <formula>H27=1</formula>
    </cfRule>
  </conditionalFormatting>
  <conditionalFormatting sqref="C27:C28">
    <cfRule type="expression" dxfId="1270" priority="2">
      <formula>H27=1</formula>
    </cfRule>
  </conditionalFormatting>
  <conditionalFormatting sqref="E27:E28">
    <cfRule type="expression" dxfId="1269" priority="1">
      <formula>H27=1</formula>
    </cfRule>
  </conditionalFormatting>
  <pageMargins left="0.7" right="0.7" top="0.75" bottom="0.75" header="0.3" footer="0.3"/>
  <pageSetup scale="68" orientation="portrait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 codeName="Sheet41"/>
  <dimension ref="A2:P47"/>
  <sheetViews>
    <sheetView zoomScaleNormal="100" workbookViewId="0">
      <selection activeCell="I25" sqref="I25"/>
    </sheetView>
  </sheetViews>
  <sheetFormatPr defaultRowHeight="15" x14ac:dyDescent="0.25"/>
  <cols>
    <col min="1" max="2" width="4.42578125" customWidth="1"/>
    <col min="3" max="3" width="3" customWidth="1"/>
    <col min="4" max="4" width="24.85546875" customWidth="1"/>
    <col min="5" max="5" width="3" customWidth="1"/>
    <col min="6" max="6" width="15.7109375" customWidth="1"/>
    <col min="7" max="7" width="8.5703125" customWidth="1"/>
    <col min="8" max="8" width="5.85546875" customWidth="1"/>
    <col min="9" max="15" width="15.7109375" customWidth="1"/>
  </cols>
  <sheetData>
    <row r="2" spans="1:16" x14ac:dyDescent="0.25">
      <c r="C2" s="15" t="s">
        <v>32</v>
      </c>
      <c r="E2" s="15"/>
      <c r="F2" s="15"/>
      <c r="G2" s="15" t="s">
        <v>33</v>
      </c>
      <c r="H2" s="15"/>
      <c r="I2" s="15"/>
      <c r="J2" s="15"/>
      <c r="K2" s="15"/>
    </row>
    <row r="3" spans="1:16" ht="18.75" x14ac:dyDescent="0.3">
      <c r="C3" s="3" t="s">
        <v>26</v>
      </c>
      <c r="J3" s="8" t="s">
        <v>17</v>
      </c>
      <c r="P3" s="100"/>
    </row>
    <row r="4" spans="1:16" x14ac:dyDescent="0.25">
      <c r="D4" s="2" t="s">
        <v>0</v>
      </c>
      <c r="E4" s="1"/>
      <c r="F4" t="s">
        <v>1052</v>
      </c>
      <c r="I4" s="2" t="s">
        <v>4</v>
      </c>
      <c r="J4" t="s">
        <v>616</v>
      </c>
    </row>
    <row r="5" spans="1:16" x14ac:dyDescent="0.25">
      <c r="D5" s="2" t="s">
        <v>1</v>
      </c>
      <c r="F5" t="s">
        <v>1053</v>
      </c>
    </row>
    <row r="6" spans="1:16" x14ac:dyDescent="0.25">
      <c r="D6" s="2" t="s">
        <v>2</v>
      </c>
      <c r="F6" s="6">
        <v>42948</v>
      </c>
      <c r="H6" s="11"/>
    </row>
    <row r="7" spans="1:16" x14ac:dyDescent="0.25">
      <c r="D7" s="2" t="s">
        <v>3</v>
      </c>
      <c r="F7" s="5">
        <v>1330000</v>
      </c>
      <c r="G7" s="2" t="s">
        <v>34</v>
      </c>
      <c r="H7" s="11"/>
    </row>
    <row r="8" spans="1:16" x14ac:dyDescent="0.25">
      <c r="D8" s="2" t="s">
        <v>18</v>
      </c>
      <c r="F8" s="5">
        <f>MIN(I23:I43)</f>
        <v>936000</v>
      </c>
      <c r="H8" s="11"/>
    </row>
    <row r="9" spans="1:16" x14ac:dyDescent="0.25">
      <c r="D9" s="2" t="s">
        <v>67</v>
      </c>
      <c r="F9" s="4">
        <f>+F8-F7</f>
        <v>-394000</v>
      </c>
      <c r="G9" s="16">
        <f>+F9/F7</f>
        <v>-0.29624060150375942</v>
      </c>
      <c r="H9" s="12" t="s">
        <v>20</v>
      </c>
      <c r="I9" s="11" t="str">
        <f>(IF(G9&lt;-0.1,"FAIL",IF(G9&gt;0.05,"FAIL","GOOD")))</f>
        <v>FAIL</v>
      </c>
      <c r="J9" s="14" t="s">
        <v>72</v>
      </c>
    </row>
    <row r="10" spans="1:16" x14ac:dyDescent="0.25">
      <c r="D10" s="2" t="s">
        <v>68</v>
      </c>
      <c r="F10" s="4">
        <f>+F7-F12</f>
        <v>-174186.16666666674</v>
      </c>
      <c r="H10" s="11"/>
    </row>
    <row r="11" spans="1:16" x14ac:dyDescent="0.25">
      <c r="A11" s="52"/>
      <c r="D11" s="2" t="s">
        <v>71</v>
      </c>
      <c r="F11" s="11" t="str">
        <f>(IF(F7&lt;J12,"FAIL",IF(F7&gt;J13,"FAIL","GOOD")))</f>
        <v>GOOD</v>
      </c>
      <c r="H11" s="11"/>
    </row>
    <row r="12" spans="1:16" x14ac:dyDescent="0.25">
      <c r="D12" s="2" t="s">
        <v>28</v>
      </c>
      <c r="F12" s="4">
        <f>SUM(I23:I43)/H12</f>
        <v>1504186.1666666667</v>
      </c>
      <c r="G12" s="14"/>
      <c r="H12" s="11">
        <f>COUNT(I23:I43)</f>
        <v>6</v>
      </c>
      <c r="I12" s="1" t="s">
        <v>31</v>
      </c>
      <c r="J12" s="4">
        <f>+F8*0.9</f>
        <v>842400</v>
      </c>
      <c r="K12" s="1" t="s">
        <v>69</v>
      </c>
    </row>
    <row r="13" spans="1:16" x14ac:dyDescent="0.25">
      <c r="D13" s="2" t="s">
        <v>29</v>
      </c>
      <c r="F13" s="4">
        <f>MAX(I23:I43)-MIN(I23:I43)</f>
        <v>2545000</v>
      </c>
      <c r="G13" s="399">
        <f>MEDIAN(I23:I43)</f>
        <v>1158863.5</v>
      </c>
      <c r="H13" s="400"/>
      <c r="I13" s="1" t="s">
        <v>30</v>
      </c>
      <c r="J13" s="4">
        <f>+F12*1.1</f>
        <v>1654604.7833333334</v>
      </c>
      <c r="K13" s="1" t="s">
        <v>70</v>
      </c>
    </row>
    <row r="14" spans="1:16" x14ac:dyDescent="0.25">
      <c r="H14" s="11"/>
    </row>
    <row r="15" spans="1:16" x14ac:dyDescent="0.25">
      <c r="D15" s="2" t="s">
        <v>8</v>
      </c>
      <c r="F15" s="4"/>
      <c r="G15" s="1" t="s">
        <v>9</v>
      </c>
      <c r="H15" s="11"/>
      <c r="I15" t="s">
        <v>15</v>
      </c>
      <c r="J15" s="7" t="e">
        <f>+F16/F15</f>
        <v>#DIV/0!</v>
      </c>
    </row>
    <row r="16" spans="1:16" x14ac:dyDescent="0.25">
      <c r="F16" s="4"/>
      <c r="G16" s="1" t="s">
        <v>10</v>
      </c>
      <c r="H16" s="11"/>
      <c r="I16" t="s">
        <v>14</v>
      </c>
      <c r="J16" s="7" t="e">
        <f>+F17/F16</f>
        <v>#DIV/0!</v>
      </c>
    </row>
    <row r="17" spans="3:15" x14ac:dyDescent="0.25">
      <c r="F17" s="4"/>
      <c r="G17" s="1" t="s">
        <v>11</v>
      </c>
      <c r="H17" s="11"/>
      <c r="I17" t="s">
        <v>13</v>
      </c>
      <c r="J17" s="7" t="e">
        <f>+F18/F17</f>
        <v>#DIV/0!</v>
      </c>
      <c r="M17" s="21"/>
      <c r="N17" s="21"/>
      <c r="O17" s="21"/>
    </row>
    <row r="18" spans="3:15" x14ac:dyDescent="0.25">
      <c r="F18" s="4"/>
      <c r="G18" s="1" t="s">
        <v>12</v>
      </c>
      <c r="H18" s="11"/>
      <c r="I18" t="s">
        <v>16</v>
      </c>
      <c r="J18" s="7" t="e">
        <f>+F8/F18</f>
        <v>#DIV/0!</v>
      </c>
      <c r="M18" s="21"/>
      <c r="N18" s="21"/>
      <c r="O18" s="21"/>
    </row>
    <row r="19" spans="3:15" x14ac:dyDescent="0.25">
      <c r="F19" s="2" t="s">
        <v>51</v>
      </c>
      <c r="G19">
        <v>0</v>
      </c>
      <c r="H19" s="11" t="s">
        <v>52</v>
      </c>
      <c r="I19" t="s">
        <v>41</v>
      </c>
      <c r="J19" s="7" t="e">
        <f>+F8/F15</f>
        <v>#DIV/0!</v>
      </c>
      <c r="M19" s="21"/>
      <c r="N19" s="21"/>
      <c r="O19" s="21"/>
    </row>
    <row r="20" spans="3:15" x14ac:dyDescent="0.25">
      <c r="H20" s="11"/>
      <c r="M20" s="21"/>
      <c r="N20" s="21"/>
      <c r="O20" s="21"/>
    </row>
    <row r="21" spans="3:15" x14ac:dyDescent="0.25">
      <c r="C21" s="9"/>
      <c r="D21" s="13" t="s">
        <v>21</v>
      </c>
      <c r="E21" s="9"/>
      <c r="F21" s="9" t="s">
        <v>22</v>
      </c>
      <c r="G21" s="9" t="s">
        <v>23</v>
      </c>
      <c r="H21" s="13" t="s">
        <v>27</v>
      </c>
      <c r="I21" s="10" t="s">
        <v>24</v>
      </c>
      <c r="J21" s="9"/>
      <c r="K21" s="9"/>
      <c r="L21" s="9"/>
      <c r="M21" s="21"/>
      <c r="N21" s="21"/>
      <c r="O21" s="21"/>
    </row>
    <row r="22" spans="3:15" ht="6" customHeight="1" x14ac:dyDescent="0.25">
      <c r="M22" s="21"/>
      <c r="N22" s="21"/>
      <c r="O22" s="21"/>
    </row>
    <row r="23" spans="3:15" x14ac:dyDescent="0.25">
      <c r="C23" s="33" t="str">
        <f>IF(H23=1,"u","")</f>
        <v/>
      </c>
      <c r="D23" s="11" t="s">
        <v>1054</v>
      </c>
      <c r="E23" s="33"/>
      <c r="F23" t="s">
        <v>1055</v>
      </c>
      <c r="G23" t="s">
        <v>93</v>
      </c>
      <c r="H23">
        <f t="shared" ref="H23:H28" si="0">RANK(I23,I$23:I$43,1)</f>
        <v>2</v>
      </c>
      <c r="I23" s="4">
        <v>1097450</v>
      </c>
      <c r="J23" s="4"/>
      <c r="K23" s="4"/>
      <c r="L23" s="4"/>
      <c r="M23" s="22"/>
      <c r="N23" s="22"/>
      <c r="O23" s="22"/>
    </row>
    <row r="24" spans="3:15" x14ac:dyDescent="0.25">
      <c r="C24" s="33" t="str">
        <f>IF(H24=1,"u","")</f>
        <v/>
      </c>
      <c r="D24" s="11" t="s">
        <v>895</v>
      </c>
      <c r="E24" s="33"/>
      <c r="F24" t="s">
        <v>95</v>
      </c>
      <c r="G24" t="s">
        <v>93</v>
      </c>
      <c r="H24">
        <f t="shared" si="0"/>
        <v>4</v>
      </c>
      <c r="I24" s="4">
        <v>1189727</v>
      </c>
      <c r="J24" s="4"/>
      <c r="K24" s="4"/>
      <c r="L24" s="4"/>
      <c r="M24" s="22"/>
      <c r="N24" s="22"/>
      <c r="O24" s="22"/>
    </row>
    <row r="25" spans="3:15" x14ac:dyDescent="0.25">
      <c r="C25" s="33" t="str">
        <f>IF(H25=1,"u","")</f>
        <v/>
      </c>
      <c r="D25" s="11" t="s">
        <v>725</v>
      </c>
      <c r="E25" s="33"/>
      <c r="F25" t="s">
        <v>780</v>
      </c>
      <c r="G25" t="s">
        <v>25</v>
      </c>
      <c r="H25">
        <f t="shared" si="0"/>
        <v>6</v>
      </c>
      <c r="I25" s="4">
        <v>3481000</v>
      </c>
      <c r="J25" s="4"/>
      <c r="K25" s="4"/>
      <c r="L25" s="4"/>
      <c r="M25" s="22"/>
      <c r="N25" s="22"/>
      <c r="O25" s="22"/>
    </row>
    <row r="26" spans="3:15" x14ac:dyDescent="0.25">
      <c r="C26" s="33"/>
      <c r="D26" s="11" t="s">
        <v>1056</v>
      </c>
      <c r="E26" s="33"/>
      <c r="F26" t="s">
        <v>92</v>
      </c>
      <c r="G26" t="s">
        <v>93</v>
      </c>
      <c r="H26">
        <f t="shared" si="0"/>
        <v>1</v>
      </c>
      <c r="I26" s="4">
        <v>936000</v>
      </c>
      <c r="J26" s="4"/>
      <c r="K26" s="4"/>
      <c r="L26" s="4"/>
      <c r="M26" s="22"/>
      <c r="N26" s="22"/>
      <c r="O26" s="22"/>
    </row>
    <row r="27" spans="3:15" x14ac:dyDescent="0.25">
      <c r="C27" s="33"/>
      <c r="D27" s="11" t="s">
        <v>708</v>
      </c>
      <c r="E27" s="33"/>
      <c r="F27" t="s">
        <v>709</v>
      </c>
      <c r="G27" t="s">
        <v>93</v>
      </c>
      <c r="H27">
        <f t="shared" si="0"/>
        <v>3</v>
      </c>
      <c r="I27" s="4">
        <v>1128000</v>
      </c>
      <c r="J27" s="4"/>
      <c r="K27" s="4"/>
      <c r="L27" s="4"/>
      <c r="M27" s="22"/>
      <c r="N27" s="22"/>
      <c r="O27" s="22"/>
    </row>
    <row r="28" spans="3:15" x14ac:dyDescent="0.25">
      <c r="C28" s="33"/>
      <c r="D28" s="11" t="s">
        <v>793</v>
      </c>
      <c r="E28" s="33"/>
      <c r="F28" t="s">
        <v>181</v>
      </c>
      <c r="G28" t="s">
        <v>93</v>
      </c>
      <c r="H28">
        <f t="shared" si="0"/>
        <v>5</v>
      </c>
      <c r="I28" s="4">
        <v>1192940</v>
      </c>
      <c r="J28" s="4"/>
      <c r="K28" s="4"/>
      <c r="L28" s="4"/>
      <c r="M28" s="22"/>
      <c r="N28" s="22"/>
      <c r="O28" s="22"/>
    </row>
    <row r="29" spans="3:15" x14ac:dyDescent="0.25">
      <c r="C29" s="33" t="str">
        <f t="shared" ref="C29:C43" si="1">IF(H29=1,"u","")</f>
        <v/>
      </c>
      <c r="D29" s="11"/>
      <c r="E29" s="33"/>
      <c r="I29" s="4"/>
      <c r="J29" s="4"/>
      <c r="K29" s="4"/>
      <c r="L29" s="4"/>
      <c r="M29" s="22"/>
      <c r="N29" s="22"/>
      <c r="O29" s="22"/>
    </row>
    <row r="30" spans="3:15" x14ac:dyDescent="0.25">
      <c r="C30" s="33" t="str">
        <f t="shared" si="1"/>
        <v/>
      </c>
      <c r="D30" s="11"/>
      <c r="E30" s="33"/>
      <c r="I30" s="4"/>
      <c r="J30" s="4"/>
      <c r="K30" s="4"/>
      <c r="L30" s="4"/>
      <c r="M30" s="22"/>
      <c r="N30" s="22"/>
      <c r="O30" s="22"/>
    </row>
    <row r="31" spans="3:15" x14ac:dyDescent="0.25">
      <c r="C31" s="33" t="str">
        <f t="shared" si="1"/>
        <v/>
      </c>
      <c r="D31" s="11"/>
      <c r="E31" s="33"/>
      <c r="I31" s="4"/>
      <c r="J31" s="4"/>
      <c r="K31" s="4"/>
      <c r="L31" s="4"/>
      <c r="M31" s="22"/>
      <c r="N31" s="22"/>
      <c r="O31" s="22"/>
    </row>
    <row r="32" spans="3:15" x14ac:dyDescent="0.25">
      <c r="C32" s="33" t="str">
        <f t="shared" si="1"/>
        <v/>
      </c>
      <c r="D32" s="11"/>
      <c r="E32" s="33"/>
      <c r="I32" s="4"/>
      <c r="J32" s="4"/>
      <c r="K32" s="4"/>
      <c r="L32" s="4"/>
      <c r="M32" s="22"/>
      <c r="N32" s="22"/>
      <c r="O32" s="22"/>
    </row>
    <row r="33" spans="3:15" x14ac:dyDescent="0.25">
      <c r="C33" s="33" t="str">
        <f t="shared" si="1"/>
        <v/>
      </c>
      <c r="D33" s="11"/>
      <c r="E33" s="33"/>
      <c r="I33" s="4"/>
      <c r="M33" s="21"/>
      <c r="N33" s="21"/>
      <c r="O33" s="21"/>
    </row>
    <row r="34" spans="3:15" x14ac:dyDescent="0.25">
      <c r="C34" s="33" t="str">
        <f t="shared" si="1"/>
        <v/>
      </c>
      <c r="D34" s="11"/>
      <c r="E34" s="33" t="str">
        <f t="shared" ref="E34:E43" si="2">IF(H34=1,"t","")</f>
        <v/>
      </c>
      <c r="M34" s="21"/>
      <c r="N34" s="21"/>
      <c r="O34" s="21"/>
    </row>
    <row r="35" spans="3:15" x14ac:dyDescent="0.25">
      <c r="C35" s="33" t="str">
        <f t="shared" si="1"/>
        <v/>
      </c>
      <c r="D35" s="11"/>
      <c r="E35" s="33" t="str">
        <f t="shared" si="2"/>
        <v/>
      </c>
      <c r="M35" s="21"/>
      <c r="N35" s="21"/>
      <c r="O35" s="21"/>
    </row>
    <row r="36" spans="3:15" x14ac:dyDescent="0.25">
      <c r="C36" s="33" t="str">
        <f t="shared" si="1"/>
        <v/>
      </c>
      <c r="D36" s="11"/>
      <c r="E36" s="33" t="str">
        <f t="shared" si="2"/>
        <v/>
      </c>
      <c r="M36" s="21"/>
      <c r="N36" s="21"/>
      <c r="O36" s="21"/>
    </row>
    <row r="37" spans="3:15" x14ac:dyDescent="0.25">
      <c r="C37" s="33" t="str">
        <f t="shared" si="1"/>
        <v/>
      </c>
      <c r="D37" s="11"/>
      <c r="E37" s="33" t="str">
        <f t="shared" si="2"/>
        <v/>
      </c>
      <c r="M37" s="21"/>
      <c r="N37" s="21"/>
      <c r="O37" s="21"/>
    </row>
    <row r="38" spans="3:15" x14ac:dyDescent="0.25">
      <c r="C38" s="33" t="str">
        <f t="shared" si="1"/>
        <v/>
      </c>
      <c r="D38" s="11"/>
      <c r="E38" s="33" t="str">
        <f t="shared" si="2"/>
        <v/>
      </c>
      <c r="M38" s="21"/>
      <c r="N38" s="21"/>
      <c r="O38" s="21"/>
    </row>
    <row r="39" spans="3:15" x14ac:dyDescent="0.25">
      <c r="C39" s="33" t="str">
        <f t="shared" si="1"/>
        <v/>
      </c>
      <c r="D39" s="11"/>
      <c r="E39" s="33" t="str">
        <f t="shared" si="2"/>
        <v/>
      </c>
      <c r="M39" s="21"/>
      <c r="N39" s="21"/>
      <c r="O39" s="21"/>
    </row>
    <row r="40" spans="3:15" x14ac:dyDescent="0.25">
      <c r="C40" s="33" t="str">
        <f t="shared" si="1"/>
        <v/>
      </c>
      <c r="D40" s="11"/>
      <c r="E40" s="33" t="str">
        <f t="shared" si="2"/>
        <v/>
      </c>
      <c r="M40" s="21"/>
      <c r="N40" s="21"/>
      <c r="O40" s="21"/>
    </row>
    <row r="41" spans="3:15" x14ac:dyDescent="0.25">
      <c r="C41" s="33" t="str">
        <f t="shared" si="1"/>
        <v/>
      </c>
      <c r="D41" s="11"/>
      <c r="E41" s="33" t="str">
        <f t="shared" si="2"/>
        <v/>
      </c>
      <c r="M41" s="21"/>
      <c r="N41" s="21"/>
      <c r="O41" s="21"/>
    </row>
    <row r="42" spans="3:15" x14ac:dyDescent="0.25">
      <c r="C42" s="33" t="str">
        <f t="shared" si="1"/>
        <v/>
      </c>
      <c r="D42" s="11"/>
      <c r="E42" s="33" t="str">
        <f t="shared" si="2"/>
        <v/>
      </c>
      <c r="M42" s="21"/>
      <c r="N42" s="21"/>
      <c r="O42" s="21"/>
    </row>
    <row r="43" spans="3:15" x14ac:dyDescent="0.25">
      <c r="C43" s="33" t="str">
        <f t="shared" si="1"/>
        <v/>
      </c>
      <c r="D43" s="11"/>
      <c r="E43" s="33" t="str">
        <f t="shared" si="2"/>
        <v/>
      </c>
      <c r="M43" s="21"/>
      <c r="N43" s="21"/>
      <c r="O43" s="21"/>
    </row>
    <row r="44" spans="3:15" ht="6" customHeight="1" x14ac:dyDescent="0.25">
      <c r="C44" s="9"/>
      <c r="D44" s="9"/>
      <c r="E44" s="9"/>
      <c r="F44" s="9"/>
      <c r="G44" s="9"/>
      <c r="H44" s="9"/>
      <c r="I44" s="9"/>
      <c r="J44" s="9"/>
      <c r="K44" s="9"/>
      <c r="L44" s="9"/>
      <c r="M44" s="21"/>
      <c r="N44" s="21"/>
      <c r="O44" s="21"/>
    </row>
    <row r="45" spans="3:15" ht="6" customHeight="1" x14ac:dyDescent="0.25">
      <c r="M45" s="21"/>
      <c r="N45" s="21"/>
      <c r="O45" s="21"/>
    </row>
    <row r="46" spans="3:15" x14ac:dyDescent="0.25">
      <c r="C46" s="15" t="s">
        <v>79</v>
      </c>
      <c r="M46" s="21"/>
      <c r="N46" s="21"/>
      <c r="O46" s="21"/>
    </row>
    <row r="47" spans="3:15" x14ac:dyDescent="0.25">
      <c r="C47" s="15" t="s">
        <v>78</v>
      </c>
    </row>
  </sheetData>
  <mergeCells count="1">
    <mergeCell ref="G13:H13"/>
  </mergeCells>
  <conditionalFormatting sqref="I9">
    <cfRule type="containsText" dxfId="1901" priority="16" operator="containsText" text="FAIL">
      <formula>NOT(ISERROR(SEARCH("FAIL",I9)))</formula>
    </cfRule>
  </conditionalFormatting>
  <conditionalFormatting sqref="I9">
    <cfRule type="containsText" dxfId="1900" priority="15" operator="containsText" text="GOOD">
      <formula>NOT(ISERROR(SEARCH("GOOD",I9)))</formula>
    </cfRule>
  </conditionalFormatting>
  <conditionalFormatting sqref="F11">
    <cfRule type="containsText" dxfId="1899" priority="14" operator="containsText" text="FAIL">
      <formula>NOT(ISERROR(SEARCH("FAIL",F11)))</formula>
    </cfRule>
  </conditionalFormatting>
  <conditionalFormatting sqref="F11">
    <cfRule type="containsText" dxfId="1898" priority="13" operator="containsText" text="GOOD">
      <formula>NOT(ISERROR(SEARCH("GOOD",F11)))</formula>
    </cfRule>
  </conditionalFormatting>
  <conditionalFormatting sqref="D25">
    <cfRule type="expression" dxfId="1897" priority="12" stopIfTrue="1">
      <formula>IF($H$25=1,0)</formula>
    </cfRule>
  </conditionalFormatting>
  <conditionalFormatting sqref="D23 D29:D43 D25:D26">
    <cfRule type="expression" dxfId="1896" priority="11">
      <formula>H23=1</formula>
    </cfRule>
  </conditionalFormatting>
  <conditionalFormatting sqref="C23:C26 C29:C43">
    <cfRule type="expression" dxfId="1895" priority="10">
      <formula>H23=1</formula>
    </cfRule>
  </conditionalFormatting>
  <conditionalFormatting sqref="E23 E29:E43 E25:E26">
    <cfRule type="expression" dxfId="1894" priority="9">
      <formula>H23=1</formula>
    </cfRule>
  </conditionalFormatting>
  <conditionalFormatting sqref="F11">
    <cfRule type="containsText" dxfId="1893" priority="8" operator="containsText" text="FAIL">
      <formula>NOT(ISERROR(SEARCH("FAIL",F11)))</formula>
    </cfRule>
  </conditionalFormatting>
  <conditionalFormatting sqref="F11">
    <cfRule type="containsText" dxfId="1892" priority="7" operator="containsText" text="GOOD">
      <formula>NOT(ISERROR(SEARCH("GOOD",F11)))</formula>
    </cfRule>
  </conditionalFormatting>
  <conditionalFormatting sqref="D27:D28">
    <cfRule type="expression" dxfId="1891" priority="6">
      <formula>H27=1</formula>
    </cfRule>
  </conditionalFormatting>
  <conditionalFormatting sqref="C27:C28">
    <cfRule type="expression" dxfId="1890" priority="5">
      <formula>H27=1</formula>
    </cfRule>
  </conditionalFormatting>
  <conditionalFormatting sqref="E27:E28">
    <cfRule type="expression" dxfId="1889" priority="4">
      <formula>H27=1</formula>
    </cfRule>
  </conditionalFormatting>
  <conditionalFormatting sqref="D24">
    <cfRule type="expression" dxfId="1888" priority="3" stopIfTrue="1">
      <formula>IF($H$25=1,0)</formula>
    </cfRule>
  </conditionalFormatting>
  <conditionalFormatting sqref="D24">
    <cfRule type="expression" dxfId="1887" priority="2">
      <formula>H24=1</formula>
    </cfRule>
  </conditionalFormatting>
  <conditionalFormatting sqref="E24">
    <cfRule type="expression" dxfId="1886" priority="1">
      <formula>H24=1</formula>
    </cfRule>
  </conditionalFormatting>
  <pageMargins left="0.7" right="0.7" top="0.75" bottom="0.75" header="0.3" footer="0.3"/>
  <pageSetup scale="68" orientation="portrait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700-000000000000}">
  <sheetPr codeName="Sheet153"/>
  <dimension ref="A2:O47"/>
  <sheetViews>
    <sheetView workbookViewId="0">
      <selection activeCell="M16" sqref="M16"/>
    </sheetView>
  </sheetViews>
  <sheetFormatPr defaultRowHeight="15" x14ac:dyDescent="0.25"/>
  <cols>
    <col min="1" max="2" width="4.42578125" customWidth="1"/>
    <col min="3" max="3" width="3" customWidth="1"/>
    <col min="4" max="4" width="24.85546875" customWidth="1"/>
    <col min="5" max="5" width="3" customWidth="1"/>
    <col min="6" max="6" width="15.7109375" customWidth="1"/>
    <col min="7" max="7" width="8.5703125" customWidth="1"/>
    <col min="8" max="8" width="5.85546875" customWidth="1"/>
    <col min="9" max="15" width="15.7109375" customWidth="1"/>
  </cols>
  <sheetData>
    <row r="2" spans="1:11" x14ac:dyDescent="0.25">
      <c r="C2" s="15" t="s">
        <v>32</v>
      </c>
      <c r="E2" s="15"/>
      <c r="F2" s="15"/>
      <c r="G2" s="15" t="s">
        <v>33</v>
      </c>
      <c r="H2" s="15"/>
      <c r="I2" s="15"/>
      <c r="J2" s="15"/>
      <c r="K2" s="15"/>
    </row>
    <row r="3" spans="1:11" ht="18.75" x14ac:dyDescent="0.3">
      <c r="C3" s="3" t="s">
        <v>26</v>
      </c>
      <c r="J3" s="8" t="s">
        <v>17</v>
      </c>
    </row>
    <row r="4" spans="1:11" x14ac:dyDescent="0.25">
      <c r="D4" s="2" t="s">
        <v>0</v>
      </c>
      <c r="E4" s="1"/>
      <c r="F4" t="s">
        <v>297</v>
      </c>
      <c r="I4" s="2" t="s">
        <v>4</v>
      </c>
    </row>
    <row r="5" spans="1:11" x14ac:dyDescent="0.25">
      <c r="D5" s="2" t="s">
        <v>1</v>
      </c>
      <c r="F5" t="s">
        <v>298</v>
      </c>
    </row>
    <row r="6" spans="1:11" x14ac:dyDescent="0.25">
      <c r="D6" s="2" t="s">
        <v>2</v>
      </c>
      <c r="F6" s="6">
        <v>42145</v>
      </c>
      <c r="H6" s="11"/>
    </row>
    <row r="7" spans="1:11" x14ac:dyDescent="0.25">
      <c r="D7" s="2" t="s">
        <v>3</v>
      </c>
      <c r="F7" s="5">
        <v>1550000</v>
      </c>
      <c r="G7" s="2" t="s">
        <v>299</v>
      </c>
      <c r="H7" s="11"/>
    </row>
    <row r="8" spans="1:11" x14ac:dyDescent="0.25">
      <c r="D8" s="2" t="s">
        <v>18</v>
      </c>
      <c r="F8" s="5">
        <f>MIN(I23:I43)</f>
        <v>2333333.33</v>
      </c>
      <c r="H8" s="11"/>
    </row>
    <row r="9" spans="1:11" x14ac:dyDescent="0.25">
      <c r="D9" s="2" t="s">
        <v>67</v>
      </c>
      <c r="F9" s="4">
        <f>+F8-F7</f>
        <v>783333.33000000007</v>
      </c>
      <c r="G9" s="16">
        <f>+F9/F7</f>
        <v>0.50537634193548386</v>
      </c>
      <c r="H9" s="12" t="s">
        <v>20</v>
      </c>
      <c r="I9" s="11" t="str">
        <f>(IF(G9&lt;-0.1,"FAIL",IF(G9&gt;0.05,"FAIL","GOOD")))</f>
        <v>FAIL</v>
      </c>
      <c r="J9" s="14" t="s">
        <v>72</v>
      </c>
    </row>
    <row r="10" spans="1:11" x14ac:dyDescent="0.25">
      <c r="D10" s="2" t="s">
        <v>68</v>
      </c>
      <c r="F10" s="4">
        <f>+F7-F12</f>
        <v>-1436666.665</v>
      </c>
      <c r="H10" s="11"/>
    </row>
    <row r="11" spans="1:11" x14ac:dyDescent="0.25">
      <c r="A11" s="30"/>
      <c r="D11" s="2" t="s">
        <v>71</v>
      </c>
      <c r="F11" s="11" t="str">
        <f>(IF(F7&lt;J12,"FAIL",IF(F7&gt;J13,"FAIL","GOOD")))</f>
        <v>FAIL</v>
      </c>
      <c r="H11" s="11"/>
    </row>
    <row r="12" spans="1:11" x14ac:dyDescent="0.25">
      <c r="D12" s="2" t="s">
        <v>28</v>
      </c>
      <c r="F12" s="4">
        <f>SUM(I23:I43)/H12</f>
        <v>2986666.665</v>
      </c>
      <c r="G12" s="14"/>
      <c r="H12" s="11">
        <f>COUNT(I23:I43)</f>
        <v>2</v>
      </c>
      <c r="I12" s="1" t="s">
        <v>31</v>
      </c>
      <c r="J12" s="4">
        <f>+F8*0.9</f>
        <v>2099999.997</v>
      </c>
      <c r="K12" s="1" t="s">
        <v>69</v>
      </c>
    </row>
    <row r="13" spans="1:11" x14ac:dyDescent="0.25">
      <c r="D13" s="2" t="s">
        <v>29</v>
      </c>
      <c r="F13" s="4">
        <f>MAX(I23:I43)-MIN(I23:I43)</f>
        <v>1306666.67</v>
      </c>
      <c r="G13" s="399">
        <f>MEDIAN(I23:I43)</f>
        <v>2986666.665</v>
      </c>
      <c r="H13" s="400"/>
      <c r="I13" s="1" t="s">
        <v>30</v>
      </c>
      <c r="J13" s="4">
        <f>+F12*1.1</f>
        <v>3285333.3315000003</v>
      </c>
      <c r="K13" s="1" t="s">
        <v>70</v>
      </c>
    </row>
    <row r="14" spans="1:11" x14ac:dyDescent="0.25">
      <c r="H14" s="11"/>
    </row>
    <row r="15" spans="1:11" x14ac:dyDescent="0.25">
      <c r="D15" s="2" t="s">
        <v>8</v>
      </c>
      <c r="F15" s="4"/>
      <c r="G15" s="1" t="s">
        <v>9</v>
      </c>
      <c r="H15" s="11"/>
      <c r="I15" t="s">
        <v>15</v>
      </c>
      <c r="J15" s="7" t="e">
        <f>+F16/F15</f>
        <v>#DIV/0!</v>
      </c>
    </row>
    <row r="16" spans="1:11" x14ac:dyDescent="0.25">
      <c r="F16" s="4"/>
      <c r="G16" s="1" t="s">
        <v>10</v>
      </c>
      <c r="H16" s="11"/>
      <c r="I16" t="s">
        <v>14</v>
      </c>
      <c r="J16" s="7" t="e">
        <f>+F17/F16</f>
        <v>#DIV/0!</v>
      </c>
    </row>
    <row r="17" spans="3:15" x14ac:dyDescent="0.25">
      <c r="F17" s="4"/>
      <c r="G17" s="1" t="s">
        <v>11</v>
      </c>
      <c r="H17" s="11"/>
      <c r="I17" t="s">
        <v>13</v>
      </c>
      <c r="J17" s="7" t="e">
        <f>+F18/F17</f>
        <v>#DIV/0!</v>
      </c>
      <c r="M17" s="21"/>
      <c r="N17" s="21"/>
      <c r="O17" s="21"/>
    </row>
    <row r="18" spans="3:15" x14ac:dyDescent="0.25">
      <c r="F18" s="4"/>
      <c r="G18" s="1" t="s">
        <v>12</v>
      </c>
      <c r="H18" s="11"/>
      <c r="I18" t="s">
        <v>16</v>
      </c>
      <c r="J18" s="7" t="e">
        <f>+F8/F18</f>
        <v>#DIV/0!</v>
      </c>
      <c r="M18" s="21"/>
      <c r="N18" s="21"/>
      <c r="O18" s="21"/>
    </row>
    <row r="19" spans="3:15" x14ac:dyDescent="0.25">
      <c r="F19" s="2" t="s">
        <v>51</v>
      </c>
      <c r="G19">
        <v>0</v>
      </c>
      <c r="H19" s="11" t="s">
        <v>52</v>
      </c>
      <c r="I19" t="s">
        <v>41</v>
      </c>
      <c r="J19" s="7" t="e">
        <f>+F8/F15</f>
        <v>#DIV/0!</v>
      </c>
      <c r="M19" s="21"/>
      <c r="N19" s="21"/>
      <c r="O19" s="21"/>
    </row>
    <row r="20" spans="3:15" x14ac:dyDescent="0.25">
      <c r="H20" s="11"/>
      <c r="M20" s="21"/>
      <c r="N20" s="21"/>
      <c r="O20" s="21"/>
    </row>
    <row r="21" spans="3:15" x14ac:dyDescent="0.25">
      <c r="C21" s="9"/>
      <c r="D21" s="13" t="s">
        <v>21</v>
      </c>
      <c r="E21" s="9"/>
      <c r="F21" s="9" t="s">
        <v>22</v>
      </c>
      <c r="G21" s="9" t="s">
        <v>23</v>
      </c>
      <c r="H21" s="13" t="s">
        <v>27</v>
      </c>
      <c r="I21" s="10" t="s">
        <v>24</v>
      </c>
      <c r="J21" s="9"/>
      <c r="K21" s="9"/>
      <c r="L21" s="9"/>
      <c r="M21" s="21"/>
      <c r="N21" s="21"/>
      <c r="O21" s="21"/>
    </row>
    <row r="22" spans="3:15" ht="6" customHeight="1" x14ac:dyDescent="0.25">
      <c r="M22" s="21"/>
      <c r="N22" s="21"/>
      <c r="O22" s="21"/>
    </row>
    <row r="23" spans="3:15" x14ac:dyDescent="0.25">
      <c r="C23" s="33" t="str">
        <f>IF(H23=1,"u","")</f>
        <v>u</v>
      </c>
      <c r="D23" s="23" t="s">
        <v>146</v>
      </c>
      <c r="E23" s="33"/>
      <c r="F23" t="s">
        <v>147</v>
      </c>
      <c r="G23" t="s">
        <v>93</v>
      </c>
      <c r="H23">
        <f>RANK(I23,I$23:I$43,1)</f>
        <v>1</v>
      </c>
      <c r="I23" s="4">
        <v>2333333.33</v>
      </c>
      <c r="J23" s="4"/>
      <c r="K23" s="4"/>
      <c r="L23" s="4"/>
      <c r="M23" s="22"/>
      <c r="N23" s="22"/>
      <c r="O23" s="22"/>
    </row>
    <row r="24" spans="3:15" x14ac:dyDescent="0.25">
      <c r="C24" s="33" t="str">
        <f>IF(H24=1,"u","")</f>
        <v/>
      </c>
      <c r="D24" s="23" t="s">
        <v>182</v>
      </c>
      <c r="E24" s="33"/>
      <c r="F24" t="s">
        <v>131</v>
      </c>
      <c r="G24" t="s">
        <v>25</v>
      </c>
      <c r="H24">
        <f>RANK(I24,I$23:I$43,1)</f>
        <v>2</v>
      </c>
      <c r="I24" s="4">
        <v>3640000</v>
      </c>
      <c r="J24" s="4"/>
      <c r="K24" s="4"/>
      <c r="L24" s="4"/>
      <c r="M24" s="22"/>
      <c r="N24" s="22"/>
      <c r="O24" s="22"/>
    </row>
    <row r="25" spans="3:15" x14ac:dyDescent="0.25">
      <c r="C25" s="33"/>
      <c r="D25" s="23"/>
      <c r="E25" s="33"/>
      <c r="I25" s="4"/>
      <c r="J25" s="4"/>
      <c r="K25" s="4"/>
      <c r="L25" s="4"/>
      <c r="M25" s="22"/>
      <c r="N25" s="22"/>
      <c r="O25" s="22"/>
    </row>
    <row r="26" spans="3:15" x14ac:dyDescent="0.25">
      <c r="C26" s="33"/>
      <c r="D26" s="11"/>
      <c r="E26" s="33"/>
      <c r="I26" s="4"/>
      <c r="J26" s="4"/>
      <c r="K26" s="4"/>
      <c r="L26" s="4"/>
      <c r="M26" s="22"/>
      <c r="N26" s="22"/>
      <c r="O26" s="22"/>
    </row>
    <row r="27" spans="3:15" x14ac:dyDescent="0.25">
      <c r="C27" s="33" t="str">
        <f t="shared" ref="C27:C43" si="0">IF(H27=1,"u","")</f>
        <v/>
      </c>
      <c r="D27" s="11"/>
      <c r="E27" s="33" t="str">
        <f t="shared" ref="E27:E43" si="1">IF(H27=1,"t","")</f>
        <v/>
      </c>
      <c r="I27" s="4"/>
      <c r="J27" s="4"/>
      <c r="K27" s="4"/>
      <c r="L27" s="4"/>
      <c r="M27" s="22"/>
      <c r="N27" s="22"/>
      <c r="O27" s="22"/>
    </row>
    <row r="28" spans="3:15" x14ac:dyDescent="0.25">
      <c r="C28" s="33" t="str">
        <f t="shared" si="0"/>
        <v/>
      </c>
      <c r="D28" s="11"/>
      <c r="E28" s="33" t="str">
        <f t="shared" si="1"/>
        <v/>
      </c>
      <c r="I28" s="4"/>
      <c r="J28" s="4"/>
      <c r="K28" s="4"/>
      <c r="L28" s="4"/>
      <c r="M28" s="22"/>
      <c r="N28" s="22"/>
      <c r="O28" s="22"/>
    </row>
    <row r="29" spans="3:15" x14ac:dyDescent="0.25">
      <c r="C29" s="33" t="str">
        <f t="shared" si="0"/>
        <v/>
      </c>
      <c r="D29" s="11"/>
      <c r="E29" s="33" t="str">
        <f t="shared" si="1"/>
        <v/>
      </c>
      <c r="I29" s="4"/>
      <c r="J29" s="4"/>
      <c r="K29" s="4"/>
      <c r="L29" s="4"/>
      <c r="M29" s="22"/>
      <c r="N29" s="22"/>
      <c r="O29" s="22"/>
    </row>
    <row r="30" spans="3:15" x14ac:dyDescent="0.25">
      <c r="C30" s="33" t="str">
        <f t="shared" si="0"/>
        <v/>
      </c>
      <c r="D30" s="11"/>
      <c r="E30" s="33" t="str">
        <f t="shared" si="1"/>
        <v/>
      </c>
      <c r="I30" s="4"/>
      <c r="J30" s="4"/>
      <c r="K30" s="4"/>
      <c r="L30" s="4"/>
      <c r="M30" s="22"/>
      <c r="N30" s="22"/>
      <c r="O30" s="22"/>
    </row>
    <row r="31" spans="3:15" x14ac:dyDescent="0.25">
      <c r="C31" s="33" t="str">
        <f t="shared" si="0"/>
        <v/>
      </c>
      <c r="D31" s="11"/>
      <c r="E31" s="33" t="str">
        <f t="shared" si="1"/>
        <v/>
      </c>
      <c r="I31" s="4"/>
      <c r="J31" s="4"/>
      <c r="K31" s="4"/>
      <c r="L31" s="4"/>
      <c r="M31" s="22"/>
      <c r="N31" s="22"/>
      <c r="O31" s="22"/>
    </row>
    <row r="32" spans="3:15" x14ac:dyDescent="0.25">
      <c r="C32" s="33" t="str">
        <f t="shared" si="0"/>
        <v/>
      </c>
      <c r="D32" s="11"/>
      <c r="E32" s="33" t="str">
        <f t="shared" si="1"/>
        <v/>
      </c>
      <c r="I32" s="4"/>
      <c r="J32" s="4"/>
      <c r="K32" s="4"/>
      <c r="L32" s="4"/>
      <c r="M32" s="22"/>
      <c r="N32" s="22"/>
      <c r="O32" s="22"/>
    </row>
    <row r="33" spans="3:15" x14ac:dyDescent="0.25">
      <c r="C33" s="33" t="str">
        <f t="shared" si="0"/>
        <v/>
      </c>
      <c r="D33" s="11"/>
      <c r="E33" s="33" t="str">
        <f t="shared" si="1"/>
        <v/>
      </c>
      <c r="M33" s="21"/>
      <c r="N33" s="21"/>
      <c r="O33" s="21"/>
    </row>
    <row r="34" spans="3:15" x14ac:dyDescent="0.25">
      <c r="C34" s="33" t="str">
        <f t="shared" si="0"/>
        <v/>
      </c>
      <c r="D34" s="11"/>
      <c r="E34" s="33" t="str">
        <f t="shared" si="1"/>
        <v/>
      </c>
      <c r="M34" s="21"/>
      <c r="N34" s="21"/>
      <c r="O34" s="21"/>
    </row>
    <row r="35" spans="3:15" x14ac:dyDescent="0.25">
      <c r="C35" s="33" t="str">
        <f t="shared" si="0"/>
        <v/>
      </c>
      <c r="D35" s="11"/>
      <c r="E35" s="33" t="str">
        <f t="shared" si="1"/>
        <v/>
      </c>
      <c r="M35" s="21"/>
      <c r="N35" s="21"/>
      <c r="O35" s="21"/>
    </row>
    <row r="36" spans="3:15" x14ac:dyDescent="0.25">
      <c r="C36" s="33" t="str">
        <f t="shared" si="0"/>
        <v/>
      </c>
      <c r="D36" s="11"/>
      <c r="E36" s="33" t="str">
        <f t="shared" si="1"/>
        <v/>
      </c>
      <c r="M36" s="21"/>
      <c r="N36" s="21"/>
      <c r="O36" s="21"/>
    </row>
    <row r="37" spans="3:15" x14ac:dyDescent="0.25">
      <c r="C37" s="33" t="str">
        <f t="shared" si="0"/>
        <v/>
      </c>
      <c r="D37" s="11"/>
      <c r="E37" s="33" t="str">
        <f t="shared" si="1"/>
        <v/>
      </c>
      <c r="M37" s="21"/>
      <c r="N37" s="21"/>
      <c r="O37" s="21"/>
    </row>
    <row r="38" spans="3:15" x14ac:dyDescent="0.25">
      <c r="C38" s="33" t="str">
        <f t="shared" si="0"/>
        <v/>
      </c>
      <c r="D38" s="11"/>
      <c r="E38" s="33" t="str">
        <f t="shared" si="1"/>
        <v/>
      </c>
      <c r="M38" s="21"/>
      <c r="N38" s="21"/>
      <c r="O38" s="21"/>
    </row>
    <row r="39" spans="3:15" x14ac:dyDescent="0.25">
      <c r="C39" s="33" t="str">
        <f t="shared" si="0"/>
        <v/>
      </c>
      <c r="D39" s="11"/>
      <c r="E39" s="33" t="str">
        <f t="shared" si="1"/>
        <v/>
      </c>
      <c r="M39" s="21"/>
      <c r="N39" s="21"/>
      <c r="O39" s="21"/>
    </row>
    <row r="40" spans="3:15" x14ac:dyDescent="0.25">
      <c r="C40" s="33" t="str">
        <f t="shared" si="0"/>
        <v/>
      </c>
      <c r="D40" s="11"/>
      <c r="E40" s="33" t="str">
        <f t="shared" si="1"/>
        <v/>
      </c>
      <c r="M40" s="21"/>
      <c r="N40" s="21"/>
      <c r="O40" s="21"/>
    </row>
    <row r="41" spans="3:15" x14ac:dyDescent="0.25">
      <c r="C41" s="33" t="str">
        <f t="shared" si="0"/>
        <v/>
      </c>
      <c r="D41" s="11"/>
      <c r="E41" s="33" t="str">
        <f t="shared" si="1"/>
        <v/>
      </c>
      <c r="M41" s="21"/>
      <c r="N41" s="21"/>
      <c r="O41" s="21"/>
    </row>
    <row r="42" spans="3:15" x14ac:dyDescent="0.25">
      <c r="C42" s="33" t="str">
        <f t="shared" si="0"/>
        <v/>
      </c>
      <c r="D42" s="11"/>
      <c r="E42" s="33" t="str">
        <f t="shared" si="1"/>
        <v/>
      </c>
      <c r="M42" s="21"/>
      <c r="N42" s="21"/>
      <c r="O42" s="21"/>
    </row>
    <row r="43" spans="3:15" x14ac:dyDescent="0.25">
      <c r="C43" s="33" t="str">
        <f t="shared" si="0"/>
        <v/>
      </c>
      <c r="D43" s="11"/>
      <c r="E43" s="33" t="str">
        <f t="shared" si="1"/>
        <v/>
      </c>
      <c r="M43" s="21"/>
      <c r="N43" s="21"/>
      <c r="O43" s="21"/>
    </row>
    <row r="44" spans="3:15" ht="6" customHeight="1" x14ac:dyDescent="0.25">
      <c r="C44" s="9"/>
      <c r="D44" s="9"/>
      <c r="E44" s="9"/>
      <c r="F44" s="9"/>
      <c r="G44" s="9"/>
      <c r="H44" s="9"/>
      <c r="I44" s="9"/>
      <c r="J44" s="9"/>
      <c r="K44" s="9"/>
      <c r="L44" s="9"/>
      <c r="M44" s="21"/>
      <c r="N44" s="21"/>
      <c r="O44" s="21"/>
    </row>
    <row r="45" spans="3:15" ht="6" customHeight="1" x14ac:dyDescent="0.25">
      <c r="M45" s="21"/>
      <c r="N45" s="21"/>
      <c r="O45" s="21"/>
    </row>
    <row r="46" spans="3:15" x14ac:dyDescent="0.25">
      <c r="C46" s="15" t="s">
        <v>79</v>
      </c>
      <c r="M46" s="21"/>
      <c r="N46" s="21"/>
      <c r="O46" s="21"/>
    </row>
    <row r="47" spans="3:15" x14ac:dyDescent="0.25">
      <c r="C47" s="15" t="s">
        <v>78</v>
      </c>
    </row>
  </sheetData>
  <mergeCells count="1">
    <mergeCell ref="G13:H13"/>
  </mergeCells>
  <conditionalFormatting sqref="I9">
    <cfRule type="containsText" dxfId="271" priority="10" operator="containsText" text="FAIL">
      <formula>NOT(ISERROR(SEARCH("FAIL",I9)))</formula>
    </cfRule>
  </conditionalFormatting>
  <conditionalFormatting sqref="I9">
    <cfRule type="containsText" dxfId="270" priority="9" operator="containsText" text="GOOD">
      <formula>NOT(ISERROR(SEARCH("GOOD",I9)))</formula>
    </cfRule>
  </conditionalFormatting>
  <conditionalFormatting sqref="F11">
    <cfRule type="containsText" dxfId="269" priority="8" operator="containsText" text="FAIL">
      <formula>NOT(ISERROR(SEARCH("FAIL",F11)))</formula>
    </cfRule>
  </conditionalFormatting>
  <conditionalFormatting sqref="F11">
    <cfRule type="containsText" dxfId="268" priority="7" operator="containsText" text="GOOD">
      <formula>NOT(ISERROR(SEARCH("GOOD",F11)))</formula>
    </cfRule>
  </conditionalFormatting>
  <conditionalFormatting sqref="D25">
    <cfRule type="expression" dxfId="267" priority="6" stopIfTrue="1">
      <formula>IF($H$25=1,0)</formula>
    </cfRule>
  </conditionalFormatting>
  <conditionalFormatting sqref="D23:D43">
    <cfRule type="expression" dxfId="266" priority="5">
      <formula>H23=1</formula>
    </cfRule>
  </conditionalFormatting>
  <conditionalFormatting sqref="C23:C43">
    <cfRule type="expression" dxfId="265" priority="4">
      <formula>H23=1</formula>
    </cfRule>
  </conditionalFormatting>
  <conditionalFormatting sqref="E23:E43">
    <cfRule type="expression" dxfId="264" priority="3">
      <formula>H23=1</formula>
    </cfRule>
  </conditionalFormatting>
  <conditionalFormatting sqref="F11">
    <cfRule type="containsText" dxfId="263" priority="2" operator="containsText" text="FAIL">
      <formula>NOT(ISERROR(SEARCH("FAIL",F11)))</formula>
    </cfRule>
  </conditionalFormatting>
  <conditionalFormatting sqref="F11">
    <cfRule type="containsText" dxfId="262" priority="1" operator="containsText" text="GOOD">
      <formula>NOT(ISERROR(SEARCH("GOOD",F11)))</formula>
    </cfRule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2">
    <tabColor theme="5" tint="-0.249977111117893"/>
    <pageSetUpPr fitToPage="1"/>
  </sheetPr>
  <dimension ref="C2:X586"/>
  <sheetViews>
    <sheetView zoomScaleNormal="100" workbookViewId="0">
      <pane ySplit="5" topLeftCell="A15" activePane="bottomLeft" state="frozen"/>
      <selection pane="bottomLeft" activeCell="R49" sqref="R49"/>
    </sheetView>
  </sheetViews>
  <sheetFormatPr defaultRowHeight="15" x14ac:dyDescent="0.25"/>
  <cols>
    <col min="1" max="1" width="3.140625" customWidth="1"/>
    <col min="2" max="2" width="2.85546875" customWidth="1"/>
    <col min="3" max="3" width="5.28515625" customWidth="1"/>
    <col min="4" max="4" width="13.42578125" customWidth="1"/>
    <col min="5" max="5" width="51.5703125" customWidth="1"/>
    <col min="6" max="6" width="9.5703125" bestFit="1" customWidth="1"/>
    <col min="7" max="7" width="8.5703125" customWidth="1"/>
    <col min="8" max="10" width="13.7109375" customWidth="1"/>
    <col min="11" max="11" width="9.5703125" customWidth="1"/>
    <col min="12" max="12" width="7" customWidth="1"/>
    <col min="13" max="13" width="6.42578125" customWidth="1"/>
    <col min="14" max="14" width="6.5703125" style="11" customWidth="1"/>
    <col min="15" max="15" width="3.42578125" customWidth="1"/>
    <col min="16" max="16" width="6.140625" customWidth="1"/>
    <col min="17" max="17" width="3.42578125" customWidth="1"/>
    <col min="18" max="18" width="44.7109375" customWidth="1"/>
    <col min="19" max="19" width="27" customWidth="1"/>
    <col min="22" max="22" width="11.140625" bestFit="1" customWidth="1"/>
    <col min="23" max="23" width="12.42578125" bestFit="1" customWidth="1"/>
    <col min="24" max="24" width="12" bestFit="1" customWidth="1"/>
    <col min="26" max="27" width="12.140625" bestFit="1" customWidth="1"/>
  </cols>
  <sheetData>
    <row r="2" spans="3:24" ht="27.75" customHeight="1" x14ac:dyDescent="0.25">
      <c r="D2" s="21"/>
      <c r="E2" s="15"/>
      <c r="F2" s="15" t="s">
        <v>32</v>
      </c>
      <c r="I2" s="15"/>
      <c r="J2" s="15"/>
      <c r="L2" s="15" t="s">
        <v>936</v>
      </c>
    </row>
    <row r="3" spans="3:24" ht="18.75" x14ac:dyDescent="0.3">
      <c r="D3" s="3"/>
      <c r="F3" s="3" t="s">
        <v>53</v>
      </c>
      <c r="K3" s="36" t="s">
        <v>54</v>
      </c>
      <c r="L3" s="37">
        <v>2017</v>
      </c>
      <c r="S3" s="77" t="s">
        <v>975</v>
      </c>
    </row>
    <row r="5" spans="3:24" x14ac:dyDescent="0.25">
      <c r="C5" s="40" t="s">
        <v>423</v>
      </c>
      <c r="D5" s="49" t="s">
        <v>55</v>
      </c>
      <c r="E5" s="49" t="s">
        <v>56</v>
      </c>
      <c r="F5" s="49" t="s">
        <v>57</v>
      </c>
      <c r="G5" s="50" t="s">
        <v>424</v>
      </c>
      <c r="H5" s="47" t="s">
        <v>58</v>
      </c>
      <c r="I5" s="47" t="s">
        <v>59</v>
      </c>
      <c r="J5" s="42" t="s">
        <v>456</v>
      </c>
      <c r="K5" s="47" t="s">
        <v>60</v>
      </c>
      <c r="L5" s="48" t="s">
        <v>61</v>
      </c>
      <c r="M5" s="47" t="s">
        <v>62</v>
      </c>
      <c r="N5" s="43" t="s">
        <v>225</v>
      </c>
      <c r="O5" s="43" t="s">
        <v>422</v>
      </c>
      <c r="P5" s="43" t="s">
        <v>454</v>
      </c>
      <c r="Q5" s="43"/>
      <c r="R5" s="41" t="s">
        <v>63</v>
      </c>
      <c r="S5" s="9" t="s">
        <v>551</v>
      </c>
      <c r="T5" s="9"/>
      <c r="U5" s="9"/>
      <c r="V5" s="9"/>
    </row>
    <row r="6" spans="3:24" ht="7.5" customHeight="1" x14ac:dyDescent="0.25">
      <c r="C6" s="39"/>
      <c r="G6" s="45"/>
    </row>
    <row r="7" spans="3:24" ht="7.5" customHeight="1" x14ac:dyDescent="0.25">
      <c r="C7" s="39"/>
      <c r="G7" s="45"/>
      <c r="P7" s="11"/>
      <c r="S7" s="15"/>
      <c r="V7" s="54"/>
      <c r="W7" s="54"/>
      <c r="X7" s="54"/>
    </row>
    <row r="8" spans="3:24" x14ac:dyDescent="0.25">
      <c r="C8" s="39">
        <v>2017</v>
      </c>
      <c r="D8" s="62" t="str">
        <f>+'BT-254.123'!$F$4</f>
        <v>BT-254.123</v>
      </c>
      <c r="E8" s="63" t="str">
        <f>+'BT-254.123'!$F$5</f>
        <v>PABT Supplemental Fire Alarm Systems</v>
      </c>
      <c r="F8" s="64">
        <f>+'BT-254.123'!$F$6</f>
        <v>42823</v>
      </c>
      <c r="G8" s="65" t="str">
        <f>+'BT-254.123'!$G$7</f>
        <v>Public</v>
      </c>
      <c r="H8" s="27">
        <f>+'BT-254.123'!$F$7</f>
        <v>3700000</v>
      </c>
      <c r="I8" s="27">
        <f>+'BT-254.123'!$F$8</f>
        <v>2490000</v>
      </c>
      <c r="J8" s="27"/>
      <c r="K8" s="26">
        <f>+'BT-254.123'!$G$9</f>
        <v>-0.32702702702702702</v>
      </c>
      <c r="L8" s="11" t="str">
        <f>+'BT-254.123'!$F$11</f>
        <v>GOOD</v>
      </c>
      <c r="M8" s="15">
        <f>+'BT-254.123'!$H$12</f>
        <v>7</v>
      </c>
      <c r="N8" s="35" t="s">
        <v>93</v>
      </c>
      <c r="O8" s="15">
        <v>1</v>
      </c>
      <c r="P8" s="35" t="s">
        <v>457</v>
      </c>
      <c r="Q8" s="15"/>
      <c r="R8" s="24" t="s">
        <v>976</v>
      </c>
      <c r="S8" s="62" t="str">
        <f>+'BT-254.123'!$J$4</f>
        <v>Reddy Gunda</v>
      </c>
      <c r="T8" s="15"/>
      <c r="U8" s="15"/>
      <c r="V8" s="54">
        <f t="shared" ref="V8:W23" si="0">+H8</f>
        <v>3700000</v>
      </c>
      <c r="W8" s="54">
        <f t="shared" si="0"/>
        <v>2490000</v>
      </c>
      <c r="X8" s="54">
        <f t="shared" ref="X8:X26" si="1">+V8-W8</f>
        <v>1210000</v>
      </c>
    </row>
    <row r="9" spans="3:24" x14ac:dyDescent="0.25">
      <c r="C9" s="39">
        <v>2017</v>
      </c>
      <c r="D9" s="62" t="str">
        <f>+'LGA-124.255'!$F$4</f>
        <v>LGA-124.255</v>
      </c>
      <c r="E9" s="63" t="str">
        <f>+'LGA-124.255'!$F$5</f>
        <v>Rehab of Runway 22 Deck Wearing Course Panel 1A</v>
      </c>
      <c r="F9" s="64">
        <f>+'LGA-124.255'!$F$6</f>
        <v>42815</v>
      </c>
      <c r="G9" s="65" t="str">
        <f>+'LGA-124.255'!$G$7</f>
        <v>PQL</v>
      </c>
      <c r="H9" s="27">
        <f>+'LGA-124.255'!$F$7</f>
        <v>3750000</v>
      </c>
      <c r="I9" s="27">
        <f>+'LGA-124.255'!$F$8</f>
        <v>2468147</v>
      </c>
      <c r="J9" s="27"/>
      <c r="K9" s="26">
        <f>+'LGA-124.255'!$G$9</f>
        <v>-0.34182746666666669</v>
      </c>
      <c r="L9" s="11" t="str">
        <f>+'LGA-124.255'!$F$11</f>
        <v>FAIL</v>
      </c>
      <c r="M9" s="15">
        <f>+'LGA-124.255'!$H$12</f>
        <v>3</v>
      </c>
      <c r="N9" s="35" t="s">
        <v>93</v>
      </c>
      <c r="O9" s="15">
        <v>1</v>
      </c>
      <c r="P9" s="35" t="s">
        <v>458</v>
      </c>
      <c r="Q9" s="15"/>
      <c r="R9" s="24"/>
      <c r="S9" s="62" t="str">
        <f>+'LGA-124.255'!$J$4</f>
        <v>Joe Lucin</v>
      </c>
      <c r="T9" s="15"/>
      <c r="U9" s="15"/>
      <c r="V9" s="54">
        <f t="shared" si="0"/>
        <v>3750000</v>
      </c>
      <c r="W9" s="54">
        <f t="shared" si="0"/>
        <v>2468147</v>
      </c>
      <c r="X9" s="54">
        <f t="shared" si="1"/>
        <v>1281853</v>
      </c>
    </row>
    <row r="10" spans="3:24" x14ac:dyDescent="0.25">
      <c r="C10" s="39">
        <v>2017</v>
      </c>
      <c r="D10" s="62" t="str">
        <f>+'EWR-154.234'!$F$4</f>
        <v>EWR-154.234</v>
      </c>
      <c r="E10" s="63" t="str">
        <f>+'EWR-154.234'!$F$5</f>
        <v>AOA Light Circuit Replacement</v>
      </c>
      <c r="F10" s="64">
        <f>+'EWR-154.234'!$F$6</f>
        <v>42844</v>
      </c>
      <c r="G10" s="65" t="str">
        <f>+'EWR-154.234'!$G$7</f>
        <v>PQL</v>
      </c>
      <c r="H10" s="27">
        <f>+'EWR-154.234'!$F$7</f>
        <v>18870000</v>
      </c>
      <c r="I10" s="27">
        <f>+'EWR-154.234'!$F$8</f>
        <v>19910000</v>
      </c>
      <c r="J10" s="27"/>
      <c r="K10" s="26">
        <f>+'EWR-154.234'!$G$9</f>
        <v>5.5113937466878642E-2</v>
      </c>
      <c r="L10" s="11" t="str">
        <f>+'EWR-154.234'!$F$11</f>
        <v>GOOD</v>
      </c>
      <c r="M10" s="15">
        <f>+'EWR-154.234'!$H$12</f>
        <v>3</v>
      </c>
      <c r="N10" s="35" t="s">
        <v>93</v>
      </c>
      <c r="O10" s="15">
        <v>1</v>
      </c>
      <c r="P10" s="35" t="s">
        <v>458</v>
      </c>
      <c r="Q10" s="15"/>
      <c r="R10" s="24"/>
      <c r="S10" s="62" t="str">
        <f>+'EWR-154.234'!$J$4</f>
        <v>Henry Yu</v>
      </c>
      <c r="T10" s="15"/>
      <c r="U10" s="15"/>
      <c r="V10" s="54">
        <f t="shared" si="0"/>
        <v>18870000</v>
      </c>
      <c r="W10" s="54">
        <f t="shared" si="0"/>
        <v>19910000</v>
      </c>
      <c r="X10" s="54">
        <f t="shared" si="1"/>
        <v>-1040000</v>
      </c>
    </row>
    <row r="11" spans="3:24" x14ac:dyDescent="0.25">
      <c r="C11" s="39">
        <v>2017</v>
      </c>
      <c r="D11" s="62" t="str">
        <f>+'MFP-072.016'!$F$4</f>
        <v>MFP-072.016</v>
      </c>
      <c r="E11" s="63" t="str">
        <f>+'MFP-072.016'!$F$5</f>
        <v>NY Marine Terminals - Paving and Utilities by Work Order</v>
      </c>
      <c r="F11" s="64">
        <f>+'MFP-072.016'!$F$6</f>
        <v>42810</v>
      </c>
      <c r="G11" s="65" t="str">
        <f>+'MFP-072.016'!$G$7</f>
        <v>MWBE</v>
      </c>
      <c r="H11" s="27">
        <f>+'MFP-072.016'!$F$7</f>
        <v>1425000</v>
      </c>
      <c r="I11" s="27">
        <f>+'MFP-072.016'!$F$8</f>
        <v>1087425</v>
      </c>
      <c r="J11" s="27"/>
      <c r="K11" s="26">
        <f>+'MFP-072.016'!$G$9</f>
        <v>-0.23689473684210527</v>
      </c>
      <c r="L11" s="11" t="str">
        <f>+'MFP-072.016'!$F$11</f>
        <v>GOOD</v>
      </c>
      <c r="M11" s="15">
        <f>+'MFP-072.016'!$H$12</f>
        <v>6</v>
      </c>
      <c r="N11" s="35" t="s">
        <v>93</v>
      </c>
      <c r="O11" s="15">
        <v>1</v>
      </c>
      <c r="P11" s="35" t="s">
        <v>492</v>
      </c>
      <c r="Q11" s="15"/>
      <c r="R11" s="24"/>
      <c r="S11" s="62" t="str">
        <f>+'MFP-072.016'!$J$4</f>
        <v>Ed Minall</v>
      </c>
      <c r="T11" s="15"/>
      <c r="U11" s="15"/>
      <c r="V11" s="54">
        <f t="shared" si="0"/>
        <v>1425000</v>
      </c>
      <c r="W11" s="54">
        <f t="shared" si="0"/>
        <v>1087425</v>
      </c>
      <c r="X11" s="54">
        <f t="shared" si="1"/>
        <v>337575</v>
      </c>
    </row>
    <row r="12" spans="3:24" x14ac:dyDescent="0.25">
      <c r="C12" s="39">
        <v>2017</v>
      </c>
      <c r="D12" s="62" t="str">
        <f>+'GWB-244.263'!$F$4</f>
        <v>GWB-244.263</v>
      </c>
      <c r="E12" s="63" t="str">
        <f>+'GWB-244.263'!$F$5</f>
        <v>Replacement of Automatic Transfer Switches</v>
      </c>
      <c r="F12" s="64">
        <f>+'GWB-244.263'!$F$6</f>
        <v>42789</v>
      </c>
      <c r="G12" s="65" t="str">
        <f>+'GWB-244.263'!$G$7</f>
        <v>MWBE</v>
      </c>
      <c r="H12" s="27">
        <f>+'GWB-244.263'!$F$7</f>
        <v>240000</v>
      </c>
      <c r="I12" s="27">
        <f>+'GWB-244.263'!$F$8</f>
        <v>97300</v>
      </c>
      <c r="J12" s="27"/>
      <c r="K12" s="26">
        <f>+'GWB-244.263'!$G$9</f>
        <v>-0.59458333333333335</v>
      </c>
      <c r="L12" s="11" t="str">
        <f>+'GWB-244.263'!$F$11</f>
        <v>FAIL</v>
      </c>
      <c r="M12" s="15">
        <f>+'GWB-244.263'!$H$12</f>
        <v>6</v>
      </c>
      <c r="N12" s="35" t="s">
        <v>25</v>
      </c>
      <c r="O12" s="15">
        <v>1</v>
      </c>
      <c r="P12" s="35" t="s">
        <v>457</v>
      </c>
      <c r="Q12" s="15"/>
      <c r="R12" s="24"/>
      <c r="S12" s="62" t="str">
        <f>+'GWB-244.263'!$J$4</f>
        <v>Reddy Gunda</v>
      </c>
      <c r="T12" s="15"/>
      <c r="U12" s="15"/>
      <c r="V12" s="54">
        <f t="shared" si="0"/>
        <v>240000</v>
      </c>
      <c r="W12" s="54">
        <f t="shared" si="0"/>
        <v>97300</v>
      </c>
      <c r="X12" s="54">
        <f t="shared" si="1"/>
        <v>142700</v>
      </c>
    </row>
    <row r="13" spans="3:24" x14ac:dyDescent="0.25">
      <c r="C13" s="39">
        <v>2017</v>
      </c>
      <c r="D13" s="62" t="str">
        <f>+'GWB-244.048'!$F$4</f>
        <v>GWB-244.048</v>
      </c>
      <c r="E13" s="63" t="str">
        <f>+'GWB-244.048'!$F$5</f>
        <v>Replacement of Suspender Ropes and Rehab of Main Cables &amp; Strands</v>
      </c>
      <c r="F13" s="64">
        <f>+'GWB-244.048'!$F$6</f>
        <v>42789</v>
      </c>
      <c r="G13" s="65" t="str">
        <f>+'GWB-244.048'!$G$7</f>
        <v>PQL</v>
      </c>
      <c r="H13" s="94">
        <f>+'GWB-244.048'!$F$7</f>
        <v>479900000</v>
      </c>
      <c r="I13" s="27">
        <f>+'GWB-244.048'!$F$8</f>
        <v>451841280</v>
      </c>
      <c r="J13" s="27"/>
      <c r="K13" s="26">
        <f>+'GWB-244.048'!$G$9</f>
        <v>-5.8467847468222547E-2</v>
      </c>
      <c r="L13" s="11" t="str">
        <f>+'GWB-244.048'!$F$11</f>
        <v>GOOD</v>
      </c>
      <c r="M13" s="15">
        <f>+'GWB-244.048'!$H$12</f>
        <v>5</v>
      </c>
      <c r="N13" s="35" t="s">
        <v>226</v>
      </c>
      <c r="O13" s="15">
        <v>1</v>
      </c>
      <c r="P13" s="35" t="s">
        <v>457</v>
      </c>
      <c r="Q13" s="15"/>
      <c r="R13" s="24"/>
      <c r="S13" s="62" t="str">
        <f>+'GWB-244.048'!$J$4</f>
        <v>Reddy Gunda</v>
      </c>
      <c r="T13" s="15"/>
      <c r="U13" s="15"/>
      <c r="V13" s="54">
        <f t="shared" si="0"/>
        <v>479900000</v>
      </c>
      <c r="W13" s="54">
        <f t="shared" si="0"/>
        <v>451841280</v>
      </c>
      <c r="X13" s="54">
        <f t="shared" si="1"/>
        <v>28058720</v>
      </c>
    </row>
    <row r="14" spans="3:24" x14ac:dyDescent="0.25">
      <c r="C14" s="39">
        <v>2017</v>
      </c>
      <c r="D14" s="62" t="str">
        <f>+'LGA-124.250'!$F$4</f>
        <v>LGA-124.250</v>
      </c>
      <c r="E14" s="63" t="str">
        <f>+'LGA-124.250'!$F$5</f>
        <v>Rehab Taxiways B, AA, BB, and Associated Taxiways</v>
      </c>
      <c r="F14" s="64">
        <f>+'LGA-124.250'!$F$6</f>
        <v>42787</v>
      </c>
      <c r="G14" s="65" t="str">
        <f>+'LGA-124.250'!$G$7</f>
        <v>PQL</v>
      </c>
      <c r="H14" s="94">
        <f>+'LGA-124.250'!$F$7</f>
        <v>10393000</v>
      </c>
      <c r="I14" s="27">
        <f>+'LGA-124.250'!$F$8</f>
        <v>7903950</v>
      </c>
      <c r="J14" s="27"/>
      <c r="K14" s="26">
        <f>+'LGA-124.250'!$G$9</f>
        <v>-0.2394929279322621</v>
      </c>
      <c r="L14" s="11" t="str">
        <f>+'LGA-124.250'!$F$11</f>
        <v>FAIL</v>
      </c>
      <c r="M14" s="15">
        <f>+'LGA-124.250'!$H$12</f>
        <v>3</v>
      </c>
      <c r="N14" s="35" t="s">
        <v>93</v>
      </c>
      <c r="O14" s="15">
        <v>1</v>
      </c>
      <c r="P14" s="35" t="s">
        <v>458</v>
      </c>
      <c r="Q14" s="15"/>
      <c r="R14" s="24" t="s">
        <v>932</v>
      </c>
      <c r="S14" s="62" t="str">
        <f>+'LGA-124.250'!$J$4</f>
        <v>Joe Lucin</v>
      </c>
      <c r="T14" s="15"/>
      <c r="U14" s="15"/>
      <c r="V14" s="54">
        <f t="shared" si="0"/>
        <v>10393000</v>
      </c>
      <c r="W14" s="54">
        <f t="shared" si="0"/>
        <v>7903950</v>
      </c>
      <c r="X14" s="54">
        <f t="shared" si="1"/>
        <v>2489050</v>
      </c>
    </row>
    <row r="15" spans="3:24" x14ac:dyDescent="0.25">
      <c r="C15" s="39">
        <v>2017</v>
      </c>
      <c r="D15" s="62" t="str">
        <f>+'TEB-144.045'!$F$4</f>
        <v>TEB-144.045</v>
      </c>
      <c r="E15" s="63" t="str">
        <f>+'TEB-144.045'!$F$5</f>
        <v>Storm Drainage System Rehab Phase 1</v>
      </c>
      <c r="F15" s="64">
        <f>+'TEB-144.045'!$F$6</f>
        <v>42780</v>
      </c>
      <c r="G15" s="65" t="str">
        <f>+'TEB-144.045'!$G$7</f>
        <v>Public</v>
      </c>
      <c r="H15" s="94">
        <f>+'TEB-144.045'!$F$7</f>
        <v>2580000</v>
      </c>
      <c r="I15" s="27">
        <f>+'TEB-144.045'!$F$8</f>
        <v>1386000</v>
      </c>
      <c r="J15" s="27"/>
      <c r="K15" s="26">
        <f>+'TEB-144.045'!$G$9</f>
        <v>-0.46279069767441861</v>
      </c>
      <c r="L15" s="11" t="str">
        <f>+'TEB-144.045'!$F$11</f>
        <v>GOOD</v>
      </c>
      <c r="M15" s="15">
        <f>+'TEB-144.045'!$H$12</f>
        <v>16</v>
      </c>
      <c r="N15" s="35" t="s">
        <v>25</v>
      </c>
      <c r="O15" s="15">
        <v>1</v>
      </c>
      <c r="P15" s="35" t="s">
        <v>458</v>
      </c>
      <c r="Q15" s="15"/>
      <c r="R15" s="24" t="s">
        <v>910</v>
      </c>
      <c r="S15" s="62" t="str">
        <f>+'EWR-924.375'!$J$4</f>
        <v>Henry Yu</v>
      </c>
      <c r="T15" s="15"/>
      <c r="U15" s="15"/>
      <c r="V15" s="54">
        <f t="shared" si="0"/>
        <v>2580000</v>
      </c>
      <c r="W15" s="54">
        <f t="shared" si="0"/>
        <v>1386000</v>
      </c>
      <c r="X15" s="54">
        <f t="shared" si="1"/>
        <v>1194000</v>
      </c>
    </row>
    <row r="16" spans="3:24" x14ac:dyDescent="0.25">
      <c r="C16" s="39">
        <v>2017</v>
      </c>
      <c r="D16" s="62" t="str">
        <f>+'EWR-924.375'!$F$4</f>
        <v>EWR-924.375</v>
      </c>
      <c r="E16" s="63" t="str">
        <f>+'EWR-924.375'!$F$5</f>
        <v>Peripheral Ditch Containment Boom Anchor Walls</v>
      </c>
      <c r="F16" s="64">
        <f>+'EWR-924.375'!$F$6</f>
        <v>42774</v>
      </c>
      <c r="G16" s="65" t="str">
        <f>+'EWR-924.375'!$G$7</f>
        <v>Public</v>
      </c>
      <c r="H16" s="94">
        <f>+'EWR-924.375'!$F$7</f>
        <v>970000</v>
      </c>
      <c r="I16" s="27">
        <f>+'EWR-924.375'!$F$8</f>
        <v>756482</v>
      </c>
      <c r="J16" s="27"/>
      <c r="K16" s="26">
        <f>+'EWR-924.375'!$G$9</f>
        <v>-0.22012164948453608</v>
      </c>
      <c r="L16" s="11" t="str">
        <f>+'EWR-924.375'!$F$11</f>
        <v>GOOD</v>
      </c>
      <c r="M16" s="15">
        <f>+'EWR-924.375'!$H$12</f>
        <v>9</v>
      </c>
      <c r="N16" s="35" t="s">
        <v>25</v>
      </c>
      <c r="O16" s="15">
        <v>1</v>
      </c>
      <c r="P16" s="35" t="s">
        <v>458</v>
      </c>
      <c r="Q16" s="15"/>
      <c r="R16" s="24"/>
      <c r="S16" s="62" t="str">
        <f>+'EWR-924.375'!$J$4</f>
        <v>Henry Yu</v>
      </c>
      <c r="T16" s="15"/>
      <c r="U16" s="15"/>
      <c r="V16" s="54">
        <f t="shared" si="0"/>
        <v>970000</v>
      </c>
      <c r="W16" s="54">
        <f t="shared" si="0"/>
        <v>756482</v>
      </c>
      <c r="X16" s="54">
        <f t="shared" si="1"/>
        <v>213518</v>
      </c>
    </row>
    <row r="17" spans="3:24" x14ac:dyDescent="0.25">
      <c r="C17" s="39">
        <v>2017</v>
      </c>
      <c r="D17" s="62" t="str">
        <f>+'GWB-924.170'!$F$4</f>
        <v>GWB-924.170</v>
      </c>
      <c r="E17" s="63" t="str">
        <f>+'GWB-924.170'!$F$5</f>
        <v>Maintenance Pavement Repairs via Work Order</v>
      </c>
      <c r="F17" s="64">
        <f>+'GWB-924.170'!$F$6</f>
        <v>42773</v>
      </c>
      <c r="G17" s="65" t="str">
        <f>+'GWB-924.170'!$G$7</f>
        <v>PQL</v>
      </c>
      <c r="H17" s="94">
        <f>+'GWB-924.170'!$F$7</f>
        <v>1965000</v>
      </c>
      <c r="I17" s="27">
        <f>+'GWB-924.170'!$F$8</f>
        <v>1450000</v>
      </c>
      <c r="J17" s="27"/>
      <c r="K17" s="26">
        <f>+'GWB-924.170'!$G$9</f>
        <v>-0.26208651399491095</v>
      </c>
      <c r="L17" s="11" t="str">
        <f>+'GWB-924.170'!$F$11</f>
        <v>GOOD</v>
      </c>
      <c r="M17" s="15">
        <f>+'GWB-924.170'!$H$12</f>
        <v>6</v>
      </c>
      <c r="N17" s="35" t="s">
        <v>226</v>
      </c>
      <c r="O17" s="15">
        <v>1</v>
      </c>
      <c r="P17" s="35" t="s">
        <v>457</v>
      </c>
      <c r="Q17" s="15"/>
      <c r="R17" s="24" t="s">
        <v>900</v>
      </c>
      <c r="S17" s="62" t="str">
        <f>+'GWB-924.170'!$J$4</f>
        <v>Reddy Gunda</v>
      </c>
      <c r="T17" s="15"/>
      <c r="U17" s="15"/>
      <c r="V17" s="54">
        <f t="shared" si="0"/>
        <v>1965000</v>
      </c>
      <c r="W17" s="54">
        <f t="shared" si="0"/>
        <v>1450000</v>
      </c>
      <c r="X17" s="54">
        <f t="shared" si="1"/>
        <v>515000</v>
      </c>
    </row>
    <row r="18" spans="3:24" x14ac:dyDescent="0.25">
      <c r="C18" s="39">
        <v>2017</v>
      </c>
      <c r="D18" s="62" t="str">
        <f>+'JFK-124.009'!$F$4</f>
        <v>JFK-124.009</v>
      </c>
      <c r="E18" s="63" t="str">
        <f>+'JFK-124.009'!$F$5</f>
        <v>Bldg 14 Roof Replacement, East Wing</v>
      </c>
      <c r="F18" s="64">
        <f>+'JFK-124.009'!$F$6</f>
        <v>42768</v>
      </c>
      <c r="G18" s="65" t="str">
        <f>+'JFK-124.009'!$G$7</f>
        <v>Public</v>
      </c>
      <c r="H18" s="94">
        <f>+'JFK-124.009'!$F$7</f>
        <v>4800000</v>
      </c>
      <c r="I18" s="27">
        <f>+'JFK-124.009'!$F$8</f>
        <v>3901193</v>
      </c>
      <c r="J18" s="27"/>
      <c r="K18" s="26">
        <f>+'JFK-124.009'!$G$9</f>
        <v>-0.18725145833333334</v>
      </c>
      <c r="L18" s="11" t="str">
        <f>+'JFK-124.009'!$F$11</f>
        <v>GOOD</v>
      </c>
      <c r="M18" s="15">
        <f>+'JFK-124.009'!$H$12</f>
        <v>14</v>
      </c>
      <c r="N18" s="35" t="s">
        <v>93</v>
      </c>
      <c r="O18" s="15">
        <v>1</v>
      </c>
      <c r="P18" s="35" t="s">
        <v>458</v>
      </c>
      <c r="Q18" s="15"/>
      <c r="R18" s="24"/>
      <c r="S18" s="62" t="str">
        <f>+'JFK-124.009'!$J$4</f>
        <v>Henry Yu</v>
      </c>
      <c r="T18" s="15"/>
      <c r="U18" s="15"/>
      <c r="V18" s="54">
        <f t="shared" si="0"/>
        <v>4800000</v>
      </c>
      <c r="W18" s="54">
        <f t="shared" si="0"/>
        <v>3901193</v>
      </c>
      <c r="X18" s="54">
        <f t="shared" si="1"/>
        <v>898807</v>
      </c>
    </row>
    <row r="19" spans="3:24" x14ac:dyDescent="0.25">
      <c r="C19" s="39">
        <v>2017</v>
      </c>
      <c r="D19" s="62" t="str">
        <f>+'MFP-924.645 Void'!$F$4</f>
        <v>MFP-924.645</v>
      </c>
      <c r="E19" s="63" t="str">
        <f>+'MFP-924.645 Void'!$F$5</f>
        <v>NJ Paving and Utility Rehab by Work Order</v>
      </c>
      <c r="F19" s="64">
        <f>+'MFP-924.645 Void'!$F$6</f>
        <v>42766</v>
      </c>
      <c r="G19" s="65"/>
      <c r="H19" s="94"/>
      <c r="I19" s="27"/>
      <c r="J19" s="27"/>
      <c r="K19" s="26"/>
      <c r="L19" s="11"/>
      <c r="M19" s="15"/>
      <c r="N19" s="35"/>
      <c r="O19" s="15"/>
      <c r="P19" s="35"/>
      <c r="Q19" s="15"/>
      <c r="R19" s="24" t="s">
        <v>472</v>
      </c>
      <c r="S19" s="62" t="str">
        <f>+'MFP-924.645 Void'!$J$4</f>
        <v>Ed Minall</v>
      </c>
      <c r="T19" s="15"/>
      <c r="U19" s="15"/>
      <c r="V19" s="54">
        <f t="shared" si="0"/>
        <v>0</v>
      </c>
      <c r="W19" s="54">
        <f t="shared" si="0"/>
        <v>0</v>
      </c>
      <c r="X19" s="54">
        <f t="shared" si="1"/>
        <v>0</v>
      </c>
    </row>
    <row r="20" spans="3:24" x14ac:dyDescent="0.25">
      <c r="C20" s="39">
        <v>2017</v>
      </c>
      <c r="D20" s="62" t="str">
        <f>+'JFK-154.022'!$F$4</f>
        <v>JFK-154.022</v>
      </c>
      <c r="E20" s="63" t="str">
        <f>+'JFK-154.022'!$F$5</f>
        <v>Vehicle Gates Security Upgrade</v>
      </c>
      <c r="F20" s="64">
        <f>+'JFK-154.022'!$F$6</f>
        <v>42765</v>
      </c>
      <c r="G20" s="65" t="str">
        <f>+'JFK-154.022'!$G$7</f>
        <v>VVP</v>
      </c>
      <c r="H20" s="94">
        <f>+'JFK-154.022'!$F$7</f>
        <v>6500000</v>
      </c>
      <c r="I20" s="27">
        <f>+'JFK-154.022'!$F$8</f>
        <v>5987000</v>
      </c>
      <c r="J20" s="27"/>
      <c r="K20" s="26">
        <f>+'JFK-154.022'!$G$9</f>
        <v>-7.8923076923076929E-2</v>
      </c>
      <c r="L20" s="11" t="str">
        <f>+'JFK-154.022'!$F$11</f>
        <v>GOOD</v>
      </c>
      <c r="M20" s="15">
        <f>+'JFK-154.022'!$H$12</f>
        <v>5</v>
      </c>
      <c r="N20" s="35" t="s">
        <v>93</v>
      </c>
      <c r="O20" s="15">
        <v>1</v>
      </c>
      <c r="P20" s="35" t="s">
        <v>458</v>
      </c>
      <c r="Q20" s="15"/>
      <c r="R20" s="24"/>
      <c r="S20" s="62" t="str">
        <f>+'JFK-154.022'!$J$4</f>
        <v>Nathan Demaisip</v>
      </c>
      <c r="T20" s="15"/>
      <c r="U20" s="15"/>
      <c r="V20" s="54">
        <f t="shared" si="0"/>
        <v>6500000</v>
      </c>
      <c r="W20" s="54">
        <f t="shared" si="0"/>
        <v>5987000</v>
      </c>
      <c r="X20" s="54">
        <f t="shared" si="1"/>
        <v>513000</v>
      </c>
    </row>
    <row r="21" spans="3:24" x14ac:dyDescent="0.25">
      <c r="C21" s="39">
        <v>2017</v>
      </c>
      <c r="D21" s="62" t="str">
        <f>+'LGA-103.015'!$F$4</f>
        <v>LGA-103.015</v>
      </c>
      <c r="E21" s="63" t="str">
        <f>+'LGA-103.015'!$F$5</f>
        <v>Pump House 6 Substation</v>
      </c>
      <c r="F21" s="64">
        <f>+'LGA-103.015'!$F$6</f>
        <v>42761</v>
      </c>
      <c r="G21" s="65" t="str">
        <f>+'LGA-103.015'!$G$7</f>
        <v>Public</v>
      </c>
      <c r="H21" s="94">
        <f>+'LGA-103.015'!$F$7</f>
        <v>5100000</v>
      </c>
      <c r="I21" s="27">
        <f>+'LGA-103.015'!$F$8</f>
        <v>4640176</v>
      </c>
      <c r="J21" s="27"/>
      <c r="K21" s="26">
        <f>+'LGA-103.015'!$G$9</f>
        <v>-9.0161568627450978E-2</v>
      </c>
      <c r="L21" s="11" t="str">
        <f>+'LGA-103.015'!$F$11</f>
        <v>GOOD</v>
      </c>
      <c r="M21" s="15">
        <f>+'LGA-103.015'!$H$12</f>
        <v>7</v>
      </c>
      <c r="N21" s="35" t="s">
        <v>93</v>
      </c>
      <c r="O21" s="15">
        <v>1</v>
      </c>
      <c r="P21" s="35" t="s">
        <v>458</v>
      </c>
      <c r="Q21" s="15"/>
      <c r="R21" s="24"/>
      <c r="S21" s="62" t="str">
        <f>+'LGA-103.015'!$J$4</f>
        <v>Joe Lucin</v>
      </c>
      <c r="T21" s="15"/>
      <c r="U21" s="15"/>
      <c r="V21" s="54">
        <f t="shared" si="0"/>
        <v>5100000</v>
      </c>
      <c r="W21" s="54">
        <f t="shared" si="0"/>
        <v>4640176</v>
      </c>
      <c r="X21" s="54">
        <f t="shared" si="1"/>
        <v>459824</v>
      </c>
    </row>
    <row r="22" spans="3:24" x14ac:dyDescent="0.25">
      <c r="C22" s="39">
        <v>2017</v>
      </c>
      <c r="D22" s="62" t="str">
        <f>+'EWR-154.392'!$F$4</f>
        <v>EWR-154.392</v>
      </c>
      <c r="E22" s="63" t="str">
        <f>+'EWR-154.392'!$F$5</f>
        <v xml:space="preserve">Terminal A Redev - Bridges N57, N58, N59 and Utilities </v>
      </c>
      <c r="F22" s="64">
        <f>+'EWR-154.392'!$F$6</f>
        <v>42759</v>
      </c>
      <c r="G22" s="65" t="str">
        <f>+'EWR-154.392'!$G$7</f>
        <v>PQL</v>
      </c>
      <c r="H22" s="94">
        <f>+'EWR-154.392'!$F$7</f>
        <v>69800000</v>
      </c>
      <c r="I22" s="27">
        <f>+'EWR-154.392'!$F$8</f>
        <v>67107000</v>
      </c>
      <c r="J22" s="27"/>
      <c r="K22" s="26">
        <f>+'EWR-154.392'!$G$9</f>
        <v>-3.8581661891117482E-2</v>
      </c>
      <c r="L22" s="11" t="str">
        <f>+'EWR-154.392'!$F$11</f>
        <v>GOOD</v>
      </c>
      <c r="M22" s="15">
        <f>+'EWR-154.392'!$H$12</f>
        <v>9</v>
      </c>
      <c r="N22" s="35" t="s">
        <v>25</v>
      </c>
      <c r="O22" s="15">
        <v>1</v>
      </c>
      <c r="P22" s="35" t="s">
        <v>458</v>
      </c>
      <c r="Q22" s="15"/>
      <c r="R22" s="24"/>
      <c r="S22" s="62" t="str">
        <f>+'EWR-154.392'!$J$4</f>
        <v>Henry Yu</v>
      </c>
      <c r="T22" s="15"/>
      <c r="U22" s="15"/>
      <c r="V22" s="54">
        <f t="shared" si="0"/>
        <v>69800000</v>
      </c>
      <c r="W22" s="54">
        <f t="shared" si="0"/>
        <v>67107000</v>
      </c>
      <c r="X22" s="54">
        <f t="shared" si="1"/>
        <v>2693000</v>
      </c>
    </row>
    <row r="23" spans="3:24" x14ac:dyDescent="0.25">
      <c r="C23" s="39">
        <v>2017</v>
      </c>
      <c r="D23" s="62" t="str">
        <f>+'HT-924.089'!$F$4</f>
        <v>HT-924.089</v>
      </c>
      <c r="E23" s="63" t="str">
        <f>+'HT-924.089'!$F$5</f>
        <v>NJ Service Building 1 and 2 Priority Repairs</v>
      </c>
      <c r="F23" s="64">
        <f>+'HT-924.089'!$F$6</f>
        <v>42753</v>
      </c>
      <c r="G23" s="65" t="str">
        <f>+'HT-924.089'!$G$7</f>
        <v>MWBE</v>
      </c>
      <c r="H23" s="94">
        <f>+'HT-924.089'!$F$7</f>
        <v>1410000</v>
      </c>
      <c r="I23" s="27">
        <f>+'HT-924.089'!$F$8</f>
        <v>1399756</v>
      </c>
      <c r="J23" s="27"/>
      <c r="K23" s="26">
        <f>+'HT-924.089'!$G$9</f>
        <v>-7.2652482269503545E-3</v>
      </c>
      <c r="L23" s="11" t="str">
        <f>+'HT-924.089'!$F$11</f>
        <v>GOOD</v>
      </c>
      <c r="M23" s="15">
        <f>+'HT-924.089'!$H$12</f>
        <v>3</v>
      </c>
      <c r="N23" s="35" t="s">
        <v>25</v>
      </c>
      <c r="O23" s="15">
        <v>1</v>
      </c>
      <c r="P23" s="35" t="s">
        <v>457</v>
      </c>
      <c r="Q23" s="15"/>
      <c r="R23" s="24"/>
      <c r="S23" s="62" t="str">
        <f>+'HT-924.089'!$J$4</f>
        <v>Reddy Gunda</v>
      </c>
      <c r="T23" s="15"/>
      <c r="U23" s="15"/>
      <c r="V23" s="54">
        <f t="shared" si="0"/>
        <v>1410000</v>
      </c>
      <c r="W23" s="54">
        <f t="shared" si="0"/>
        <v>1399756</v>
      </c>
      <c r="X23" s="54">
        <f t="shared" si="1"/>
        <v>10244</v>
      </c>
    </row>
    <row r="24" spans="3:24" x14ac:dyDescent="0.25">
      <c r="C24" s="39">
        <v>2017</v>
      </c>
      <c r="D24" s="62" t="str">
        <f>+'MFP-924.644'!$F$4</f>
        <v>MFP-924.644</v>
      </c>
      <c r="E24" s="63" t="str">
        <f>+'MFP-924.644'!$F$5</f>
        <v>NJ Marine Terminals Railroad Rehab via Work Order</v>
      </c>
      <c r="F24" s="64">
        <f>+'MFP-924.644'!$F$6</f>
        <v>42752</v>
      </c>
      <c r="G24" s="65" t="str">
        <f>+'MFP-924.644'!$G$7</f>
        <v>Public</v>
      </c>
      <c r="H24" s="94">
        <f>+'MFP-924.644'!$F$7</f>
        <v>4200000</v>
      </c>
      <c r="I24" s="27">
        <f>+'MFP-924.644'!$F$8</f>
        <v>3987114</v>
      </c>
      <c r="J24" s="27"/>
      <c r="K24" s="26">
        <f>+'MFP-924.644'!$G$9</f>
        <v>-5.0687142857142854E-2</v>
      </c>
      <c r="L24" s="11" t="str">
        <f>+'MFP-924.644'!$F$11</f>
        <v>GOOD</v>
      </c>
      <c r="M24" s="15">
        <f>+'MFP-924.644'!$H$12</f>
        <v>3</v>
      </c>
      <c r="N24" s="35" t="s">
        <v>25</v>
      </c>
      <c r="O24" s="15">
        <v>1</v>
      </c>
      <c r="P24" s="35" t="s">
        <v>492</v>
      </c>
      <c r="Q24" s="15"/>
      <c r="R24" s="24"/>
      <c r="S24" s="62" t="str">
        <f>+'MFP-924.644'!$J$4</f>
        <v>Ed Minall</v>
      </c>
      <c r="T24" s="15"/>
      <c r="U24" s="15"/>
      <c r="V24" s="54">
        <f t="shared" ref="V24:W26" si="2">+H24</f>
        <v>4200000</v>
      </c>
      <c r="W24" s="54">
        <f t="shared" si="2"/>
        <v>3987114</v>
      </c>
      <c r="X24" s="54">
        <f t="shared" si="1"/>
        <v>212886</v>
      </c>
    </row>
    <row r="25" spans="3:24" x14ac:dyDescent="0.25">
      <c r="C25" s="39">
        <v>2017</v>
      </c>
      <c r="D25" s="62" t="str">
        <f>+'JFK-1067'!$F$4</f>
        <v>JFK-1067</v>
      </c>
      <c r="E25" s="63" t="str">
        <f>+'JFK-1067'!$F$5</f>
        <v>Asphalt Pavement Repairs via Work Order</v>
      </c>
      <c r="F25" s="64">
        <f>+'JFK-1067'!$F$6</f>
        <v>42746</v>
      </c>
      <c r="G25" s="65" t="str">
        <f>+'JFK-1067'!$G$7</f>
        <v>PQL</v>
      </c>
      <c r="H25" s="94">
        <f>+'JFK-1067'!$F$7</f>
        <v>12071025</v>
      </c>
      <c r="I25" s="27">
        <f>+'JFK-1067'!$F$8</f>
        <v>9977777</v>
      </c>
      <c r="J25" s="27"/>
      <c r="K25" s="26">
        <f>+'JFK-1067'!$G$9</f>
        <v>-0.17341095723022693</v>
      </c>
      <c r="L25" s="11" t="str">
        <f>+'JFK-1067'!$F$11</f>
        <v>FAIL</v>
      </c>
      <c r="M25" s="15">
        <f>+'JFK-1067'!$H$12</f>
        <v>3</v>
      </c>
      <c r="N25" s="35" t="s">
        <v>93</v>
      </c>
      <c r="O25" s="15">
        <v>1</v>
      </c>
      <c r="P25" s="35" t="s">
        <v>458</v>
      </c>
      <c r="Q25" s="15"/>
      <c r="R25" s="24"/>
      <c r="S25" s="62" t="str">
        <f>+'JFK-1067'!$J$4</f>
        <v>Henry Yu</v>
      </c>
      <c r="T25" s="15"/>
      <c r="U25" s="15"/>
      <c r="V25" s="54">
        <f t="shared" si="2"/>
        <v>12071025</v>
      </c>
      <c r="W25" s="54">
        <f t="shared" si="2"/>
        <v>9977777</v>
      </c>
      <c r="X25" s="54">
        <f t="shared" si="1"/>
        <v>2093248</v>
      </c>
    </row>
    <row r="26" spans="3:24" x14ac:dyDescent="0.25">
      <c r="C26" s="39">
        <v>2017</v>
      </c>
      <c r="D26" s="62" t="str">
        <f>+'JFK-124.016'!$F$4</f>
        <v>JFK-124.016</v>
      </c>
      <c r="E26" s="63" t="str">
        <f>+'JFK-124.016'!$F$5</f>
        <v>Rehab Taxiway Q, QG and Restricted Vehicle Service Road</v>
      </c>
      <c r="F26" s="64">
        <f>+'JFK-124.016'!$F$6</f>
        <v>42739</v>
      </c>
      <c r="G26" s="65" t="str">
        <f>+'JFK-124.016'!$G$7</f>
        <v>PQL</v>
      </c>
      <c r="H26" s="94">
        <f>+'JFK-124.016'!$F$7</f>
        <v>28695000</v>
      </c>
      <c r="I26" s="27">
        <f>+'JFK-124.016'!$F$8</f>
        <v>31768035</v>
      </c>
      <c r="J26" s="27"/>
      <c r="K26" s="26">
        <f>+'JFK-124.016'!$G$9</f>
        <v>0.10709304756926294</v>
      </c>
      <c r="L26" s="11" t="str">
        <f>+'JFK-124.016'!$F$11</f>
        <v>GOOD</v>
      </c>
      <c r="M26" s="15">
        <f>+'JFK-124.016'!$H$12</f>
        <v>2</v>
      </c>
      <c r="N26" s="35" t="s">
        <v>93</v>
      </c>
      <c r="O26" s="15">
        <v>1</v>
      </c>
      <c r="P26" s="35" t="s">
        <v>458</v>
      </c>
      <c r="Q26" s="15"/>
      <c r="R26" s="24"/>
      <c r="S26" s="62" t="str">
        <f>+'JFK-124.016'!$J$4</f>
        <v>Henry Yu</v>
      </c>
      <c r="T26" s="15"/>
      <c r="U26" s="15"/>
      <c r="V26" s="54">
        <f t="shared" si="2"/>
        <v>28695000</v>
      </c>
      <c r="W26" s="54">
        <f t="shared" si="2"/>
        <v>31768035</v>
      </c>
      <c r="X26" s="54">
        <f t="shared" si="1"/>
        <v>-3073035</v>
      </c>
    </row>
    <row r="27" spans="3:24" ht="7.5" customHeight="1" x14ac:dyDescent="0.25">
      <c r="C27" s="39"/>
      <c r="G27" s="45"/>
      <c r="P27" s="11"/>
      <c r="S27" s="15"/>
      <c r="V27" s="54"/>
      <c r="W27" s="54"/>
      <c r="X27" s="54"/>
    </row>
    <row r="28" spans="3:24" x14ac:dyDescent="0.25">
      <c r="C28" s="39"/>
    </row>
    <row r="29" spans="3:24" s="96" customFormat="1" x14ac:dyDescent="0.25">
      <c r="C29" s="95"/>
      <c r="N29" s="97"/>
    </row>
    <row r="30" spans="3:24" x14ac:dyDescent="0.25">
      <c r="C30" s="39"/>
    </row>
    <row r="31" spans="3:24" x14ac:dyDescent="0.25">
      <c r="C31" s="39"/>
    </row>
    <row r="32" spans="3:24" x14ac:dyDescent="0.25">
      <c r="C32" s="39"/>
    </row>
    <row r="33" spans="3:24" x14ac:dyDescent="0.25">
      <c r="C33" s="39"/>
    </row>
    <row r="34" spans="3:24" x14ac:dyDescent="0.25">
      <c r="C34" s="39">
        <v>2017</v>
      </c>
      <c r="D34" s="62" t="s">
        <v>966</v>
      </c>
      <c r="E34" s="63" t="s">
        <v>967</v>
      </c>
      <c r="F34" s="64">
        <v>42823</v>
      </c>
      <c r="G34" s="65" t="s">
        <v>34</v>
      </c>
      <c r="H34" s="27">
        <v>3700000</v>
      </c>
      <c r="I34" s="27">
        <v>2490000</v>
      </c>
      <c r="J34" s="27"/>
      <c r="K34" s="26">
        <v>-0.32702702702702702</v>
      </c>
      <c r="L34" s="11" t="s">
        <v>464</v>
      </c>
      <c r="M34" s="15">
        <v>7</v>
      </c>
      <c r="N34" s="35" t="s">
        <v>93</v>
      </c>
      <c r="O34" s="15">
        <v>1</v>
      </c>
      <c r="P34" s="35" t="s">
        <v>457</v>
      </c>
      <c r="Q34" s="15"/>
      <c r="R34" s="24" t="s">
        <v>976</v>
      </c>
      <c r="S34" s="62" t="s">
        <v>630</v>
      </c>
      <c r="T34" s="15"/>
      <c r="U34" s="15"/>
      <c r="V34" s="54">
        <v>3700000</v>
      </c>
      <c r="W34" s="54">
        <v>2490000</v>
      </c>
      <c r="X34" s="54">
        <v>1210000</v>
      </c>
    </row>
    <row r="35" spans="3:24" x14ac:dyDescent="0.25">
      <c r="C35" s="39">
        <v>2017</v>
      </c>
      <c r="D35" s="62" t="s">
        <v>941</v>
      </c>
      <c r="E35" s="63" t="s">
        <v>940</v>
      </c>
      <c r="F35" s="64">
        <v>42789</v>
      </c>
      <c r="G35" s="65" t="s">
        <v>693</v>
      </c>
      <c r="H35" s="27">
        <v>240000</v>
      </c>
      <c r="I35" s="27">
        <v>97300</v>
      </c>
      <c r="J35" s="27"/>
      <c r="K35" s="26">
        <v>-0.59458333333333335</v>
      </c>
      <c r="L35" s="11" t="s">
        <v>465</v>
      </c>
      <c r="M35" s="15">
        <v>6</v>
      </c>
      <c r="N35" s="35" t="s">
        <v>25</v>
      </c>
      <c r="O35" s="15">
        <v>1</v>
      </c>
      <c r="P35" s="35" t="s">
        <v>457</v>
      </c>
      <c r="Q35" s="15"/>
      <c r="R35" s="24"/>
      <c r="S35" s="62" t="s">
        <v>630</v>
      </c>
      <c r="T35" s="15"/>
      <c r="U35" s="15"/>
      <c r="V35" s="54">
        <v>240000</v>
      </c>
      <c r="W35" s="54">
        <v>97300</v>
      </c>
      <c r="X35" s="54">
        <v>142700</v>
      </c>
    </row>
    <row r="36" spans="3:24" x14ac:dyDescent="0.25">
      <c r="C36" s="39">
        <v>2017</v>
      </c>
      <c r="D36" s="62" t="s">
        <v>912</v>
      </c>
      <c r="E36" s="63" t="s">
        <v>935</v>
      </c>
      <c r="F36" s="64">
        <v>42789</v>
      </c>
      <c r="G36" s="65" t="s">
        <v>190</v>
      </c>
      <c r="H36" s="94">
        <v>479900000</v>
      </c>
      <c r="I36" s="27">
        <v>451841280</v>
      </c>
      <c r="J36" s="27"/>
      <c r="K36" s="26">
        <v>-5.8467847468222547E-2</v>
      </c>
      <c r="L36" s="11" t="s">
        <v>464</v>
      </c>
      <c r="M36" s="15">
        <v>5</v>
      </c>
      <c r="N36" s="35" t="s">
        <v>226</v>
      </c>
      <c r="O36" s="15">
        <v>1</v>
      </c>
      <c r="P36" s="35" t="s">
        <v>457</v>
      </c>
      <c r="Q36" s="15"/>
      <c r="R36" s="24"/>
      <c r="S36" s="62" t="s">
        <v>630</v>
      </c>
      <c r="T36" s="15"/>
      <c r="U36" s="15"/>
      <c r="V36" s="54">
        <v>479900000</v>
      </c>
      <c r="W36" s="54">
        <v>451841280</v>
      </c>
      <c r="X36" s="54">
        <v>28058720</v>
      </c>
    </row>
    <row r="37" spans="3:24" x14ac:dyDescent="0.25">
      <c r="C37" s="39">
        <v>2017</v>
      </c>
      <c r="D37" s="62" t="s">
        <v>898</v>
      </c>
      <c r="E37" s="63" t="s">
        <v>717</v>
      </c>
      <c r="F37" s="64">
        <v>42773</v>
      </c>
      <c r="G37" s="65" t="s">
        <v>190</v>
      </c>
      <c r="H37" s="94">
        <v>1965000</v>
      </c>
      <c r="I37" s="27">
        <v>1450000</v>
      </c>
      <c r="J37" s="27"/>
      <c r="K37" s="26">
        <v>-0.26208651399491095</v>
      </c>
      <c r="L37" s="11" t="s">
        <v>464</v>
      </c>
      <c r="M37" s="15">
        <v>6</v>
      </c>
      <c r="N37" s="35" t="s">
        <v>226</v>
      </c>
      <c r="O37" s="15">
        <v>1</v>
      </c>
      <c r="P37" s="35" t="s">
        <v>457</v>
      </c>
      <c r="Q37" s="15"/>
      <c r="R37" s="24" t="s">
        <v>900</v>
      </c>
      <c r="S37" s="62" t="s">
        <v>630</v>
      </c>
      <c r="T37" s="15"/>
      <c r="U37" s="15"/>
      <c r="V37" s="54">
        <v>1965000</v>
      </c>
      <c r="W37" s="54">
        <v>1450000</v>
      </c>
      <c r="X37" s="54">
        <v>515000</v>
      </c>
    </row>
    <row r="38" spans="3:24" x14ac:dyDescent="0.25">
      <c r="C38" s="39">
        <v>2017</v>
      </c>
      <c r="D38" s="62" t="s">
        <v>857</v>
      </c>
      <c r="E38" s="63" t="s">
        <v>858</v>
      </c>
      <c r="F38" s="64">
        <v>42753</v>
      </c>
      <c r="G38" s="65" t="s">
        <v>693</v>
      </c>
      <c r="H38" s="94">
        <v>1410000</v>
      </c>
      <c r="I38" s="27">
        <v>1399756</v>
      </c>
      <c r="J38" s="27"/>
      <c r="K38" s="26">
        <v>-7.2652482269503545E-3</v>
      </c>
      <c r="L38" s="11" t="s">
        <v>464</v>
      </c>
      <c r="M38" s="15">
        <v>3</v>
      </c>
      <c r="N38" s="35" t="s">
        <v>25</v>
      </c>
      <c r="O38" s="15">
        <v>1</v>
      </c>
      <c r="P38" s="35" t="s">
        <v>457</v>
      </c>
      <c r="Q38" s="15"/>
      <c r="R38" s="24"/>
      <c r="S38" s="62" t="s">
        <v>630</v>
      </c>
      <c r="T38" s="15"/>
      <c r="U38" s="15"/>
      <c r="V38" s="54">
        <v>1410000</v>
      </c>
      <c r="W38" s="54">
        <v>1399756</v>
      </c>
      <c r="X38" s="54">
        <v>10244</v>
      </c>
    </row>
    <row r="39" spans="3:24" x14ac:dyDescent="0.25">
      <c r="C39" s="39"/>
      <c r="I39" s="99">
        <f>SUM(I34:I38)/1000000</f>
        <v>457.27833600000002</v>
      </c>
      <c r="J39" s="2" t="s">
        <v>980</v>
      </c>
      <c r="K39" s="68">
        <v>4</v>
      </c>
      <c r="L39">
        <f>COUNTA(L34:L38)</f>
        <v>5</v>
      </c>
      <c r="M39" s="84">
        <f>AVERAGE(M34:M38)</f>
        <v>5.4</v>
      </c>
      <c r="N39" s="98">
        <f>+K39/L39</f>
        <v>0.8</v>
      </c>
    </row>
    <row r="40" spans="3:24" x14ac:dyDescent="0.25">
      <c r="C40" s="39"/>
    </row>
    <row r="41" spans="3:24" x14ac:dyDescent="0.25">
      <c r="C41" s="39">
        <v>2017</v>
      </c>
      <c r="D41" s="62" t="s">
        <v>964</v>
      </c>
      <c r="E41" s="63" t="s">
        <v>965</v>
      </c>
      <c r="F41" s="64">
        <v>42815</v>
      </c>
      <c r="G41" s="65" t="s">
        <v>190</v>
      </c>
      <c r="H41" s="27">
        <v>3750000</v>
      </c>
      <c r="I41" s="27">
        <v>2468147</v>
      </c>
      <c r="J41" s="27"/>
      <c r="K41" s="26">
        <v>-0.34182746666666669</v>
      </c>
      <c r="L41" s="11" t="s">
        <v>465</v>
      </c>
      <c r="M41" s="15">
        <v>3</v>
      </c>
      <c r="N41" s="35" t="s">
        <v>93</v>
      </c>
      <c r="O41" s="15">
        <v>1</v>
      </c>
      <c r="P41" s="35" t="s">
        <v>458</v>
      </c>
      <c r="Q41" s="15"/>
      <c r="R41" s="24"/>
      <c r="S41" s="62" t="s">
        <v>784</v>
      </c>
      <c r="T41" s="15"/>
      <c r="U41" s="15"/>
      <c r="V41" s="54">
        <v>3750000</v>
      </c>
      <c r="W41" s="54">
        <v>2468147</v>
      </c>
      <c r="X41" s="54">
        <v>1281853</v>
      </c>
    </row>
    <row r="42" spans="3:24" x14ac:dyDescent="0.25">
      <c r="C42" s="39">
        <v>2017</v>
      </c>
      <c r="D42" s="62" t="s">
        <v>961</v>
      </c>
      <c r="E42" s="63" t="s">
        <v>963</v>
      </c>
      <c r="F42" s="64">
        <v>42811</v>
      </c>
      <c r="G42" s="65" t="s">
        <v>190</v>
      </c>
      <c r="H42" s="27">
        <v>4438000</v>
      </c>
      <c r="I42" s="27">
        <v>4273984</v>
      </c>
      <c r="J42" s="27"/>
      <c r="K42" s="26">
        <v>-3.695718792248761E-2</v>
      </c>
      <c r="L42" s="11" t="s">
        <v>464</v>
      </c>
      <c r="M42" s="15">
        <v>3</v>
      </c>
      <c r="N42" s="35" t="s">
        <v>93</v>
      </c>
      <c r="O42" s="15">
        <v>1</v>
      </c>
      <c r="P42" s="35" t="s">
        <v>458</v>
      </c>
      <c r="Q42" s="15"/>
      <c r="R42" s="24"/>
      <c r="S42" s="62" t="s">
        <v>962</v>
      </c>
      <c r="T42" s="15"/>
      <c r="U42" s="15"/>
      <c r="V42" s="54">
        <v>4438000</v>
      </c>
      <c r="W42" s="54">
        <v>4273984</v>
      </c>
      <c r="X42" s="54">
        <v>164016</v>
      </c>
    </row>
    <row r="43" spans="3:24" x14ac:dyDescent="0.25">
      <c r="C43" s="39">
        <v>2017</v>
      </c>
      <c r="D43" s="62" t="s">
        <v>914</v>
      </c>
      <c r="E43" s="63" t="s">
        <v>933</v>
      </c>
      <c r="F43" s="64">
        <v>42787</v>
      </c>
      <c r="G43" s="65" t="s">
        <v>190</v>
      </c>
      <c r="H43" s="94">
        <v>10393000</v>
      </c>
      <c r="I43" s="27">
        <v>7903950</v>
      </c>
      <c r="J43" s="27"/>
      <c r="K43" s="26">
        <v>-0.2394929279322621</v>
      </c>
      <c r="L43" s="11" t="s">
        <v>465</v>
      </c>
      <c r="M43" s="15">
        <v>3</v>
      </c>
      <c r="N43" s="35" t="s">
        <v>93</v>
      </c>
      <c r="O43" s="15">
        <v>1</v>
      </c>
      <c r="P43" s="35" t="s">
        <v>458</v>
      </c>
      <c r="Q43" s="15"/>
      <c r="R43" s="24" t="s">
        <v>932</v>
      </c>
      <c r="S43" s="62" t="s">
        <v>784</v>
      </c>
      <c r="T43" s="15"/>
      <c r="U43" s="15"/>
      <c r="V43" s="54">
        <v>10393000</v>
      </c>
      <c r="W43" s="54">
        <v>7903950</v>
      </c>
      <c r="X43" s="54">
        <v>2489050</v>
      </c>
    </row>
    <row r="44" spans="3:24" x14ac:dyDescent="0.25">
      <c r="C44" s="39">
        <v>2017</v>
      </c>
      <c r="D44" s="62" t="s">
        <v>916</v>
      </c>
      <c r="E44" s="63" t="s">
        <v>917</v>
      </c>
      <c r="F44" s="64">
        <v>42780</v>
      </c>
      <c r="G44" s="65" t="s">
        <v>34</v>
      </c>
      <c r="H44" s="94">
        <v>2580000</v>
      </c>
      <c r="I44" s="27">
        <v>1386000</v>
      </c>
      <c r="J44" s="27"/>
      <c r="K44" s="26">
        <v>-0.46279069767441861</v>
      </c>
      <c r="L44" s="11" t="s">
        <v>464</v>
      </c>
      <c r="M44" s="15">
        <v>16</v>
      </c>
      <c r="N44" s="35" t="s">
        <v>25</v>
      </c>
      <c r="O44" s="15">
        <v>1</v>
      </c>
      <c r="P44" s="35" t="s">
        <v>458</v>
      </c>
      <c r="Q44" s="15"/>
      <c r="R44" s="24" t="s">
        <v>910</v>
      </c>
      <c r="S44" s="62" t="s">
        <v>616</v>
      </c>
      <c r="T44" s="15"/>
      <c r="U44" s="15"/>
      <c r="V44" s="54">
        <v>2580000</v>
      </c>
      <c r="W44" s="54">
        <v>1386000</v>
      </c>
      <c r="X44" s="54">
        <v>1194000</v>
      </c>
    </row>
    <row r="45" spans="3:24" x14ac:dyDescent="0.25">
      <c r="C45" s="39">
        <v>2017</v>
      </c>
      <c r="D45" s="62" t="s">
        <v>901</v>
      </c>
      <c r="E45" s="63" t="s">
        <v>902</v>
      </c>
      <c r="F45" s="64">
        <v>42774</v>
      </c>
      <c r="G45" s="65" t="s">
        <v>34</v>
      </c>
      <c r="H45" s="94">
        <v>970000</v>
      </c>
      <c r="I45" s="27">
        <v>756482</v>
      </c>
      <c r="J45" s="27"/>
      <c r="K45" s="26">
        <v>-0.22012164948453608</v>
      </c>
      <c r="L45" s="11" t="s">
        <v>464</v>
      </c>
      <c r="M45" s="15">
        <v>9</v>
      </c>
      <c r="N45" s="35" t="s">
        <v>25</v>
      </c>
      <c r="O45" s="15">
        <v>1</v>
      </c>
      <c r="P45" s="35" t="s">
        <v>458</v>
      </c>
      <c r="Q45" s="15"/>
      <c r="R45" s="24"/>
      <c r="S45" s="62" t="s">
        <v>616</v>
      </c>
      <c r="T45" s="15"/>
      <c r="U45" s="15"/>
      <c r="V45" s="54">
        <v>970000</v>
      </c>
      <c r="W45" s="54">
        <v>756482</v>
      </c>
      <c r="X45" s="54">
        <v>213518</v>
      </c>
    </row>
    <row r="46" spans="3:24" x14ac:dyDescent="0.25">
      <c r="C46" s="39">
        <v>2017</v>
      </c>
      <c r="D46" s="62" t="s">
        <v>880</v>
      </c>
      <c r="E46" s="63" t="s">
        <v>881</v>
      </c>
      <c r="F46" s="64">
        <v>42768</v>
      </c>
      <c r="G46" s="65" t="s">
        <v>34</v>
      </c>
      <c r="H46" s="94">
        <v>4800000</v>
      </c>
      <c r="I46" s="27">
        <v>3901193</v>
      </c>
      <c r="J46" s="27"/>
      <c r="K46" s="26">
        <v>-0.18725145833333334</v>
      </c>
      <c r="L46" s="11" t="s">
        <v>464</v>
      </c>
      <c r="M46" s="15">
        <v>14</v>
      </c>
      <c r="N46" s="35" t="s">
        <v>93</v>
      </c>
      <c r="O46" s="15">
        <v>1</v>
      </c>
      <c r="P46" s="35" t="s">
        <v>458</v>
      </c>
      <c r="Q46" s="15"/>
      <c r="R46" s="24"/>
      <c r="S46" s="62" t="s">
        <v>616</v>
      </c>
      <c r="T46" s="15"/>
      <c r="U46" s="15"/>
      <c r="V46" s="54">
        <v>4800000</v>
      </c>
      <c r="W46" s="54">
        <v>3901193</v>
      </c>
      <c r="X46" s="54">
        <v>898807</v>
      </c>
    </row>
    <row r="47" spans="3:24" x14ac:dyDescent="0.25">
      <c r="C47" s="39">
        <v>2017</v>
      </c>
      <c r="D47" s="62" t="s">
        <v>876</v>
      </c>
      <c r="E47" s="63" t="s">
        <v>877</v>
      </c>
      <c r="F47" s="64">
        <v>42765</v>
      </c>
      <c r="G47" s="65" t="s">
        <v>756</v>
      </c>
      <c r="H47" s="94">
        <v>6500000</v>
      </c>
      <c r="I47" s="27">
        <v>5987000</v>
      </c>
      <c r="J47" s="27"/>
      <c r="K47" s="26">
        <v>-7.8923076923076929E-2</v>
      </c>
      <c r="L47" s="11" t="s">
        <v>464</v>
      </c>
      <c r="M47" s="15">
        <v>5</v>
      </c>
      <c r="N47" s="35" t="s">
        <v>93</v>
      </c>
      <c r="O47" s="15">
        <v>1</v>
      </c>
      <c r="P47" s="35" t="s">
        <v>458</v>
      </c>
      <c r="Q47" s="15"/>
      <c r="R47" s="24"/>
      <c r="S47" s="62" t="s">
        <v>447</v>
      </c>
      <c r="T47" s="15"/>
      <c r="U47" s="15"/>
      <c r="V47" s="54">
        <v>6500000</v>
      </c>
      <c r="W47" s="54">
        <v>5987000</v>
      </c>
      <c r="X47" s="54">
        <v>513000</v>
      </c>
    </row>
    <row r="48" spans="3:24" x14ac:dyDescent="0.25">
      <c r="C48" s="39">
        <v>2017</v>
      </c>
      <c r="D48" s="62" t="s">
        <v>868</v>
      </c>
      <c r="E48" s="63" t="s">
        <v>869</v>
      </c>
      <c r="F48" s="64">
        <v>42761</v>
      </c>
      <c r="G48" s="65" t="s">
        <v>34</v>
      </c>
      <c r="H48" s="94">
        <v>5100000</v>
      </c>
      <c r="I48" s="27">
        <v>4640176</v>
      </c>
      <c r="J48" s="27"/>
      <c r="K48" s="26">
        <v>-9.0161568627450978E-2</v>
      </c>
      <c r="L48" s="11" t="s">
        <v>464</v>
      </c>
      <c r="M48" s="15">
        <v>7</v>
      </c>
      <c r="N48" s="35" t="s">
        <v>93</v>
      </c>
      <c r="O48" s="15">
        <v>1</v>
      </c>
      <c r="P48" s="35" t="s">
        <v>458</v>
      </c>
      <c r="Q48" s="15"/>
      <c r="R48" s="24"/>
      <c r="S48" s="62" t="s">
        <v>784</v>
      </c>
      <c r="T48" s="15"/>
      <c r="U48" s="15"/>
      <c r="V48" s="54">
        <v>5100000</v>
      </c>
      <c r="W48" s="54">
        <v>4640176</v>
      </c>
      <c r="X48" s="54">
        <v>459824</v>
      </c>
    </row>
    <row r="49" spans="3:24" x14ac:dyDescent="0.25">
      <c r="C49" s="39">
        <v>2017</v>
      </c>
      <c r="D49" s="62" t="s">
        <v>862</v>
      </c>
      <c r="E49" s="63" t="s">
        <v>863</v>
      </c>
      <c r="F49" s="64">
        <v>42759</v>
      </c>
      <c r="G49" s="65" t="s">
        <v>190</v>
      </c>
      <c r="H49" s="94">
        <v>69800000</v>
      </c>
      <c r="I49" s="27">
        <v>67107000</v>
      </c>
      <c r="J49" s="27"/>
      <c r="K49" s="26">
        <v>-3.8581661891117482E-2</v>
      </c>
      <c r="L49" s="11" t="s">
        <v>464</v>
      </c>
      <c r="M49" s="15">
        <v>9</v>
      </c>
      <c r="N49" s="35" t="s">
        <v>25</v>
      </c>
      <c r="O49" s="15">
        <v>1</v>
      </c>
      <c r="P49" s="35" t="s">
        <v>458</v>
      </c>
      <c r="Q49" s="15"/>
      <c r="R49" s="24"/>
      <c r="S49" s="62" t="s">
        <v>616</v>
      </c>
      <c r="T49" s="15"/>
      <c r="U49" s="15"/>
      <c r="V49" s="54">
        <v>69800000</v>
      </c>
      <c r="W49" s="54">
        <v>67107000</v>
      </c>
      <c r="X49" s="54">
        <v>2693000</v>
      </c>
    </row>
    <row r="50" spans="3:24" x14ac:dyDescent="0.25">
      <c r="C50" s="39">
        <v>2017</v>
      </c>
      <c r="D50" s="62" t="s">
        <v>830</v>
      </c>
      <c r="E50" s="63" t="s">
        <v>831</v>
      </c>
      <c r="F50" s="64">
        <v>42746</v>
      </c>
      <c r="G50" s="65" t="s">
        <v>190</v>
      </c>
      <c r="H50" s="94">
        <v>12071025</v>
      </c>
      <c r="I50" s="27">
        <v>9977777</v>
      </c>
      <c r="J50" s="27"/>
      <c r="K50" s="26">
        <v>-0.17341095723022693</v>
      </c>
      <c r="L50" s="11" t="s">
        <v>465</v>
      </c>
      <c r="M50" s="15">
        <v>3</v>
      </c>
      <c r="N50" s="35" t="s">
        <v>93</v>
      </c>
      <c r="O50" s="15">
        <v>1</v>
      </c>
      <c r="P50" s="35" t="s">
        <v>458</v>
      </c>
      <c r="Q50" s="15"/>
      <c r="R50" s="24"/>
      <c r="S50" s="62" t="s">
        <v>616</v>
      </c>
      <c r="T50" s="15"/>
      <c r="U50" s="15"/>
      <c r="V50" s="54">
        <v>12071025</v>
      </c>
      <c r="W50" s="54">
        <v>9977777</v>
      </c>
      <c r="X50" s="54">
        <v>2093248</v>
      </c>
    </row>
    <row r="51" spans="3:24" x14ac:dyDescent="0.25">
      <c r="C51" s="39">
        <v>2017</v>
      </c>
      <c r="D51" s="62" t="s">
        <v>828</v>
      </c>
      <c r="E51" s="63" t="s">
        <v>829</v>
      </c>
      <c r="F51" s="64">
        <v>42739</v>
      </c>
      <c r="G51" s="65" t="s">
        <v>190</v>
      </c>
      <c r="H51" s="94">
        <v>28695000</v>
      </c>
      <c r="I51" s="27">
        <v>31768035</v>
      </c>
      <c r="J51" s="27"/>
      <c r="K51" s="26">
        <v>0.10709304756926294</v>
      </c>
      <c r="L51" s="11" t="s">
        <v>464</v>
      </c>
      <c r="M51" s="15">
        <v>2</v>
      </c>
      <c r="N51" s="35" t="s">
        <v>93</v>
      </c>
      <c r="O51" s="15">
        <v>1</v>
      </c>
      <c r="P51" s="35" t="s">
        <v>458</v>
      </c>
      <c r="Q51" s="15"/>
      <c r="R51" s="24"/>
      <c r="S51" s="62" t="s">
        <v>616</v>
      </c>
      <c r="T51" s="15"/>
      <c r="U51" s="15"/>
      <c r="V51" s="54">
        <v>28695000</v>
      </c>
      <c r="W51" s="54">
        <v>31768035</v>
      </c>
      <c r="X51" s="54">
        <v>-3073035</v>
      </c>
    </row>
    <row r="52" spans="3:24" x14ac:dyDescent="0.25">
      <c r="C52" s="39"/>
      <c r="I52" s="99">
        <f>SUM(I41:I51)/1000000</f>
        <v>140.16974400000001</v>
      </c>
      <c r="J52" s="2" t="s">
        <v>980</v>
      </c>
      <c r="K52" s="68">
        <v>8</v>
      </c>
      <c r="L52">
        <f>COUNTA(L41:L51)</f>
        <v>11</v>
      </c>
      <c r="M52" s="84">
        <f>AVERAGE(M41:M51)</f>
        <v>6.7272727272727275</v>
      </c>
      <c r="N52" s="98">
        <f>+K52/L52</f>
        <v>0.72727272727272729</v>
      </c>
    </row>
    <row r="53" spans="3:24" x14ac:dyDescent="0.25">
      <c r="C53" s="39"/>
    </row>
    <row r="54" spans="3:24" x14ac:dyDescent="0.25">
      <c r="C54" s="39">
        <v>2017</v>
      </c>
      <c r="D54" s="62" t="s">
        <v>956</v>
      </c>
      <c r="E54" s="63" t="s">
        <v>957</v>
      </c>
      <c r="F54" s="64">
        <v>42810</v>
      </c>
      <c r="G54" s="65" t="s">
        <v>693</v>
      </c>
      <c r="H54" s="27">
        <v>1425000</v>
      </c>
      <c r="I54" s="27">
        <v>1087425</v>
      </c>
      <c r="J54" s="27"/>
      <c r="K54" s="26">
        <v>-0.23689473684210527</v>
      </c>
      <c r="L54" s="11" t="s">
        <v>464</v>
      </c>
      <c r="M54" s="15">
        <v>6</v>
      </c>
      <c r="N54" s="35" t="s">
        <v>93</v>
      </c>
      <c r="O54" s="15">
        <v>1</v>
      </c>
      <c r="P54" s="35" t="s">
        <v>492</v>
      </c>
      <c r="Q54" s="15"/>
      <c r="R54" s="24"/>
      <c r="S54" s="62" t="s">
        <v>816</v>
      </c>
      <c r="T54" s="15"/>
      <c r="U54" s="15"/>
      <c r="V54" s="54">
        <v>1425000</v>
      </c>
      <c r="W54" s="54">
        <v>1087425</v>
      </c>
      <c r="X54" s="54">
        <v>337575</v>
      </c>
    </row>
    <row r="55" spans="3:24" x14ac:dyDescent="0.25">
      <c r="C55" s="39">
        <v>2017</v>
      </c>
      <c r="D55" s="62" t="s">
        <v>832</v>
      </c>
      <c r="E55" s="63" t="s">
        <v>833</v>
      </c>
      <c r="F55" s="64">
        <v>42752</v>
      </c>
      <c r="G55" s="65" t="s">
        <v>34</v>
      </c>
      <c r="H55" s="94">
        <v>4200000</v>
      </c>
      <c r="I55" s="27">
        <v>3987114</v>
      </c>
      <c r="J55" s="27"/>
      <c r="K55" s="26">
        <v>-5.0687142857142854E-2</v>
      </c>
      <c r="L55" s="11" t="s">
        <v>464</v>
      </c>
      <c r="M55" s="15">
        <v>3</v>
      </c>
      <c r="N55" s="35" t="s">
        <v>25</v>
      </c>
      <c r="O55" s="15">
        <v>1</v>
      </c>
      <c r="P55" s="35" t="s">
        <v>492</v>
      </c>
      <c r="Q55" s="15"/>
      <c r="R55" s="24"/>
      <c r="S55" s="62" t="s">
        <v>816</v>
      </c>
      <c r="T55" s="15"/>
      <c r="U55" s="15"/>
      <c r="V55" s="54">
        <v>4200000</v>
      </c>
      <c r="W55" s="54">
        <v>3987114</v>
      </c>
      <c r="X55" s="54">
        <v>212886</v>
      </c>
    </row>
    <row r="56" spans="3:24" x14ac:dyDescent="0.25">
      <c r="C56" s="39"/>
      <c r="I56" s="99">
        <f>SUM(I54:I55)/1000000</f>
        <v>5.0745389999999997</v>
      </c>
      <c r="J56" s="2" t="s">
        <v>980</v>
      </c>
      <c r="K56" s="68">
        <v>2</v>
      </c>
      <c r="L56">
        <f>COUNTA(L54:L55)</f>
        <v>2</v>
      </c>
      <c r="M56" s="84">
        <f>AVERAGE(M54:M55)</f>
        <v>4.5</v>
      </c>
      <c r="N56" s="98">
        <f>+K56/L56</f>
        <v>1</v>
      </c>
    </row>
    <row r="57" spans="3:24" x14ac:dyDescent="0.25">
      <c r="C57" s="39"/>
    </row>
    <row r="58" spans="3:24" x14ac:dyDescent="0.25">
      <c r="C58" s="39"/>
    </row>
    <row r="59" spans="3:24" x14ac:dyDescent="0.25">
      <c r="C59" s="39"/>
    </row>
    <row r="60" spans="3:24" x14ac:dyDescent="0.25">
      <c r="C60" s="39"/>
    </row>
    <row r="61" spans="3:24" x14ac:dyDescent="0.25">
      <c r="C61" s="39"/>
    </row>
    <row r="62" spans="3:24" x14ac:dyDescent="0.25">
      <c r="C62" s="39"/>
    </row>
    <row r="63" spans="3:24" x14ac:dyDescent="0.25">
      <c r="C63" s="39"/>
    </row>
    <row r="64" spans="3:24" x14ac:dyDescent="0.25">
      <c r="C64" s="39"/>
    </row>
    <row r="65" spans="3:3" x14ac:dyDescent="0.25">
      <c r="C65" s="39"/>
    </row>
    <row r="66" spans="3:3" x14ac:dyDescent="0.25">
      <c r="C66" s="39"/>
    </row>
    <row r="67" spans="3:3" x14ac:dyDescent="0.25">
      <c r="C67" s="39"/>
    </row>
    <row r="68" spans="3:3" x14ac:dyDescent="0.25">
      <c r="C68" s="39"/>
    </row>
    <row r="69" spans="3:3" x14ac:dyDescent="0.25">
      <c r="C69" s="39"/>
    </row>
    <row r="70" spans="3:3" x14ac:dyDescent="0.25">
      <c r="C70" s="39"/>
    </row>
    <row r="71" spans="3:3" x14ac:dyDescent="0.25">
      <c r="C71" s="39"/>
    </row>
    <row r="72" spans="3:3" x14ac:dyDescent="0.25">
      <c r="C72" s="39"/>
    </row>
    <row r="73" spans="3:3" x14ac:dyDescent="0.25">
      <c r="C73" s="39"/>
    </row>
    <row r="74" spans="3:3" x14ac:dyDescent="0.25">
      <c r="C74" s="39"/>
    </row>
    <row r="75" spans="3:3" x14ac:dyDescent="0.25">
      <c r="C75" s="39"/>
    </row>
    <row r="76" spans="3:3" x14ac:dyDescent="0.25">
      <c r="C76" s="39"/>
    </row>
    <row r="77" spans="3:3" x14ac:dyDescent="0.25">
      <c r="C77" s="39"/>
    </row>
    <row r="78" spans="3:3" x14ac:dyDescent="0.25">
      <c r="C78" s="39"/>
    </row>
    <row r="79" spans="3:3" x14ac:dyDescent="0.25">
      <c r="C79" s="39"/>
    </row>
    <row r="80" spans="3:3" x14ac:dyDescent="0.25">
      <c r="C80" s="39"/>
    </row>
    <row r="81" spans="3:3" x14ac:dyDescent="0.25">
      <c r="C81" s="39"/>
    </row>
    <row r="82" spans="3:3" x14ac:dyDescent="0.25">
      <c r="C82" s="39"/>
    </row>
    <row r="83" spans="3:3" x14ac:dyDescent="0.25">
      <c r="C83" s="39"/>
    </row>
    <row r="84" spans="3:3" x14ac:dyDescent="0.25">
      <c r="C84" s="39"/>
    </row>
    <row r="85" spans="3:3" x14ac:dyDescent="0.25">
      <c r="C85" s="39"/>
    </row>
    <row r="86" spans="3:3" x14ac:dyDescent="0.25">
      <c r="C86" s="39"/>
    </row>
    <row r="87" spans="3:3" x14ac:dyDescent="0.25">
      <c r="C87" s="39"/>
    </row>
    <row r="88" spans="3:3" x14ac:dyDescent="0.25">
      <c r="C88" s="39"/>
    </row>
    <row r="89" spans="3:3" x14ac:dyDescent="0.25">
      <c r="C89" s="39"/>
    </row>
    <row r="90" spans="3:3" x14ac:dyDescent="0.25">
      <c r="C90" s="39"/>
    </row>
    <row r="91" spans="3:3" x14ac:dyDescent="0.25">
      <c r="C91" s="39"/>
    </row>
    <row r="92" spans="3:3" x14ac:dyDescent="0.25">
      <c r="C92" s="39"/>
    </row>
    <row r="93" spans="3:3" x14ac:dyDescent="0.25">
      <c r="C93" s="39"/>
    </row>
    <row r="94" spans="3:3" x14ac:dyDescent="0.25">
      <c r="C94" s="39"/>
    </row>
    <row r="95" spans="3:3" x14ac:dyDescent="0.25">
      <c r="C95" s="39"/>
    </row>
    <row r="96" spans="3:3" x14ac:dyDescent="0.25">
      <c r="C96" s="39"/>
    </row>
    <row r="97" spans="3:3" x14ac:dyDescent="0.25">
      <c r="C97" s="39"/>
    </row>
    <row r="98" spans="3:3" x14ac:dyDescent="0.25">
      <c r="C98" s="39"/>
    </row>
    <row r="99" spans="3:3" x14ac:dyDescent="0.25">
      <c r="C99" s="39"/>
    </row>
    <row r="100" spans="3:3" x14ac:dyDescent="0.25">
      <c r="C100" s="39"/>
    </row>
    <row r="101" spans="3:3" x14ac:dyDescent="0.25">
      <c r="C101" s="39"/>
    </row>
    <row r="102" spans="3:3" x14ac:dyDescent="0.25">
      <c r="C102" s="39"/>
    </row>
    <row r="103" spans="3:3" x14ac:dyDescent="0.25">
      <c r="C103" s="39"/>
    </row>
    <row r="104" spans="3:3" x14ac:dyDescent="0.25">
      <c r="C104" s="39"/>
    </row>
    <row r="105" spans="3:3" x14ac:dyDescent="0.25">
      <c r="C105" s="39"/>
    </row>
    <row r="106" spans="3:3" x14ac:dyDescent="0.25">
      <c r="C106" s="39"/>
    </row>
    <row r="107" spans="3:3" x14ac:dyDescent="0.25">
      <c r="C107" s="39"/>
    </row>
    <row r="108" spans="3:3" x14ac:dyDescent="0.25">
      <c r="C108" s="39"/>
    </row>
    <row r="109" spans="3:3" x14ac:dyDescent="0.25">
      <c r="C109" s="39"/>
    </row>
    <row r="110" spans="3:3" x14ac:dyDescent="0.25">
      <c r="C110" s="39"/>
    </row>
    <row r="111" spans="3:3" x14ac:dyDescent="0.25">
      <c r="C111" s="39"/>
    </row>
    <row r="112" spans="3:3" x14ac:dyDescent="0.25">
      <c r="C112" s="39"/>
    </row>
    <row r="113" spans="3:3" x14ac:dyDescent="0.25">
      <c r="C113" s="39"/>
    </row>
    <row r="114" spans="3:3" x14ac:dyDescent="0.25">
      <c r="C114" s="39"/>
    </row>
    <row r="115" spans="3:3" x14ac:dyDescent="0.25">
      <c r="C115" s="39"/>
    </row>
    <row r="116" spans="3:3" x14ac:dyDescent="0.25">
      <c r="C116" s="39"/>
    </row>
    <row r="117" spans="3:3" x14ac:dyDescent="0.25">
      <c r="C117" s="39"/>
    </row>
    <row r="118" spans="3:3" x14ac:dyDescent="0.25">
      <c r="C118" s="39"/>
    </row>
    <row r="119" spans="3:3" x14ac:dyDescent="0.25">
      <c r="C119" s="39"/>
    </row>
    <row r="120" spans="3:3" x14ac:dyDescent="0.25">
      <c r="C120" s="39"/>
    </row>
    <row r="121" spans="3:3" x14ac:dyDescent="0.25">
      <c r="C121" s="39"/>
    </row>
    <row r="122" spans="3:3" x14ac:dyDescent="0.25">
      <c r="C122" s="39"/>
    </row>
    <row r="123" spans="3:3" x14ac:dyDescent="0.25">
      <c r="C123" s="39"/>
    </row>
    <row r="124" spans="3:3" x14ac:dyDescent="0.25">
      <c r="C124" s="39"/>
    </row>
    <row r="125" spans="3:3" x14ac:dyDescent="0.25">
      <c r="C125" s="39"/>
    </row>
    <row r="126" spans="3:3" x14ac:dyDescent="0.25">
      <c r="C126" s="39"/>
    </row>
    <row r="127" spans="3:3" x14ac:dyDescent="0.25">
      <c r="C127" s="39"/>
    </row>
    <row r="128" spans="3:3" x14ac:dyDescent="0.25">
      <c r="C128" s="39"/>
    </row>
    <row r="129" spans="3:3" x14ac:dyDescent="0.25">
      <c r="C129" s="39"/>
    </row>
    <row r="130" spans="3:3" x14ac:dyDescent="0.25">
      <c r="C130" s="39"/>
    </row>
    <row r="131" spans="3:3" x14ac:dyDescent="0.25">
      <c r="C131" s="39"/>
    </row>
    <row r="132" spans="3:3" x14ac:dyDescent="0.25">
      <c r="C132" s="39"/>
    </row>
    <row r="133" spans="3:3" x14ac:dyDescent="0.25">
      <c r="C133" s="39"/>
    </row>
    <row r="134" spans="3:3" x14ac:dyDescent="0.25">
      <c r="C134" s="39"/>
    </row>
    <row r="135" spans="3:3" x14ac:dyDescent="0.25">
      <c r="C135" s="39"/>
    </row>
    <row r="136" spans="3:3" x14ac:dyDescent="0.25">
      <c r="C136" s="39"/>
    </row>
    <row r="137" spans="3:3" x14ac:dyDescent="0.25">
      <c r="C137" s="39"/>
    </row>
    <row r="138" spans="3:3" x14ac:dyDescent="0.25">
      <c r="C138" s="39"/>
    </row>
    <row r="139" spans="3:3" x14ac:dyDescent="0.25">
      <c r="C139" s="39"/>
    </row>
    <row r="140" spans="3:3" x14ac:dyDescent="0.25">
      <c r="C140" s="39"/>
    </row>
    <row r="141" spans="3:3" x14ac:dyDescent="0.25">
      <c r="C141" s="39"/>
    </row>
    <row r="142" spans="3:3" x14ac:dyDescent="0.25">
      <c r="C142" s="39"/>
    </row>
    <row r="143" spans="3:3" x14ac:dyDescent="0.25">
      <c r="C143" s="39"/>
    </row>
    <row r="144" spans="3:3" x14ac:dyDescent="0.25">
      <c r="C144" s="39"/>
    </row>
    <row r="145" spans="3:3" x14ac:dyDescent="0.25">
      <c r="C145" s="39"/>
    </row>
    <row r="146" spans="3:3" x14ac:dyDescent="0.25">
      <c r="C146" s="39"/>
    </row>
    <row r="147" spans="3:3" x14ac:dyDescent="0.25">
      <c r="C147" s="39"/>
    </row>
    <row r="148" spans="3:3" x14ac:dyDescent="0.25">
      <c r="C148" s="39"/>
    </row>
    <row r="149" spans="3:3" x14ac:dyDescent="0.25">
      <c r="C149" s="39"/>
    </row>
    <row r="150" spans="3:3" x14ac:dyDescent="0.25">
      <c r="C150" s="39"/>
    </row>
    <row r="151" spans="3:3" x14ac:dyDescent="0.25">
      <c r="C151" s="39"/>
    </row>
    <row r="152" spans="3:3" x14ac:dyDescent="0.25">
      <c r="C152" s="39"/>
    </row>
    <row r="153" spans="3:3" x14ac:dyDescent="0.25">
      <c r="C153" s="39"/>
    </row>
    <row r="154" spans="3:3" x14ac:dyDescent="0.25">
      <c r="C154" s="39"/>
    </row>
    <row r="155" spans="3:3" x14ac:dyDescent="0.25">
      <c r="C155" s="39"/>
    </row>
    <row r="156" spans="3:3" x14ac:dyDescent="0.25">
      <c r="C156" s="39"/>
    </row>
    <row r="157" spans="3:3" x14ac:dyDescent="0.25">
      <c r="C157" s="39"/>
    </row>
    <row r="158" spans="3:3" x14ac:dyDescent="0.25">
      <c r="C158" s="39"/>
    </row>
    <row r="159" spans="3:3" x14ac:dyDescent="0.25">
      <c r="C159" s="39"/>
    </row>
    <row r="160" spans="3:3" x14ac:dyDescent="0.25">
      <c r="C160" s="39"/>
    </row>
    <row r="161" spans="3:3" x14ac:dyDescent="0.25">
      <c r="C161" s="39"/>
    </row>
    <row r="162" spans="3:3" x14ac:dyDescent="0.25">
      <c r="C162" s="39"/>
    </row>
    <row r="163" spans="3:3" x14ac:dyDescent="0.25">
      <c r="C163" s="39"/>
    </row>
    <row r="164" spans="3:3" x14ac:dyDescent="0.25">
      <c r="C164" s="39"/>
    </row>
    <row r="165" spans="3:3" x14ac:dyDescent="0.25">
      <c r="C165" s="39"/>
    </row>
    <row r="166" spans="3:3" x14ac:dyDescent="0.25">
      <c r="C166" s="39"/>
    </row>
    <row r="167" spans="3:3" x14ac:dyDescent="0.25">
      <c r="C167" s="39"/>
    </row>
    <row r="168" spans="3:3" x14ac:dyDescent="0.25">
      <c r="C168" s="39"/>
    </row>
    <row r="169" spans="3:3" x14ac:dyDescent="0.25">
      <c r="C169" s="39"/>
    </row>
    <row r="170" spans="3:3" x14ac:dyDescent="0.25">
      <c r="C170" s="39"/>
    </row>
    <row r="171" spans="3:3" x14ac:dyDescent="0.25">
      <c r="C171" s="39"/>
    </row>
    <row r="172" spans="3:3" x14ac:dyDescent="0.25">
      <c r="C172" s="39"/>
    </row>
    <row r="173" spans="3:3" x14ac:dyDescent="0.25">
      <c r="C173" s="39"/>
    </row>
    <row r="174" spans="3:3" x14ac:dyDescent="0.25">
      <c r="C174" s="39"/>
    </row>
    <row r="175" spans="3:3" x14ac:dyDescent="0.25">
      <c r="C175" s="39"/>
    </row>
    <row r="176" spans="3:3" x14ac:dyDescent="0.25">
      <c r="C176" s="39"/>
    </row>
    <row r="177" spans="3:3" x14ac:dyDescent="0.25">
      <c r="C177" s="39"/>
    </row>
    <row r="178" spans="3:3" x14ac:dyDescent="0.25">
      <c r="C178" s="39"/>
    </row>
    <row r="179" spans="3:3" x14ac:dyDescent="0.25">
      <c r="C179" s="39"/>
    </row>
    <row r="180" spans="3:3" x14ac:dyDescent="0.25">
      <c r="C180" s="39"/>
    </row>
    <row r="181" spans="3:3" x14ac:dyDescent="0.25">
      <c r="C181" s="39"/>
    </row>
    <row r="182" spans="3:3" x14ac:dyDescent="0.25">
      <c r="C182" s="39"/>
    </row>
    <row r="183" spans="3:3" x14ac:dyDescent="0.25">
      <c r="C183" s="39"/>
    </row>
    <row r="184" spans="3:3" x14ac:dyDescent="0.25">
      <c r="C184" s="39"/>
    </row>
    <row r="185" spans="3:3" x14ac:dyDescent="0.25">
      <c r="C185" s="39"/>
    </row>
    <row r="186" spans="3:3" x14ac:dyDescent="0.25">
      <c r="C186" s="39"/>
    </row>
    <row r="187" spans="3:3" x14ac:dyDescent="0.25">
      <c r="C187" s="39"/>
    </row>
    <row r="188" spans="3:3" x14ac:dyDescent="0.25">
      <c r="C188" s="39"/>
    </row>
    <row r="189" spans="3:3" x14ac:dyDescent="0.25">
      <c r="C189" s="39"/>
    </row>
    <row r="190" spans="3:3" x14ac:dyDescent="0.25">
      <c r="C190" s="39"/>
    </row>
    <row r="191" spans="3:3" x14ac:dyDescent="0.25">
      <c r="C191" s="39"/>
    </row>
    <row r="192" spans="3:3" x14ac:dyDescent="0.25">
      <c r="C192" s="39"/>
    </row>
    <row r="193" spans="3:3" x14ac:dyDescent="0.25">
      <c r="C193" s="39"/>
    </row>
    <row r="194" spans="3:3" x14ac:dyDescent="0.25">
      <c r="C194" s="39"/>
    </row>
    <row r="195" spans="3:3" x14ac:dyDescent="0.25">
      <c r="C195" s="39"/>
    </row>
    <row r="196" spans="3:3" x14ac:dyDescent="0.25">
      <c r="C196" s="39"/>
    </row>
    <row r="197" spans="3:3" x14ac:dyDescent="0.25">
      <c r="C197" s="39"/>
    </row>
    <row r="198" spans="3:3" x14ac:dyDescent="0.25">
      <c r="C198" s="39"/>
    </row>
    <row r="199" spans="3:3" x14ac:dyDescent="0.25">
      <c r="C199" s="39"/>
    </row>
    <row r="200" spans="3:3" x14ac:dyDescent="0.25">
      <c r="C200" s="39"/>
    </row>
    <row r="201" spans="3:3" x14ac:dyDescent="0.25">
      <c r="C201" s="39"/>
    </row>
    <row r="202" spans="3:3" x14ac:dyDescent="0.25">
      <c r="C202" s="39"/>
    </row>
    <row r="203" spans="3:3" x14ac:dyDescent="0.25">
      <c r="C203" s="39"/>
    </row>
    <row r="204" spans="3:3" x14ac:dyDescent="0.25">
      <c r="C204" s="39"/>
    </row>
    <row r="205" spans="3:3" x14ac:dyDescent="0.25">
      <c r="C205" s="39"/>
    </row>
    <row r="206" spans="3:3" x14ac:dyDescent="0.25">
      <c r="C206" s="39"/>
    </row>
    <row r="207" spans="3:3" x14ac:dyDescent="0.25">
      <c r="C207" s="39"/>
    </row>
    <row r="208" spans="3:3" x14ac:dyDescent="0.25">
      <c r="C208" s="39"/>
    </row>
    <row r="209" spans="3:3" x14ac:dyDescent="0.25">
      <c r="C209" s="39"/>
    </row>
    <row r="210" spans="3:3" x14ac:dyDescent="0.25">
      <c r="C210" s="39"/>
    </row>
    <row r="211" spans="3:3" x14ac:dyDescent="0.25">
      <c r="C211" s="39"/>
    </row>
    <row r="212" spans="3:3" x14ac:dyDescent="0.25">
      <c r="C212" s="39"/>
    </row>
    <row r="213" spans="3:3" x14ac:dyDescent="0.25">
      <c r="C213" s="39"/>
    </row>
    <row r="214" spans="3:3" x14ac:dyDescent="0.25">
      <c r="C214" s="39"/>
    </row>
    <row r="215" spans="3:3" x14ac:dyDescent="0.25">
      <c r="C215" s="39"/>
    </row>
    <row r="216" spans="3:3" x14ac:dyDescent="0.25">
      <c r="C216" s="39"/>
    </row>
    <row r="217" spans="3:3" x14ac:dyDescent="0.25">
      <c r="C217" s="39"/>
    </row>
    <row r="218" spans="3:3" x14ac:dyDescent="0.25">
      <c r="C218" s="39"/>
    </row>
    <row r="219" spans="3:3" x14ac:dyDescent="0.25">
      <c r="C219" s="39"/>
    </row>
    <row r="220" spans="3:3" x14ac:dyDescent="0.25">
      <c r="C220" s="39"/>
    </row>
    <row r="221" spans="3:3" x14ac:dyDescent="0.25">
      <c r="C221" s="39"/>
    </row>
    <row r="222" spans="3:3" x14ac:dyDescent="0.25">
      <c r="C222" s="39"/>
    </row>
    <row r="223" spans="3:3" x14ac:dyDescent="0.25">
      <c r="C223" s="39"/>
    </row>
    <row r="224" spans="3:3" x14ac:dyDescent="0.25">
      <c r="C224" s="39"/>
    </row>
    <row r="225" spans="3:3" x14ac:dyDescent="0.25">
      <c r="C225" s="39"/>
    </row>
    <row r="226" spans="3:3" x14ac:dyDescent="0.25">
      <c r="C226" s="39"/>
    </row>
    <row r="227" spans="3:3" x14ac:dyDescent="0.25">
      <c r="C227" s="39"/>
    </row>
    <row r="228" spans="3:3" x14ac:dyDescent="0.25">
      <c r="C228" s="39"/>
    </row>
    <row r="229" spans="3:3" x14ac:dyDescent="0.25">
      <c r="C229" s="39"/>
    </row>
    <row r="230" spans="3:3" x14ac:dyDescent="0.25">
      <c r="C230" s="39"/>
    </row>
    <row r="231" spans="3:3" x14ac:dyDescent="0.25">
      <c r="C231" s="39"/>
    </row>
    <row r="232" spans="3:3" x14ac:dyDescent="0.25">
      <c r="C232" s="39"/>
    </row>
    <row r="233" spans="3:3" x14ac:dyDescent="0.25">
      <c r="C233" s="39"/>
    </row>
    <row r="234" spans="3:3" x14ac:dyDescent="0.25">
      <c r="C234" s="39"/>
    </row>
    <row r="235" spans="3:3" x14ac:dyDescent="0.25">
      <c r="C235" s="39"/>
    </row>
    <row r="236" spans="3:3" x14ac:dyDescent="0.25">
      <c r="C236" s="39"/>
    </row>
    <row r="237" spans="3:3" x14ac:dyDescent="0.25">
      <c r="C237" s="39"/>
    </row>
    <row r="238" spans="3:3" x14ac:dyDescent="0.25">
      <c r="C238" s="39"/>
    </row>
    <row r="239" spans="3:3" x14ac:dyDescent="0.25">
      <c r="C239" s="39"/>
    </row>
    <row r="240" spans="3:3" x14ac:dyDescent="0.25">
      <c r="C240" s="39"/>
    </row>
    <row r="241" spans="3:3" x14ac:dyDescent="0.25">
      <c r="C241" s="39"/>
    </row>
    <row r="242" spans="3:3" x14ac:dyDescent="0.25">
      <c r="C242" s="39"/>
    </row>
    <row r="243" spans="3:3" x14ac:dyDescent="0.25">
      <c r="C243" s="39"/>
    </row>
    <row r="244" spans="3:3" x14ac:dyDescent="0.25">
      <c r="C244" s="39"/>
    </row>
    <row r="245" spans="3:3" x14ac:dyDescent="0.25">
      <c r="C245" s="39"/>
    </row>
    <row r="246" spans="3:3" x14ac:dyDescent="0.25">
      <c r="C246" s="39"/>
    </row>
    <row r="247" spans="3:3" x14ac:dyDescent="0.25">
      <c r="C247" s="39"/>
    </row>
    <row r="248" spans="3:3" x14ac:dyDescent="0.25">
      <c r="C248" s="39"/>
    </row>
    <row r="249" spans="3:3" x14ac:dyDescent="0.25">
      <c r="C249" s="39"/>
    </row>
    <row r="250" spans="3:3" x14ac:dyDescent="0.25">
      <c r="C250" s="39"/>
    </row>
    <row r="251" spans="3:3" x14ac:dyDescent="0.25">
      <c r="C251" s="39"/>
    </row>
    <row r="252" spans="3:3" x14ac:dyDescent="0.25">
      <c r="C252" s="39"/>
    </row>
    <row r="253" spans="3:3" x14ac:dyDescent="0.25">
      <c r="C253" s="39"/>
    </row>
    <row r="254" spans="3:3" x14ac:dyDescent="0.25">
      <c r="C254" s="39"/>
    </row>
    <row r="255" spans="3:3" x14ac:dyDescent="0.25">
      <c r="C255" s="39"/>
    </row>
    <row r="256" spans="3:3" x14ac:dyDescent="0.25">
      <c r="C256" s="39"/>
    </row>
    <row r="257" spans="3:3" x14ac:dyDescent="0.25">
      <c r="C257" s="39"/>
    </row>
    <row r="258" spans="3:3" x14ac:dyDescent="0.25">
      <c r="C258" s="39"/>
    </row>
    <row r="259" spans="3:3" x14ac:dyDescent="0.25">
      <c r="C259" s="39"/>
    </row>
    <row r="260" spans="3:3" x14ac:dyDescent="0.25">
      <c r="C260" s="39"/>
    </row>
    <row r="261" spans="3:3" x14ac:dyDescent="0.25">
      <c r="C261" s="39"/>
    </row>
    <row r="262" spans="3:3" x14ac:dyDescent="0.25">
      <c r="C262" s="39"/>
    </row>
    <row r="263" spans="3:3" x14ac:dyDescent="0.25">
      <c r="C263" s="39"/>
    </row>
    <row r="264" spans="3:3" x14ac:dyDescent="0.25">
      <c r="C264" s="39"/>
    </row>
    <row r="265" spans="3:3" x14ac:dyDescent="0.25">
      <c r="C265" s="39"/>
    </row>
    <row r="266" spans="3:3" x14ac:dyDescent="0.25">
      <c r="C266" s="39"/>
    </row>
    <row r="267" spans="3:3" x14ac:dyDescent="0.25">
      <c r="C267" s="39"/>
    </row>
    <row r="268" spans="3:3" x14ac:dyDescent="0.25">
      <c r="C268" s="39"/>
    </row>
    <row r="269" spans="3:3" x14ac:dyDescent="0.25">
      <c r="C269" s="39"/>
    </row>
    <row r="270" spans="3:3" x14ac:dyDescent="0.25">
      <c r="C270" s="39"/>
    </row>
    <row r="271" spans="3:3" x14ac:dyDescent="0.25">
      <c r="C271" s="39"/>
    </row>
    <row r="272" spans="3:3" x14ac:dyDescent="0.25">
      <c r="C272" s="39"/>
    </row>
    <row r="273" spans="3:3" x14ac:dyDescent="0.25">
      <c r="C273" s="39"/>
    </row>
    <row r="274" spans="3:3" x14ac:dyDescent="0.25">
      <c r="C274" s="39"/>
    </row>
    <row r="275" spans="3:3" x14ac:dyDescent="0.25">
      <c r="C275" s="39"/>
    </row>
    <row r="276" spans="3:3" x14ac:dyDescent="0.25">
      <c r="C276" s="39"/>
    </row>
    <row r="277" spans="3:3" x14ac:dyDescent="0.25">
      <c r="C277" s="39"/>
    </row>
    <row r="278" spans="3:3" x14ac:dyDescent="0.25">
      <c r="C278" s="39"/>
    </row>
    <row r="279" spans="3:3" x14ac:dyDescent="0.25">
      <c r="C279" s="39"/>
    </row>
    <row r="280" spans="3:3" x14ac:dyDescent="0.25">
      <c r="C280" s="39"/>
    </row>
    <row r="281" spans="3:3" x14ac:dyDescent="0.25">
      <c r="C281" s="39"/>
    </row>
    <row r="282" spans="3:3" x14ac:dyDescent="0.25">
      <c r="C282" s="39"/>
    </row>
    <row r="283" spans="3:3" x14ac:dyDescent="0.25">
      <c r="C283" s="39"/>
    </row>
    <row r="284" spans="3:3" x14ac:dyDescent="0.25">
      <c r="C284" s="39"/>
    </row>
    <row r="285" spans="3:3" x14ac:dyDescent="0.25">
      <c r="C285" s="39"/>
    </row>
    <row r="286" spans="3:3" x14ac:dyDescent="0.25">
      <c r="C286" s="39"/>
    </row>
    <row r="287" spans="3:3" x14ac:dyDescent="0.25">
      <c r="C287" s="39"/>
    </row>
    <row r="288" spans="3:3" x14ac:dyDescent="0.25">
      <c r="C288" s="39"/>
    </row>
    <row r="289" spans="3:3" x14ac:dyDescent="0.25">
      <c r="C289" s="39"/>
    </row>
    <row r="290" spans="3:3" x14ac:dyDescent="0.25">
      <c r="C290" s="39"/>
    </row>
    <row r="291" spans="3:3" x14ac:dyDescent="0.25">
      <c r="C291" s="39"/>
    </row>
    <row r="292" spans="3:3" x14ac:dyDescent="0.25">
      <c r="C292" s="39"/>
    </row>
    <row r="293" spans="3:3" x14ac:dyDescent="0.25">
      <c r="C293" s="39"/>
    </row>
    <row r="294" spans="3:3" x14ac:dyDescent="0.25">
      <c r="C294" s="39"/>
    </row>
    <row r="295" spans="3:3" x14ac:dyDescent="0.25">
      <c r="C295" s="39"/>
    </row>
    <row r="296" spans="3:3" x14ac:dyDescent="0.25">
      <c r="C296" s="39"/>
    </row>
    <row r="297" spans="3:3" x14ac:dyDescent="0.25">
      <c r="C297" s="39"/>
    </row>
    <row r="298" spans="3:3" x14ac:dyDescent="0.25">
      <c r="C298" s="39"/>
    </row>
    <row r="299" spans="3:3" x14ac:dyDescent="0.25">
      <c r="C299" s="39"/>
    </row>
    <row r="300" spans="3:3" x14ac:dyDescent="0.25">
      <c r="C300" s="39"/>
    </row>
    <row r="301" spans="3:3" x14ac:dyDescent="0.25">
      <c r="C301" s="39"/>
    </row>
    <row r="302" spans="3:3" x14ac:dyDescent="0.25">
      <c r="C302" s="39"/>
    </row>
    <row r="303" spans="3:3" x14ac:dyDescent="0.25">
      <c r="C303" s="39"/>
    </row>
    <row r="304" spans="3:3" x14ac:dyDescent="0.25">
      <c r="C304" s="39"/>
    </row>
    <row r="305" spans="3:3" x14ac:dyDescent="0.25">
      <c r="C305" s="39"/>
    </row>
    <row r="306" spans="3:3" x14ac:dyDescent="0.25">
      <c r="C306" s="39"/>
    </row>
    <row r="307" spans="3:3" x14ac:dyDescent="0.25">
      <c r="C307" s="39"/>
    </row>
    <row r="308" spans="3:3" x14ac:dyDescent="0.25">
      <c r="C308" s="39"/>
    </row>
    <row r="309" spans="3:3" x14ac:dyDescent="0.25">
      <c r="C309" s="39"/>
    </row>
    <row r="310" spans="3:3" x14ac:dyDescent="0.25">
      <c r="C310" s="39"/>
    </row>
    <row r="311" spans="3:3" x14ac:dyDescent="0.25">
      <c r="C311" s="39"/>
    </row>
    <row r="312" spans="3:3" x14ac:dyDescent="0.25">
      <c r="C312" s="39"/>
    </row>
    <row r="313" spans="3:3" x14ac:dyDescent="0.25">
      <c r="C313" s="39"/>
    </row>
    <row r="314" spans="3:3" x14ac:dyDescent="0.25">
      <c r="C314" s="39"/>
    </row>
    <row r="315" spans="3:3" x14ac:dyDescent="0.25">
      <c r="C315" s="39"/>
    </row>
    <row r="316" spans="3:3" x14ac:dyDescent="0.25">
      <c r="C316" s="39"/>
    </row>
    <row r="317" spans="3:3" x14ac:dyDescent="0.25">
      <c r="C317" s="39"/>
    </row>
    <row r="318" spans="3:3" x14ac:dyDescent="0.25">
      <c r="C318" s="39"/>
    </row>
    <row r="319" spans="3:3" x14ac:dyDescent="0.25">
      <c r="C319" s="39"/>
    </row>
    <row r="320" spans="3:3" x14ac:dyDescent="0.25">
      <c r="C320" s="39"/>
    </row>
    <row r="321" spans="3:3" x14ac:dyDescent="0.25">
      <c r="C321" s="39"/>
    </row>
    <row r="322" spans="3:3" x14ac:dyDescent="0.25">
      <c r="C322" s="39"/>
    </row>
    <row r="323" spans="3:3" x14ac:dyDescent="0.25">
      <c r="C323" s="39"/>
    </row>
    <row r="324" spans="3:3" x14ac:dyDescent="0.25">
      <c r="C324" s="39"/>
    </row>
    <row r="325" spans="3:3" x14ac:dyDescent="0.25">
      <c r="C325" s="39"/>
    </row>
    <row r="326" spans="3:3" x14ac:dyDescent="0.25">
      <c r="C326" s="39"/>
    </row>
    <row r="327" spans="3:3" x14ac:dyDescent="0.25">
      <c r="C327" s="39"/>
    </row>
    <row r="328" spans="3:3" x14ac:dyDescent="0.25">
      <c r="C328" s="39"/>
    </row>
    <row r="329" spans="3:3" x14ac:dyDescent="0.25">
      <c r="C329" s="39"/>
    </row>
    <row r="330" spans="3:3" x14ac:dyDescent="0.25">
      <c r="C330" s="39"/>
    </row>
    <row r="331" spans="3:3" x14ac:dyDescent="0.25">
      <c r="C331" s="38"/>
    </row>
    <row r="332" spans="3:3" x14ac:dyDescent="0.25">
      <c r="C332" s="38"/>
    </row>
    <row r="333" spans="3:3" x14ac:dyDescent="0.25">
      <c r="C333" s="38"/>
    </row>
    <row r="334" spans="3:3" x14ac:dyDescent="0.25">
      <c r="C334" s="38"/>
    </row>
    <row r="335" spans="3:3" x14ac:dyDescent="0.25">
      <c r="C335" s="38"/>
    </row>
    <row r="336" spans="3:3" x14ac:dyDescent="0.25">
      <c r="C336" s="38"/>
    </row>
    <row r="337" spans="3:3" x14ac:dyDescent="0.25">
      <c r="C337" s="38"/>
    </row>
    <row r="338" spans="3:3" x14ac:dyDescent="0.25">
      <c r="C338" s="38"/>
    </row>
    <row r="339" spans="3:3" x14ac:dyDescent="0.25">
      <c r="C339" s="38"/>
    </row>
    <row r="340" spans="3:3" x14ac:dyDescent="0.25">
      <c r="C340" s="38"/>
    </row>
    <row r="341" spans="3:3" x14ac:dyDescent="0.25">
      <c r="C341" s="38"/>
    </row>
    <row r="342" spans="3:3" x14ac:dyDescent="0.25">
      <c r="C342" s="38"/>
    </row>
    <row r="343" spans="3:3" x14ac:dyDescent="0.25">
      <c r="C343" s="38"/>
    </row>
    <row r="344" spans="3:3" x14ac:dyDescent="0.25">
      <c r="C344" s="38"/>
    </row>
    <row r="345" spans="3:3" x14ac:dyDescent="0.25">
      <c r="C345" s="38"/>
    </row>
    <row r="346" spans="3:3" x14ac:dyDescent="0.25">
      <c r="C346" s="38"/>
    </row>
    <row r="347" spans="3:3" x14ac:dyDescent="0.25">
      <c r="C347" s="38"/>
    </row>
    <row r="348" spans="3:3" x14ac:dyDescent="0.25">
      <c r="C348" s="38"/>
    </row>
    <row r="349" spans="3:3" x14ac:dyDescent="0.25">
      <c r="C349" s="38"/>
    </row>
    <row r="350" spans="3:3" x14ac:dyDescent="0.25">
      <c r="C350" s="38"/>
    </row>
    <row r="351" spans="3:3" x14ac:dyDescent="0.25">
      <c r="C351" s="38"/>
    </row>
    <row r="352" spans="3:3" x14ac:dyDescent="0.25">
      <c r="C352" s="38"/>
    </row>
    <row r="353" spans="3:3" x14ac:dyDescent="0.25">
      <c r="C353" s="38"/>
    </row>
    <row r="354" spans="3:3" x14ac:dyDescent="0.25">
      <c r="C354" s="38"/>
    </row>
    <row r="355" spans="3:3" x14ac:dyDescent="0.25">
      <c r="C355" s="38"/>
    </row>
    <row r="356" spans="3:3" x14ac:dyDescent="0.25">
      <c r="C356" s="38"/>
    </row>
    <row r="357" spans="3:3" x14ac:dyDescent="0.25">
      <c r="C357" s="38"/>
    </row>
    <row r="358" spans="3:3" x14ac:dyDescent="0.25">
      <c r="C358" s="38"/>
    </row>
    <row r="359" spans="3:3" x14ac:dyDescent="0.25">
      <c r="C359" s="38"/>
    </row>
    <row r="360" spans="3:3" x14ac:dyDescent="0.25">
      <c r="C360" s="38"/>
    </row>
    <row r="361" spans="3:3" x14ac:dyDescent="0.25">
      <c r="C361" s="38"/>
    </row>
    <row r="362" spans="3:3" x14ac:dyDescent="0.25">
      <c r="C362" s="38"/>
    </row>
    <row r="363" spans="3:3" x14ac:dyDescent="0.25">
      <c r="C363" s="38"/>
    </row>
    <row r="364" spans="3:3" x14ac:dyDescent="0.25">
      <c r="C364" s="38"/>
    </row>
    <row r="365" spans="3:3" x14ac:dyDescent="0.25">
      <c r="C365" s="38"/>
    </row>
    <row r="366" spans="3:3" x14ac:dyDescent="0.25">
      <c r="C366" s="38"/>
    </row>
    <row r="367" spans="3:3" x14ac:dyDescent="0.25">
      <c r="C367" s="38"/>
    </row>
    <row r="368" spans="3:3" x14ac:dyDescent="0.25">
      <c r="C368" s="38"/>
    </row>
    <row r="369" spans="3:3" x14ac:dyDescent="0.25">
      <c r="C369" s="38"/>
    </row>
    <row r="370" spans="3:3" x14ac:dyDescent="0.25">
      <c r="C370" s="38"/>
    </row>
    <row r="371" spans="3:3" x14ac:dyDescent="0.25">
      <c r="C371" s="38"/>
    </row>
    <row r="372" spans="3:3" x14ac:dyDescent="0.25">
      <c r="C372" s="38"/>
    </row>
    <row r="373" spans="3:3" x14ac:dyDescent="0.25">
      <c r="C373" s="38"/>
    </row>
    <row r="374" spans="3:3" x14ac:dyDescent="0.25">
      <c r="C374" s="38"/>
    </row>
    <row r="375" spans="3:3" x14ac:dyDescent="0.25">
      <c r="C375" s="38"/>
    </row>
    <row r="376" spans="3:3" x14ac:dyDescent="0.25">
      <c r="C376" s="38"/>
    </row>
    <row r="377" spans="3:3" x14ac:dyDescent="0.25">
      <c r="C377" s="38"/>
    </row>
    <row r="378" spans="3:3" x14ac:dyDescent="0.25">
      <c r="C378" s="38"/>
    </row>
    <row r="379" spans="3:3" x14ac:dyDescent="0.25">
      <c r="C379" s="38"/>
    </row>
    <row r="380" spans="3:3" x14ac:dyDescent="0.25">
      <c r="C380" s="38"/>
    </row>
    <row r="381" spans="3:3" x14ac:dyDescent="0.25">
      <c r="C381" s="38"/>
    </row>
    <row r="382" spans="3:3" x14ac:dyDescent="0.25">
      <c r="C382" s="38"/>
    </row>
    <row r="383" spans="3:3" x14ac:dyDescent="0.25">
      <c r="C383" s="38"/>
    </row>
    <row r="384" spans="3:3" x14ac:dyDescent="0.25">
      <c r="C384" s="38"/>
    </row>
    <row r="385" spans="3:3" x14ac:dyDescent="0.25">
      <c r="C385" s="38"/>
    </row>
    <row r="386" spans="3:3" x14ac:dyDescent="0.25">
      <c r="C386" s="38"/>
    </row>
    <row r="387" spans="3:3" x14ac:dyDescent="0.25">
      <c r="C387" s="38"/>
    </row>
    <row r="388" spans="3:3" x14ac:dyDescent="0.25">
      <c r="C388" s="38"/>
    </row>
    <row r="389" spans="3:3" x14ac:dyDescent="0.25">
      <c r="C389" s="38"/>
    </row>
    <row r="390" spans="3:3" x14ac:dyDescent="0.25">
      <c r="C390" s="38"/>
    </row>
    <row r="391" spans="3:3" x14ac:dyDescent="0.25">
      <c r="C391" s="38"/>
    </row>
    <row r="392" spans="3:3" x14ac:dyDescent="0.25">
      <c r="C392" s="38"/>
    </row>
    <row r="393" spans="3:3" x14ac:dyDescent="0.25">
      <c r="C393" s="38"/>
    </row>
    <row r="394" spans="3:3" x14ac:dyDescent="0.25">
      <c r="C394" s="38"/>
    </row>
    <row r="395" spans="3:3" x14ac:dyDescent="0.25">
      <c r="C395" s="38"/>
    </row>
    <row r="396" spans="3:3" x14ac:dyDescent="0.25">
      <c r="C396" s="38"/>
    </row>
    <row r="397" spans="3:3" x14ac:dyDescent="0.25">
      <c r="C397" s="38"/>
    </row>
    <row r="398" spans="3:3" x14ac:dyDescent="0.25">
      <c r="C398" s="38"/>
    </row>
    <row r="399" spans="3:3" x14ac:dyDescent="0.25">
      <c r="C399" s="38"/>
    </row>
    <row r="400" spans="3:3" x14ac:dyDescent="0.25">
      <c r="C400" s="38"/>
    </row>
    <row r="401" spans="3:3" x14ac:dyDescent="0.25">
      <c r="C401" s="38"/>
    </row>
    <row r="402" spans="3:3" x14ac:dyDescent="0.25">
      <c r="C402" s="38"/>
    </row>
    <row r="403" spans="3:3" x14ac:dyDescent="0.25">
      <c r="C403" s="38"/>
    </row>
    <row r="404" spans="3:3" x14ac:dyDescent="0.25">
      <c r="C404" s="38"/>
    </row>
    <row r="405" spans="3:3" x14ac:dyDescent="0.25">
      <c r="C405" s="38"/>
    </row>
    <row r="406" spans="3:3" x14ac:dyDescent="0.25">
      <c r="C406" s="38"/>
    </row>
    <row r="407" spans="3:3" x14ac:dyDescent="0.25">
      <c r="C407" s="38"/>
    </row>
    <row r="408" spans="3:3" x14ac:dyDescent="0.25">
      <c r="C408" s="38"/>
    </row>
    <row r="409" spans="3:3" x14ac:dyDescent="0.25">
      <c r="C409" s="38"/>
    </row>
    <row r="410" spans="3:3" x14ac:dyDescent="0.25">
      <c r="C410" s="38"/>
    </row>
    <row r="411" spans="3:3" x14ac:dyDescent="0.25">
      <c r="C411" s="38"/>
    </row>
    <row r="412" spans="3:3" x14ac:dyDescent="0.25">
      <c r="C412" s="38"/>
    </row>
    <row r="413" spans="3:3" x14ac:dyDescent="0.25">
      <c r="C413" s="38"/>
    </row>
    <row r="414" spans="3:3" x14ac:dyDescent="0.25">
      <c r="C414" s="38"/>
    </row>
    <row r="415" spans="3:3" x14ac:dyDescent="0.25">
      <c r="C415" s="38"/>
    </row>
    <row r="416" spans="3:3" x14ac:dyDescent="0.25">
      <c r="C416" s="38"/>
    </row>
    <row r="417" spans="3:3" x14ac:dyDescent="0.25">
      <c r="C417" s="38"/>
    </row>
    <row r="418" spans="3:3" x14ac:dyDescent="0.25">
      <c r="C418" s="38"/>
    </row>
    <row r="419" spans="3:3" x14ac:dyDescent="0.25">
      <c r="C419" s="38"/>
    </row>
    <row r="420" spans="3:3" x14ac:dyDescent="0.25">
      <c r="C420" s="38"/>
    </row>
    <row r="421" spans="3:3" x14ac:dyDescent="0.25">
      <c r="C421" s="38"/>
    </row>
    <row r="422" spans="3:3" x14ac:dyDescent="0.25">
      <c r="C422" s="38"/>
    </row>
    <row r="423" spans="3:3" x14ac:dyDescent="0.25">
      <c r="C423" s="38"/>
    </row>
    <row r="424" spans="3:3" x14ac:dyDescent="0.25">
      <c r="C424" s="38"/>
    </row>
    <row r="425" spans="3:3" x14ac:dyDescent="0.25">
      <c r="C425" s="38"/>
    </row>
    <row r="426" spans="3:3" x14ac:dyDescent="0.25">
      <c r="C426" s="38"/>
    </row>
    <row r="427" spans="3:3" x14ac:dyDescent="0.25">
      <c r="C427" s="38"/>
    </row>
    <row r="428" spans="3:3" x14ac:dyDescent="0.25">
      <c r="C428" s="38"/>
    </row>
    <row r="429" spans="3:3" x14ac:dyDescent="0.25">
      <c r="C429" s="38"/>
    </row>
    <row r="430" spans="3:3" x14ac:dyDescent="0.25">
      <c r="C430" s="38"/>
    </row>
    <row r="431" spans="3:3" x14ac:dyDescent="0.25">
      <c r="C431" s="38"/>
    </row>
    <row r="432" spans="3:3" x14ac:dyDescent="0.25">
      <c r="C432" s="38"/>
    </row>
    <row r="433" spans="3:3" x14ac:dyDescent="0.25">
      <c r="C433" s="38"/>
    </row>
    <row r="434" spans="3:3" x14ac:dyDescent="0.25">
      <c r="C434" s="38"/>
    </row>
    <row r="435" spans="3:3" x14ac:dyDescent="0.25">
      <c r="C435" s="38"/>
    </row>
    <row r="436" spans="3:3" x14ac:dyDescent="0.25">
      <c r="C436" s="38"/>
    </row>
    <row r="437" spans="3:3" x14ac:dyDescent="0.25">
      <c r="C437" s="38"/>
    </row>
    <row r="438" spans="3:3" x14ac:dyDescent="0.25">
      <c r="C438" s="38"/>
    </row>
    <row r="439" spans="3:3" x14ac:dyDescent="0.25">
      <c r="C439" s="38"/>
    </row>
    <row r="440" spans="3:3" x14ac:dyDescent="0.25">
      <c r="C440" s="38"/>
    </row>
    <row r="441" spans="3:3" x14ac:dyDescent="0.25">
      <c r="C441" s="38"/>
    </row>
    <row r="442" spans="3:3" x14ac:dyDescent="0.25">
      <c r="C442" s="38"/>
    </row>
    <row r="443" spans="3:3" x14ac:dyDescent="0.25">
      <c r="C443" s="38"/>
    </row>
    <row r="444" spans="3:3" x14ac:dyDescent="0.25">
      <c r="C444" s="38"/>
    </row>
    <row r="445" spans="3:3" x14ac:dyDescent="0.25">
      <c r="C445" s="38"/>
    </row>
    <row r="446" spans="3:3" x14ac:dyDescent="0.25">
      <c r="C446" s="38"/>
    </row>
    <row r="447" spans="3:3" x14ac:dyDescent="0.25">
      <c r="C447" s="38"/>
    </row>
    <row r="448" spans="3:3" x14ac:dyDescent="0.25">
      <c r="C448" s="38"/>
    </row>
    <row r="449" spans="3:3" x14ac:dyDescent="0.25">
      <c r="C449" s="38"/>
    </row>
    <row r="450" spans="3:3" x14ac:dyDescent="0.25">
      <c r="C450" s="38"/>
    </row>
    <row r="451" spans="3:3" x14ac:dyDescent="0.25">
      <c r="C451" s="38"/>
    </row>
    <row r="452" spans="3:3" x14ac:dyDescent="0.25">
      <c r="C452" s="38"/>
    </row>
    <row r="453" spans="3:3" x14ac:dyDescent="0.25">
      <c r="C453" s="38"/>
    </row>
    <row r="454" spans="3:3" x14ac:dyDescent="0.25">
      <c r="C454" s="38"/>
    </row>
    <row r="455" spans="3:3" x14ac:dyDescent="0.25">
      <c r="C455" s="38"/>
    </row>
    <row r="456" spans="3:3" x14ac:dyDescent="0.25">
      <c r="C456" s="38"/>
    </row>
    <row r="457" spans="3:3" x14ac:dyDescent="0.25">
      <c r="C457" s="38"/>
    </row>
    <row r="458" spans="3:3" x14ac:dyDescent="0.25">
      <c r="C458" s="38"/>
    </row>
    <row r="459" spans="3:3" x14ac:dyDescent="0.25">
      <c r="C459" s="38"/>
    </row>
    <row r="460" spans="3:3" x14ac:dyDescent="0.25">
      <c r="C460" s="38"/>
    </row>
    <row r="461" spans="3:3" x14ac:dyDescent="0.25">
      <c r="C461" s="38"/>
    </row>
    <row r="462" spans="3:3" x14ac:dyDescent="0.25">
      <c r="C462" s="38"/>
    </row>
    <row r="463" spans="3:3" x14ac:dyDescent="0.25">
      <c r="C463" s="38"/>
    </row>
    <row r="464" spans="3:3" x14ac:dyDescent="0.25">
      <c r="C464" s="38"/>
    </row>
    <row r="465" spans="3:3" x14ac:dyDescent="0.25">
      <c r="C465" s="38"/>
    </row>
    <row r="466" spans="3:3" x14ac:dyDescent="0.25">
      <c r="C466" s="38"/>
    </row>
    <row r="467" spans="3:3" x14ac:dyDescent="0.25">
      <c r="C467" s="38"/>
    </row>
    <row r="468" spans="3:3" x14ac:dyDescent="0.25">
      <c r="C468" s="38"/>
    </row>
    <row r="469" spans="3:3" x14ac:dyDescent="0.25">
      <c r="C469" s="38"/>
    </row>
    <row r="470" spans="3:3" x14ac:dyDescent="0.25">
      <c r="C470" s="38"/>
    </row>
    <row r="471" spans="3:3" x14ac:dyDescent="0.25">
      <c r="C471" s="38"/>
    </row>
    <row r="472" spans="3:3" x14ac:dyDescent="0.25">
      <c r="C472" s="38"/>
    </row>
    <row r="473" spans="3:3" x14ac:dyDescent="0.25">
      <c r="C473" s="38"/>
    </row>
    <row r="474" spans="3:3" x14ac:dyDescent="0.25">
      <c r="C474" s="38"/>
    </row>
    <row r="475" spans="3:3" x14ac:dyDescent="0.25">
      <c r="C475" s="38"/>
    </row>
    <row r="476" spans="3:3" x14ac:dyDescent="0.25">
      <c r="C476" s="38"/>
    </row>
    <row r="477" spans="3:3" x14ac:dyDescent="0.25">
      <c r="C477" s="38"/>
    </row>
    <row r="478" spans="3:3" x14ac:dyDescent="0.25">
      <c r="C478" s="38"/>
    </row>
    <row r="479" spans="3:3" x14ac:dyDescent="0.25">
      <c r="C479" s="38"/>
    </row>
    <row r="480" spans="3:3" x14ac:dyDescent="0.25">
      <c r="C480" s="38"/>
    </row>
    <row r="481" spans="3:3" x14ac:dyDescent="0.25">
      <c r="C481" s="38"/>
    </row>
    <row r="482" spans="3:3" x14ac:dyDescent="0.25">
      <c r="C482" s="38"/>
    </row>
    <row r="483" spans="3:3" x14ac:dyDescent="0.25">
      <c r="C483" s="38"/>
    </row>
    <row r="484" spans="3:3" x14ac:dyDescent="0.25">
      <c r="C484" s="38"/>
    </row>
    <row r="485" spans="3:3" x14ac:dyDescent="0.25">
      <c r="C485" s="38"/>
    </row>
    <row r="486" spans="3:3" x14ac:dyDescent="0.25">
      <c r="C486" s="38"/>
    </row>
    <row r="487" spans="3:3" x14ac:dyDescent="0.25">
      <c r="C487" s="38"/>
    </row>
    <row r="488" spans="3:3" x14ac:dyDescent="0.25">
      <c r="C488" s="38"/>
    </row>
    <row r="489" spans="3:3" x14ac:dyDescent="0.25">
      <c r="C489" s="38"/>
    </row>
    <row r="490" spans="3:3" x14ac:dyDescent="0.25">
      <c r="C490" s="38"/>
    </row>
    <row r="491" spans="3:3" x14ac:dyDescent="0.25">
      <c r="C491" s="38"/>
    </row>
    <row r="492" spans="3:3" x14ac:dyDescent="0.25">
      <c r="C492" s="38"/>
    </row>
    <row r="493" spans="3:3" x14ac:dyDescent="0.25">
      <c r="C493" s="38"/>
    </row>
    <row r="494" spans="3:3" x14ac:dyDescent="0.25">
      <c r="C494" s="38"/>
    </row>
    <row r="495" spans="3:3" x14ac:dyDescent="0.25">
      <c r="C495" s="38"/>
    </row>
    <row r="496" spans="3:3" x14ac:dyDescent="0.25">
      <c r="C496" s="38"/>
    </row>
    <row r="497" spans="3:3" x14ac:dyDescent="0.25">
      <c r="C497" s="38"/>
    </row>
    <row r="498" spans="3:3" x14ac:dyDescent="0.25">
      <c r="C498" s="38"/>
    </row>
    <row r="499" spans="3:3" x14ac:dyDescent="0.25">
      <c r="C499" s="38"/>
    </row>
    <row r="500" spans="3:3" x14ac:dyDescent="0.25">
      <c r="C500" s="38"/>
    </row>
    <row r="501" spans="3:3" x14ac:dyDescent="0.25">
      <c r="C501" s="38"/>
    </row>
    <row r="502" spans="3:3" x14ac:dyDescent="0.25">
      <c r="C502" s="38"/>
    </row>
    <row r="503" spans="3:3" x14ac:dyDescent="0.25">
      <c r="C503" s="38"/>
    </row>
    <row r="504" spans="3:3" x14ac:dyDescent="0.25">
      <c r="C504" s="38"/>
    </row>
    <row r="505" spans="3:3" x14ac:dyDescent="0.25">
      <c r="C505" s="38"/>
    </row>
    <row r="506" spans="3:3" x14ac:dyDescent="0.25">
      <c r="C506" s="38"/>
    </row>
    <row r="507" spans="3:3" x14ac:dyDescent="0.25">
      <c r="C507" s="38"/>
    </row>
    <row r="508" spans="3:3" x14ac:dyDescent="0.25">
      <c r="C508" s="38"/>
    </row>
    <row r="509" spans="3:3" x14ac:dyDescent="0.25">
      <c r="C509" s="38"/>
    </row>
    <row r="510" spans="3:3" x14ac:dyDescent="0.25">
      <c r="C510" s="38"/>
    </row>
    <row r="511" spans="3:3" x14ac:dyDescent="0.25">
      <c r="C511" s="38"/>
    </row>
    <row r="512" spans="3:3" x14ac:dyDescent="0.25">
      <c r="C512" s="38"/>
    </row>
    <row r="513" spans="3:3" x14ac:dyDescent="0.25">
      <c r="C513" s="38"/>
    </row>
    <row r="514" spans="3:3" x14ac:dyDescent="0.25">
      <c r="C514" s="38"/>
    </row>
    <row r="515" spans="3:3" x14ac:dyDescent="0.25">
      <c r="C515" s="38"/>
    </row>
    <row r="516" spans="3:3" x14ac:dyDescent="0.25">
      <c r="C516" s="38"/>
    </row>
    <row r="517" spans="3:3" x14ac:dyDescent="0.25">
      <c r="C517" s="38"/>
    </row>
    <row r="518" spans="3:3" x14ac:dyDescent="0.25">
      <c r="C518" s="38"/>
    </row>
    <row r="519" spans="3:3" x14ac:dyDescent="0.25">
      <c r="C519" s="38"/>
    </row>
    <row r="520" spans="3:3" x14ac:dyDescent="0.25">
      <c r="C520" s="38"/>
    </row>
    <row r="521" spans="3:3" x14ac:dyDescent="0.25">
      <c r="C521" s="38"/>
    </row>
    <row r="522" spans="3:3" x14ac:dyDescent="0.25">
      <c r="C522" s="38"/>
    </row>
    <row r="523" spans="3:3" x14ac:dyDescent="0.25">
      <c r="C523" s="38"/>
    </row>
    <row r="524" spans="3:3" x14ac:dyDescent="0.25">
      <c r="C524" s="38"/>
    </row>
    <row r="525" spans="3:3" x14ac:dyDescent="0.25">
      <c r="C525" s="38"/>
    </row>
    <row r="526" spans="3:3" x14ac:dyDescent="0.25">
      <c r="C526" s="38"/>
    </row>
    <row r="527" spans="3:3" x14ac:dyDescent="0.25">
      <c r="C527" s="38"/>
    </row>
    <row r="528" spans="3:3" x14ac:dyDescent="0.25">
      <c r="C528" s="38"/>
    </row>
    <row r="529" spans="3:3" x14ac:dyDescent="0.25">
      <c r="C529" s="38"/>
    </row>
    <row r="530" spans="3:3" x14ac:dyDescent="0.25">
      <c r="C530" s="38"/>
    </row>
    <row r="531" spans="3:3" x14ac:dyDescent="0.25">
      <c r="C531" s="38"/>
    </row>
    <row r="532" spans="3:3" x14ac:dyDescent="0.25">
      <c r="C532" s="38"/>
    </row>
    <row r="533" spans="3:3" x14ac:dyDescent="0.25">
      <c r="C533" s="38"/>
    </row>
    <row r="534" spans="3:3" x14ac:dyDescent="0.25">
      <c r="C534" s="38"/>
    </row>
    <row r="535" spans="3:3" x14ac:dyDescent="0.25">
      <c r="C535" s="38"/>
    </row>
    <row r="536" spans="3:3" x14ac:dyDescent="0.25">
      <c r="C536" s="38"/>
    </row>
    <row r="537" spans="3:3" x14ac:dyDescent="0.25">
      <c r="C537" s="38"/>
    </row>
    <row r="538" spans="3:3" x14ac:dyDescent="0.25">
      <c r="C538" s="38"/>
    </row>
    <row r="539" spans="3:3" x14ac:dyDescent="0.25">
      <c r="C539" s="38"/>
    </row>
    <row r="540" spans="3:3" x14ac:dyDescent="0.25">
      <c r="C540" s="38"/>
    </row>
    <row r="541" spans="3:3" x14ac:dyDescent="0.25">
      <c r="C541" s="38"/>
    </row>
    <row r="542" spans="3:3" x14ac:dyDescent="0.25">
      <c r="C542" s="38"/>
    </row>
    <row r="543" spans="3:3" x14ac:dyDescent="0.25">
      <c r="C543" s="38"/>
    </row>
    <row r="544" spans="3:3" x14ac:dyDescent="0.25">
      <c r="C544" s="38"/>
    </row>
    <row r="545" spans="3:3" x14ac:dyDescent="0.25">
      <c r="C545" s="38"/>
    </row>
    <row r="546" spans="3:3" x14ac:dyDescent="0.25">
      <c r="C546" s="38"/>
    </row>
    <row r="547" spans="3:3" x14ac:dyDescent="0.25">
      <c r="C547" s="38"/>
    </row>
    <row r="548" spans="3:3" x14ac:dyDescent="0.25">
      <c r="C548" s="38"/>
    </row>
    <row r="549" spans="3:3" x14ac:dyDescent="0.25">
      <c r="C549" s="38"/>
    </row>
    <row r="550" spans="3:3" x14ac:dyDescent="0.25">
      <c r="C550" s="38"/>
    </row>
    <row r="551" spans="3:3" x14ac:dyDescent="0.25">
      <c r="C551" s="38"/>
    </row>
    <row r="552" spans="3:3" x14ac:dyDescent="0.25">
      <c r="C552" s="38"/>
    </row>
    <row r="553" spans="3:3" x14ac:dyDescent="0.25">
      <c r="C553" s="38"/>
    </row>
    <row r="554" spans="3:3" x14ac:dyDescent="0.25">
      <c r="C554" s="38"/>
    </row>
    <row r="555" spans="3:3" x14ac:dyDescent="0.25">
      <c r="C555" s="38"/>
    </row>
    <row r="556" spans="3:3" x14ac:dyDescent="0.25">
      <c r="C556" s="38"/>
    </row>
    <row r="557" spans="3:3" x14ac:dyDescent="0.25">
      <c r="C557" s="38"/>
    </row>
    <row r="558" spans="3:3" x14ac:dyDescent="0.25">
      <c r="C558" s="38"/>
    </row>
    <row r="559" spans="3:3" x14ac:dyDescent="0.25">
      <c r="C559" s="38"/>
    </row>
    <row r="560" spans="3:3" x14ac:dyDescent="0.25">
      <c r="C560" s="38"/>
    </row>
    <row r="561" spans="3:3" x14ac:dyDescent="0.25">
      <c r="C561" s="38"/>
    </row>
    <row r="562" spans="3:3" x14ac:dyDescent="0.25">
      <c r="C562" s="38"/>
    </row>
    <row r="563" spans="3:3" x14ac:dyDescent="0.25">
      <c r="C563" s="38"/>
    </row>
    <row r="564" spans="3:3" x14ac:dyDescent="0.25">
      <c r="C564" s="38"/>
    </row>
    <row r="565" spans="3:3" x14ac:dyDescent="0.25">
      <c r="C565" s="38"/>
    </row>
    <row r="566" spans="3:3" x14ac:dyDescent="0.25">
      <c r="C566" s="38"/>
    </row>
    <row r="567" spans="3:3" x14ac:dyDescent="0.25">
      <c r="C567" s="38"/>
    </row>
    <row r="568" spans="3:3" x14ac:dyDescent="0.25">
      <c r="C568" s="38"/>
    </row>
    <row r="569" spans="3:3" x14ac:dyDescent="0.25">
      <c r="C569" s="38"/>
    </row>
    <row r="570" spans="3:3" x14ac:dyDescent="0.25">
      <c r="C570" s="38"/>
    </row>
    <row r="571" spans="3:3" x14ac:dyDescent="0.25">
      <c r="C571" s="38"/>
    </row>
    <row r="572" spans="3:3" x14ac:dyDescent="0.25">
      <c r="C572" s="38"/>
    </row>
    <row r="573" spans="3:3" x14ac:dyDescent="0.25">
      <c r="C573" s="38"/>
    </row>
    <row r="574" spans="3:3" x14ac:dyDescent="0.25">
      <c r="C574" s="38"/>
    </row>
    <row r="575" spans="3:3" x14ac:dyDescent="0.25">
      <c r="C575" s="38"/>
    </row>
    <row r="576" spans="3:3" x14ac:dyDescent="0.25">
      <c r="C576" s="38"/>
    </row>
    <row r="577" spans="3:3" x14ac:dyDescent="0.25">
      <c r="C577" s="38"/>
    </row>
    <row r="578" spans="3:3" x14ac:dyDescent="0.25">
      <c r="C578" s="38"/>
    </row>
    <row r="579" spans="3:3" x14ac:dyDescent="0.25">
      <c r="C579" s="38"/>
    </row>
    <row r="580" spans="3:3" x14ac:dyDescent="0.25">
      <c r="C580" s="38"/>
    </row>
    <row r="581" spans="3:3" x14ac:dyDescent="0.25">
      <c r="C581" s="38"/>
    </row>
    <row r="582" spans="3:3" x14ac:dyDescent="0.25">
      <c r="C582" s="38"/>
    </row>
    <row r="583" spans="3:3" x14ac:dyDescent="0.25">
      <c r="C583" s="38"/>
    </row>
    <row r="584" spans="3:3" x14ac:dyDescent="0.25">
      <c r="C584" s="38"/>
    </row>
    <row r="585" spans="3:3" x14ac:dyDescent="0.25">
      <c r="C585" s="38"/>
    </row>
    <row r="586" spans="3:3" x14ac:dyDescent="0.25">
      <c r="C586" s="38"/>
    </row>
  </sheetData>
  <conditionalFormatting sqref="L26">
    <cfRule type="containsText" dxfId="2743" priority="76" operator="containsText" text="FAIL">
      <formula>NOT(ISERROR(SEARCH("FAIL",L26)))</formula>
    </cfRule>
  </conditionalFormatting>
  <conditionalFormatting sqref="L26">
    <cfRule type="containsText" dxfId="2742" priority="75" operator="containsText" text="GOOD">
      <formula>NOT(ISERROR(SEARCH("GOOD",L26)))</formula>
    </cfRule>
  </conditionalFormatting>
  <conditionalFormatting sqref="L25">
    <cfRule type="containsText" dxfId="2741" priority="74" operator="containsText" text="FAIL">
      <formula>NOT(ISERROR(SEARCH("FAIL",L25)))</formula>
    </cfRule>
  </conditionalFormatting>
  <conditionalFormatting sqref="L25">
    <cfRule type="containsText" dxfId="2740" priority="73" operator="containsText" text="GOOD">
      <formula>NOT(ISERROR(SEARCH("GOOD",L25)))</formula>
    </cfRule>
  </conditionalFormatting>
  <conditionalFormatting sqref="L24">
    <cfRule type="containsText" dxfId="2739" priority="72" operator="containsText" text="FAIL">
      <formula>NOT(ISERROR(SEARCH("FAIL",L24)))</formula>
    </cfRule>
  </conditionalFormatting>
  <conditionalFormatting sqref="L24">
    <cfRule type="containsText" dxfId="2738" priority="71" operator="containsText" text="GOOD">
      <formula>NOT(ISERROR(SEARCH("GOOD",L24)))</formula>
    </cfRule>
  </conditionalFormatting>
  <conditionalFormatting sqref="L23">
    <cfRule type="containsText" dxfId="2737" priority="70" operator="containsText" text="FAIL">
      <formula>NOT(ISERROR(SEARCH("FAIL",L23)))</formula>
    </cfRule>
  </conditionalFormatting>
  <conditionalFormatting sqref="L23">
    <cfRule type="containsText" dxfId="2736" priority="69" operator="containsText" text="GOOD">
      <formula>NOT(ISERROR(SEARCH("GOOD",L23)))</formula>
    </cfRule>
  </conditionalFormatting>
  <conditionalFormatting sqref="L22">
    <cfRule type="containsText" dxfId="2735" priority="68" operator="containsText" text="FAIL">
      <formula>NOT(ISERROR(SEARCH("FAIL",L22)))</formula>
    </cfRule>
  </conditionalFormatting>
  <conditionalFormatting sqref="L22">
    <cfRule type="containsText" dxfId="2734" priority="67" operator="containsText" text="GOOD">
      <formula>NOT(ISERROR(SEARCH("GOOD",L22)))</formula>
    </cfRule>
  </conditionalFormatting>
  <conditionalFormatting sqref="L21">
    <cfRule type="containsText" dxfId="2733" priority="66" operator="containsText" text="FAIL">
      <formula>NOT(ISERROR(SEARCH("FAIL",L21)))</formula>
    </cfRule>
  </conditionalFormatting>
  <conditionalFormatting sqref="L21">
    <cfRule type="containsText" dxfId="2732" priority="65" operator="containsText" text="GOOD">
      <formula>NOT(ISERROR(SEARCH("GOOD",L21)))</formula>
    </cfRule>
  </conditionalFormatting>
  <conditionalFormatting sqref="L20">
    <cfRule type="containsText" dxfId="2731" priority="64" operator="containsText" text="FAIL">
      <formula>NOT(ISERROR(SEARCH("FAIL",L20)))</formula>
    </cfRule>
  </conditionalFormatting>
  <conditionalFormatting sqref="L20">
    <cfRule type="containsText" dxfId="2730" priority="63" operator="containsText" text="GOOD">
      <formula>NOT(ISERROR(SEARCH("GOOD",L20)))</formula>
    </cfRule>
  </conditionalFormatting>
  <conditionalFormatting sqref="L19">
    <cfRule type="containsText" dxfId="2729" priority="62" operator="containsText" text="FAIL">
      <formula>NOT(ISERROR(SEARCH("FAIL",L19)))</formula>
    </cfRule>
  </conditionalFormatting>
  <conditionalFormatting sqref="L19">
    <cfRule type="containsText" dxfId="2728" priority="61" operator="containsText" text="GOOD">
      <formula>NOT(ISERROR(SEARCH("GOOD",L19)))</formula>
    </cfRule>
  </conditionalFormatting>
  <conditionalFormatting sqref="L18">
    <cfRule type="containsText" dxfId="2727" priority="60" operator="containsText" text="FAIL">
      <formula>NOT(ISERROR(SEARCH("FAIL",L18)))</formula>
    </cfRule>
  </conditionalFormatting>
  <conditionalFormatting sqref="L18">
    <cfRule type="containsText" dxfId="2726" priority="59" operator="containsText" text="GOOD">
      <formula>NOT(ISERROR(SEARCH("GOOD",L18)))</formula>
    </cfRule>
  </conditionalFormatting>
  <conditionalFormatting sqref="L17">
    <cfRule type="containsText" dxfId="2725" priority="58" operator="containsText" text="FAIL">
      <formula>NOT(ISERROR(SEARCH("FAIL",L17)))</formula>
    </cfRule>
  </conditionalFormatting>
  <conditionalFormatting sqref="L17">
    <cfRule type="containsText" dxfId="2724" priority="57" operator="containsText" text="GOOD">
      <formula>NOT(ISERROR(SEARCH("GOOD",L17)))</formula>
    </cfRule>
  </conditionalFormatting>
  <conditionalFormatting sqref="L16">
    <cfRule type="containsText" dxfId="2723" priority="56" operator="containsText" text="FAIL">
      <formula>NOT(ISERROR(SEARCH("FAIL",L16)))</formula>
    </cfRule>
  </conditionalFormatting>
  <conditionalFormatting sqref="L16">
    <cfRule type="containsText" dxfId="2722" priority="55" operator="containsText" text="GOOD">
      <formula>NOT(ISERROR(SEARCH("GOOD",L16)))</formula>
    </cfRule>
  </conditionalFormatting>
  <conditionalFormatting sqref="L14">
    <cfRule type="containsText" dxfId="2721" priority="54" operator="containsText" text="FAIL">
      <formula>NOT(ISERROR(SEARCH("FAIL",L14)))</formula>
    </cfRule>
  </conditionalFormatting>
  <conditionalFormatting sqref="L14">
    <cfRule type="containsText" dxfId="2720" priority="53" operator="containsText" text="GOOD">
      <formula>NOT(ISERROR(SEARCH("GOOD",L14)))</formula>
    </cfRule>
  </conditionalFormatting>
  <conditionalFormatting sqref="L15">
    <cfRule type="containsText" dxfId="2719" priority="52" operator="containsText" text="FAIL">
      <formula>NOT(ISERROR(SEARCH("FAIL",L15)))</formula>
    </cfRule>
  </conditionalFormatting>
  <conditionalFormatting sqref="L15">
    <cfRule type="containsText" dxfId="2718" priority="51" operator="containsText" text="GOOD">
      <formula>NOT(ISERROR(SEARCH("GOOD",L15)))</formula>
    </cfRule>
  </conditionalFormatting>
  <conditionalFormatting sqref="L13">
    <cfRule type="containsText" dxfId="2717" priority="50" operator="containsText" text="FAIL">
      <formula>NOT(ISERROR(SEARCH("FAIL",L13)))</formula>
    </cfRule>
  </conditionalFormatting>
  <conditionalFormatting sqref="L13">
    <cfRule type="containsText" dxfId="2716" priority="49" operator="containsText" text="GOOD">
      <formula>NOT(ISERROR(SEARCH("GOOD",L13)))</formula>
    </cfRule>
  </conditionalFormatting>
  <conditionalFormatting sqref="L12">
    <cfRule type="containsText" dxfId="2715" priority="48" operator="containsText" text="FAIL">
      <formula>NOT(ISERROR(SEARCH("FAIL",L12)))</formula>
    </cfRule>
  </conditionalFormatting>
  <conditionalFormatting sqref="L12">
    <cfRule type="containsText" dxfId="2714" priority="47" operator="containsText" text="GOOD">
      <formula>NOT(ISERROR(SEARCH("GOOD",L12)))</formula>
    </cfRule>
  </conditionalFormatting>
  <conditionalFormatting sqref="L11">
    <cfRule type="containsText" dxfId="2713" priority="46" operator="containsText" text="FAIL">
      <formula>NOT(ISERROR(SEARCH("FAIL",L11)))</formula>
    </cfRule>
  </conditionalFormatting>
  <conditionalFormatting sqref="L11">
    <cfRule type="containsText" dxfId="2712" priority="45" operator="containsText" text="GOOD">
      <formula>NOT(ISERROR(SEARCH("GOOD",L11)))</formula>
    </cfRule>
  </conditionalFormatting>
  <conditionalFormatting sqref="L10">
    <cfRule type="containsText" dxfId="2711" priority="44" operator="containsText" text="FAIL">
      <formula>NOT(ISERROR(SEARCH("FAIL",L10)))</formula>
    </cfRule>
  </conditionalFormatting>
  <conditionalFormatting sqref="L10">
    <cfRule type="containsText" dxfId="2710" priority="43" operator="containsText" text="GOOD">
      <formula>NOT(ISERROR(SEARCH("GOOD",L10)))</formula>
    </cfRule>
  </conditionalFormatting>
  <conditionalFormatting sqref="L9">
    <cfRule type="containsText" dxfId="2709" priority="42" operator="containsText" text="FAIL">
      <formula>NOT(ISERROR(SEARCH("FAIL",L9)))</formula>
    </cfRule>
  </conditionalFormatting>
  <conditionalFormatting sqref="L9">
    <cfRule type="containsText" dxfId="2708" priority="41" operator="containsText" text="GOOD">
      <formula>NOT(ISERROR(SEARCH("GOOD",L9)))</formula>
    </cfRule>
  </conditionalFormatting>
  <conditionalFormatting sqref="L8">
    <cfRule type="containsText" dxfId="2707" priority="40" operator="containsText" text="FAIL">
      <formula>NOT(ISERROR(SEARCH("FAIL",L8)))</formula>
    </cfRule>
  </conditionalFormatting>
  <conditionalFormatting sqref="L8">
    <cfRule type="containsText" dxfId="2706" priority="39" operator="containsText" text="GOOD">
      <formula>NOT(ISERROR(SEARCH("GOOD",L8)))</formula>
    </cfRule>
  </conditionalFormatting>
  <conditionalFormatting sqref="L34">
    <cfRule type="containsText" dxfId="2705" priority="36" operator="containsText" text="FAIL">
      <formula>NOT(ISERROR(SEARCH("FAIL",L34)))</formula>
    </cfRule>
  </conditionalFormatting>
  <conditionalFormatting sqref="L34">
    <cfRule type="containsText" dxfId="2704" priority="35" operator="containsText" text="GOOD">
      <formula>NOT(ISERROR(SEARCH("GOOD",L34)))</formula>
    </cfRule>
  </conditionalFormatting>
  <conditionalFormatting sqref="L35">
    <cfRule type="containsText" dxfId="2703" priority="34" operator="containsText" text="FAIL">
      <formula>NOT(ISERROR(SEARCH("FAIL",L35)))</formula>
    </cfRule>
  </conditionalFormatting>
  <conditionalFormatting sqref="L35">
    <cfRule type="containsText" dxfId="2702" priority="33" operator="containsText" text="GOOD">
      <formula>NOT(ISERROR(SEARCH("GOOD",L35)))</formula>
    </cfRule>
  </conditionalFormatting>
  <conditionalFormatting sqref="L36">
    <cfRule type="containsText" dxfId="2701" priority="32" operator="containsText" text="FAIL">
      <formula>NOT(ISERROR(SEARCH("FAIL",L36)))</formula>
    </cfRule>
  </conditionalFormatting>
  <conditionalFormatting sqref="L36">
    <cfRule type="containsText" dxfId="2700" priority="31" operator="containsText" text="GOOD">
      <formula>NOT(ISERROR(SEARCH("GOOD",L36)))</formula>
    </cfRule>
  </conditionalFormatting>
  <conditionalFormatting sqref="L37">
    <cfRule type="containsText" dxfId="2699" priority="30" operator="containsText" text="FAIL">
      <formula>NOT(ISERROR(SEARCH("FAIL",L37)))</formula>
    </cfRule>
  </conditionalFormatting>
  <conditionalFormatting sqref="L37">
    <cfRule type="containsText" dxfId="2698" priority="29" operator="containsText" text="GOOD">
      <formula>NOT(ISERROR(SEARCH("GOOD",L37)))</formula>
    </cfRule>
  </conditionalFormatting>
  <conditionalFormatting sqref="L38">
    <cfRule type="containsText" dxfId="2697" priority="28" operator="containsText" text="FAIL">
      <formula>NOT(ISERROR(SEARCH("FAIL",L38)))</formula>
    </cfRule>
  </conditionalFormatting>
  <conditionalFormatting sqref="L38">
    <cfRule type="containsText" dxfId="2696" priority="27" operator="containsText" text="GOOD">
      <formula>NOT(ISERROR(SEARCH("GOOD",L38)))</formula>
    </cfRule>
  </conditionalFormatting>
  <conditionalFormatting sqref="L41">
    <cfRule type="containsText" dxfId="2695" priority="26" operator="containsText" text="FAIL">
      <formula>NOT(ISERROR(SEARCH("FAIL",L41)))</formula>
    </cfRule>
  </conditionalFormatting>
  <conditionalFormatting sqref="L41">
    <cfRule type="containsText" dxfId="2694" priority="25" operator="containsText" text="GOOD">
      <formula>NOT(ISERROR(SEARCH("GOOD",L41)))</formula>
    </cfRule>
  </conditionalFormatting>
  <conditionalFormatting sqref="L42">
    <cfRule type="containsText" dxfId="2693" priority="24" operator="containsText" text="FAIL">
      <formula>NOT(ISERROR(SEARCH("FAIL",L42)))</formula>
    </cfRule>
  </conditionalFormatting>
  <conditionalFormatting sqref="L42">
    <cfRule type="containsText" dxfId="2692" priority="23" operator="containsText" text="GOOD">
      <formula>NOT(ISERROR(SEARCH("GOOD",L42)))</formula>
    </cfRule>
  </conditionalFormatting>
  <conditionalFormatting sqref="L43">
    <cfRule type="containsText" dxfId="2691" priority="22" operator="containsText" text="FAIL">
      <formula>NOT(ISERROR(SEARCH("FAIL",L43)))</formula>
    </cfRule>
  </conditionalFormatting>
  <conditionalFormatting sqref="L43">
    <cfRule type="containsText" dxfId="2690" priority="21" operator="containsText" text="GOOD">
      <formula>NOT(ISERROR(SEARCH("GOOD",L43)))</formula>
    </cfRule>
  </conditionalFormatting>
  <conditionalFormatting sqref="L44">
    <cfRule type="containsText" dxfId="2689" priority="20" operator="containsText" text="FAIL">
      <formula>NOT(ISERROR(SEARCH("FAIL",L44)))</formula>
    </cfRule>
  </conditionalFormatting>
  <conditionalFormatting sqref="L44">
    <cfRule type="containsText" dxfId="2688" priority="19" operator="containsText" text="GOOD">
      <formula>NOT(ISERROR(SEARCH("GOOD",L44)))</formula>
    </cfRule>
  </conditionalFormatting>
  <conditionalFormatting sqref="L45">
    <cfRule type="containsText" dxfId="2687" priority="18" operator="containsText" text="FAIL">
      <formula>NOT(ISERROR(SEARCH("FAIL",L45)))</formula>
    </cfRule>
  </conditionalFormatting>
  <conditionalFormatting sqref="L45">
    <cfRule type="containsText" dxfId="2686" priority="17" operator="containsText" text="GOOD">
      <formula>NOT(ISERROR(SEARCH("GOOD",L45)))</formula>
    </cfRule>
  </conditionalFormatting>
  <conditionalFormatting sqref="L46">
    <cfRule type="containsText" dxfId="2685" priority="16" operator="containsText" text="FAIL">
      <formula>NOT(ISERROR(SEARCH("FAIL",L46)))</formula>
    </cfRule>
  </conditionalFormatting>
  <conditionalFormatting sqref="L46">
    <cfRule type="containsText" dxfId="2684" priority="15" operator="containsText" text="GOOD">
      <formula>NOT(ISERROR(SEARCH("GOOD",L46)))</formula>
    </cfRule>
  </conditionalFormatting>
  <conditionalFormatting sqref="L47">
    <cfRule type="containsText" dxfId="2683" priority="14" operator="containsText" text="FAIL">
      <formula>NOT(ISERROR(SEARCH("FAIL",L47)))</formula>
    </cfRule>
  </conditionalFormatting>
  <conditionalFormatting sqref="L47">
    <cfRule type="containsText" dxfId="2682" priority="13" operator="containsText" text="GOOD">
      <formula>NOT(ISERROR(SEARCH("GOOD",L47)))</formula>
    </cfRule>
  </conditionalFormatting>
  <conditionalFormatting sqref="L48">
    <cfRule type="containsText" dxfId="2681" priority="12" operator="containsText" text="FAIL">
      <formula>NOT(ISERROR(SEARCH("FAIL",L48)))</formula>
    </cfRule>
  </conditionalFormatting>
  <conditionalFormatting sqref="L48">
    <cfRule type="containsText" dxfId="2680" priority="11" operator="containsText" text="GOOD">
      <formula>NOT(ISERROR(SEARCH("GOOD",L48)))</formula>
    </cfRule>
  </conditionalFormatting>
  <conditionalFormatting sqref="L49">
    <cfRule type="containsText" dxfId="2679" priority="10" operator="containsText" text="FAIL">
      <formula>NOT(ISERROR(SEARCH("FAIL",L49)))</formula>
    </cfRule>
  </conditionalFormatting>
  <conditionalFormatting sqref="L49">
    <cfRule type="containsText" dxfId="2678" priority="9" operator="containsText" text="GOOD">
      <formula>NOT(ISERROR(SEARCH("GOOD",L49)))</formula>
    </cfRule>
  </conditionalFormatting>
  <conditionalFormatting sqref="L50">
    <cfRule type="containsText" dxfId="2677" priority="8" operator="containsText" text="FAIL">
      <formula>NOT(ISERROR(SEARCH("FAIL",L50)))</formula>
    </cfRule>
  </conditionalFormatting>
  <conditionalFormatting sqref="L50">
    <cfRule type="containsText" dxfId="2676" priority="7" operator="containsText" text="GOOD">
      <formula>NOT(ISERROR(SEARCH("GOOD",L50)))</formula>
    </cfRule>
  </conditionalFormatting>
  <conditionalFormatting sqref="L51">
    <cfRule type="containsText" dxfId="2675" priority="6" operator="containsText" text="FAIL">
      <formula>NOT(ISERROR(SEARCH("FAIL",L51)))</formula>
    </cfRule>
  </conditionalFormatting>
  <conditionalFormatting sqref="L51">
    <cfRule type="containsText" dxfId="2674" priority="5" operator="containsText" text="GOOD">
      <formula>NOT(ISERROR(SEARCH("GOOD",L51)))</formula>
    </cfRule>
  </conditionalFormatting>
  <conditionalFormatting sqref="L54">
    <cfRule type="containsText" dxfId="2673" priority="4" operator="containsText" text="FAIL">
      <formula>NOT(ISERROR(SEARCH("FAIL",L54)))</formula>
    </cfRule>
  </conditionalFormatting>
  <conditionalFormatting sqref="L54">
    <cfRule type="containsText" dxfId="2672" priority="3" operator="containsText" text="GOOD">
      <formula>NOT(ISERROR(SEARCH("GOOD",L54)))</formula>
    </cfRule>
  </conditionalFormatting>
  <conditionalFormatting sqref="L55">
    <cfRule type="containsText" dxfId="2671" priority="2" operator="containsText" text="FAIL">
      <formula>NOT(ISERROR(SEARCH("FAIL",L55)))</formula>
    </cfRule>
  </conditionalFormatting>
  <conditionalFormatting sqref="L55">
    <cfRule type="containsText" dxfId="2670" priority="1" operator="containsText" text="GOOD">
      <formula>NOT(ISERROR(SEARCH("GOOD",L55)))</formula>
    </cfRule>
  </conditionalFormatting>
  <pageMargins left="0.7" right="0.7" top="0.75" bottom="0.75" header="0.3" footer="0.3"/>
  <pageSetup paperSize="17" scale="85" orientation="landscape" r:id="rId1"/>
  <drawing r:id="rId2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A00-000000000000}">
  <sheetPr codeName="Sheet124"/>
  <dimension ref="A2:O47"/>
  <sheetViews>
    <sheetView zoomScaleNormal="100" workbookViewId="0">
      <selection activeCell="F4" sqref="F4"/>
    </sheetView>
  </sheetViews>
  <sheetFormatPr defaultRowHeight="15" x14ac:dyDescent="0.25"/>
  <cols>
    <col min="1" max="2" width="4.42578125" customWidth="1"/>
    <col min="3" max="3" width="3" customWidth="1"/>
    <col min="4" max="4" width="24.7109375" customWidth="1"/>
    <col min="5" max="5" width="3" customWidth="1"/>
    <col min="6" max="6" width="15.7109375" customWidth="1"/>
    <col min="7" max="7" width="8.5703125" customWidth="1"/>
    <col min="8" max="8" width="5.85546875" customWidth="1"/>
    <col min="9" max="15" width="15.7109375" customWidth="1"/>
  </cols>
  <sheetData>
    <row r="2" spans="1:11" x14ac:dyDescent="0.25">
      <c r="C2" s="15" t="s">
        <v>32</v>
      </c>
      <c r="E2" s="15"/>
      <c r="F2" s="15"/>
      <c r="G2" s="15" t="s">
        <v>33</v>
      </c>
      <c r="H2" s="15"/>
      <c r="I2" s="15"/>
      <c r="J2" s="15"/>
      <c r="K2" s="15"/>
    </row>
    <row r="3" spans="1:11" ht="18.75" x14ac:dyDescent="0.3">
      <c r="C3" s="3" t="s">
        <v>26</v>
      </c>
      <c r="J3" s="8" t="s">
        <v>47</v>
      </c>
    </row>
    <row r="4" spans="1:11" x14ac:dyDescent="0.25">
      <c r="D4" s="2" t="s">
        <v>0</v>
      </c>
      <c r="E4" s="1"/>
      <c r="F4" t="s">
        <v>493</v>
      </c>
      <c r="I4" s="2" t="s">
        <v>4</v>
      </c>
      <c r="J4" t="s">
        <v>494</v>
      </c>
    </row>
    <row r="5" spans="1:11" x14ac:dyDescent="0.25">
      <c r="D5" s="2" t="s">
        <v>1</v>
      </c>
      <c r="F5" t="s">
        <v>495</v>
      </c>
    </row>
    <row r="6" spans="1:11" x14ac:dyDescent="0.25">
      <c r="D6" s="2" t="s">
        <v>2</v>
      </c>
      <c r="F6" s="6">
        <v>42394</v>
      </c>
      <c r="H6" s="11"/>
    </row>
    <row r="7" spans="1:11" x14ac:dyDescent="0.25">
      <c r="D7" s="2" t="s">
        <v>3</v>
      </c>
      <c r="F7" s="5">
        <f>+I7+J7</f>
        <v>2530000</v>
      </c>
      <c r="G7" s="2" t="s">
        <v>34</v>
      </c>
      <c r="H7" s="11"/>
      <c r="I7" s="19">
        <v>5000</v>
      </c>
      <c r="J7" s="19">
        <v>2525000</v>
      </c>
    </row>
    <row r="8" spans="1:11" x14ac:dyDescent="0.25">
      <c r="D8" s="2" t="s">
        <v>18</v>
      </c>
      <c r="F8" s="5">
        <f>MIN(K23:K43)</f>
        <v>1836000</v>
      </c>
      <c r="H8" s="11"/>
      <c r="I8" s="18" t="s">
        <v>43</v>
      </c>
      <c r="J8" s="18" t="s">
        <v>44</v>
      </c>
    </row>
    <row r="9" spans="1:11" x14ac:dyDescent="0.25">
      <c r="D9" s="2" t="s">
        <v>19</v>
      </c>
      <c r="F9" s="4">
        <f>+F8-F7</f>
        <v>-694000</v>
      </c>
      <c r="G9" s="16">
        <f>+F9/F7</f>
        <v>-0.27430830039525694</v>
      </c>
      <c r="H9" s="12" t="s">
        <v>20</v>
      </c>
      <c r="I9" s="11" t="str">
        <f>(IF(G9&lt;-0.1,"FAIL",IF(G9&gt;0.05,"FAIL","GOOD")))</f>
        <v>FAIL</v>
      </c>
      <c r="J9" s="14" t="s">
        <v>72</v>
      </c>
    </row>
    <row r="10" spans="1:11" x14ac:dyDescent="0.25">
      <c r="D10" s="2" t="s">
        <v>68</v>
      </c>
      <c r="F10" s="4">
        <f>+F7-F12</f>
        <v>-493514.28571428591</v>
      </c>
      <c r="H10" s="11"/>
    </row>
    <row r="11" spans="1:11" x14ac:dyDescent="0.25">
      <c r="A11" s="30"/>
      <c r="D11" s="2" t="s">
        <v>71</v>
      </c>
      <c r="F11" s="11" t="str">
        <f>(IF(F7&lt;J12,"FAIL",IF(F7&gt;J13,"FAIL","GOOD")))</f>
        <v>GOOD</v>
      </c>
      <c r="H11" s="11"/>
    </row>
    <row r="12" spans="1:11" x14ac:dyDescent="0.25">
      <c r="D12" s="2" t="s">
        <v>28</v>
      </c>
      <c r="F12" s="4">
        <f>SUM(K23:K43)/H12</f>
        <v>3023514.2857142859</v>
      </c>
      <c r="G12" s="14"/>
      <c r="H12" s="11">
        <f>COUNT(K23:K43)</f>
        <v>7</v>
      </c>
      <c r="I12" s="1" t="s">
        <v>31</v>
      </c>
      <c r="J12" s="4">
        <f>+F8*0.9</f>
        <v>1652400</v>
      </c>
      <c r="K12" s="1" t="s">
        <v>69</v>
      </c>
    </row>
    <row r="13" spans="1:11" x14ac:dyDescent="0.25">
      <c r="D13" s="2" t="s">
        <v>29</v>
      </c>
      <c r="F13" s="4">
        <f>MAX(K23:K43)-MIN(K23:K43)</f>
        <v>1939000</v>
      </c>
      <c r="G13" s="399">
        <f>MEDIAN(K23:K43)</f>
        <v>3257000</v>
      </c>
      <c r="H13" s="400"/>
      <c r="I13" s="1" t="s">
        <v>30</v>
      </c>
      <c r="J13" s="4">
        <f>+F12*1.1</f>
        <v>3325865.7142857146</v>
      </c>
      <c r="K13" s="1" t="s">
        <v>70</v>
      </c>
    </row>
    <row r="14" spans="1:11" x14ac:dyDescent="0.25">
      <c r="H14" s="11"/>
    </row>
    <row r="15" spans="1:11" x14ac:dyDescent="0.25">
      <c r="D15" s="2" t="s">
        <v>8</v>
      </c>
      <c r="F15" s="4"/>
      <c r="G15" s="1" t="s">
        <v>9</v>
      </c>
      <c r="H15" s="11"/>
      <c r="I15" t="s">
        <v>15</v>
      </c>
      <c r="J15" s="7" t="e">
        <f>+F16/F15</f>
        <v>#DIV/0!</v>
      </c>
    </row>
    <row r="16" spans="1:11" x14ac:dyDescent="0.25">
      <c r="F16" s="4"/>
      <c r="G16" s="1" t="s">
        <v>10</v>
      </c>
      <c r="H16" s="11"/>
      <c r="I16" t="s">
        <v>14</v>
      </c>
      <c r="J16" s="7" t="e">
        <f>+F17/F16</f>
        <v>#DIV/0!</v>
      </c>
    </row>
    <row r="17" spans="3:15" x14ac:dyDescent="0.25">
      <c r="F17" s="4"/>
      <c r="G17" s="1" t="s">
        <v>11</v>
      </c>
      <c r="H17" s="11"/>
      <c r="I17" t="s">
        <v>13</v>
      </c>
      <c r="J17" s="7" t="e">
        <f>+F18/F17</f>
        <v>#DIV/0!</v>
      </c>
    </row>
    <row r="18" spans="3:15" x14ac:dyDescent="0.25">
      <c r="F18" s="4"/>
      <c r="G18" s="1" t="s">
        <v>12</v>
      </c>
      <c r="H18" s="11"/>
      <c r="I18" t="s">
        <v>16</v>
      </c>
      <c r="J18" s="7" t="e">
        <f>+F8/F18</f>
        <v>#DIV/0!</v>
      </c>
    </row>
    <row r="19" spans="3:15" x14ac:dyDescent="0.25">
      <c r="F19" s="2" t="s">
        <v>51</v>
      </c>
      <c r="G19">
        <v>0</v>
      </c>
      <c r="H19" s="11" t="s">
        <v>52</v>
      </c>
      <c r="I19" t="s">
        <v>41</v>
      </c>
      <c r="J19" s="7" t="e">
        <f>+F8/F15</f>
        <v>#DIV/0!</v>
      </c>
    </row>
    <row r="20" spans="3:15" x14ac:dyDescent="0.25">
      <c r="H20" s="11"/>
      <c r="M20" s="21"/>
      <c r="N20" s="21"/>
      <c r="O20" s="21"/>
    </row>
    <row r="21" spans="3:15" x14ac:dyDescent="0.25">
      <c r="C21" s="9"/>
      <c r="D21" s="13" t="s">
        <v>21</v>
      </c>
      <c r="E21" s="9"/>
      <c r="F21" s="9" t="s">
        <v>22</v>
      </c>
      <c r="G21" s="9" t="s">
        <v>23</v>
      </c>
      <c r="H21" s="13" t="s">
        <v>27</v>
      </c>
      <c r="I21" s="10" t="s">
        <v>38</v>
      </c>
      <c r="J21" s="10" t="s">
        <v>37</v>
      </c>
      <c r="K21" s="10" t="s">
        <v>39</v>
      </c>
      <c r="L21" s="9"/>
      <c r="M21" s="21"/>
      <c r="N21" s="21"/>
      <c r="O21" s="21"/>
    </row>
    <row r="22" spans="3:15" ht="6" customHeight="1" x14ac:dyDescent="0.25">
      <c r="M22" s="21"/>
      <c r="N22" s="21"/>
      <c r="O22" s="21"/>
    </row>
    <row r="23" spans="3:15" x14ac:dyDescent="0.25">
      <c r="C23" s="33" t="str">
        <f>IF(H23=1,"u","")</f>
        <v/>
      </c>
      <c r="D23" s="11" t="s">
        <v>496</v>
      </c>
      <c r="E23" s="33"/>
      <c r="F23" t="s">
        <v>295</v>
      </c>
      <c r="G23" t="s">
        <v>25</v>
      </c>
      <c r="H23">
        <f>RANK(K23,K$23:K$43,1)</f>
        <v>6</v>
      </c>
      <c r="I23" s="4">
        <v>15000</v>
      </c>
      <c r="J23" s="4">
        <v>3725000</v>
      </c>
      <c r="K23" s="4">
        <f>+J23+I23</f>
        <v>3740000</v>
      </c>
      <c r="L23" s="4"/>
      <c r="M23" s="22"/>
      <c r="N23" s="22"/>
      <c r="O23" s="22"/>
    </row>
    <row r="24" spans="3:15" x14ac:dyDescent="0.25">
      <c r="C24" s="33" t="str">
        <f>IF(H24=1,"u","")</f>
        <v/>
      </c>
      <c r="D24" s="11" t="s">
        <v>497</v>
      </c>
      <c r="E24" s="33"/>
      <c r="F24" t="s">
        <v>498</v>
      </c>
      <c r="G24" t="s">
        <v>93</v>
      </c>
      <c r="H24">
        <f t="shared" ref="H24:H29" si="0">RANK(K24,K$23:K$43,1)</f>
        <v>5</v>
      </c>
      <c r="I24" s="4">
        <v>7500</v>
      </c>
      <c r="J24" s="4">
        <v>3432500</v>
      </c>
      <c r="K24" s="4">
        <f t="shared" ref="K24:K29" si="1">+J24+I24</f>
        <v>3440000</v>
      </c>
      <c r="L24" s="4"/>
      <c r="M24" s="22"/>
      <c r="N24" s="22"/>
      <c r="O24" s="22"/>
    </row>
    <row r="25" spans="3:15" x14ac:dyDescent="0.25">
      <c r="C25" s="33" t="str">
        <f>IF(H25=1,"u","")</f>
        <v/>
      </c>
      <c r="D25" s="11" t="s">
        <v>491</v>
      </c>
      <c r="E25" s="33"/>
      <c r="F25" t="s">
        <v>203</v>
      </c>
      <c r="G25" t="s">
        <v>204</v>
      </c>
      <c r="H25">
        <f t="shared" si="0"/>
        <v>7</v>
      </c>
      <c r="I25" s="4">
        <v>7500</v>
      </c>
      <c r="J25" s="4">
        <v>3767500</v>
      </c>
      <c r="K25" s="4">
        <f t="shared" si="1"/>
        <v>3775000</v>
      </c>
      <c r="L25" s="4"/>
      <c r="M25" s="22"/>
      <c r="N25" s="22"/>
      <c r="O25" s="22"/>
    </row>
    <row r="26" spans="3:15" x14ac:dyDescent="0.25">
      <c r="C26" s="33" t="str">
        <f t="shared" ref="C26:C43" si="2">IF(H26=1,"u","")</f>
        <v/>
      </c>
      <c r="D26" s="11" t="s">
        <v>499</v>
      </c>
      <c r="E26" s="33"/>
      <c r="F26" t="s">
        <v>100</v>
      </c>
      <c r="G26" t="s">
        <v>93</v>
      </c>
      <c r="H26">
        <f t="shared" si="0"/>
        <v>3</v>
      </c>
      <c r="I26" s="4">
        <v>10250</v>
      </c>
      <c r="J26" s="4">
        <v>2610850</v>
      </c>
      <c r="K26" s="4">
        <f t="shared" si="1"/>
        <v>2621100</v>
      </c>
      <c r="L26" s="4"/>
      <c r="M26" s="22"/>
      <c r="N26" s="22"/>
      <c r="O26" s="22"/>
    </row>
    <row r="27" spans="3:15" x14ac:dyDescent="0.25">
      <c r="C27" s="33" t="str">
        <f t="shared" si="2"/>
        <v/>
      </c>
      <c r="D27" s="11" t="s">
        <v>500</v>
      </c>
      <c r="E27" s="33"/>
      <c r="F27" t="s">
        <v>501</v>
      </c>
      <c r="G27" t="s">
        <v>93</v>
      </c>
      <c r="H27">
        <f t="shared" si="0"/>
        <v>4</v>
      </c>
      <c r="I27" s="4">
        <v>49900</v>
      </c>
      <c r="J27" s="4">
        <v>3207100</v>
      </c>
      <c r="K27" s="4">
        <f t="shared" si="1"/>
        <v>3257000</v>
      </c>
      <c r="L27" s="4"/>
      <c r="M27" s="22"/>
      <c r="N27" s="22"/>
      <c r="O27" s="22"/>
    </row>
    <row r="28" spans="3:15" x14ac:dyDescent="0.25">
      <c r="C28" s="33" t="str">
        <f t="shared" si="2"/>
        <v>u</v>
      </c>
      <c r="D28" s="11" t="s">
        <v>450</v>
      </c>
      <c r="E28" s="33"/>
      <c r="F28" t="s">
        <v>451</v>
      </c>
      <c r="G28" t="s">
        <v>93</v>
      </c>
      <c r="H28">
        <f t="shared" si="0"/>
        <v>1</v>
      </c>
      <c r="I28" s="4">
        <v>20000</v>
      </c>
      <c r="J28" s="4">
        <v>1816000</v>
      </c>
      <c r="K28" s="4">
        <f t="shared" si="1"/>
        <v>1836000</v>
      </c>
      <c r="L28" s="4"/>
      <c r="M28" s="22"/>
      <c r="N28" s="22"/>
      <c r="O28" s="22"/>
    </row>
    <row r="29" spans="3:15" x14ac:dyDescent="0.25">
      <c r="C29" s="33" t="str">
        <f t="shared" si="2"/>
        <v/>
      </c>
      <c r="D29" s="11" t="s">
        <v>502</v>
      </c>
      <c r="E29" s="33"/>
      <c r="F29" t="s">
        <v>95</v>
      </c>
      <c r="G29" t="s">
        <v>93</v>
      </c>
      <c r="H29">
        <f t="shared" si="0"/>
        <v>2</v>
      </c>
      <c r="I29" s="4">
        <v>4500</v>
      </c>
      <c r="J29" s="4">
        <v>2491000</v>
      </c>
      <c r="K29" s="4">
        <f t="shared" si="1"/>
        <v>2495500</v>
      </c>
      <c r="L29" s="4"/>
      <c r="M29" s="22"/>
      <c r="N29" s="22"/>
      <c r="O29" s="22"/>
    </row>
    <row r="30" spans="3:15" x14ac:dyDescent="0.25">
      <c r="C30" s="33"/>
      <c r="D30" s="11"/>
      <c r="E30" s="33"/>
      <c r="I30" s="4"/>
      <c r="J30" s="4"/>
      <c r="K30" s="4"/>
      <c r="L30" s="4"/>
      <c r="M30" s="22"/>
      <c r="N30" s="22"/>
      <c r="O30" s="22"/>
    </row>
    <row r="31" spans="3:15" x14ac:dyDescent="0.25">
      <c r="C31" s="33"/>
      <c r="D31" s="11"/>
      <c r="E31" s="33"/>
      <c r="I31" s="4"/>
      <c r="J31" s="4"/>
      <c r="K31" s="4"/>
      <c r="L31" s="4"/>
      <c r="M31" s="22"/>
      <c r="N31" s="22"/>
      <c r="O31" s="22"/>
    </row>
    <row r="32" spans="3:15" x14ac:dyDescent="0.25">
      <c r="C32" s="33"/>
      <c r="D32" s="11"/>
      <c r="E32" s="33"/>
      <c r="I32" s="4"/>
      <c r="J32" s="4"/>
      <c r="K32" s="4"/>
      <c r="L32" s="4"/>
      <c r="M32" s="22"/>
      <c r="N32" s="22"/>
      <c r="O32" s="22"/>
    </row>
    <row r="33" spans="3:15" x14ac:dyDescent="0.25">
      <c r="C33" s="33"/>
      <c r="D33" s="11"/>
      <c r="E33" s="33"/>
      <c r="I33" s="4"/>
      <c r="J33" s="4"/>
      <c r="K33" s="4"/>
      <c r="M33" s="21"/>
      <c r="N33" s="21"/>
      <c r="O33" s="21"/>
    </row>
    <row r="34" spans="3:15" x14ac:dyDescent="0.25">
      <c r="C34" s="33" t="str">
        <f t="shared" si="2"/>
        <v/>
      </c>
      <c r="D34" s="11"/>
      <c r="E34" s="33" t="str">
        <f t="shared" ref="E34:E43" si="3">IF(H34=1,"t","")</f>
        <v/>
      </c>
      <c r="K34" s="4"/>
      <c r="M34" s="21"/>
      <c r="N34" s="21"/>
      <c r="O34" s="21"/>
    </row>
    <row r="35" spans="3:15" x14ac:dyDescent="0.25">
      <c r="C35" s="33" t="str">
        <f t="shared" si="2"/>
        <v/>
      </c>
      <c r="D35" s="11"/>
      <c r="E35" s="33" t="str">
        <f t="shared" si="3"/>
        <v/>
      </c>
      <c r="K35" s="4"/>
      <c r="M35" s="21"/>
      <c r="N35" s="21"/>
      <c r="O35" s="21"/>
    </row>
    <row r="36" spans="3:15" x14ac:dyDescent="0.25">
      <c r="C36" s="33" t="str">
        <f t="shared" si="2"/>
        <v/>
      </c>
      <c r="D36" s="11"/>
      <c r="E36" s="33" t="str">
        <f t="shared" si="3"/>
        <v/>
      </c>
      <c r="K36" s="4"/>
      <c r="M36" s="21"/>
      <c r="N36" s="21"/>
      <c r="O36" s="21"/>
    </row>
    <row r="37" spans="3:15" x14ac:dyDescent="0.25">
      <c r="C37" s="33" t="str">
        <f t="shared" si="2"/>
        <v/>
      </c>
      <c r="D37" s="11"/>
      <c r="E37" s="33" t="str">
        <f t="shared" si="3"/>
        <v/>
      </c>
      <c r="K37" s="4"/>
      <c r="M37" s="21"/>
      <c r="N37" s="21"/>
      <c r="O37" s="21"/>
    </row>
    <row r="38" spans="3:15" x14ac:dyDescent="0.25">
      <c r="C38" s="33" t="str">
        <f t="shared" si="2"/>
        <v/>
      </c>
      <c r="D38" s="11"/>
      <c r="E38" s="33" t="str">
        <f t="shared" si="3"/>
        <v/>
      </c>
      <c r="K38" s="4"/>
      <c r="M38" s="21"/>
      <c r="N38" s="21"/>
      <c r="O38" s="21"/>
    </row>
    <row r="39" spans="3:15" x14ac:dyDescent="0.25">
      <c r="C39" s="33" t="str">
        <f t="shared" si="2"/>
        <v/>
      </c>
      <c r="D39" s="11"/>
      <c r="E39" s="33" t="str">
        <f t="shared" si="3"/>
        <v/>
      </c>
      <c r="K39" s="4"/>
      <c r="M39" s="21"/>
      <c r="N39" s="21"/>
      <c r="O39" s="21"/>
    </row>
    <row r="40" spans="3:15" x14ac:dyDescent="0.25">
      <c r="C40" s="33" t="str">
        <f t="shared" si="2"/>
        <v/>
      </c>
      <c r="D40" s="11"/>
      <c r="E40" s="33" t="str">
        <f t="shared" si="3"/>
        <v/>
      </c>
      <c r="K40" s="4"/>
      <c r="M40" s="21"/>
      <c r="N40" s="21"/>
      <c r="O40" s="21"/>
    </row>
    <row r="41" spans="3:15" x14ac:dyDescent="0.25">
      <c r="C41" s="33" t="str">
        <f t="shared" si="2"/>
        <v/>
      </c>
      <c r="D41" s="11"/>
      <c r="E41" s="33" t="str">
        <f t="shared" si="3"/>
        <v/>
      </c>
      <c r="K41" s="4"/>
      <c r="M41" s="21"/>
      <c r="N41" s="21"/>
      <c r="O41" s="21"/>
    </row>
    <row r="42" spans="3:15" x14ac:dyDescent="0.25">
      <c r="C42" s="33" t="str">
        <f t="shared" si="2"/>
        <v/>
      </c>
      <c r="D42" s="11"/>
      <c r="E42" s="33" t="str">
        <f t="shared" si="3"/>
        <v/>
      </c>
      <c r="K42" s="4"/>
      <c r="M42" s="21"/>
      <c r="N42" s="21"/>
      <c r="O42" s="21"/>
    </row>
    <row r="43" spans="3:15" x14ac:dyDescent="0.25">
      <c r="C43" s="33" t="str">
        <f t="shared" si="2"/>
        <v/>
      </c>
      <c r="D43" s="11"/>
      <c r="E43" s="33" t="str">
        <f t="shared" si="3"/>
        <v/>
      </c>
      <c r="K43" s="4"/>
      <c r="M43" s="21"/>
      <c r="N43" s="21"/>
      <c r="O43" s="21"/>
    </row>
    <row r="44" spans="3:15" ht="6" customHeight="1" x14ac:dyDescent="0.25">
      <c r="C44" s="9"/>
      <c r="D44" s="9"/>
      <c r="E44" s="9"/>
      <c r="F44" s="9"/>
      <c r="G44" s="9"/>
      <c r="H44" s="9"/>
      <c r="I44" s="9"/>
      <c r="J44" s="9"/>
      <c r="K44" s="9"/>
      <c r="L44" s="9"/>
      <c r="M44" s="21"/>
      <c r="N44" s="21"/>
      <c r="O44" s="21"/>
    </row>
    <row r="45" spans="3:15" ht="6" customHeight="1" x14ac:dyDescent="0.25">
      <c r="M45" s="21"/>
      <c r="N45" s="21"/>
      <c r="O45" s="21"/>
    </row>
    <row r="46" spans="3:15" x14ac:dyDescent="0.25">
      <c r="C46" s="15" t="s">
        <v>79</v>
      </c>
      <c r="M46" s="21"/>
      <c r="N46" s="21"/>
      <c r="O46" s="21"/>
    </row>
    <row r="47" spans="3:15" x14ac:dyDescent="0.25">
      <c r="C47" s="15" t="s">
        <v>78</v>
      </c>
    </row>
  </sheetData>
  <mergeCells count="1">
    <mergeCell ref="G13:H13"/>
  </mergeCells>
  <conditionalFormatting sqref="I9">
    <cfRule type="containsText" dxfId="596" priority="19" operator="containsText" text="FAIL">
      <formula>NOT(ISERROR(SEARCH("FAIL",I9)))</formula>
    </cfRule>
  </conditionalFormatting>
  <conditionalFormatting sqref="I9">
    <cfRule type="containsText" dxfId="595" priority="18" operator="containsText" text="GOOD">
      <formula>NOT(ISERROR(SEARCH("GOOD",I9)))</formula>
    </cfRule>
  </conditionalFormatting>
  <conditionalFormatting sqref="I9">
    <cfRule type="containsText" dxfId="594" priority="17" operator="containsText" text="FAIL">
      <formula>NOT(ISERROR(SEARCH("FAIL",I9)))</formula>
    </cfRule>
  </conditionalFormatting>
  <conditionalFormatting sqref="I9">
    <cfRule type="containsText" dxfId="593" priority="16" operator="containsText" text="GOOD">
      <formula>NOT(ISERROR(SEARCH("GOOD",I9)))</formula>
    </cfRule>
  </conditionalFormatting>
  <conditionalFormatting sqref="I9">
    <cfRule type="containsText" dxfId="592" priority="15" operator="containsText" text="FAIL">
      <formula>NOT(ISERROR(SEARCH("FAIL",I9)))</formula>
    </cfRule>
  </conditionalFormatting>
  <conditionalFormatting sqref="I9">
    <cfRule type="containsText" dxfId="591" priority="14" operator="containsText" text="GOOD">
      <formula>NOT(ISERROR(SEARCH("GOOD",I9)))</formula>
    </cfRule>
  </conditionalFormatting>
  <conditionalFormatting sqref="F11">
    <cfRule type="containsText" dxfId="590" priority="13" operator="containsText" text="FAIL">
      <formula>NOT(ISERROR(SEARCH("FAIL",F11)))</formula>
    </cfRule>
  </conditionalFormatting>
  <conditionalFormatting sqref="F11">
    <cfRule type="containsText" dxfId="589" priority="12" operator="containsText" text="GOOD">
      <formula>NOT(ISERROR(SEARCH("GOOD",F11)))</formula>
    </cfRule>
  </conditionalFormatting>
  <conditionalFormatting sqref="I9">
    <cfRule type="containsText" dxfId="588" priority="11" operator="containsText" text="FAIL">
      <formula>NOT(ISERROR(SEARCH("FAIL",I9)))</formula>
    </cfRule>
  </conditionalFormatting>
  <conditionalFormatting sqref="I9">
    <cfRule type="containsText" dxfId="587" priority="10" operator="containsText" text="GOOD">
      <formula>NOT(ISERROR(SEARCH("GOOD",I9)))</formula>
    </cfRule>
  </conditionalFormatting>
  <conditionalFormatting sqref="F11">
    <cfRule type="containsText" dxfId="586" priority="9" operator="containsText" text="FAIL">
      <formula>NOT(ISERROR(SEARCH("FAIL",F11)))</formula>
    </cfRule>
  </conditionalFormatting>
  <conditionalFormatting sqref="F11">
    <cfRule type="containsText" dxfId="585" priority="8" operator="containsText" text="GOOD">
      <formula>NOT(ISERROR(SEARCH("GOOD",F11)))</formula>
    </cfRule>
  </conditionalFormatting>
  <conditionalFormatting sqref="D25">
    <cfRule type="expression" dxfId="584" priority="7" stopIfTrue="1">
      <formula>IF($H$25=1,0)</formula>
    </cfRule>
  </conditionalFormatting>
  <conditionalFormatting sqref="D23:D43">
    <cfRule type="expression" dxfId="583" priority="6">
      <formula>H23=1</formula>
    </cfRule>
  </conditionalFormatting>
  <conditionalFormatting sqref="C23:C43">
    <cfRule type="expression" dxfId="582" priority="5">
      <formula>H23=1</formula>
    </cfRule>
  </conditionalFormatting>
  <conditionalFormatting sqref="E23:E43">
    <cfRule type="expression" dxfId="581" priority="4">
      <formula>H23=1</formula>
    </cfRule>
  </conditionalFormatting>
  <conditionalFormatting sqref="E23:E43">
    <cfRule type="expression" dxfId="580" priority="3">
      <formula>H23=1</formula>
    </cfRule>
  </conditionalFormatting>
  <conditionalFormatting sqref="F11">
    <cfRule type="containsText" dxfId="579" priority="2" operator="containsText" text="FAIL">
      <formula>NOT(ISERROR(SEARCH("FAIL",F11)))</formula>
    </cfRule>
  </conditionalFormatting>
  <conditionalFormatting sqref="F11">
    <cfRule type="containsText" dxfId="578" priority="1" operator="containsText" text="GOOD">
      <formula>NOT(ISERROR(SEARCH("GOOD",F11)))</formula>
    </cfRule>
  </conditionalFormatting>
  <pageMargins left="0.7" right="0.7" top="0.75" bottom="0.75" header="0.3" footer="0.3"/>
  <pageSetup scale="68" orientation="portrait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sheetPr codeName="Sheet76"/>
  <dimension ref="A2:O47"/>
  <sheetViews>
    <sheetView workbookViewId="0">
      <selection activeCell="M24" sqref="M24"/>
    </sheetView>
  </sheetViews>
  <sheetFormatPr defaultRowHeight="15" x14ac:dyDescent="0.25"/>
  <cols>
    <col min="1" max="2" width="4.42578125" customWidth="1"/>
    <col min="3" max="3" width="3" customWidth="1"/>
    <col min="4" max="4" width="24.7109375" customWidth="1"/>
    <col min="5" max="5" width="3" customWidth="1"/>
    <col min="6" max="6" width="15.7109375" customWidth="1"/>
    <col min="7" max="7" width="8.5703125" customWidth="1"/>
    <col min="8" max="8" width="5.85546875" customWidth="1"/>
    <col min="9" max="15" width="15.7109375" customWidth="1"/>
  </cols>
  <sheetData>
    <row r="2" spans="1:11" x14ac:dyDescent="0.25">
      <c r="C2" s="15" t="s">
        <v>32</v>
      </c>
      <c r="E2" s="15"/>
      <c r="F2" s="15"/>
      <c r="G2" s="15" t="s">
        <v>33</v>
      </c>
      <c r="H2" s="15"/>
      <c r="I2" s="15"/>
      <c r="J2" s="15"/>
      <c r="K2" s="15"/>
    </row>
    <row r="3" spans="1:11" ht="18.75" x14ac:dyDescent="0.3">
      <c r="C3" s="3" t="s">
        <v>26</v>
      </c>
      <c r="J3" s="8" t="s">
        <v>47</v>
      </c>
    </row>
    <row r="4" spans="1:11" x14ac:dyDescent="0.25">
      <c r="D4" s="2" t="s">
        <v>0</v>
      </c>
      <c r="E4" s="1"/>
      <c r="F4" t="s">
        <v>868</v>
      </c>
      <c r="I4" s="2" t="s">
        <v>4</v>
      </c>
      <c r="J4" t="s">
        <v>784</v>
      </c>
    </row>
    <row r="5" spans="1:11" x14ac:dyDescent="0.25">
      <c r="D5" s="2" t="s">
        <v>1</v>
      </c>
      <c r="F5" t="s">
        <v>869</v>
      </c>
    </row>
    <row r="6" spans="1:11" x14ac:dyDescent="0.25">
      <c r="D6" s="2" t="s">
        <v>2</v>
      </c>
      <c r="F6" s="6">
        <v>42761</v>
      </c>
      <c r="H6" s="11"/>
    </row>
    <row r="7" spans="1:11" x14ac:dyDescent="0.25">
      <c r="D7" s="2" t="s">
        <v>3</v>
      </c>
      <c r="F7" s="5">
        <f>+I7+J7</f>
        <v>5100000</v>
      </c>
      <c r="G7" s="2" t="s">
        <v>34</v>
      </c>
      <c r="H7" s="11"/>
      <c r="I7" s="19">
        <v>324000</v>
      </c>
      <c r="J7" s="19">
        <v>4776000</v>
      </c>
    </row>
    <row r="8" spans="1:11" x14ac:dyDescent="0.25">
      <c r="D8" s="2" t="s">
        <v>18</v>
      </c>
      <c r="F8" s="5">
        <f>MIN(K23:K43)</f>
        <v>4640176</v>
      </c>
      <c r="H8" s="11"/>
      <c r="I8" s="18" t="s">
        <v>43</v>
      </c>
      <c r="J8" s="18" t="s">
        <v>44</v>
      </c>
    </row>
    <row r="9" spans="1:11" x14ac:dyDescent="0.25">
      <c r="D9" s="2" t="s">
        <v>19</v>
      </c>
      <c r="F9" s="4">
        <f>+F8-F7</f>
        <v>-459824</v>
      </c>
      <c r="G9" s="16">
        <f>+F9/F7</f>
        <v>-9.0161568627450978E-2</v>
      </c>
      <c r="H9" s="12" t="s">
        <v>20</v>
      </c>
      <c r="I9" s="11" t="str">
        <f>(IF(G9&lt;-0.1,"FAIL",IF(G9&gt;0.05,"FAIL","GOOD")))</f>
        <v>GOOD</v>
      </c>
      <c r="J9" s="14" t="s">
        <v>72</v>
      </c>
    </row>
    <row r="10" spans="1:11" x14ac:dyDescent="0.25">
      <c r="D10" s="2" t="s">
        <v>68</v>
      </c>
      <c r="F10" s="4">
        <f>+F7-F12</f>
        <v>-566320.85714285728</v>
      </c>
      <c r="H10" s="11"/>
    </row>
    <row r="11" spans="1:11" x14ac:dyDescent="0.25">
      <c r="A11" s="30"/>
      <c r="D11" s="2" t="s">
        <v>71</v>
      </c>
      <c r="F11" s="11" t="str">
        <f>(IF(F7&lt;J12,"FAIL",IF(F7&gt;J13,"FAIL","GOOD")))</f>
        <v>GOOD</v>
      </c>
      <c r="H11" s="11"/>
    </row>
    <row r="12" spans="1:11" x14ac:dyDescent="0.25">
      <c r="D12" s="2" t="s">
        <v>28</v>
      </c>
      <c r="F12" s="4">
        <f>SUM(K23:K43)/H12</f>
        <v>5666320.8571428573</v>
      </c>
      <c r="G12" s="14"/>
      <c r="H12" s="11">
        <f>COUNT(K23:K43)</f>
        <v>7</v>
      </c>
      <c r="I12" s="1" t="s">
        <v>31</v>
      </c>
      <c r="J12" s="4">
        <f>+F8*0.9</f>
        <v>4176158.4</v>
      </c>
      <c r="K12" s="1" t="s">
        <v>69</v>
      </c>
    </row>
    <row r="13" spans="1:11" x14ac:dyDescent="0.25">
      <c r="D13" s="2" t="s">
        <v>29</v>
      </c>
      <c r="F13" s="4">
        <f>MAX(K23:K43)-MIN(K23:K43)</f>
        <v>4599824</v>
      </c>
      <c r="G13" s="399">
        <f>MEDIAN(K23:K43)</f>
        <v>5287400</v>
      </c>
      <c r="H13" s="400"/>
      <c r="I13" s="1" t="s">
        <v>30</v>
      </c>
      <c r="J13" s="4">
        <f>+F12*1.1</f>
        <v>6232952.9428571435</v>
      </c>
      <c r="K13" s="1" t="s">
        <v>70</v>
      </c>
    </row>
    <row r="14" spans="1:11" x14ac:dyDescent="0.25">
      <c r="H14" s="11"/>
    </row>
    <row r="15" spans="1:11" x14ac:dyDescent="0.25">
      <c r="D15" s="2" t="s">
        <v>8</v>
      </c>
      <c r="F15" s="4">
        <v>30000000</v>
      </c>
      <c r="G15" s="1" t="s">
        <v>9</v>
      </c>
      <c r="H15" s="11"/>
      <c r="I15" t="s">
        <v>15</v>
      </c>
      <c r="J15" s="7">
        <f>+F16/F15</f>
        <v>0.93333333333333335</v>
      </c>
    </row>
    <row r="16" spans="1:11" x14ac:dyDescent="0.25">
      <c r="F16" s="4">
        <v>28000000</v>
      </c>
      <c r="G16" s="1" t="s">
        <v>10</v>
      </c>
      <c r="H16" s="11"/>
      <c r="I16" t="s">
        <v>14</v>
      </c>
      <c r="J16" s="7">
        <f>+F17/F16</f>
        <v>1.0535714285714286</v>
      </c>
    </row>
    <row r="17" spans="3:15" x14ac:dyDescent="0.25">
      <c r="F17" s="4">
        <v>29500000</v>
      </c>
      <c r="G17" s="1" t="s">
        <v>11</v>
      </c>
      <c r="H17" s="11"/>
      <c r="I17" t="s">
        <v>13</v>
      </c>
      <c r="J17" s="7">
        <f>+F18/F17</f>
        <v>0.17288135593220338</v>
      </c>
    </row>
    <row r="18" spans="3:15" x14ac:dyDescent="0.25">
      <c r="F18" s="4">
        <f>+F7</f>
        <v>5100000</v>
      </c>
      <c r="G18" s="1" t="s">
        <v>12</v>
      </c>
      <c r="H18" s="11"/>
      <c r="I18" t="s">
        <v>16</v>
      </c>
      <c r="J18" s="7">
        <f>+F8/F18</f>
        <v>0.90983843137254905</v>
      </c>
    </row>
    <row r="19" spans="3:15" x14ac:dyDescent="0.25">
      <c r="F19" s="2" t="s">
        <v>51</v>
      </c>
      <c r="G19">
        <v>0</v>
      </c>
      <c r="H19" s="11" t="s">
        <v>52</v>
      </c>
      <c r="I19" t="s">
        <v>41</v>
      </c>
      <c r="J19" s="7">
        <f>+F8/F15</f>
        <v>0.15467253333333333</v>
      </c>
    </row>
    <row r="20" spans="3:15" x14ac:dyDescent="0.25">
      <c r="H20" s="11"/>
      <c r="M20" s="21"/>
      <c r="N20" s="21"/>
      <c r="O20" s="21"/>
    </row>
    <row r="21" spans="3:15" x14ac:dyDescent="0.25">
      <c r="C21" s="9"/>
      <c r="D21" s="13" t="s">
        <v>21</v>
      </c>
      <c r="E21" s="9"/>
      <c r="F21" s="9" t="s">
        <v>22</v>
      </c>
      <c r="G21" s="9" t="s">
        <v>23</v>
      </c>
      <c r="H21" s="13" t="s">
        <v>27</v>
      </c>
      <c r="I21" s="10" t="s">
        <v>38</v>
      </c>
      <c r="J21" s="10" t="s">
        <v>37</v>
      </c>
      <c r="K21" s="10" t="s">
        <v>39</v>
      </c>
      <c r="L21" s="9"/>
      <c r="M21" s="21"/>
      <c r="N21" s="21"/>
      <c r="O21" s="21"/>
    </row>
    <row r="22" spans="3:15" ht="6" customHeight="1" x14ac:dyDescent="0.25">
      <c r="M22" s="21"/>
      <c r="N22" s="21"/>
      <c r="O22" s="21"/>
    </row>
    <row r="23" spans="3:15" x14ac:dyDescent="0.25">
      <c r="C23" s="33" t="str">
        <f>IF(H23=1,"u","")</f>
        <v/>
      </c>
      <c r="D23" s="11" t="s">
        <v>450</v>
      </c>
      <c r="E23" s="33"/>
      <c r="F23" t="s">
        <v>451</v>
      </c>
      <c r="G23" t="s">
        <v>93</v>
      </c>
      <c r="H23">
        <f>RANK(K23,K$23:K$43,1)</f>
        <v>2</v>
      </c>
      <c r="I23" s="4">
        <v>452400</v>
      </c>
      <c r="J23" s="4">
        <v>4250000</v>
      </c>
      <c r="K23" s="4">
        <f>+J23+I23</f>
        <v>4702400</v>
      </c>
      <c r="L23" s="4"/>
      <c r="M23" s="22"/>
      <c r="N23" s="22"/>
      <c r="O23" s="22"/>
    </row>
    <row r="24" spans="3:15" x14ac:dyDescent="0.25">
      <c r="C24" s="33" t="str">
        <f>IF(H24=1,"u","")</f>
        <v/>
      </c>
      <c r="D24" s="11" t="s">
        <v>502</v>
      </c>
      <c r="E24" s="33"/>
      <c r="F24" t="s">
        <v>95</v>
      </c>
      <c r="G24" t="s">
        <v>93</v>
      </c>
      <c r="H24">
        <f t="shared" ref="H24:H29" si="0">RANK(K24,K$23:K$43,1)</f>
        <v>4</v>
      </c>
      <c r="I24" s="4">
        <v>263100</v>
      </c>
      <c r="J24" s="4">
        <v>5024300</v>
      </c>
      <c r="K24" s="4">
        <f t="shared" ref="K24:K29" si="1">+J24+I24</f>
        <v>5287400</v>
      </c>
      <c r="L24" s="4"/>
      <c r="M24" s="22"/>
      <c r="N24" s="22"/>
      <c r="O24" s="22"/>
    </row>
    <row r="25" spans="3:15" x14ac:dyDescent="0.25">
      <c r="C25" s="33" t="str">
        <f>IF(H25=1,"u","")</f>
        <v/>
      </c>
      <c r="D25" s="11" t="s">
        <v>870</v>
      </c>
      <c r="E25" s="33"/>
      <c r="F25" t="s">
        <v>871</v>
      </c>
      <c r="G25" t="s">
        <v>93</v>
      </c>
      <c r="H25">
        <f t="shared" si="0"/>
        <v>6</v>
      </c>
      <c r="I25" s="4">
        <v>538200</v>
      </c>
      <c r="J25" s="4">
        <v>4991043</v>
      </c>
      <c r="K25" s="4">
        <f t="shared" si="1"/>
        <v>5529243</v>
      </c>
      <c r="L25" s="4"/>
      <c r="M25" s="22"/>
      <c r="N25" s="22"/>
      <c r="O25" s="22"/>
    </row>
    <row r="26" spans="3:15" x14ac:dyDescent="0.25">
      <c r="C26" s="33" t="str">
        <f t="shared" ref="C26:C43" si="2">IF(H26=1,"u","")</f>
        <v>u</v>
      </c>
      <c r="D26" s="11" t="s">
        <v>491</v>
      </c>
      <c r="E26" s="33"/>
      <c r="F26" t="s">
        <v>203</v>
      </c>
      <c r="G26" t="s">
        <v>204</v>
      </c>
      <c r="H26">
        <f t="shared" si="0"/>
        <v>1</v>
      </c>
      <c r="I26" s="4">
        <v>322800</v>
      </c>
      <c r="J26" s="4">
        <v>4317376</v>
      </c>
      <c r="K26" s="4">
        <f t="shared" si="1"/>
        <v>4640176</v>
      </c>
      <c r="L26" s="4"/>
      <c r="M26" s="22"/>
      <c r="N26" s="22"/>
      <c r="O26" s="22"/>
    </row>
    <row r="27" spans="3:15" x14ac:dyDescent="0.25">
      <c r="C27" s="33" t="str">
        <f t="shared" si="2"/>
        <v/>
      </c>
      <c r="D27" s="11" t="s">
        <v>872</v>
      </c>
      <c r="E27" s="33"/>
      <c r="F27" t="s">
        <v>873</v>
      </c>
      <c r="G27" t="s">
        <v>93</v>
      </c>
      <c r="H27">
        <f t="shared" si="0"/>
        <v>7</v>
      </c>
      <c r="I27" s="4">
        <v>540000</v>
      </c>
      <c r="J27" s="4">
        <v>8700000</v>
      </c>
      <c r="K27" s="4">
        <f t="shared" si="1"/>
        <v>9240000</v>
      </c>
      <c r="L27" s="4"/>
      <c r="M27" s="22"/>
      <c r="N27" s="22"/>
      <c r="O27" s="22"/>
    </row>
    <row r="28" spans="3:15" x14ac:dyDescent="0.25">
      <c r="C28" s="33" t="str">
        <f t="shared" si="2"/>
        <v/>
      </c>
      <c r="D28" s="11" t="s">
        <v>874</v>
      </c>
      <c r="E28" s="33"/>
      <c r="F28" t="s">
        <v>532</v>
      </c>
      <c r="G28" t="s">
        <v>93</v>
      </c>
      <c r="H28">
        <f t="shared" si="0"/>
        <v>3</v>
      </c>
      <c r="I28" s="4">
        <v>269160</v>
      </c>
      <c r="J28" s="4">
        <v>4528367</v>
      </c>
      <c r="K28" s="4">
        <f t="shared" si="1"/>
        <v>4797527</v>
      </c>
      <c r="L28" s="4"/>
      <c r="M28" s="22"/>
      <c r="N28" s="22"/>
      <c r="O28" s="22"/>
    </row>
    <row r="29" spans="3:15" x14ac:dyDescent="0.25">
      <c r="C29" s="33" t="str">
        <f t="shared" si="2"/>
        <v/>
      </c>
      <c r="D29" s="11" t="s">
        <v>875</v>
      </c>
      <c r="E29" s="33"/>
      <c r="F29" t="s">
        <v>100</v>
      </c>
      <c r="G29" t="s">
        <v>93</v>
      </c>
      <c r="H29">
        <f t="shared" si="0"/>
        <v>5</v>
      </c>
      <c r="I29" s="4">
        <v>245500</v>
      </c>
      <c r="J29" s="4">
        <v>5222000</v>
      </c>
      <c r="K29" s="4">
        <f t="shared" si="1"/>
        <v>5467500</v>
      </c>
      <c r="L29" s="4"/>
      <c r="M29" s="22"/>
      <c r="N29" s="22"/>
      <c r="O29" s="22"/>
    </row>
    <row r="30" spans="3:15" x14ac:dyDescent="0.25">
      <c r="C30" s="33"/>
      <c r="D30" s="11"/>
      <c r="E30" s="33"/>
      <c r="I30" s="4"/>
      <c r="J30" s="4"/>
      <c r="K30" s="4"/>
      <c r="L30" s="4"/>
      <c r="M30" s="22"/>
      <c r="N30" s="22"/>
      <c r="O30" s="22"/>
    </row>
    <row r="31" spans="3:15" x14ac:dyDescent="0.25">
      <c r="C31" s="33"/>
      <c r="D31" s="11"/>
      <c r="E31" s="33"/>
      <c r="I31" s="4"/>
      <c r="J31" s="4"/>
      <c r="K31" s="4"/>
      <c r="L31" s="4"/>
      <c r="M31" s="22"/>
      <c r="N31" s="22"/>
      <c r="O31" s="22"/>
    </row>
    <row r="32" spans="3:15" x14ac:dyDescent="0.25">
      <c r="C32" s="33"/>
      <c r="D32" s="11"/>
      <c r="E32" s="33"/>
      <c r="I32" s="4"/>
      <c r="J32" s="4"/>
      <c r="K32" s="4"/>
      <c r="L32" s="4"/>
      <c r="M32" s="22"/>
      <c r="N32" s="22"/>
      <c r="O32" s="22"/>
    </row>
    <row r="33" spans="3:15" x14ac:dyDescent="0.25">
      <c r="C33" s="33"/>
      <c r="D33" s="11"/>
      <c r="E33" s="33"/>
      <c r="I33" s="4"/>
      <c r="J33" s="4"/>
      <c r="K33" s="4"/>
      <c r="M33" s="21"/>
      <c r="N33" s="21"/>
      <c r="O33" s="21"/>
    </row>
    <row r="34" spans="3:15" x14ac:dyDescent="0.25">
      <c r="C34" s="33" t="str">
        <f t="shared" si="2"/>
        <v/>
      </c>
      <c r="D34" s="11"/>
      <c r="E34" s="33" t="str">
        <f t="shared" ref="E34:E43" si="3">IF(H34=1,"t","")</f>
        <v/>
      </c>
      <c r="K34" s="4"/>
      <c r="M34" s="21"/>
      <c r="N34" s="21"/>
      <c r="O34" s="21"/>
    </row>
    <row r="35" spans="3:15" x14ac:dyDescent="0.25">
      <c r="C35" s="33" t="str">
        <f t="shared" si="2"/>
        <v/>
      </c>
      <c r="D35" s="11"/>
      <c r="E35" s="33" t="str">
        <f t="shared" si="3"/>
        <v/>
      </c>
      <c r="K35" s="4"/>
      <c r="M35" s="21"/>
      <c r="N35" s="21"/>
      <c r="O35" s="21"/>
    </row>
    <row r="36" spans="3:15" x14ac:dyDescent="0.25">
      <c r="C36" s="33" t="str">
        <f t="shared" si="2"/>
        <v/>
      </c>
      <c r="D36" s="11"/>
      <c r="E36" s="33" t="str">
        <f t="shared" si="3"/>
        <v/>
      </c>
      <c r="K36" s="4"/>
      <c r="M36" s="21"/>
      <c r="N36" s="21"/>
      <c r="O36" s="21"/>
    </row>
    <row r="37" spans="3:15" x14ac:dyDescent="0.25">
      <c r="C37" s="33" t="str">
        <f t="shared" si="2"/>
        <v/>
      </c>
      <c r="D37" s="11"/>
      <c r="E37" s="33" t="str">
        <f t="shared" si="3"/>
        <v/>
      </c>
      <c r="K37" s="4"/>
      <c r="M37" s="21"/>
      <c r="N37" s="21"/>
      <c r="O37" s="21"/>
    </row>
    <row r="38" spans="3:15" x14ac:dyDescent="0.25">
      <c r="C38" s="33" t="str">
        <f t="shared" si="2"/>
        <v/>
      </c>
      <c r="D38" s="11"/>
      <c r="E38" s="33" t="str">
        <f t="shared" si="3"/>
        <v/>
      </c>
      <c r="K38" s="4"/>
      <c r="M38" s="21"/>
      <c r="N38" s="21"/>
      <c r="O38" s="21"/>
    </row>
    <row r="39" spans="3:15" x14ac:dyDescent="0.25">
      <c r="C39" s="33" t="str">
        <f t="shared" si="2"/>
        <v/>
      </c>
      <c r="D39" s="11"/>
      <c r="E39" s="33" t="str">
        <f t="shared" si="3"/>
        <v/>
      </c>
      <c r="K39" s="4"/>
      <c r="M39" s="21"/>
      <c r="N39" s="21"/>
      <c r="O39" s="21"/>
    </row>
    <row r="40" spans="3:15" x14ac:dyDescent="0.25">
      <c r="C40" s="33" t="str">
        <f t="shared" si="2"/>
        <v/>
      </c>
      <c r="D40" s="11"/>
      <c r="E40" s="33" t="str">
        <f t="shared" si="3"/>
        <v/>
      </c>
      <c r="K40" s="4"/>
      <c r="M40" s="21"/>
      <c r="N40" s="21"/>
      <c r="O40" s="21"/>
    </row>
    <row r="41" spans="3:15" x14ac:dyDescent="0.25">
      <c r="C41" s="33" t="str">
        <f t="shared" si="2"/>
        <v/>
      </c>
      <c r="D41" s="11"/>
      <c r="E41" s="33" t="str">
        <f t="shared" si="3"/>
        <v/>
      </c>
      <c r="K41" s="4"/>
      <c r="M41" s="21"/>
      <c r="N41" s="21"/>
      <c r="O41" s="21"/>
    </row>
    <row r="42" spans="3:15" x14ac:dyDescent="0.25">
      <c r="C42" s="33" t="str">
        <f t="shared" si="2"/>
        <v/>
      </c>
      <c r="D42" s="11"/>
      <c r="E42" s="33" t="str">
        <f t="shared" si="3"/>
        <v/>
      </c>
      <c r="K42" s="4"/>
      <c r="M42" s="21"/>
      <c r="N42" s="21"/>
      <c r="O42" s="21"/>
    </row>
    <row r="43" spans="3:15" x14ac:dyDescent="0.25">
      <c r="C43" s="33" t="str">
        <f t="shared" si="2"/>
        <v/>
      </c>
      <c r="D43" s="11"/>
      <c r="E43" s="33" t="str">
        <f t="shared" si="3"/>
        <v/>
      </c>
      <c r="K43" s="4"/>
      <c r="M43" s="21"/>
      <c r="N43" s="21"/>
      <c r="O43" s="21"/>
    </row>
    <row r="44" spans="3:15" ht="6" customHeight="1" x14ac:dyDescent="0.25">
      <c r="C44" s="9"/>
      <c r="D44" s="9"/>
      <c r="E44" s="9"/>
      <c r="F44" s="9"/>
      <c r="G44" s="9"/>
      <c r="H44" s="9"/>
      <c r="I44" s="9"/>
      <c r="J44" s="9"/>
      <c r="K44" s="9"/>
      <c r="L44" s="9"/>
      <c r="M44" s="21"/>
      <c r="N44" s="21"/>
      <c r="O44" s="21"/>
    </row>
    <row r="45" spans="3:15" ht="6" customHeight="1" x14ac:dyDescent="0.25">
      <c r="M45" s="21"/>
      <c r="N45" s="21"/>
      <c r="O45" s="21"/>
    </row>
    <row r="46" spans="3:15" x14ac:dyDescent="0.25">
      <c r="C46" s="15" t="s">
        <v>79</v>
      </c>
      <c r="M46" s="21"/>
      <c r="N46" s="21"/>
      <c r="O46" s="21"/>
    </row>
    <row r="47" spans="3:15" x14ac:dyDescent="0.25">
      <c r="C47" s="15" t="s">
        <v>78</v>
      </c>
    </row>
  </sheetData>
  <mergeCells count="1">
    <mergeCell ref="G13:H13"/>
  </mergeCells>
  <conditionalFormatting sqref="I9">
    <cfRule type="containsText" dxfId="1268" priority="19" operator="containsText" text="FAIL">
      <formula>NOT(ISERROR(SEARCH("FAIL",I9)))</formula>
    </cfRule>
  </conditionalFormatting>
  <conditionalFormatting sqref="I9">
    <cfRule type="containsText" dxfId="1267" priority="18" operator="containsText" text="GOOD">
      <formula>NOT(ISERROR(SEARCH("GOOD",I9)))</formula>
    </cfRule>
  </conditionalFormatting>
  <conditionalFormatting sqref="I9">
    <cfRule type="containsText" dxfId="1266" priority="17" operator="containsText" text="FAIL">
      <formula>NOT(ISERROR(SEARCH("FAIL",I9)))</formula>
    </cfRule>
  </conditionalFormatting>
  <conditionalFormatting sqref="I9">
    <cfRule type="containsText" dxfId="1265" priority="16" operator="containsText" text="GOOD">
      <formula>NOT(ISERROR(SEARCH("GOOD",I9)))</formula>
    </cfRule>
  </conditionalFormatting>
  <conditionalFormatting sqref="I9">
    <cfRule type="containsText" dxfId="1264" priority="15" operator="containsText" text="FAIL">
      <formula>NOT(ISERROR(SEARCH("FAIL",I9)))</formula>
    </cfRule>
  </conditionalFormatting>
  <conditionalFormatting sqref="I9">
    <cfRule type="containsText" dxfId="1263" priority="14" operator="containsText" text="GOOD">
      <formula>NOT(ISERROR(SEARCH("GOOD",I9)))</formula>
    </cfRule>
  </conditionalFormatting>
  <conditionalFormatting sqref="F11">
    <cfRule type="containsText" dxfId="1262" priority="13" operator="containsText" text="FAIL">
      <formula>NOT(ISERROR(SEARCH("FAIL",F11)))</formula>
    </cfRule>
  </conditionalFormatting>
  <conditionalFormatting sqref="F11">
    <cfRule type="containsText" dxfId="1261" priority="12" operator="containsText" text="GOOD">
      <formula>NOT(ISERROR(SEARCH("GOOD",F11)))</formula>
    </cfRule>
  </conditionalFormatting>
  <conditionalFormatting sqref="I9">
    <cfRule type="containsText" dxfId="1260" priority="11" operator="containsText" text="FAIL">
      <formula>NOT(ISERROR(SEARCH("FAIL",I9)))</formula>
    </cfRule>
  </conditionalFormatting>
  <conditionalFormatting sqref="I9">
    <cfRule type="containsText" dxfId="1259" priority="10" operator="containsText" text="GOOD">
      <formula>NOT(ISERROR(SEARCH("GOOD",I9)))</formula>
    </cfRule>
  </conditionalFormatting>
  <conditionalFormatting sqref="F11">
    <cfRule type="containsText" dxfId="1258" priority="9" operator="containsText" text="FAIL">
      <formula>NOT(ISERROR(SEARCH("FAIL",F11)))</formula>
    </cfRule>
  </conditionalFormatting>
  <conditionalFormatting sqref="F11">
    <cfRule type="containsText" dxfId="1257" priority="8" operator="containsText" text="GOOD">
      <formula>NOT(ISERROR(SEARCH("GOOD",F11)))</formula>
    </cfRule>
  </conditionalFormatting>
  <conditionalFormatting sqref="D25">
    <cfRule type="expression" dxfId="1256" priority="7" stopIfTrue="1">
      <formula>IF($H$25=1,0)</formula>
    </cfRule>
  </conditionalFormatting>
  <conditionalFormatting sqref="D23:D43">
    <cfRule type="expression" dxfId="1255" priority="6">
      <formula>H23=1</formula>
    </cfRule>
  </conditionalFormatting>
  <conditionalFormatting sqref="C23:C43">
    <cfRule type="expression" dxfId="1254" priority="5">
      <formula>H23=1</formula>
    </cfRule>
  </conditionalFormatting>
  <conditionalFormatting sqref="E23:E43">
    <cfRule type="expression" dxfId="1253" priority="4">
      <formula>H23=1</formula>
    </cfRule>
  </conditionalFormatting>
  <conditionalFormatting sqref="E23:E43">
    <cfRule type="expression" dxfId="1252" priority="3">
      <formula>H23=1</formula>
    </cfRule>
  </conditionalFormatting>
  <conditionalFormatting sqref="F11">
    <cfRule type="containsText" dxfId="1251" priority="2" operator="containsText" text="FAIL">
      <formula>NOT(ISERROR(SEARCH("FAIL",F11)))</formula>
    </cfRule>
  </conditionalFormatting>
  <conditionalFormatting sqref="F11">
    <cfRule type="containsText" dxfId="1250" priority="1" operator="containsText" text="GOOD">
      <formula>NOT(ISERROR(SEARCH("GOOD",F11)))</formula>
    </cfRule>
  </conditionalFormatting>
  <pageMargins left="0.7" right="0.7" top="0.75" bottom="0.75" header="0.3" footer="0.3"/>
  <pageSetup orientation="portrait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B00-000000000000}">
  <sheetPr codeName="Sheet109"/>
  <dimension ref="A2:O47"/>
  <sheetViews>
    <sheetView zoomScaleNormal="100" workbookViewId="0">
      <selection activeCell="J24" sqref="J24"/>
    </sheetView>
  </sheetViews>
  <sheetFormatPr defaultRowHeight="15" x14ac:dyDescent="0.25"/>
  <cols>
    <col min="1" max="2" width="4.42578125" customWidth="1"/>
    <col min="3" max="3" width="3" customWidth="1"/>
    <col min="4" max="4" width="24.85546875" customWidth="1"/>
    <col min="5" max="5" width="3" customWidth="1"/>
    <col min="6" max="6" width="15.7109375" customWidth="1"/>
    <col min="7" max="7" width="8.5703125" customWidth="1"/>
    <col min="8" max="8" width="5.85546875" customWidth="1"/>
    <col min="9" max="15" width="15.7109375" customWidth="1"/>
  </cols>
  <sheetData>
    <row r="2" spans="1:11" x14ac:dyDescent="0.25">
      <c r="C2" s="15" t="s">
        <v>32</v>
      </c>
      <c r="E2" s="15"/>
      <c r="F2" s="15"/>
      <c r="G2" s="15" t="s">
        <v>33</v>
      </c>
      <c r="H2" s="15"/>
      <c r="I2" s="15"/>
      <c r="J2" s="15"/>
      <c r="K2" s="15"/>
    </row>
    <row r="3" spans="1:11" ht="18.75" x14ac:dyDescent="0.3">
      <c r="C3" s="3" t="s">
        <v>26</v>
      </c>
      <c r="J3" s="8" t="s">
        <v>17</v>
      </c>
    </row>
    <row r="4" spans="1:11" x14ac:dyDescent="0.25">
      <c r="D4" s="2" t="s">
        <v>0</v>
      </c>
      <c r="E4" s="1"/>
      <c r="F4" t="s">
        <v>663</v>
      </c>
      <c r="I4" s="2" t="s">
        <v>4</v>
      </c>
      <c r="J4" t="s">
        <v>666</v>
      </c>
    </row>
    <row r="5" spans="1:11" x14ac:dyDescent="0.25">
      <c r="D5" s="2" t="s">
        <v>1</v>
      </c>
      <c r="F5" t="s">
        <v>664</v>
      </c>
    </row>
    <row r="6" spans="1:11" x14ac:dyDescent="0.25">
      <c r="D6" s="2" t="s">
        <v>2</v>
      </c>
      <c r="F6" s="6">
        <v>42514</v>
      </c>
      <c r="H6" s="11"/>
    </row>
    <row r="7" spans="1:11" x14ac:dyDescent="0.25">
      <c r="D7" s="2" t="s">
        <v>3</v>
      </c>
      <c r="F7" s="5">
        <v>1930000</v>
      </c>
      <c r="G7" s="2" t="s">
        <v>190</v>
      </c>
      <c r="H7" s="11"/>
    </row>
    <row r="8" spans="1:11" x14ac:dyDescent="0.25">
      <c r="D8" s="2" t="s">
        <v>18</v>
      </c>
      <c r="F8" s="5">
        <f>MIN(I23:I43)</f>
        <v>2277000</v>
      </c>
      <c r="H8" s="11"/>
    </row>
    <row r="9" spans="1:11" x14ac:dyDescent="0.25">
      <c r="D9" s="2" t="s">
        <v>67</v>
      </c>
      <c r="F9" s="4">
        <f>+F8-F7</f>
        <v>347000</v>
      </c>
      <c r="G9" s="16">
        <f>+F9/F7</f>
        <v>0.17979274611398963</v>
      </c>
      <c r="H9" s="12" t="s">
        <v>20</v>
      </c>
      <c r="I9" s="11" t="str">
        <f>(IF(G9&lt;-0.1,"FAIL",IF(G9&gt;0.05,"FAIL","GOOD")))</f>
        <v>FAIL</v>
      </c>
      <c r="J9" s="14" t="s">
        <v>72</v>
      </c>
    </row>
    <row r="10" spans="1:11" x14ac:dyDescent="0.25">
      <c r="D10" s="2" t="s">
        <v>68</v>
      </c>
      <c r="F10" s="4">
        <f>+F7-F12</f>
        <v>-806160.75</v>
      </c>
      <c r="H10" s="11"/>
    </row>
    <row r="11" spans="1:11" x14ac:dyDescent="0.25">
      <c r="A11" s="52"/>
      <c r="D11" s="2" t="s">
        <v>71</v>
      </c>
      <c r="F11" s="11" t="str">
        <f>(IF(F7&lt;J12,"FAIL",IF(F7&gt;J13,"FAIL","GOOD")))</f>
        <v>FAIL</v>
      </c>
      <c r="H11" s="11"/>
    </row>
    <row r="12" spans="1:11" x14ac:dyDescent="0.25">
      <c r="D12" s="2" t="s">
        <v>28</v>
      </c>
      <c r="F12" s="4">
        <f>SUM(I23:I43)/H12</f>
        <v>2736160.75</v>
      </c>
      <c r="G12" s="14"/>
      <c r="H12" s="11">
        <f>COUNT(I23:I43)</f>
        <v>4</v>
      </c>
      <c r="I12" s="1" t="s">
        <v>31</v>
      </c>
      <c r="J12" s="4">
        <f>+F8*0.9</f>
        <v>2049300</v>
      </c>
      <c r="K12" s="1" t="s">
        <v>69</v>
      </c>
    </row>
    <row r="13" spans="1:11" x14ac:dyDescent="0.25">
      <c r="D13" s="2" t="s">
        <v>29</v>
      </c>
      <c r="F13" s="4">
        <f>MAX(I23:I43)-MIN(I23:I43)</f>
        <v>766643</v>
      </c>
      <c r="G13" s="399">
        <f>MEDIAN(I23:I43)</f>
        <v>2812000</v>
      </c>
      <c r="H13" s="400"/>
      <c r="I13" s="1" t="s">
        <v>30</v>
      </c>
      <c r="J13" s="4">
        <f>+F12*1.1</f>
        <v>3009776.8250000002</v>
      </c>
      <c r="K13" s="1" t="s">
        <v>70</v>
      </c>
    </row>
    <row r="14" spans="1:11" x14ac:dyDescent="0.25">
      <c r="H14" s="11"/>
    </row>
    <row r="15" spans="1:11" x14ac:dyDescent="0.25">
      <c r="D15" s="2" t="s">
        <v>8</v>
      </c>
      <c r="F15" s="4"/>
      <c r="G15" s="1" t="s">
        <v>9</v>
      </c>
      <c r="H15" s="11"/>
      <c r="I15" t="s">
        <v>15</v>
      </c>
      <c r="J15" s="7" t="e">
        <f>+F16/F15</f>
        <v>#DIV/0!</v>
      </c>
    </row>
    <row r="16" spans="1:11" x14ac:dyDescent="0.25">
      <c r="F16" s="4"/>
      <c r="G16" s="1" t="s">
        <v>10</v>
      </c>
      <c r="H16" s="11"/>
      <c r="I16" t="s">
        <v>14</v>
      </c>
      <c r="J16" s="7" t="e">
        <f>+F17/F16</f>
        <v>#DIV/0!</v>
      </c>
    </row>
    <row r="17" spans="3:15" x14ac:dyDescent="0.25">
      <c r="F17" s="4"/>
      <c r="G17" s="1" t="s">
        <v>11</v>
      </c>
      <c r="H17" s="11"/>
      <c r="I17" t="s">
        <v>13</v>
      </c>
      <c r="J17" s="7" t="e">
        <f>+F18/F17</f>
        <v>#DIV/0!</v>
      </c>
      <c r="M17" s="21"/>
      <c r="N17" s="21"/>
      <c r="O17" s="21"/>
    </row>
    <row r="18" spans="3:15" x14ac:dyDescent="0.25">
      <c r="F18" s="4"/>
      <c r="G18" s="1" t="s">
        <v>12</v>
      </c>
      <c r="H18" s="11"/>
      <c r="I18" t="s">
        <v>16</v>
      </c>
      <c r="J18" s="7" t="e">
        <f>+F8/F18</f>
        <v>#DIV/0!</v>
      </c>
      <c r="M18" s="21"/>
      <c r="N18" s="21"/>
      <c r="O18" s="21"/>
    </row>
    <row r="19" spans="3:15" x14ac:dyDescent="0.25">
      <c r="F19" s="2" t="s">
        <v>51</v>
      </c>
      <c r="G19">
        <v>0</v>
      </c>
      <c r="H19" s="11" t="s">
        <v>52</v>
      </c>
      <c r="I19" t="s">
        <v>41</v>
      </c>
      <c r="J19" s="7" t="e">
        <f>+F8/F15</f>
        <v>#DIV/0!</v>
      </c>
      <c r="M19" s="21"/>
      <c r="N19" s="21"/>
      <c r="O19" s="21"/>
    </row>
    <row r="20" spans="3:15" x14ac:dyDescent="0.25">
      <c r="H20" s="11"/>
      <c r="M20" s="21"/>
      <c r="N20" s="21"/>
      <c r="O20" s="21"/>
    </row>
    <row r="21" spans="3:15" x14ac:dyDescent="0.25">
      <c r="C21" s="9"/>
      <c r="D21" s="13" t="s">
        <v>21</v>
      </c>
      <c r="E21" s="9"/>
      <c r="F21" s="9" t="s">
        <v>22</v>
      </c>
      <c r="G21" s="9" t="s">
        <v>23</v>
      </c>
      <c r="H21" s="13" t="s">
        <v>27</v>
      </c>
      <c r="I21" s="10" t="s">
        <v>24</v>
      </c>
      <c r="J21" s="9"/>
      <c r="K21" s="9"/>
      <c r="L21" s="9"/>
      <c r="M21" s="21"/>
      <c r="N21" s="21"/>
      <c r="O21" s="21"/>
    </row>
    <row r="22" spans="3:15" ht="6" customHeight="1" x14ac:dyDescent="0.25">
      <c r="M22" s="21"/>
      <c r="N22" s="21"/>
      <c r="O22" s="21"/>
    </row>
    <row r="23" spans="3:15" x14ac:dyDescent="0.25">
      <c r="C23" s="33" t="str">
        <f>IF(H23=1,"u","")</f>
        <v/>
      </c>
      <c r="D23" s="11" t="s">
        <v>665</v>
      </c>
      <c r="E23" s="33"/>
      <c r="F23" t="s">
        <v>413</v>
      </c>
      <c r="G23" t="s">
        <v>93</v>
      </c>
      <c r="H23">
        <f>RANK(I23,I$23:I$43,1)</f>
        <v>4</v>
      </c>
      <c r="I23" s="4">
        <v>3043643</v>
      </c>
      <c r="J23" s="4"/>
      <c r="K23" s="4"/>
      <c r="L23" s="4"/>
      <c r="M23" s="22"/>
      <c r="N23" s="22"/>
      <c r="O23" s="22"/>
    </row>
    <row r="24" spans="3:15" x14ac:dyDescent="0.25">
      <c r="C24" s="33" t="str">
        <f>IF(H24=1,"u","")</f>
        <v>u</v>
      </c>
      <c r="D24" s="11" t="s">
        <v>541</v>
      </c>
      <c r="E24" s="33"/>
      <c r="F24" t="s">
        <v>159</v>
      </c>
      <c r="G24" t="s">
        <v>93</v>
      </c>
      <c r="H24">
        <f>RANK(I24,I$23:I$43,1)</f>
        <v>1</v>
      </c>
      <c r="I24" s="4">
        <v>2277000</v>
      </c>
      <c r="J24" s="4"/>
      <c r="K24" s="4"/>
      <c r="L24" s="4"/>
      <c r="M24" s="22"/>
      <c r="N24" s="22"/>
      <c r="O24" s="22"/>
    </row>
    <row r="25" spans="3:15" x14ac:dyDescent="0.25">
      <c r="C25" s="33" t="str">
        <f>IF(H25=1,"u","")</f>
        <v/>
      </c>
      <c r="D25" s="11" t="s">
        <v>542</v>
      </c>
      <c r="E25" s="33"/>
      <c r="F25" t="s">
        <v>161</v>
      </c>
      <c r="G25" t="s">
        <v>93</v>
      </c>
      <c r="H25">
        <f>RANK(I25,I$23:I$43,1)</f>
        <v>3</v>
      </c>
      <c r="I25" s="4">
        <v>3037000</v>
      </c>
      <c r="J25" s="4"/>
      <c r="K25" s="4"/>
      <c r="L25" s="4"/>
      <c r="M25" s="22"/>
      <c r="N25" s="22"/>
      <c r="O25" s="22"/>
    </row>
    <row r="26" spans="3:15" x14ac:dyDescent="0.25">
      <c r="C26" s="33" t="str">
        <f t="shared" ref="C26:C43" si="0">IF(H26=1,"u","")</f>
        <v/>
      </c>
      <c r="D26" s="11" t="s">
        <v>540</v>
      </c>
      <c r="E26" s="33"/>
      <c r="F26" t="s">
        <v>195</v>
      </c>
      <c r="G26" t="s">
        <v>93</v>
      </c>
      <c r="H26">
        <f>RANK(I26,I$23:I$43,1)</f>
        <v>2</v>
      </c>
      <c r="I26" s="4">
        <v>2587000</v>
      </c>
      <c r="J26" s="4"/>
      <c r="K26" s="4"/>
      <c r="L26" s="4"/>
      <c r="M26" s="22"/>
      <c r="N26" s="22"/>
      <c r="O26" s="22"/>
    </row>
    <row r="27" spans="3:15" x14ac:dyDescent="0.25">
      <c r="C27" s="33" t="str">
        <f t="shared" si="0"/>
        <v/>
      </c>
      <c r="D27" s="11"/>
      <c r="E27" s="33"/>
      <c r="I27" s="4"/>
      <c r="J27" s="4"/>
      <c r="K27" s="4"/>
      <c r="L27" s="4"/>
      <c r="M27" s="22"/>
      <c r="N27" s="22"/>
      <c r="O27" s="22"/>
    </row>
    <row r="28" spans="3:15" x14ac:dyDescent="0.25">
      <c r="C28" s="33" t="str">
        <f t="shared" si="0"/>
        <v/>
      </c>
      <c r="D28" s="11"/>
      <c r="E28" s="33"/>
      <c r="I28" s="4"/>
      <c r="J28" s="4"/>
      <c r="K28" s="4"/>
      <c r="L28" s="4"/>
      <c r="M28" s="22"/>
      <c r="N28" s="22"/>
      <c r="O28" s="22"/>
    </row>
    <row r="29" spans="3:15" x14ac:dyDescent="0.25">
      <c r="C29" s="33" t="str">
        <f t="shared" si="0"/>
        <v/>
      </c>
      <c r="D29" s="11"/>
      <c r="E29" s="33"/>
      <c r="I29" s="4"/>
      <c r="J29" s="4"/>
      <c r="K29" s="4"/>
      <c r="L29" s="4"/>
      <c r="M29" s="22"/>
      <c r="N29" s="22"/>
      <c r="O29" s="22"/>
    </row>
    <row r="30" spans="3:15" x14ac:dyDescent="0.25">
      <c r="C30" s="33" t="str">
        <f t="shared" si="0"/>
        <v/>
      </c>
      <c r="D30" s="11"/>
      <c r="E30" s="33"/>
      <c r="I30" s="4"/>
      <c r="J30" s="4"/>
      <c r="K30" s="4"/>
      <c r="L30" s="4"/>
      <c r="M30" s="22"/>
      <c r="N30" s="22"/>
      <c r="O30" s="22"/>
    </row>
    <row r="31" spans="3:15" x14ac:dyDescent="0.25">
      <c r="C31" s="33" t="str">
        <f t="shared" si="0"/>
        <v/>
      </c>
      <c r="D31" s="11"/>
      <c r="E31" s="33"/>
      <c r="I31" s="4"/>
      <c r="J31" s="4"/>
      <c r="K31" s="4"/>
      <c r="L31" s="4"/>
      <c r="M31" s="22"/>
      <c r="N31" s="22"/>
      <c r="O31" s="22"/>
    </row>
    <row r="32" spans="3:15" x14ac:dyDescent="0.25">
      <c r="C32" s="33" t="str">
        <f t="shared" si="0"/>
        <v/>
      </c>
      <c r="D32" s="11"/>
      <c r="E32" s="33"/>
      <c r="I32" s="4"/>
      <c r="J32" s="4"/>
      <c r="K32" s="4"/>
      <c r="L32" s="4"/>
      <c r="M32" s="22"/>
      <c r="N32" s="22"/>
      <c r="O32" s="22"/>
    </row>
    <row r="33" spans="3:15" x14ac:dyDescent="0.25">
      <c r="C33" s="33" t="str">
        <f t="shared" si="0"/>
        <v/>
      </c>
      <c r="D33" s="11"/>
      <c r="E33" s="33"/>
      <c r="I33" s="4"/>
      <c r="M33" s="21"/>
      <c r="N33" s="21"/>
      <c r="O33" s="21"/>
    </row>
    <row r="34" spans="3:15" x14ac:dyDescent="0.25">
      <c r="C34" s="33" t="str">
        <f t="shared" si="0"/>
        <v/>
      </c>
      <c r="D34" s="11"/>
      <c r="E34" s="33" t="str">
        <f t="shared" ref="E34:E43" si="1">IF(H34=1,"t","")</f>
        <v/>
      </c>
      <c r="M34" s="21"/>
      <c r="N34" s="21"/>
      <c r="O34" s="21"/>
    </row>
    <row r="35" spans="3:15" x14ac:dyDescent="0.25">
      <c r="C35" s="33" t="str">
        <f t="shared" si="0"/>
        <v/>
      </c>
      <c r="D35" s="11"/>
      <c r="E35" s="33" t="str">
        <f t="shared" si="1"/>
        <v/>
      </c>
      <c r="M35" s="21"/>
      <c r="N35" s="21"/>
      <c r="O35" s="21"/>
    </row>
    <row r="36" spans="3:15" x14ac:dyDescent="0.25">
      <c r="C36" s="33" t="str">
        <f t="shared" si="0"/>
        <v/>
      </c>
      <c r="D36" s="11"/>
      <c r="E36" s="33" t="str">
        <f t="shared" si="1"/>
        <v/>
      </c>
      <c r="M36" s="21"/>
      <c r="N36" s="21"/>
      <c r="O36" s="21"/>
    </row>
    <row r="37" spans="3:15" x14ac:dyDescent="0.25">
      <c r="C37" s="33" t="str">
        <f t="shared" si="0"/>
        <v/>
      </c>
      <c r="D37" s="11"/>
      <c r="E37" s="33" t="str">
        <f t="shared" si="1"/>
        <v/>
      </c>
      <c r="M37" s="21"/>
      <c r="N37" s="21"/>
      <c r="O37" s="21"/>
    </row>
    <row r="38" spans="3:15" x14ac:dyDescent="0.25">
      <c r="C38" s="33" t="str">
        <f t="shared" si="0"/>
        <v/>
      </c>
      <c r="D38" s="11"/>
      <c r="E38" s="33" t="str">
        <f t="shared" si="1"/>
        <v/>
      </c>
      <c r="M38" s="21"/>
      <c r="N38" s="21"/>
      <c r="O38" s="21"/>
    </row>
    <row r="39" spans="3:15" x14ac:dyDescent="0.25">
      <c r="C39" s="33" t="str">
        <f t="shared" si="0"/>
        <v/>
      </c>
      <c r="D39" s="11"/>
      <c r="E39" s="33" t="str">
        <f t="shared" si="1"/>
        <v/>
      </c>
      <c r="M39" s="21"/>
      <c r="N39" s="21"/>
      <c r="O39" s="21"/>
    </row>
    <row r="40" spans="3:15" x14ac:dyDescent="0.25">
      <c r="C40" s="33" t="str">
        <f t="shared" si="0"/>
        <v/>
      </c>
      <c r="D40" s="11"/>
      <c r="E40" s="33" t="str">
        <f t="shared" si="1"/>
        <v/>
      </c>
      <c r="M40" s="21"/>
      <c r="N40" s="21"/>
      <c r="O40" s="21"/>
    </row>
    <row r="41" spans="3:15" x14ac:dyDescent="0.25">
      <c r="C41" s="33" t="str">
        <f t="shared" si="0"/>
        <v/>
      </c>
      <c r="D41" s="11"/>
      <c r="E41" s="33" t="str">
        <f t="shared" si="1"/>
        <v/>
      </c>
      <c r="M41" s="21"/>
      <c r="N41" s="21"/>
      <c r="O41" s="21"/>
    </row>
    <row r="42" spans="3:15" x14ac:dyDescent="0.25">
      <c r="C42" s="33" t="str">
        <f t="shared" si="0"/>
        <v/>
      </c>
      <c r="D42" s="11"/>
      <c r="E42" s="33" t="str">
        <f t="shared" si="1"/>
        <v/>
      </c>
      <c r="M42" s="21"/>
      <c r="N42" s="21"/>
      <c r="O42" s="21"/>
    </row>
    <row r="43" spans="3:15" x14ac:dyDescent="0.25">
      <c r="C43" s="33" t="str">
        <f t="shared" si="0"/>
        <v/>
      </c>
      <c r="D43" s="11"/>
      <c r="E43" s="33" t="str">
        <f t="shared" si="1"/>
        <v/>
      </c>
      <c r="M43" s="21"/>
      <c r="N43" s="21"/>
      <c r="O43" s="21"/>
    </row>
    <row r="44" spans="3:15" ht="6" customHeight="1" x14ac:dyDescent="0.25">
      <c r="C44" s="9"/>
      <c r="D44" s="9"/>
      <c r="E44" s="9"/>
      <c r="F44" s="9"/>
      <c r="G44" s="9"/>
      <c r="H44" s="9"/>
      <c r="I44" s="9"/>
      <c r="J44" s="9"/>
      <c r="K44" s="9"/>
      <c r="L44" s="9"/>
      <c r="M44" s="21"/>
      <c r="N44" s="21"/>
      <c r="O44" s="21"/>
    </row>
    <row r="45" spans="3:15" ht="6" customHeight="1" x14ac:dyDescent="0.25">
      <c r="M45" s="21"/>
      <c r="N45" s="21"/>
      <c r="O45" s="21"/>
    </row>
    <row r="46" spans="3:15" x14ac:dyDescent="0.25">
      <c r="C46" s="15" t="s">
        <v>79</v>
      </c>
      <c r="M46" s="21"/>
      <c r="N46" s="21"/>
      <c r="O46" s="21"/>
    </row>
    <row r="47" spans="3:15" x14ac:dyDescent="0.25">
      <c r="C47" s="15" t="s">
        <v>78</v>
      </c>
    </row>
  </sheetData>
  <mergeCells count="1">
    <mergeCell ref="G13:H13"/>
  </mergeCells>
  <conditionalFormatting sqref="I9">
    <cfRule type="containsText" dxfId="798" priority="10" operator="containsText" text="FAIL">
      <formula>NOT(ISERROR(SEARCH("FAIL",I9)))</formula>
    </cfRule>
  </conditionalFormatting>
  <conditionalFormatting sqref="I9">
    <cfRule type="containsText" dxfId="797" priority="9" operator="containsText" text="GOOD">
      <formula>NOT(ISERROR(SEARCH("GOOD",I9)))</formula>
    </cfRule>
  </conditionalFormatting>
  <conditionalFormatting sqref="F11">
    <cfRule type="containsText" dxfId="796" priority="8" operator="containsText" text="FAIL">
      <formula>NOT(ISERROR(SEARCH("FAIL",F11)))</formula>
    </cfRule>
  </conditionalFormatting>
  <conditionalFormatting sqref="F11">
    <cfRule type="containsText" dxfId="795" priority="7" operator="containsText" text="GOOD">
      <formula>NOT(ISERROR(SEARCH("GOOD",F11)))</formula>
    </cfRule>
  </conditionalFormatting>
  <conditionalFormatting sqref="D25">
    <cfRule type="expression" dxfId="794" priority="6" stopIfTrue="1">
      <formula>IF($H$25=1,0)</formula>
    </cfRule>
  </conditionalFormatting>
  <conditionalFormatting sqref="D23:D43">
    <cfRule type="expression" dxfId="793" priority="5">
      <formula>H23=1</formula>
    </cfRule>
  </conditionalFormatting>
  <conditionalFormatting sqref="C23:C43">
    <cfRule type="expression" dxfId="792" priority="4">
      <formula>H23=1</formula>
    </cfRule>
  </conditionalFormatting>
  <conditionalFormatting sqref="E23:E43">
    <cfRule type="expression" dxfId="791" priority="3">
      <formula>H23=1</formula>
    </cfRule>
  </conditionalFormatting>
  <conditionalFormatting sqref="F11">
    <cfRule type="containsText" dxfId="790" priority="2" operator="containsText" text="FAIL">
      <formula>NOT(ISERROR(SEARCH("FAIL",F11)))</formula>
    </cfRule>
  </conditionalFormatting>
  <conditionalFormatting sqref="F11">
    <cfRule type="containsText" dxfId="789" priority="1" operator="containsText" text="GOOD">
      <formula>NOT(ISERROR(SEARCH("GOOD",F11)))</formula>
    </cfRule>
  </conditionalFormatting>
  <pageMargins left="0.7" right="0.7" top="0.75" bottom="0.75" header="0.3" footer="0.3"/>
  <pageSetup scale="68" orientation="portrait" r:id="rId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800-000000000000}">
  <sheetPr codeName="Sheet170"/>
  <dimension ref="A2:O47"/>
  <sheetViews>
    <sheetView workbookViewId="0">
      <selection activeCell="M14" sqref="M14"/>
    </sheetView>
  </sheetViews>
  <sheetFormatPr defaultRowHeight="15" x14ac:dyDescent="0.25"/>
  <cols>
    <col min="1" max="2" width="4.42578125" customWidth="1"/>
    <col min="3" max="3" width="3" customWidth="1"/>
    <col min="4" max="4" width="24.7109375" customWidth="1"/>
    <col min="5" max="5" width="3" customWidth="1"/>
    <col min="6" max="6" width="15.7109375" customWidth="1"/>
    <col min="7" max="7" width="8.5703125" customWidth="1"/>
    <col min="8" max="8" width="5.85546875" customWidth="1"/>
    <col min="9" max="15" width="15.7109375" customWidth="1"/>
  </cols>
  <sheetData>
    <row r="2" spans="1:11" x14ac:dyDescent="0.25">
      <c r="C2" s="15" t="s">
        <v>32</v>
      </c>
      <c r="E2" s="15"/>
      <c r="F2" s="15"/>
      <c r="G2" s="15" t="s">
        <v>33</v>
      </c>
      <c r="H2" s="15"/>
      <c r="I2" s="15"/>
      <c r="J2" s="15"/>
      <c r="K2" s="15"/>
    </row>
    <row r="3" spans="1:11" ht="18.75" x14ac:dyDescent="0.3">
      <c r="C3" s="3" t="s">
        <v>26</v>
      </c>
      <c r="J3" s="8" t="s">
        <v>47</v>
      </c>
    </row>
    <row r="4" spans="1:11" x14ac:dyDescent="0.25">
      <c r="D4" s="2" t="s">
        <v>0</v>
      </c>
      <c r="E4" s="1"/>
      <c r="F4" t="s">
        <v>414</v>
      </c>
      <c r="I4" s="2" t="s">
        <v>4</v>
      </c>
    </row>
    <row r="5" spans="1:11" x14ac:dyDescent="0.25">
      <c r="D5" s="2" t="s">
        <v>1</v>
      </c>
      <c r="F5" t="s">
        <v>415</v>
      </c>
    </row>
    <row r="6" spans="1:11" x14ac:dyDescent="0.25">
      <c r="D6" s="2" t="s">
        <v>2</v>
      </c>
      <c r="F6" s="6">
        <v>42038</v>
      </c>
      <c r="H6" s="11"/>
    </row>
    <row r="7" spans="1:11" x14ac:dyDescent="0.25">
      <c r="D7" s="2" t="s">
        <v>3</v>
      </c>
      <c r="F7" s="5">
        <f>+I7+J7</f>
        <v>25770000</v>
      </c>
      <c r="G7" s="2" t="s">
        <v>190</v>
      </c>
      <c r="H7" s="11"/>
      <c r="I7" s="19">
        <v>10979000</v>
      </c>
      <c r="J7" s="19">
        <v>14791000</v>
      </c>
    </row>
    <row r="8" spans="1:11" x14ac:dyDescent="0.25">
      <c r="D8" s="2" t="s">
        <v>18</v>
      </c>
      <c r="F8" s="5">
        <f>MIN(K23:K43)</f>
        <v>28747550</v>
      </c>
      <c r="H8" s="11"/>
      <c r="I8" s="18" t="s">
        <v>43</v>
      </c>
      <c r="J8" s="18" t="s">
        <v>44</v>
      </c>
    </row>
    <row r="9" spans="1:11" x14ac:dyDescent="0.25">
      <c r="D9" s="2" t="s">
        <v>19</v>
      </c>
      <c r="F9" s="4">
        <f>+F8-F7</f>
        <v>2977550</v>
      </c>
      <c r="G9" s="16">
        <f>+F9/F7</f>
        <v>0.11554326736515327</v>
      </c>
      <c r="H9" s="12" t="s">
        <v>20</v>
      </c>
      <c r="I9" s="11" t="str">
        <f>(IF(G9&lt;-0.1,"FAIL",IF(G9&gt;0.05,"FAIL","GOOD")))</f>
        <v>FAIL</v>
      </c>
    </row>
    <row r="10" spans="1:11" x14ac:dyDescent="0.25">
      <c r="D10" s="2" t="s">
        <v>68</v>
      </c>
      <c r="F10" s="4">
        <f>+F7-F12</f>
        <v>-3657360.6666666679</v>
      </c>
      <c r="H10" s="11"/>
    </row>
    <row r="11" spans="1:11" x14ac:dyDescent="0.25">
      <c r="A11" s="30"/>
      <c r="D11" s="2" t="s">
        <v>71</v>
      </c>
      <c r="F11" s="11" t="str">
        <f>(IF(F7&lt;J12,"FAIL",IF(F7&gt;J13,"FAIL","GOOD")))</f>
        <v>FAIL</v>
      </c>
      <c r="H11" s="11"/>
    </row>
    <row r="12" spans="1:11" x14ac:dyDescent="0.25">
      <c r="D12" s="2" t="s">
        <v>28</v>
      </c>
      <c r="F12" s="4">
        <f>SUM(K23:K43)/H12</f>
        <v>29427360.666666668</v>
      </c>
      <c r="G12" s="14"/>
      <c r="H12" s="11">
        <f>COUNT(K23:K43)</f>
        <v>3</v>
      </c>
      <c r="I12" s="1" t="s">
        <v>31</v>
      </c>
      <c r="J12" s="4">
        <f>+F8*0.9</f>
        <v>25872795</v>
      </c>
      <c r="K12" s="1" t="s">
        <v>69</v>
      </c>
    </row>
    <row r="13" spans="1:11" x14ac:dyDescent="0.25">
      <c r="D13" s="2" t="s">
        <v>29</v>
      </c>
      <c r="F13" s="4">
        <f>MAX(K23:K43)-MIN(K23:K43)</f>
        <v>1302450</v>
      </c>
      <c r="G13" s="399">
        <f>MEDIAN(K23:K43)</f>
        <v>29484532</v>
      </c>
      <c r="H13" s="400"/>
      <c r="I13" s="1" t="s">
        <v>30</v>
      </c>
      <c r="J13" s="4">
        <f>+F12*1.1</f>
        <v>32370096.733333338</v>
      </c>
      <c r="K13" s="1" t="s">
        <v>70</v>
      </c>
    </row>
    <row r="14" spans="1:11" x14ac:dyDescent="0.25">
      <c r="H14" s="11"/>
    </row>
    <row r="15" spans="1:11" x14ac:dyDescent="0.25">
      <c r="D15" s="2" t="s">
        <v>8</v>
      </c>
      <c r="F15" s="4"/>
      <c r="G15" s="1" t="s">
        <v>9</v>
      </c>
      <c r="H15" s="11"/>
      <c r="I15" t="s">
        <v>15</v>
      </c>
      <c r="J15" s="7" t="e">
        <f>+F16/F15</f>
        <v>#DIV/0!</v>
      </c>
    </row>
    <row r="16" spans="1:11" x14ac:dyDescent="0.25">
      <c r="F16" s="4"/>
      <c r="G16" s="1" t="s">
        <v>10</v>
      </c>
      <c r="H16" s="11"/>
      <c r="I16" t="s">
        <v>14</v>
      </c>
      <c r="J16" s="7" t="e">
        <f>+F17/F16</f>
        <v>#DIV/0!</v>
      </c>
    </row>
    <row r="17" spans="3:15" x14ac:dyDescent="0.25">
      <c r="F17" s="4"/>
      <c r="G17" s="1" t="s">
        <v>11</v>
      </c>
      <c r="H17" s="11"/>
      <c r="I17" t="s">
        <v>13</v>
      </c>
      <c r="J17" s="7" t="e">
        <f>+F18/F17</f>
        <v>#DIV/0!</v>
      </c>
    </row>
    <row r="18" spans="3:15" x14ac:dyDescent="0.25">
      <c r="F18" s="4"/>
      <c r="G18" s="1" t="s">
        <v>12</v>
      </c>
      <c r="H18" s="11"/>
      <c r="I18" t="s">
        <v>16</v>
      </c>
      <c r="J18" s="7" t="e">
        <f>+F8/F18</f>
        <v>#DIV/0!</v>
      </c>
    </row>
    <row r="19" spans="3:15" x14ac:dyDescent="0.25">
      <c r="F19" s="2" t="s">
        <v>51</v>
      </c>
      <c r="G19">
        <v>0</v>
      </c>
      <c r="H19" s="11" t="s">
        <v>52</v>
      </c>
      <c r="I19" t="s">
        <v>41</v>
      </c>
      <c r="J19" s="7" t="e">
        <f>+F8/F15</f>
        <v>#DIV/0!</v>
      </c>
    </row>
    <row r="20" spans="3:15" x14ac:dyDescent="0.25">
      <c r="H20" s="11"/>
      <c r="M20" s="21"/>
      <c r="N20" s="21"/>
      <c r="O20" s="21"/>
    </row>
    <row r="21" spans="3:15" x14ac:dyDescent="0.25">
      <c r="C21" s="9"/>
      <c r="D21" s="13" t="s">
        <v>21</v>
      </c>
      <c r="E21" s="9"/>
      <c r="F21" s="9" t="s">
        <v>22</v>
      </c>
      <c r="G21" s="9" t="s">
        <v>23</v>
      </c>
      <c r="H21" s="13" t="s">
        <v>27</v>
      </c>
      <c r="I21" s="10" t="s">
        <v>38</v>
      </c>
      <c r="J21" s="10" t="s">
        <v>37</v>
      </c>
      <c r="K21" s="10" t="s">
        <v>39</v>
      </c>
      <c r="L21" s="9"/>
      <c r="M21" s="21"/>
      <c r="N21" s="21"/>
      <c r="O21" s="21"/>
    </row>
    <row r="22" spans="3:15" ht="6" customHeight="1" x14ac:dyDescent="0.25">
      <c r="M22" s="21"/>
      <c r="N22" s="21"/>
      <c r="O22" s="21"/>
    </row>
    <row r="23" spans="3:15" x14ac:dyDescent="0.25">
      <c r="C23" s="33" t="str">
        <f>IF(H23=1,"u","")</f>
        <v>u</v>
      </c>
      <c r="D23" s="23" t="s">
        <v>348</v>
      </c>
      <c r="E23" s="33"/>
      <c r="F23" t="s">
        <v>159</v>
      </c>
      <c r="G23" t="s">
        <v>93</v>
      </c>
      <c r="H23">
        <f>RANK(K23,K$23:K$43,1)</f>
        <v>1</v>
      </c>
      <c r="I23" s="4">
        <v>7172550</v>
      </c>
      <c r="J23" s="4">
        <v>21575000</v>
      </c>
      <c r="K23" s="4">
        <f>+J23+I23</f>
        <v>28747550</v>
      </c>
      <c r="L23" s="4"/>
      <c r="M23" s="22"/>
      <c r="N23" s="22"/>
      <c r="O23" s="22"/>
    </row>
    <row r="24" spans="3:15" x14ac:dyDescent="0.25">
      <c r="C24" s="33" t="str">
        <f>IF(H24=1,"u","")</f>
        <v/>
      </c>
      <c r="D24" s="23" t="s">
        <v>412</v>
      </c>
      <c r="E24" s="33"/>
      <c r="F24" t="s">
        <v>413</v>
      </c>
      <c r="G24" t="s">
        <v>93</v>
      </c>
      <c r="H24">
        <f>RANK(K24,K$23:K$43,1)</f>
        <v>2</v>
      </c>
      <c r="I24" s="4">
        <v>8559600</v>
      </c>
      <c r="J24" s="4">
        <v>20924932</v>
      </c>
      <c r="K24" s="4">
        <f>+J24+I24</f>
        <v>29484532</v>
      </c>
      <c r="L24" s="4"/>
      <c r="M24" s="22"/>
      <c r="N24" s="22"/>
      <c r="O24" s="22"/>
    </row>
    <row r="25" spans="3:15" x14ac:dyDescent="0.25">
      <c r="C25" s="33" t="str">
        <f>IF(H25=1,"u","")</f>
        <v/>
      </c>
      <c r="D25" s="23" t="s">
        <v>194</v>
      </c>
      <c r="E25" s="33"/>
      <c r="F25" t="s">
        <v>222</v>
      </c>
      <c r="G25" t="s">
        <v>25</v>
      </c>
      <c r="H25">
        <f>RANK(K25,K$23:K$43,1)</f>
        <v>3</v>
      </c>
      <c r="I25" s="4">
        <v>8154900</v>
      </c>
      <c r="J25" s="4">
        <v>21895100</v>
      </c>
      <c r="K25" s="4">
        <f>+J25+I25</f>
        <v>30050000</v>
      </c>
      <c r="L25" s="4"/>
      <c r="M25" s="22"/>
      <c r="N25" s="22"/>
      <c r="O25" s="22"/>
    </row>
    <row r="26" spans="3:15" x14ac:dyDescent="0.25">
      <c r="C26" s="33"/>
      <c r="D26" s="23"/>
      <c r="E26" s="33"/>
      <c r="I26" s="4"/>
      <c r="J26" s="4"/>
      <c r="K26" s="4"/>
      <c r="L26" s="4"/>
      <c r="M26" s="22"/>
      <c r="N26" s="22"/>
      <c r="O26" s="22"/>
    </row>
    <row r="27" spans="3:15" x14ac:dyDescent="0.25">
      <c r="C27" s="33"/>
      <c r="D27" s="23"/>
      <c r="E27" s="33"/>
      <c r="I27" s="4"/>
      <c r="J27" s="4"/>
      <c r="K27" s="4"/>
      <c r="L27" s="4"/>
      <c r="M27" s="22"/>
      <c r="N27" s="22"/>
      <c r="O27" s="22"/>
    </row>
    <row r="28" spans="3:15" x14ac:dyDescent="0.25">
      <c r="C28" s="33"/>
      <c r="D28" s="23"/>
      <c r="E28" s="33"/>
      <c r="I28" s="4"/>
      <c r="J28" s="4"/>
      <c r="K28" s="4"/>
      <c r="L28" s="4"/>
      <c r="M28" s="22"/>
      <c r="N28" s="22"/>
      <c r="O28" s="22"/>
    </row>
    <row r="29" spans="3:15" x14ac:dyDescent="0.25">
      <c r="C29" s="33"/>
      <c r="D29" s="23"/>
      <c r="E29" s="33"/>
      <c r="I29" s="4"/>
      <c r="J29" s="4"/>
      <c r="K29" s="4"/>
      <c r="L29" s="4"/>
      <c r="M29" s="22"/>
      <c r="N29" s="22"/>
      <c r="O29" s="22"/>
    </row>
    <row r="30" spans="3:15" x14ac:dyDescent="0.25">
      <c r="C30" s="33"/>
      <c r="D30" s="11"/>
      <c r="E30" s="33"/>
      <c r="I30" s="4"/>
      <c r="J30" s="4"/>
      <c r="K30" s="4"/>
      <c r="L30" s="4"/>
      <c r="M30" s="22"/>
      <c r="N30" s="22"/>
      <c r="O30" s="22"/>
    </row>
    <row r="31" spans="3:15" x14ac:dyDescent="0.25">
      <c r="C31" s="33"/>
      <c r="D31" s="11"/>
      <c r="E31" s="33"/>
      <c r="I31" s="4"/>
      <c r="J31" s="4"/>
      <c r="K31" s="4"/>
      <c r="L31" s="4"/>
      <c r="M31" s="22"/>
      <c r="N31" s="22"/>
      <c r="O31" s="22"/>
    </row>
    <row r="32" spans="3:15" x14ac:dyDescent="0.25">
      <c r="C32" s="33"/>
      <c r="D32" s="11"/>
      <c r="E32" s="33"/>
      <c r="I32" s="4"/>
      <c r="J32" s="4"/>
      <c r="K32" s="4"/>
      <c r="L32" s="4"/>
      <c r="M32" s="22"/>
      <c r="N32" s="22"/>
      <c r="O32" s="22"/>
    </row>
    <row r="33" spans="3:15" x14ac:dyDescent="0.25">
      <c r="C33" s="33"/>
      <c r="D33" s="11"/>
      <c r="E33" s="33"/>
      <c r="I33" s="4"/>
      <c r="J33" s="4"/>
      <c r="K33" s="4"/>
      <c r="M33" s="21"/>
      <c r="N33" s="21"/>
      <c r="O33" s="21"/>
    </row>
    <row r="34" spans="3:15" x14ac:dyDescent="0.25">
      <c r="C34" s="33" t="str">
        <f t="shared" ref="C34:C43" si="0">IF(H34=1,"u","")</f>
        <v/>
      </c>
      <c r="D34" s="11"/>
      <c r="E34" s="33" t="str">
        <f t="shared" ref="E34:E43" si="1">IF(H34=1,"t","")</f>
        <v/>
      </c>
      <c r="K34" s="4"/>
      <c r="M34" s="21"/>
      <c r="N34" s="21"/>
      <c r="O34" s="21"/>
    </row>
    <row r="35" spans="3:15" x14ac:dyDescent="0.25">
      <c r="C35" s="33" t="str">
        <f t="shared" si="0"/>
        <v/>
      </c>
      <c r="D35" s="11"/>
      <c r="E35" s="33" t="str">
        <f t="shared" si="1"/>
        <v/>
      </c>
      <c r="K35" s="4"/>
      <c r="M35" s="21"/>
      <c r="N35" s="21"/>
      <c r="O35" s="21"/>
    </row>
    <row r="36" spans="3:15" x14ac:dyDescent="0.25">
      <c r="C36" s="33" t="str">
        <f t="shared" si="0"/>
        <v/>
      </c>
      <c r="D36" s="11"/>
      <c r="E36" s="33" t="str">
        <f t="shared" si="1"/>
        <v/>
      </c>
      <c r="K36" s="4"/>
      <c r="M36" s="21"/>
      <c r="N36" s="21"/>
      <c r="O36" s="21"/>
    </row>
    <row r="37" spans="3:15" x14ac:dyDescent="0.25">
      <c r="C37" s="33" t="str">
        <f t="shared" si="0"/>
        <v/>
      </c>
      <c r="D37" s="11"/>
      <c r="E37" s="33" t="str">
        <f t="shared" si="1"/>
        <v/>
      </c>
      <c r="K37" s="4"/>
      <c r="M37" s="21"/>
      <c r="N37" s="21"/>
      <c r="O37" s="21"/>
    </row>
    <row r="38" spans="3:15" x14ac:dyDescent="0.25">
      <c r="C38" s="33" t="str">
        <f t="shared" si="0"/>
        <v/>
      </c>
      <c r="D38" s="11"/>
      <c r="E38" s="33" t="str">
        <f t="shared" si="1"/>
        <v/>
      </c>
      <c r="K38" s="4"/>
      <c r="M38" s="21"/>
      <c r="N38" s="21"/>
      <c r="O38" s="21"/>
    </row>
    <row r="39" spans="3:15" x14ac:dyDescent="0.25">
      <c r="C39" s="33" t="str">
        <f t="shared" si="0"/>
        <v/>
      </c>
      <c r="D39" s="11"/>
      <c r="E39" s="33" t="str">
        <f t="shared" si="1"/>
        <v/>
      </c>
      <c r="K39" s="4"/>
      <c r="M39" s="21"/>
      <c r="N39" s="21"/>
      <c r="O39" s="21"/>
    </row>
    <row r="40" spans="3:15" x14ac:dyDescent="0.25">
      <c r="C40" s="33" t="str">
        <f t="shared" si="0"/>
        <v/>
      </c>
      <c r="D40" s="11"/>
      <c r="E40" s="33" t="str">
        <f t="shared" si="1"/>
        <v/>
      </c>
      <c r="K40" s="4"/>
      <c r="M40" s="21"/>
      <c r="N40" s="21"/>
      <c r="O40" s="21"/>
    </row>
    <row r="41" spans="3:15" x14ac:dyDescent="0.25">
      <c r="C41" s="33" t="str">
        <f t="shared" si="0"/>
        <v/>
      </c>
      <c r="D41" s="11"/>
      <c r="E41" s="33" t="str">
        <f t="shared" si="1"/>
        <v/>
      </c>
      <c r="K41" s="4"/>
      <c r="M41" s="21"/>
      <c r="N41" s="21"/>
      <c r="O41" s="21"/>
    </row>
    <row r="42" spans="3:15" x14ac:dyDescent="0.25">
      <c r="C42" s="33" t="str">
        <f t="shared" si="0"/>
        <v/>
      </c>
      <c r="D42" s="11"/>
      <c r="E42" s="33" t="str">
        <f t="shared" si="1"/>
        <v/>
      </c>
      <c r="K42" s="4"/>
      <c r="M42" s="21"/>
      <c r="N42" s="21"/>
      <c r="O42" s="21"/>
    </row>
    <row r="43" spans="3:15" x14ac:dyDescent="0.25">
      <c r="C43" s="33" t="str">
        <f t="shared" si="0"/>
        <v/>
      </c>
      <c r="D43" s="11"/>
      <c r="E43" s="33" t="str">
        <f t="shared" si="1"/>
        <v/>
      </c>
      <c r="K43" s="4"/>
      <c r="M43" s="21"/>
      <c r="N43" s="21"/>
      <c r="O43" s="21"/>
    </row>
    <row r="44" spans="3:15" ht="6" customHeight="1" x14ac:dyDescent="0.25">
      <c r="C44" s="9"/>
      <c r="D44" s="9"/>
      <c r="E44" s="9"/>
      <c r="F44" s="9"/>
      <c r="G44" s="9"/>
      <c r="H44" s="9"/>
      <c r="I44" s="9"/>
      <c r="J44" s="9"/>
      <c r="K44" s="9"/>
      <c r="L44" s="9"/>
      <c r="M44" s="21"/>
      <c r="N44" s="21"/>
      <c r="O44" s="21"/>
    </row>
    <row r="45" spans="3:15" ht="6" customHeight="1" x14ac:dyDescent="0.25">
      <c r="M45" s="21"/>
      <c r="N45" s="21"/>
      <c r="O45" s="21"/>
    </row>
    <row r="46" spans="3:15" x14ac:dyDescent="0.25">
      <c r="C46" s="15" t="s">
        <v>79</v>
      </c>
      <c r="M46" s="21"/>
      <c r="N46" s="21"/>
      <c r="O46" s="21"/>
    </row>
    <row r="47" spans="3:15" x14ac:dyDescent="0.25">
      <c r="C47" s="15" t="s">
        <v>78</v>
      </c>
    </row>
  </sheetData>
  <mergeCells count="1">
    <mergeCell ref="G13:H13"/>
  </mergeCells>
  <conditionalFormatting sqref="I9">
    <cfRule type="containsText" dxfId="59" priority="19" operator="containsText" text="FAIL">
      <formula>NOT(ISERROR(SEARCH("FAIL",I9)))</formula>
    </cfRule>
  </conditionalFormatting>
  <conditionalFormatting sqref="I9">
    <cfRule type="containsText" dxfId="58" priority="18" operator="containsText" text="GOOD">
      <formula>NOT(ISERROR(SEARCH("GOOD",I9)))</formula>
    </cfRule>
  </conditionalFormatting>
  <conditionalFormatting sqref="I9">
    <cfRule type="containsText" dxfId="57" priority="17" operator="containsText" text="FAIL">
      <formula>NOT(ISERROR(SEARCH("FAIL",I9)))</formula>
    </cfRule>
  </conditionalFormatting>
  <conditionalFormatting sqref="I9">
    <cfRule type="containsText" dxfId="56" priority="16" operator="containsText" text="GOOD">
      <formula>NOT(ISERROR(SEARCH("GOOD",I9)))</formula>
    </cfRule>
  </conditionalFormatting>
  <conditionalFormatting sqref="I9">
    <cfRule type="containsText" dxfId="55" priority="15" operator="containsText" text="FAIL">
      <formula>NOT(ISERROR(SEARCH("FAIL",I9)))</formula>
    </cfRule>
  </conditionalFormatting>
  <conditionalFormatting sqref="I9">
    <cfRule type="containsText" dxfId="54" priority="14" operator="containsText" text="GOOD">
      <formula>NOT(ISERROR(SEARCH("GOOD",I9)))</formula>
    </cfRule>
  </conditionalFormatting>
  <conditionalFormatting sqref="F11">
    <cfRule type="containsText" dxfId="53" priority="13" operator="containsText" text="FAIL">
      <formula>NOT(ISERROR(SEARCH("FAIL",F11)))</formula>
    </cfRule>
  </conditionalFormatting>
  <conditionalFormatting sqref="F11">
    <cfRule type="containsText" dxfId="52" priority="12" operator="containsText" text="GOOD">
      <formula>NOT(ISERROR(SEARCH("GOOD",F11)))</formula>
    </cfRule>
  </conditionalFormatting>
  <conditionalFormatting sqref="I9">
    <cfRule type="containsText" dxfId="51" priority="11" operator="containsText" text="FAIL">
      <formula>NOT(ISERROR(SEARCH("FAIL",I9)))</formula>
    </cfRule>
  </conditionalFormatting>
  <conditionalFormatting sqref="I9">
    <cfRule type="containsText" dxfId="50" priority="10" operator="containsText" text="GOOD">
      <formula>NOT(ISERROR(SEARCH("GOOD",I9)))</formula>
    </cfRule>
  </conditionalFormatting>
  <conditionalFormatting sqref="F11">
    <cfRule type="containsText" dxfId="49" priority="9" operator="containsText" text="FAIL">
      <formula>NOT(ISERROR(SEARCH("FAIL",F11)))</formula>
    </cfRule>
  </conditionalFormatting>
  <conditionalFormatting sqref="F11">
    <cfRule type="containsText" dxfId="48" priority="8" operator="containsText" text="GOOD">
      <formula>NOT(ISERROR(SEARCH("GOOD",F11)))</formula>
    </cfRule>
  </conditionalFormatting>
  <conditionalFormatting sqref="D25">
    <cfRule type="expression" dxfId="47" priority="7" stopIfTrue="1">
      <formula>IF($H$25=1,0)</formula>
    </cfRule>
  </conditionalFormatting>
  <conditionalFormatting sqref="D23:D43">
    <cfRule type="expression" dxfId="46" priority="6">
      <formula>H23=1</formula>
    </cfRule>
  </conditionalFormatting>
  <conditionalFormatting sqref="C23:C43">
    <cfRule type="expression" dxfId="45" priority="5">
      <formula>H23=1</formula>
    </cfRule>
  </conditionalFormatting>
  <conditionalFormatting sqref="E23:E43">
    <cfRule type="expression" dxfId="44" priority="4">
      <formula>H23=1</formula>
    </cfRule>
  </conditionalFormatting>
  <conditionalFormatting sqref="E23:E43">
    <cfRule type="expression" dxfId="43" priority="3">
      <formula>H23=1</formula>
    </cfRule>
  </conditionalFormatting>
  <conditionalFormatting sqref="F11">
    <cfRule type="containsText" dxfId="42" priority="2" operator="containsText" text="FAIL">
      <formula>NOT(ISERROR(SEARCH("FAIL",F11)))</formula>
    </cfRule>
  </conditionalFormatting>
  <conditionalFormatting sqref="F11">
    <cfRule type="containsText" dxfId="41" priority="1" operator="containsText" text="GOOD">
      <formula>NOT(ISERROR(SEARCH("GOOD",F11)))</formula>
    </cfRule>
  </conditionalFormatting>
  <pageMargins left="0.7" right="0.7" top="0.75" bottom="0.75" header="0.3" footer="0.3"/>
  <pageSetup orientation="portrait" r:id="rId1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D00-000000000000}">
  <sheetPr codeName="Sheet143"/>
  <dimension ref="A2:O47"/>
  <sheetViews>
    <sheetView topLeftCell="A13" workbookViewId="0">
      <selection activeCell="G8" sqref="G8"/>
    </sheetView>
  </sheetViews>
  <sheetFormatPr defaultRowHeight="15" x14ac:dyDescent="0.25"/>
  <cols>
    <col min="1" max="2" width="4.42578125" customWidth="1"/>
    <col min="3" max="3" width="3" customWidth="1"/>
    <col min="4" max="4" width="24.85546875" customWidth="1"/>
    <col min="5" max="5" width="3" customWidth="1"/>
    <col min="6" max="6" width="15.7109375" customWidth="1"/>
    <col min="7" max="7" width="8.5703125" customWidth="1"/>
    <col min="8" max="8" width="5.85546875" customWidth="1"/>
    <col min="9" max="15" width="15.7109375" customWidth="1"/>
  </cols>
  <sheetData>
    <row r="2" spans="1:11" x14ac:dyDescent="0.25">
      <c r="C2" s="15" t="s">
        <v>32</v>
      </c>
      <c r="E2" s="15"/>
      <c r="F2" s="15"/>
      <c r="G2" s="15" t="s">
        <v>33</v>
      </c>
      <c r="H2" s="15"/>
      <c r="I2" s="15"/>
      <c r="J2" s="15"/>
      <c r="K2" s="15"/>
    </row>
    <row r="3" spans="1:11" ht="18.75" x14ac:dyDescent="0.3">
      <c r="C3" s="3" t="s">
        <v>26</v>
      </c>
      <c r="J3" s="8" t="s">
        <v>17</v>
      </c>
    </row>
    <row r="4" spans="1:11" x14ac:dyDescent="0.25">
      <c r="D4" s="2" t="s">
        <v>0</v>
      </c>
      <c r="E4" s="1"/>
      <c r="F4" t="s">
        <v>151</v>
      </c>
      <c r="I4" s="2" t="s">
        <v>4</v>
      </c>
    </row>
    <row r="5" spans="1:11" x14ac:dyDescent="0.25">
      <c r="D5" s="2" t="s">
        <v>1</v>
      </c>
      <c r="F5" t="s">
        <v>152</v>
      </c>
    </row>
    <row r="6" spans="1:11" x14ac:dyDescent="0.25">
      <c r="D6" s="2" t="s">
        <v>2</v>
      </c>
      <c r="F6" s="6">
        <v>42268</v>
      </c>
      <c r="H6" s="11"/>
    </row>
    <row r="7" spans="1:11" x14ac:dyDescent="0.25">
      <c r="D7" s="2" t="s">
        <v>3</v>
      </c>
      <c r="F7" s="5">
        <v>7900000</v>
      </c>
      <c r="G7" s="2" t="s">
        <v>34</v>
      </c>
      <c r="H7" s="11"/>
    </row>
    <row r="8" spans="1:11" x14ac:dyDescent="0.25">
      <c r="D8" s="2" t="s">
        <v>18</v>
      </c>
      <c r="F8" s="5">
        <f>MIN(I23:I43)</f>
        <v>6769800</v>
      </c>
      <c r="H8" s="11"/>
    </row>
    <row r="9" spans="1:11" x14ac:dyDescent="0.25">
      <c r="D9" s="2" t="s">
        <v>67</v>
      </c>
      <c r="F9" s="4">
        <f>+F8-F7</f>
        <v>-1130200</v>
      </c>
      <c r="G9" s="16">
        <f>+F9/F7</f>
        <v>-0.14306329113924052</v>
      </c>
      <c r="H9" s="12" t="s">
        <v>20</v>
      </c>
      <c r="I9" s="11" t="str">
        <f>(IF(G9&lt;-0.1,"FAIL",IF(G9&gt;0.05,"FAIL","GOOD")))</f>
        <v>FAIL</v>
      </c>
      <c r="J9" s="14" t="s">
        <v>72</v>
      </c>
    </row>
    <row r="10" spans="1:11" x14ac:dyDescent="0.25">
      <c r="D10" s="2" t="s">
        <v>68</v>
      </c>
      <c r="F10" s="4">
        <f>+F7-F12</f>
        <v>-2930384.277777778</v>
      </c>
      <c r="H10" s="11"/>
    </row>
    <row r="11" spans="1:11" x14ac:dyDescent="0.25">
      <c r="A11" s="30"/>
      <c r="D11" s="2" t="s">
        <v>71</v>
      </c>
      <c r="F11" s="11" t="str">
        <f>(IF(F7&lt;J12,"FAIL",IF(F7&gt;J13,"FAIL","GOOD")))</f>
        <v>GOOD</v>
      </c>
      <c r="H11" s="11"/>
    </row>
    <row r="12" spans="1:11" x14ac:dyDescent="0.25">
      <c r="D12" s="2" t="s">
        <v>28</v>
      </c>
      <c r="F12" s="4">
        <f>SUM(I23:I43)/H12</f>
        <v>10830384.277777778</v>
      </c>
      <c r="G12" s="14"/>
      <c r="H12" s="11">
        <f>COUNT(I23:I43)</f>
        <v>18</v>
      </c>
      <c r="I12" s="1" t="s">
        <v>31</v>
      </c>
      <c r="J12" s="4">
        <f>+F8*0.9</f>
        <v>6092820</v>
      </c>
      <c r="K12" s="1" t="s">
        <v>69</v>
      </c>
    </row>
    <row r="13" spans="1:11" x14ac:dyDescent="0.25">
      <c r="D13" s="2" t="s">
        <v>29</v>
      </c>
      <c r="F13" s="4">
        <f>MAX(I23:I43)-MIN(I23:I43)</f>
        <v>8157817</v>
      </c>
      <c r="G13" s="399">
        <f>MEDIAN(I23:I43)</f>
        <v>10580000</v>
      </c>
      <c r="H13" s="400"/>
      <c r="I13" s="1" t="s">
        <v>30</v>
      </c>
      <c r="J13" s="4">
        <f>+F12*1.1</f>
        <v>11913422.705555556</v>
      </c>
      <c r="K13" s="1" t="s">
        <v>70</v>
      </c>
    </row>
    <row r="14" spans="1:11" x14ac:dyDescent="0.25">
      <c r="H14" s="11"/>
    </row>
    <row r="15" spans="1:11" x14ac:dyDescent="0.25">
      <c r="D15" s="2" t="s">
        <v>8</v>
      </c>
      <c r="F15" s="4"/>
      <c r="G15" s="1" t="s">
        <v>9</v>
      </c>
      <c r="H15" s="11"/>
      <c r="I15" t="s">
        <v>15</v>
      </c>
      <c r="J15" s="7" t="e">
        <f>+F16/F15</f>
        <v>#DIV/0!</v>
      </c>
    </row>
    <row r="16" spans="1:11" x14ac:dyDescent="0.25">
      <c r="F16" s="4"/>
      <c r="G16" s="1" t="s">
        <v>10</v>
      </c>
      <c r="H16" s="11"/>
      <c r="I16" t="s">
        <v>14</v>
      </c>
      <c r="J16" s="7" t="e">
        <f>+F17/F16</f>
        <v>#DIV/0!</v>
      </c>
    </row>
    <row r="17" spans="3:15" x14ac:dyDescent="0.25">
      <c r="F17" s="4"/>
      <c r="G17" s="1" t="s">
        <v>11</v>
      </c>
      <c r="H17" s="11"/>
      <c r="I17" t="s">
        <v>13</v>
      </c>
      <c r="J17" s="7" t="e">
        <f>+F18/F17</f>
        <v>#DIV/0!</v>
      </c>
      <c r="M17" s="21"/>
      <c r="N17" s="21"/>
      <c r="O17" s="21"/>
    </row>
    <row r="18" spans="3:15" x14ac:dyDescent="0.25">
      <c r="F18" s="4"/>
      <c r="G18" s="1" t="s">
        <v>12</v>
      </c>
      <c r="H18" s="11"/>
      <c r="I18" t="s">
        <v>16</v>
      </c>
      <c r="J18" s="7" t="e">
        <f>+F8/F18</f>
        <v>#DIV/0!</v>
      </c>
      <c r="M18" s="21"/>
      <c r="N18" s="21"/>
      <c r="O18" s="21"/>
    </row>
    <row r="19" spans="3:15" x14ac:dyDescent="0.25">
      <c r="F19" s="2" t="s">
        <v>51</v>
      </c>
      <c r="H19" s="11" t="s">
        <v>52</v>
      </c>
      <c r="I19" t="s">
        <v>41</v>
      </c>
      <c r="J19" s="7" t="e">
        <f>+F8/F15</f>
        <v>#DIV/0!</v>
      </c>
      <c r="M19" s="21"/>
      <c r="N19" s="21"/>
      <c r="O19" s="21"/>
    </row>
    <row r="20" spans="3:15" x14ac:dyDescent="0.25">
      <c r="H20" s="11"/>
      <c r="M20" s="21"/>
      <c r="N20" s="21"/>
      <c r="O20" s="21"/>
    </row>
    <row r="21" spans="3:15" x14ac:dyDescent="0.25">
      <c r="C21" s="9"/>
      <c r="D21" s="13" t="s">
        <v>21</v>
      </c>
      <c r="E21" s="9"/>
      <c r="F21" s="9" t="s">
        <v>22</v>
      </c>
      <c r="G21" s="9" t="s">
        <v>23</v>
      </c>
      <c r="H21" s="13" t="s">
        <v>27</v>
      </c>
      <c r="I21" s="10" t="s">
        <v>24</v>
      </c>
      <c r="J21" s="9"/>
      <c r="K21" s="9"/>
      <c r="L21" s="9"/>
      <c r="M21" s="21"/>
      <c r="N21" s="21"/>
      <c r="O21" s="21"/>
    </row>
    <row r="22" spans="3:15" ht="6" customHeight="1" x14ac:dyDescent="0.25">
      <c r="M22" s="21"/>
      <c r="N22" s="21"/>
      <c r="O22" s="21"/>
    </row>
    <row r="23" spans="3:15" x14ac:dyDescent="0.25">
      <c r="C23" s="33" t="str">
        <f>IF(H23=1,"u","")</f>
        <v>u</v>
      </c>
      <c r="D23" s="23" t="s">
        <v>153</v>
      </c>
      <c r="E23" s="33"/>
      <c r="F23" t="s">
        <v>105</v>
      </c>
      <c r="G23" t="s">
        <v>93</v>
      </c>
      <c r="H23">
        <f>RANK(I23,I$23:I$43,1)</f>
        <v>1</v>
      </c>
      <c r="I23" s="4">
        <v>6769800</v>
      </c>
      <c r="J23" s="4"/>
      <c r="K23" s="4"/>
      <c r="L23" s="4"/>
      <c r="M23" s="22"/>
      <c r="N23" s="22"/>
      <c r="O23" s="22"/>
    </row>
    <row r="24" spans="3:15" x14ac:dyDescent="0.25">
      <c r="C24" s="33" t="str">
        <f>IF(H24=1,"u","")</f>
        <v/>
      </c>
      <c r="D24" s="23" t="s">
        <v>154</v>
      </c>
      <c r="E24" s="33"/>
      <c r="F24" t="s">
        <v>88</v>
      </c>
      <c r="G24" t="s">
        <v>25</v>
      </c>
      <c r="H24">
        <f t="shared" ref="H24:H40" si="0">RANK(I24,I$23:I$43,1)</f>
        <v>2</v>
      </c>
      <c r="I24" s="4">
        <v>8850000</v>
      </c>
      <c r="J24" s="4"/>
      <c r="K24" s="4"/>
      <c r="L24" s="4"/>
      <c r="M24" s="22"/>
      <c r="N24" s="22"/>
      <c r="O24" s="22"/>
    </row>
    <row r="25" spans="3:15" x14ac:dyDescent="0.25">
      <c r="C25" s="33" t="str">
        <f>IF(H25=1,"u","")</f>
        <v/>
      </c>
      <c r="D25" s="23" t="s">
        <v>98</v>
      </c>
      <c r="E25" s="33"/>
      <c r="F25" t="s">
        <v>95</v>
      </c>
      <c r="G25" t="s">
        <v>25</v>
      </c>
      <c r="H25">
        <f t="shared" si="0"/>
        <v>3</v>
      </c>
      <c r="I25" s="4">
        <v>8881500</v>
      </c>
      <c r="J25" s="4"/>
      <c r="K25" s="4"/>
      <c r="L25" s="4"/>
      <c r="M25" s="22"/>
      <c r="N25" s="22"/>
      <c r="O25" s="22"/>
    </row>
    <row r="26" spans="3:15" x14ac:dyDescent="0.25">
      <c r="C26" s="33" t="str">
        <f t="shared" ref="C26:C43" si="1">IF(H26=1,"u","")</f>
        <v/>
      </c>
      <c r="D26" s="23" t="s">
        <v>155</v>
      </c>
      <c r="E26" s="33"/>
      <c r="F26" t="s">
        <v>109</v>
      </c>
      <c r="G26" t="s">
        <v>25</v>
      </c>
      <c r="H26">
        <f t="shared" si="0"/>
        <v>4</v>
      </c>
      <c r="I26" s="4">
        <v>8987000</v>
      </c>
      <c r="J26" s="4"/>
      <c r="K26" s="4"/>
      <c r="L26" s="4"/>
      <c r="M26" s="22"/>
      <c r="N26" s="22"/>
      <c r="O26" s="22"/>
    </row>
    <row r="27" spans="3:15" x14ac:dyDescent="0.25">
      <c r="C27" s="33" t="str">
        <f t="shared" si="1"/>
        <v/>
      </c>
      <c r="D27" s="23" t="s">
        <v>99</v>
      </c>
      <c r="E27" s="33" t="str">
        <f t="shared" ref="E27:E43" si="2">IF(H27=1,"t","")</f>
        <v/>
      </c>
      <c r="F27" t="s">
        <v>100</v>
      </c>
      <c r="G27" t="s">
        <v>93</v>
      </c>
      <c r="H27">
        <f t="shared" si="0"/>
        <v>5</v>
      </c>
      <c r="I27" s="4">
        <v>9460000</v>
      </c>
      <c r="J27" s="4"/>
      <c r="K27" s="4"/>
      <c r="L27" s="4"/>
      <c r="M27" s="22"/>
      <c r="N27" s="22"/>
      <c r="O27" s="22"/>
    </row>
    <row r="28" spans="3:15" x14ac:dyDescent="0.25">
      <c r="C28" s="33" t="str">
        <f t="shared" si="1"/>
        <v/>
      </c>
      <c r="D28" s="23" t="s">
        <v>156</v>
      </c>
      <c r="E28" s="33" t="str">
        <f t="shared" si="2"/>
        <v/>
      </c>
      <c r="F28" t="s">
        <v>157</v>
      </c>
      <c r="G28" t="s">
        <v>93</v>
      </c>
      <c r="H28">
        <f t="shared" si="0"/>
        <v>6</v>
      </c>
      <c r="I28" s="4">
        <v>9717000</v>
      </c>
      <c r="J28" s="4"/>
      <c r="K28" s="4"/>
      <c r="L28" s="4"/>
      <c r="M28" s="22"/>
      <c r="N28" s="22"/>
      <c r="O28" s="22"/>
    </row>
    <row r="29" spans="3:15" x14ac:dyDescent="0.25">
      <c r="C29" s="33" t="str">
        <f t="shared" si="1"/>
        <v/>
      </c>
      <c r="D29" s="23" t="s">
        <v>158</v>
      </c>
      <c r="E29" s="33" t="str">
        <f t="shared" si="2"/>
        <v/>
      </c>
      <c r="F29" t="s">
        <v>159</v>
      </c>
      <c r="G29" t="s">
        <v>93</v>
      </c>
      <c r="H29">
        <f t="shared" si="0"/>
        <v>7</v>
      </c>
      <c r="I29" s="4">
        <v>9920000</v>
      </c>
      <c r="J29" s="4"/>
      <c r="K29" s="4"/>
      <c r="L29" s="4"/>
      <c r="M29" s="22"/>
      <c r="N29" s="22"/>
      <c r="O29" s="22"/>
    </row>
    <row r="30" spans="3:15" x14ac:dyDescent="0.25">
      <c r="C30" s="33" t="str">
        <f t="shared" si="1"/>
        <v/>
      </c>
      <c r="D30" s="23" t="s">
        <v>160</v>
      </c>
      <c r="E30" s="33" t="str">
        <f t="shared" si="2"/>
        <v/>
      </c>
      <c r="F30" t="s">
        <v>161</v>
      </c>
      <c r="G30" t="s">
        <v>93</v>
      </c>
      <c r="H30">
        <f t="shared" si="0"/>
        <v>8</v>
      </c>
      <c r="I30" s="4">
        <v>9980000</v>
      </c>
      <c r="J30" s="4"/>
      <c r="K30" s="4"/>
      <c r="L30" s="4"/>
      <c r="M30" s="22"/>
      <c r="N30" s="22"/>
      <c r="O30" s="22"/>
    </row>
    <row r="31" spans="3:15" x14ac:dyDescent="0.25">
      <c r="C31" s="33" t="str">
        <f t="shared" si="1"/>
        <v/>
      </c>
      <c r="D31" s="23" t="s">
        <v>162</v>
      </c>
      <c r="E31" s="33" t="str">
        <f t="shared" si="2"/>
        <v/>
      </c>
      <c r="F31" t="s">
        <v>159</v>
      </c>
      <c r="G31" t="s">
        <v>93</v>
      </c>
      <c r="H31">
        <f t="shared" si="0"/>
        <v>9</v>
      </c>
      <c r="I31" s="4">
        <v>10470000</v>
      </c>
      <c r="J31" s="4"/>
      <c r="K31" s="4"/>
      <c r="L31" s="4"/>
      <c r="M31" s="22"/>
      <c r="N31" s="22"/>
      <c r="O31" s="22"/>
    </row>
    <row r="32" spans="3:15" x14ac:dyDescent="0.25">
      <c r="C32" s="33" t="str">
        <f t="shared" si="1"/>
        <v/>
      </c>
      <c r="D32" s="23" t="s">
        <v>163</v>
      </c>
      <c r="E32" s="33" t="str">
        <f t="shared" si="2"/>
        <v/>
      </c>
      <c r="F32" t="s">
        <v>95</v>
      </c>
      <c r="G32" t="s">
        <v>93</v>
      </c>
      <c r="H32">
        <f t="shared" si="0"/>
        <v>10</v>
      </c>
      <c r="I32" s="4">
        <v>10690000</v>
      </c>
      <c r="J32" s="4"/>
      <c r="K32" s="4"/>
      <c r="L32" s="4"/>
      <c r="M32" s="22"/>
      <c r="N32" s="22"/>
      <c r="O32" s="22"/>
    </row>
    <row r="33" spans="3:15" x14ac:dyDescent="0.25">
      <c r="C33" s="33" t="str">
        <f t="shared" si="1"/>
        <v/>
      </c>
      <c r="D33" s="23" t="s">
        <v>164</v>
      </c>
      <c r="E33" s="33" t="str">
        <f t="shared" si="2"/>
        <v/>
      </c>
      <c r="F33" t="s">
        <v>165</v>
      </c>
      <c r="G33" t="s">
        <v>93</v>
      </c>
      <c r="H33">
        <f t="shared" si="0"/>
        <v>11</v>
      </c>
      <c r="I33" s="4">
        <v>10783000</v>
      </c>
      <c r="M33" s="21"/>
      <c r="N33" s="21"/>
      <c r="O33" s="21"/>
    </row>
    <row r="34" spans="3:15" x14ac:dyDescent="0.25">
      <c r="C34" s="33" t="str">
        <f t="shared" si="1"/>
        <v/>
      </c>
      <c r="D34" s="23" t="s">
        <v>166</v>
      </c>
      <c r="E34" s="33" t="str">
        <f t="shared" si="2"/>
        <v/>
      </c>
      <c r="F34" t="s">
        <v>167</v>
      </c>
      <c r="G34" t="s">
        <v>93</v>
      </c>
      <c r="H34">
        <f t="shared" si="0"/>
        <v>12</v>
      </c>
      <c r="I34" s="4">
        <v>10852000</v>
      </c>
      <c r="M34" s="21"/>
      <c r="N34" s="21"/>
      <c r="O34" s="21"/>
    </row>
    <row r="35" spans="3:15" x14ac:dyDescent="0.25">
      <c r="C35" s="33" t="str">
        <f t="shared" si="1"/>
        <v/>
      </c>
      <c r="D35" s="23" t="s">
        <v>168</v>
      </c>
      <c r="E35" s="33" t="str">
        <f t="shared" si="2"/>
        <v/>
      </c>
      <c r="F35" t="s">
        <v>165</v>
      </c>
      <c r="G35" t="s">
        <v>93</v>
      </c>
      <c r="H35">
        <f t="shared" si="0"/>
        <v>13</v>
      </c>
      <c r="I35" s="4">
        <v>11600000</v>
      </c>
      <c r="M35" s="21"/>
      <c r="N35" s="21"/>
      <c r="O35" s="21"/>
    </row>
    <row r="36" spans="3:15" x14ac:dyDescent="0.25">
      <c r="C36" s="33" t="str">
        <f t="shared" si="1"/>
        <v/>
      </c>
      <c r="D36" s="23" t="s">
        <v>169</v>
      </c>
      <c r="E36" s="33" t="str">
        <f t="shared" si="2"/>
        <v/>
      </c>
      <c r="F36" t="s">
        <v>170</v>
      </c>
      <c r="G36" t="s">
        <v>93</v>
      </c>
      <c r="H36">
        <f t="shared" si="0"/>
        <v>14</v>
      </c>
      <c r="I36" s="4">
        <v>11990000</v>
      </c>
      <c r="M36" s="21"/>
      <c r="N36" s="21"/>
      <c r="O36" s="21"/>
    </row>
    <row r="37" spans="3:15" x14ac:dyDescent="0.25">
      <c r="C37" s="33" t="str">
        <f t="shared" si="1"/>
        <v/>
      </c>
      <c r="D37" s="23" t="s">
        <v>171</v>
      </c>
      <c r="E37" s="33" t="str">
        <f t="shared" si="2"/>
        <v/>
      </c>
      <c r="F37" t="s">
        <v>95</v>
      </c>
      <c r="G37" t="s">
        <v>93</v>
      </c>
      <c r="H37">
        <f t="shared" si="0"/>
        <v>15</v>
      </c>
      <c r="I37" s="4">
        <v>13566000</v>
      </c>
      <c r="M37" s="21"/>
      <c r="N37" s="21"/>
      <c r="O37" s="21"/>
    </row>
    <row r="38" spans="3:15" x14ac:dyDescent="0.25">
      <c r="C38" s="33" t="str">
        <f t="shared" si="1"/>
        <v/>
      </c>
      <c r="D38" s="23" t="s">
        <v>172</v>
      </c>
      <c r="E38" s="33" t="str">
        <f t="shared" si="2"/>
        <v/>
      </c>
      <c r="F38" t="s">
        <v>95</v>
      </c>
      <c r="G38" t="s">
        <v>93</v>
      </c>
      <c r="H38">
        <f t="shared" si="0"/>
        <v>16</v>
      </c>
      <c r="I38" s="4">
        <v>13743000</v>
      </c>
      <c r="M38" s="21"/>
      <c r="N38" s="21"/>
      <c r="O38" s="21"/>
    </row>
    <row r="39" spans="3:15" x14ac:dyDescent="0.25">
      <c r="C39" s="33" t="str">
        <f t="shared" si="1"/>
        <v/>
      </c>
      <c r="D39" s="23" t="s">
        <v>173</v>
      </c>
      <c r="E39" s="33" t="str">
        <f t="shared" si="2"/>
        <v/>
      </c>
      <c r="F39" t="s">
        <v>95</v>
      </c>
      <c r="G39" t="s">
        <v>93</v>
      </c>
      <c r="H39">
        <f t="shared" si="0"/>
        <v>17</v>
      </c>
      <c r="I39" s="4">
        <v>13760000</v>
      </c>
      <c r="M39" s="21"/>
      <c r="N39" s="21"/>
      <c r="O39" s="21"/>
    </row>
    <row r="40" spans="3:15" x14ac:dyDescent="0.25">
      <c r="C40" s="33" t="str">
        <f t="shared" si="1"/>
        <v/>
      </c>
      <c r="D40" s="23" t="s">
        <v>174</v>
      </c>
      <c r="E40" s="33" t="str">
        <f t="shared" si="2"/>
        <v/>
      </c>
      <c r="F40" t="s">
        <v>175</v>
      </c>
      <c r="G40" t="s">
        <v>93</v>
      </c>
      <c r="H40">
        <f t="shared" si="0"/>
        <v>18</v>
      </c>
      <c r="I40" s="4">
        <v>14927617</v>
      </c>
      <c r="M40" s="21"/>
      <c r="N40" s="21"/>
      <c r="O40" s="21"/>
    </row>
    <row r="41" spans="3:15" x14ac:dyDescent="0.25">
      <c r="C41" s="33"/>
      <c r="D41" s="23"/>
      <c r="E41" s="33"/>
      <c r="M41" s="21"/>
      <c r="N41" s="21"/>
      <c r="O41" s="21"/>
    </row>
    <row r="42" spans="3:15" x14ac:dyDescent="0.25">
      <c r="C42" s="33"/>
      <c r="D42" s="23"/>
      <c r="E42" s="33"/>
      <c r="M42" s="21"/>
      <c r="N42" s="21"/>
      <c r="O42" s="21"/>
    </row>
    <row r="43" spans="3:15" x14ac:dyDescent="0.25">
      <c r="C43" s="33" t="str">
        <f t="shared" si="1"/>
        <v/>
      </c>
      <c r="D43" s="11"/>
      <c r="E43" s="33" t="str">
        <f t="shared" si="2"/>
        <v/>
      </c>
      <c r="M43" s="21"/>
      <c r="N43" s="21"/>
      <c r="O43" s="21"/>
    </row>
    <row r="44" spans="3:15" ht="6" customHeight="1" x14ac:dyDescent="0.25">
      <c r="C44" s="9"/>
      <c r="D44" s="9"/>
      <c r="E44" s="9"/>
      <c r="F44" s="9"/>
      <c r="G44" s="9"/>
      <c r="H44" s="9"/>
      <c r="I44" s="9"/>
      <c r="J44" s="9"/>
      <c r="K44" s="9"/>
      <c r="L44" s="9"/>
      <c r="M44" s="21"/>
      <c r="N44" s="21"/>
      <c r="O44" s="21"/>
    </row>
    <row r="45" spans="3:15" ht="6" customHeight="1" x14ac:dyDescent="0.25">
      <c r="M45" s="21"/>
      <c r="N45" s="21"/>
      <c r="O45" s="21"/>
    </row>
    <row r="46" spans="3:15" x14ac:dyDescent="0.25">
      <c r="C46" s="15" t="s">
        <v>79</v>
      </c>
      <c r="M46" s="21"/>
      <c r="N46" s="21"/>
      <c r="O46" s="21"/>
    </row>
    <row r="47" spans="3:15" x14ac:dyDescent="0.25">
      <c r="C47" s="15" t="s">
        <v>78</v>
      </c>
    </row>
  </sheetData>
  <mergeCells count="1">
    <mergeCell ref="G13:H13"/>
  </mergeCells>
  <conditionalFormatting sqref="I9">
    <cfRule type="containsText" dxfId="380" priority="10" operator="containsText" text="FAIL">
      <formula>NOT(ISERROR(SEARCH("FAIL",I9)))</formula>
    </cfRule>
  </conditionalFormatting>
  <conditionalFormatting sqref="I9">
    <cfRule type="containsText" dxfId="379" priority="9" operator="containsText" text="GOOD">
      <formula>NOT(ISERROR(SEARCH("GOOD",I9)))</formula>
    </cfRule>
  </conditionalFormatting>
  <conditionalFormatting sqref="F11">
    <cfRule type="containsText" dxfId="378" priority="8" operator="containsText" text="FAIL">
      <formula>NOT(ISERROR(SEARCH("FAIL",F11)))</formula>
    </cfRule>
  </conditionalFormatting>
  <conditionalFormatting sqref="F11">
    <cfRule type="containsText" dxfId="377" priority="7" operator="containsText" text="GOOD">
      <formula>NOT(ISERROR(SEARCH("GOOD",F11)))</formula>
    </cfRule>
  </conditionalFormatting>
  <conditionalFormatting sqref="D25">
    <cfRule type="expression" dxfId="376" priority="6" stopIfTrue="1">
      <formula>IF($H$25=1,0)</formula>
    </cfRule>
  </conditionalFormatting>
  <conditionalFormatting sqref="D23:D43">
    <cfRule type="expression" dxfId="375" priority="5">
      <formula>H23=1</formula>
    </cfRule>
  </conditionalFormatting>
  <conditionalFormatting sqref="C23:C43">
    <cfRule type="expression" dxfId="374" priority="4">
      <formula>H23=1</formula>
    </cfRule>
  </conditionalFormatting>
  <conditionalFormatting sqref="E23:E43">
    <cfRule type="expression" dxfId="373" priority="3">
      <formula>H23=1</formula>
    </cfRule>
  </conditionalFormatting>
  <conditionalFormatting sqref="F11">
    <cfRule type="containsText" dxfId="372" priority="2" operator="containsText" text="FAIL">
      <formula>NOT(ISERROR(SEARCH("FAIL",F11)))</formula>
    </cfRule>
  </conditionalFormatting>
  <conditionalFormatting sqref="F11">
    <cfRule type="containsText" dxfId="371" priority="1" operator="containsText" text="GOOD">
      <formula>NOT(ISERROR(SEARCH("GOOD",F11)))</formula>
    </cfRule>
  </conditionalFormatting>
  <pageMargins left="0.7" right="0.7" top="0.75" bottom="0.75" header="0.3" footer="0.3"/>
  <pageSetup orientation="portrait" r:id="rId1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F00-000000000000}">
  <sheetPr codeName="Sheet145"/>
  <dimension ref="A2:O47"/>
  <sheetViews>
    <sheetView workbookViewId="0">
      <selection activeCell="I26" sqref="I26"/>
    </sheetView>
  </sheetViews>
  <sheetFormatPr defaultRowHeight="15" x14ac:dyDescent="0.25"/>
  <cols>
    <col min="1" max="2" width="4.42578125" customWidth="1"/>
    <col min="3" max="3" width="3" customWidth="1"/>
    <col min="4" max="4" width="24.85546875" customWidth="1"/>
    <col min="5" max="5" width="3" customWidth="1"/>
    <col min="6" max="6" width="15.7109375" customWidth="1"/>
    <col min="7" max="7" width="8.5703125" customWidth="1"/>
    <col min="8" max="8" width="5.85546875" customWidth="1"/>
    <col min="9" max="15" width="15.7109375" customWidth="1"/>
  </cols>
  <sheetData>
    <row r="2" spans="1:11" x14ac:dyDescent="0.25">
      <c r="C2" s="15" t="s">
        <v>32</v>
      </c>
      <c r="E2" s="15"/>
      <c r="F2" s="15"/>
      <c r="G2" s="15" t="s">
        <v>33</v>
      </c>
      <c r="H2" s="15"/>
      <c r="I2" s="15"/>
      <c r="J2" s="15"/>
      <c r="K2" s="15"/>
    </row>
    <row r="3" spans="1:11" ht="18.75" x14ac:dyDescent="0.3">
      <c r="C3" s="3" t="s">
        <v>26</v>
      </c>
      <c r="J3" s="8" t="s">
        <v>17</v>
      </c>
    </row>
    <row r="4" spans="1:11" x14ac:dyDescent="0.25">
      <c r="D4" s="2" t="s">
        <v>0</v>
      </c>
      <c r="E4" s="1"/>
      <c r="F4" t="s">
        <v>6</v>
      </c>
      <c r="I4" s="2" t="s">
        <v>4</v>
      </c>
    </row>
    <row r="5" spans="1:11" x14ac:dyDescent="0.25">
      <c r="D5" s="2" t="s">
        <v>1</v>
      </c>
      <c r="F5" t="s">
        <v>7</v>
      </c>
    </row>
    <row r="6" spans="1:11" x14ac:dyDescent="0.25">
      <c r="D6" s="2" t="s">
        <v>2</v>
      </c>
      <c r="F6" s="6">
        <v>42243</v>
      </c>
      <c r="H6" s="11"/>
    </row>
    <row r="7" spans="1:11" x14ac:dyDescent="0.25">
      <c r="D7" s="2" t="s">
        <v>3</v>
      </c>
      <c r="F7" s="5">
        <v>1650000</v>
      </c>
      <c r="G7" s="2" t="s">
        <v>34</v>
      </c>
      <c r="H7" s="11"/>
    </row>
    <row r="8" spans="1:11" x14ac:dyDescent="0.25">
      <c r="D8" s="2" t="s">
        <v>18</v>
      </c>
      <c r="F8" s="5">
        <f>MIN(I23:I43)</f>
        <v>1898000</v>
      </c>
      <c r="H8" s="11"/>
    </row>
    <row r="9" spans="1:11" x14ac:dyDescent="0.25">
      <c r="D9" s="2" t="s">
        <v>67</v>
      </c>
      <c r="F9" s="4">
        <f>+F8-F7</f>
        <v>248000</v>
      </c>
      <c r="G9" s="16">
        <f>+F9/F7</f>
        <v>0.1503030303030303</v>
      </c>
      <c r="H9" s="12" t="s">
        <v>20</v>
      </c>
      <c r="I9" s="11" t="str">
        <f>(IF(G9&lt;-0.1,"FAIL",IF(G9&gt;0.05,"FAIL","GOOD")))</f>
        <v>FAIL</v>
      </c>
      <c r="J9" s="14" t="s">
        <v>72</v>
      </c>
    </row>
    <row r="10" spans="1:11" x14ac:dyDescent="0.25">
      <c r="D10" s="2" t="s">
        <v>68</v>
      </c>
      <c r="F10" s="4">
        <f>+F7-F12</f>
        <v>-1168925</v>
      </c>
      <c r="H10" s="11"/>
    </row>
    <row r="11" spans="1:11" x14ac:dyDescent="0.25">
      <c r="A11" s="30"/>
      <c r="D11" s="2" t="s">
        <v>71</v>
      </c>
      <c r="F11" s="11" t="str">
        <f>(IF(F7&lt;J12,"FAIL",IF(F7&gt;J13,"FAIL","GOOD")))</f>
        <v>FAIL</v>
      </c>
      <c r="H11" s="11"/>
    </row>
    <row r="12" spans="1:11" x14ac:dyDescent="0.25">
      <c r="D12" s="2" t="s">
        <v>28</v>
      </c>
      <c r="F12" s="4">
        <f>SUM(I23:I43)/H12</f>
        <v>2818925</v>
      </c>
      <c r="G12" s="14"/>
      <c r="H12" s="11">
        <f>COUNT(I23:I43)</f>
        <v>4</v>
      </c>
      <c r="I12" s="1" t="s">
        <v>31</v>
      </c>
      <c r="J12" s="4">
        <f>+F8*0.9</f>
        <v>1708200</v>
      </c>
      <c r="K12" s="1" t="s">
        <v>69</v>
      </c>
    </row>
    <row r="13" spans="1:11" x14ac:dyDescent="0.25">
      <c r="D13" s="2" t="s">
        <v>29</v>
      </c>
      <c r="F13" s="4">
        <f>MAX(I23:I43)-MIN(I23:I43)</f>
        <v>2249700</v>
      </c>
      <c r="G13" s="399">
        <f>MEDIAN(I23:I43)</f>
        <v>2615000</v>
      </c>
      <c r="H13" s="400"/>
      <c r="I13" s="1" t="s">
        <v>30</v>
      </c>
      <c r="J13" s="4">
        <f>+F12*1.1</f>
        <v>3100817.5000000005</v>
      </c>
      <c r="K13" s="1" t="s">
        <v>70</v>
      </c>
    </row>
    <row r="14" spans="1:11" x14ac:dyDescent="0.25">
      <c r="H14" s="11"/>
    </row>
    <row r="15" spans="1:11" x14ac:dyDescent="0.25">
      <c r="D15" s="2" t="s">
        <v>8</v>
      </c>
      <c r="F15" s="4"/>
      <c r="G15" s="1" t="s">
        <v>9</v>
      </c>
      <c r="H15" s="11"/>
      <c r="I15" t="s">
        <v>15</v>
      </c>
      <c r="J15" s="7" t="e">
        <f>+F16/F15</f>
        <v>#DIV/0!</v>
      </c>
    </row>
    <row r="16" spans="1:11" x14ac:dyDescent="0.25">
      <c r="F16" s="4"/>
      <c r="G16" s="1" t="s">
        <v>10</v>
      </c>
      <c r="H16" s="11"/>
      <c r="I16" t="s">
        <v>14</v>
      </c>
      <c r="J16" s="7" t="e">
        <f>+F17/F16</f>
        <v>#DIV/0!</v>
      </c>
    </row>
    <row r="17" spans="3:15" x14ac:dyDescent="0.25">
      <c r="F17" s="4"/>
      <c r="G17" s="1" t="s">
        <v>11</v>
      </c>
      <c r="H17" s="11"/>
      <c r="I17" t="s">
        <v>13</v>
      </c>
      <c r="J17" s="7" t="e">
        <f>+F18/F17</f>
        <v>#DIV/0!</v>
      </c>
      <c r="M17" s="21"/>
      <c r="N17" s="21"/>
      <c r="O17" s="21"/>
    </row>
    <row r="18" spans="3:15" x14ac:dyDescent="0.25">
      <c r="F18" s="4"/>
      <c r="G18" s="1" t="s">
        <v>12</v>
      </c>
      <c r="H18" s="11"/>
      <c r="I18" t="s">
        <v>16</v>
      </c>
      <c r="J18" s="7" t="e">
        <f>+F8/F18</f>
        <v>#DIV/0!</v>
      </c>
      <c r="M18" s="21"/>
      <c r="N18" s="21"/>
      <c r="O18" s="21"/>
    </row>
    <row r="19" spans="3:15" x14ac:dyDescent="0.25">
      <c r="F19" s="2" t="s">
        <v>51</v>
      </c>
      <c r="G19">
        <v>0</v>
      </c>
      <c r="H19" s="11" t="s">
        <v>52</v>
      </c>
      <c r="I19" t="s">
        <v>41</v>
      </c>
      <c r="J19" s="7" t="e">
        <f>+F8/F15</f>
        <v>#DIV/0!</v>
      </c>
      <c r="M19" s="21"/>
      <c r="N19" s="21"/>
      <c r="O19" s="21"/>
    </row>
    <row r="20" spans="3:15" x14ac:dyDescent="0.25">
      <c r="H20" s="11"/>
      <c r="M20" s="21"/>
      <c r="N20" s="21"/>
      <c r="O20" s="21"/>
    </row>
    <row r="21" spans="3:15" x14ac:dyDescent="0.25">
      <c r="C21" s="9"/>
      <c r="D21" s="13" t="s">
        <v>21</v>
      </c>
      <c r="E21" s="9"/>
      <c r="F21" s="9" t="s">
        <v>22</v>
      </c>
      <c r="G21" s="9" t="s">
        <v>23</v>
      </c>
      <c r="H21" s="13" t="s">
        <v>27</v>
      </c>
      <c r="I21" s="10" t="s">
        <v>24</v>
      </c>
      <c r="J21" s="9"/>
      <c r="K21" s="9"/>
      <c r="L21" s="9"/>
      <c r="M21" s="21"/>
      <c r="N21" s="21"/>
      <c r="O21" s="21"/>
    </row>
    <row r="22" spans="3:15" ht="6" customHeight="1" x14ac:dyDescent="0.25">
      <c r="M22" s="21"/>
      <c r="N22" s="21"/>
      <c r="O22" s="21"/>
    </row>
    <row r="23" spans="3:15" x14ac:dyDescent="0.25">
      <c r="C23" s="33" t="str">
        <f>IF(H23=1,"u","")</f>
        <v>u</v>
      </c>
      <c r="D23" s="23" t="s">
        <v>230</v>
      </c>
      <c r="E23" s="33"/>
      <c r="F23" t="s">
        <v>203</v>
      </c>
      <c r="G23" t="s">
        <v>204</v>
      </c>
      <c r="H23">
        <f>RANK(I23,I$23:I$43,1)</f>
        <v>1</v>
      </c>
      <c r="I23" s="4">
        <v>1898000</v>
      </c>
      <c r="J23" s="4"/>
      <c r="K23" s="4"/>
      <c r="L23" s="4"/>
      <c r="M23" s="22"/>
      <c r="N23" s="22"/>
      <c r="O23" s="22"/>
    </row>
    <row r="24" spans="3:15" x14ac:dyDescent="0.25">
      <c r="C24" s="33" t="str">
        <f>IF(H24=1,"u","")</f>
        <v/>
      </c>
      <c r="D24" s="23" t="s">
        <v>231</v>
      </c>
      <c r="E24" s="33"/>
      <c r="F24" t="s">
        <v>232</v>
      </c>
      <c r="G24" t="s">
        <v>25</v>
      </c>
      <c r="H24">
        <f>RANK(I24,I$23:I$43,1)</f>
        <v>2</v>
      </c>
      <c r="I24" s="4">
        <v>2440000</v>
      </c>
      <c r="J24" s="4"/>
      <c r="K24" s="4"/>
      <c r="L24" s="4"/>
      <c r="M24" s="22"/>
      <c r="N24" s="22"/>
      <c r="O24" s="22"/>
    </row>
    <row r="25" spans="3:15" x14ac:dyDescent="0.25">
      <c r="C25" s="33" t="str">
        <f>IF(H25=1,"u","")</f>
        <v/>
      </c>
      <c r="D25" s="23" t="s">
        <v>233</v>
      </c>
      <c r="E25" s="33"/>
      <c r="F25" t="s">
        <v>88</v>
      </c>
      <c r="G25" t="s">
        <v>25</v>
      </c>
      <c r="H25">
        <f>RANK(I25,I$23:I$43,1)</f>
        <v>3</v>
      </c>
      <c r="I25" s="4">
        <v>2790000</v>
      </c>
      <c r="J25" s="4"/>
      <c r="K25" s="4"/>
      <c r="L25" s="4"/>
      <c r="M25" s="22"/>
      <c r="N25" s="22"/>
      <c r="O25" s="22"/>
    </row>
    <row r="26" spans="3:15" x14ac:dyDescent="0.25">
      <c r="C26" s="33" t="str">
        <f t="shared" ref="C26:C43" si="0">IF(H26=1,"u","")</f>
        <v/>
      </c>
      <c r="D26" s="23" t="s">
        <v>234</v>
      </c>
      <c r="E26" s="33"/>
      <c r="F26" t="s">
        <v>95</v>
      </c>
      <c r="G26" t="s">
        <v>93</v>
      </c>
      <c r="H26">
        <f>RANK(I26,I$23:I$43,1)</f>
        <v>4</v>
      </c>
      <c r="I26" s="4">
        <v>4147700</v>
      </c>
      <c r="J26" s="4"/>
      <c r="K26" s="4"/>
      <c r="L26" s="4"/>
      <c r="M26" s="22"/>
      <c r="N26" s="22"/>
      <c r="O26" s="22"/>
    </row>
    <row r="27" spans="3:15" x14ac:dyDescent="0.25">
      <c r="C27" s="33" t="str">
        <f t="shared" si="0"/>
        <v/>
      </c>
      <c r="D27" s="23"/>
      <c r="E27" s="33" t="str">
        <f t="shared" ref="E27:E43" si="1">IF(H27=1,"t","")</f>
        <v/>
      </c>
      <c r="I27" s="4"/>
      <c r="J27" s="4"/>
      <c r="K27" s="4"/>
      <c r="L27" s="4"/>
      <c r="M27" s="22"/>
      <c r="N27" s="22"/>
      <c r="O27" s="22"/>
    </row>
    <row r="28" spans="3:15" x14ac:dyDescent="0.25">
      <c r="C28" s="33" t="str">
        <f t="shared" si="0"/>
        <v/>
      </c>
      <c r="D28" s="23"/>
      <c r="E28" s="33" t="str">
        <f t="shared" si="1"/>
        <v/>
      </c>
      <c r="I28" s="4"/>
      <c r="J28" s="4"/>
      <c r="K28" s="4"/>
      <c r="L28" s="4"/>
      <c r="M28" s="22"/>
      <c r="N28" s="22"/>
      <c r="O28" s="22"/>
    </row>
    <row r="29" spans="3:15" x14ac:dyDescent="0.25">
      <c r="C29" s="33" t="str">
        <f t="shared" si="0"/>
        <v/>
      </c>
      <c r="D29" s="23"/>
      <c r="E29" s="33" t="str">
        <f t="shared" si="1"/>
        <v/>
      </c>
      <c r="I29" s="4"/>
      <c r="J29" s="4"/>
      <c r="K29" s="4"/>
      <c r="L29" s="4"/>
      <c r="M29" s="22"/>
      <c r="N29" s="22"/>
      <c r="O29" s="22"/>
    </row>
    <row r="30" spans="3:15" x14ac:dyDescent="0.25">
      <c r="C30" s="33" t="str">
        <f t="shared" si="0"/>
        <v/>
      </c>
      <c r="D30" s="11"/>
      <c r="E30" s="33" t="str">
        <f t="shared" si="1"/>
        <v/>
      </c>
      <c r="I30" s="4"/>
      <c r="J30" s="4"/>
      <c r="K30" s="4"/>
      <c r="L30" s="4"/>
      <c r="M30" s="22"/>
      <c r="N30" s="22"/>
      <c r="O30" s="22"/>
    </row>
    <row r="31" spans="3:15" x14ac:dyDescent="0.25">
      <c r="C31" s="33" t="str">
        <f t="shared" si="0"/>
        <v/>
      </c>
      <c r="D31" s="11"/>
      <c r="E31" s="33" t="str">
        <f t="shared" si="1"/>
        <v/>
      </c>
      <c r="I31" s="4"/>
      <c r="J31" s="4"/>
      <c r="K31" s="4"/>
      <c r="L31" s="4"/>
      <c r="M31" s="22"/>
      <c r="N31" s="22"/>
      <c r="O31" s="22"/>
    </row>
    <row r="32" spans="3:15" x14ac:dyDescent="0.25">
      <c r="C32" s="33" t="str">
        <f t="shared" si="0"/>
        <v/>
      </c>
      <c r="D32" s="11"/>
      <c r="E32" s="33" t="str">
        <f t="shared" si="1"/>
        <v/>
      </c>
      <c r="I32" s="4"/>
      <c r="J32" s="4"/>
      <c r="K32" s="4"/>
      <c r="L32" s="4"/>
      <c r="M32" s="22"/>
      <c r="N32" s="22"/>
      <c r="O32" s="22"/>
    </row>
    <row r="33" spans="3:15" x14ac:dyDescent="0.25">
      <c r="C33" s="33" t="str">
        <f t="shared" si="0"/>
        <v/>
      </c>
      <c r="D33" s="11"/>
      <c r="E33" s="33" t="str">
        <f t="shared" si="1"/>
        <v/>
      </c>
      <c r="M33" s="21"/>
      <c r="N33" s="21"/>
      <c r="O33" s="21"/>
    </row>
    <row r="34" spans="3:15" x14ac:dyDescent="0.25">
      <c r="C34" s="33" t="str">
        <f t="shared" si="0"/>
        <v/>
      </c>
      <c r="D34" s="11"/>
      <c r="E34" s="33" t="str">
        <f t="shared" si="1"/>
        <v/>
      </c>
      <c r="M34" s="21"/>
      <c r="N34" s="21"/>
      <c r="O34" s="21"/>
    </row>
    <row r="35" spans="3:15" x14ac:dyDescent="0.25">
      <c r="C35" s="33" t="str">
        <f t="shared" si="0"/>
        <v/>
      </c>
      <c r="D35" s="11"/>
      <c r="E35" s="33" t="str">
        <f t="shared" si="1"/>
        <v/>
      </c>
      <c r="M35" s="21"/>
      <c r="N35" s="21"/>
      <c r="O35" s="21"/>
    </row>
    <row r="36" spans="3:15" x14ac:dyDescent="0.25">
      <c r="C36" s="33" t="str">
        <f t="shared" si="0"/>
        <v/>
      </c>
      <c r="D36" s="11"/>
      <c r="E36" s="33" t="str">
        <f t="shared" si="1"/>
        <v/>
      </c>
      <c r="M36" s="21"/>
      <c r="N36" s="21"/>
      <c r="O36" s="21"/>
    </row>
    <row r="37" spans="3:15" x14ac:dyDescent="0.25">
      <c r="C37" s="33" t="str">
        <f t="shared" si="0"/>
        <v/>
      </c>
      <c r="D37" s="11"/>
      <c r="E37" s="33" t="str">
        <f t="shared" si="1"/>
        <v/>
      </c>
      <c r="M37" s="21"/>
      <c r="N37" s="21"/>
      <c r="O37" s="21"/>
    </row>
    <row r="38" spans="3:15" x14ac:dyDescent="0.25">
      <c r="C38" s="33" t="str">
        <f t="shared" si="0"/>
        <v/>
      </c>
      <c r="D38" s="11"/>
      <c r="E38" s="33" t="str">
        <f t="shared" si="1"/>
        <v/>
      </c>
      <c r="M38" s="21"/>
      <c r="N38" s="21"/>
      <c r="O38" s="21"/>
    </row>
    <row r="39" spans="3:15" x14ac:dyDescent="0.25">
      <c r="C39" s="33" t="str">
        <f t="shared" si="0"/>
        <v/>
      </c>
      <c r="D39" s="11"/>
      <c r="E39" s="33" t="str">
        <f t="shared" si="1"/>
        <v/>
      </c>
      <c r="M39" s="21"/>
      <c r="N39" s="21"/>
      <c r="O39" s="21"/>
    </row>
    <row r="40" spans="3:15" x14ac:dyDescent="0.25">
      <c r="C40" s="33" t="str">
        <f t="shared" si="0"/>
        <v/>
      </c>
      <c r="D40" s="11"/>
      <c r="E40" s="33" t="str">
        <f t="shared" si="1"/>
        <v/>
      </c>
      <c r="M40" s="21"/>
      <c r="N40" s="21"/>
      <c r="O40" s="21"/>
    </row>
    <row r="41" spans="3:15" x14ac:dyDescent="0.25">
      <c r="C41" s="33" t="str">
        <f t="shared" si="0"/>
        <v/>
      </c>
      <c r="D41" s="11"/>
      <c r="E41" s="33" t="str">
        <f t="shared" si="1"/>
        <v/>
      </c>
      <c r="M41" s="21"/>
      <c r="N41" s="21"/>
      <c r="O41" s="21"/>
    </row>
    <row r="42" spans="3:15" x14ac:dyDescent="0.25">
      <c r="C42" s="33" t="str">
        <f t="shared" si="0"/>
        <v/>
      </c>
      <c r="D42" s="11"/>
      <c r="E42" s="33" t="str">
        <f t="shared" si="1"/>
        <v/>
      </c>
      <c r="M42" s="21"/>
      <c r="N42" s="21"/>
      <c r="O42" s="21"/>
    </row>
    <row r="43" spans="3:15" x14ac:dyDescent="0.25">
      <c r="C43" s="33" t="str">
        <f t="shared" si="0"/>
        <v/>
      </c>
      <c r="D43" s="11"/>
      <c r="E43" s="33" t="str">
        <f t="shared" si="1"/>
        <v/>
      </c>
      <c r="M43" s="21"/>
      <c r="N43" s="21"/>
      <c r="O43" s="21"/>
    </row>
    <row r="44" spans="3:15" ht="6" customHeight="1" x14ac:dyDescent="0.25">
      <c r="C44" s="9"/>
      <c r="D44" s="9"/>
      <c r="E44" s="9"/>
      <c r="F44" s="9"/>
      <c r="G44" s="9"/>
      <c r="H44" s="9"/>
      <c r="I44" s="9"/>
      <c r="J44" s="9"/>
      <c r="K44" s="9"/>
      <c r="L44" s="9"/>
      <c r="M44" s="21"/>
      <c r="N44" s="21"/>
      <c r="O44" s="21"/>
    </row>
    <row r="45" spans="3:15" ht="6" customHeight="1" x14ac:dyDescent="0.25">
      <c r="M45" s="21"/>
      <c r="N45" s="21"/>
      <c r="O45" s="21"/>
    </row>
    <row r="46" spans="3:15" x14ac:dyDescent="0.25">
      <c r="C46" s="15" t="s">
        <v>79</v>
      </c>
      <c r="M46" s="21"/>
      <c r="N46" s="21"/>
      <c r="O46" s="21"/>
    </row>
    <row r="47" spans="3:15" x14ac:dyDescent="0.25">
      <c r="C47" s="15" t="s">
        <v>78</v>
      </c>
    </row>
  </sheetData>
  <mergeCells count="1">
    <mergeCell ref="G13:H13"/>
  </mergeCells>
  <conditionalFormatting sqref="I9">
    <cfRule type="containsText" dxfId="360" priority="10" operator="containsText" text="FAIL">
      <formula>NOT(ISERROR(SEARCH("FAIL",I9)))</formula>
    </cfRule>
  </conditionalFormatting>
  <conditionalFormatting sqref="I9">
    <cfRule type="containsText" dxfId="359" priority="9" operator="containsText" text="GOOD">
      <formula>NOT(ISERROR(SEARCH("GOOD",I9)))</formula>
    </cfRule>
  </conditionalFormatting>
  <conditionalFormatting sqref="F11">
    <cfRule type="containsText" dxfId="358" priority="8" operator="containsText" text="FAIL">
      <formula>NOT(ISERROR(SEARCH("FAIL",F11)))</formula>
    </cfRule>
  </conditionalFormatting>
  <conditionalFormatting sqref="F11">
    <cfRule type="containsText" dxfId="357" priority="7" operator="containsText" text="GOOD">
      <formula>NOT(ISERROR(SEARCH("GOOD",F11)))</formula>
    </cfRule>
  </conditionalFormatting>
  <conditionalFormatting sqref="D25">
    <cfRule type="expression" dxfId="356" priority="6" stopIfTrue="1">
      <formula>IF($H$25=1,0)</formula>
    </cfRule>
  </conditionalFormatting>
  <conditionalFormatting sqref="D23:D43">
    <cfRule type="expression" dxfId="355" priority="5">
      <formula>H23=1</formula>
    </cfRule>
  </conditionalFormatting>
  <conditionalFormatting sqref="C23:C43">
    <cfRule type="expression" dxfId="354" priority="4">
      <formula>H23=1</formula>
    </cfRule>
  </conditionalFormatting>
  <conditionalFormatting sqref="E23:E43">
    <cfRule type="expression" dxfId="353" priority="3">
      <formula>H23=1</formula>
    </cfRule>
  </conditionalFormatting>
  <conditionalFormatting sqref="F11">
    <cfRule type="containsText" dxfId="352" priority="2" operator="containsText" text="FAIL">
      <formula>NOT(ISERROR(SEARCH("FAIL",F11)))</formula>
    </cfRule>
  </conditionalFormatting>
  <conditionalFormatting sqref="F11">
    <cfRule type="containsText" dxfId="351" priority="1" operator="containsText" text="GOOD">
      <formula>NOT(ISERROR(SEARCH("GOOD",F11)))</formula>
    </cfRule>
  </conditionalFormatting>
  <pageMargins left="0.7" right="0.7" top="0.75" bottom="0.75" header="0.3" footer="0.3"/>
  <pageSetup orientation="portrait" r:id="rId1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700-000000000000}">
  <sheetPr codeName="Sheet169"/>
  <dimension ref="A2:O47"/>
  <sheetViews>
    <sheetView workbookViewId="0">
      <selection activeCell="J4" sqref="J4"/>
    </sheetView>
  </sheetViews>
  <sheetFormatPr defaultRowHeight="15" x14ac:dyDescent="0.25"/>
  <cols>
    <col min="1" max="2" width="4.42578125" customWidth="1"/>
    <col min="3" max="3" width="3" customWidth="1"/>
    <col min="4" max="4" width="24.7109375" customWidth="1"/>
    <col min="5" max="5" width="3" customWidth="1"/>
    <col min="6" max="6" width="15.7109375" customWidth="1"/>
    <col min="7" max="7" width="8.5703125" customWidth="1"/>
    <col min="8" max="8" width="5.85546875" customWidth="1"/>
    <col min="9" max="15" width="15.7109375" customWidth="1"/>
  </cols>
  <sheetData>
    <row r="2" spans="1:11" x14ac:dyDescent="0.25">
      <c r="C2" s="15" t="s">
        <v>32</v>
      </c>
      <c r="E2" s="15"/>
      <c r="F2" s="15"/>
      <c r="G2" s="15" t="s">
        <v>33</v>
      </c>
      <c r="H2" s="15"/>
      <c r="I2" s="15"/>
      <c r="J2" s="15"/>
      <c r="K2" s="15"/>
    </row>
    <row r="3" spans="1:11" ht="18.75" x14ac:dyDescent="0.3">
      <c r="C3" s="3" t="s">
        <v>26</v>
      </c>
      <c r="J3" s="8" t="s">
        <v>47</v>
      </c>
    </row>
    <row r="4" spans="1:11" x14ac:dyDescent="0.25">
      <c r="D4" s="2" t="s">
        <v>0</v>
      </c>
      <c r="E4" s="1"/>
      <c r="F4" t="s">
        <v>410</v>
      </c>
      <c r="I4" s="2" t="s">
        <v>4</v>
      </c>
    </row>
    <row r="5" spans="1:11" x14ac:dyDescent="0.25">
      <c r="D5" s="2" t="s">
        <v>1</v>
      </c>
      <c r="F5" t="s">
        <v>411</v>
      </c>
    </row>
    <row r="6" spans="1:11" x14ac:dyDescent="0.25">
      <c r="D6" s="2" t="s">
        <v>2</v>
      </c>
      <c r="F6" s="6">
        <v>42057</v>
      </c>
      <c r="H6" s="11"/>
    </row>
    <row r="7" spans="1:11" x14ac:dyDescent="0.25">
      <c r="D7" s="2" t="s">
        <v>3</v>
      </c>
      <c r="F7" s="5">
        <f>+I7+J7</f>
        <v>9700000</v>
      </c>
      <c r="G7" s="2" t="s">
        <v>190</v>
      </c>
      <c r="H7" s="11"/>
      <c r="I7" s="19">
        <v>3815000</v>
      </c>
      <c r="J7" s="19">
        <v>5885000</v>
      </c>
    </row>
    <row r="8" spans="1:11" x14ac:dyDescent="0.25">
      <c r="D8" s="2" t="s">
        <v>18</v>
      </c>
      <c r="F8" s="5">
        <f>MIN(K23:K43)</f>
        <v>8742268</v>
      </c>
      <c r="H8" s="11"/>
      <c r="I8" s="18" t="s">
        <v>43</v>
      </c>
      <c r="J8" s="18" t="s">
        <v>44</v>
      </c>
    </row>
    <row r="9" spans="1:11" x14ac:dyDescent="0.25">
      <c r="D9" s="2" t="s">
        <v>19</v>
      </c>
      <c r="F9" s="4">
        <f>+F8-F7</f>
        <v>-957732</v>
      </c>
      <c r="G9" s="16">
        <f>+F9/F7</f>
        <v>-9.8735257731958764E-2</v>
      </c>
      <c r="H9" s="12" t="s">
        <v>20</v>
      </c>
      <c r="I9" s="11" t="str">
        <f>(IF(G9&lt;-0.1,"FAIL",IF(G9&gt;0.05,"FAIL","GOOD")))</f>
        <v>GOOD</v>
      </c>
    </row>
    <row r="10" spans="1:11" x14ac:dyDescent="0.25">
      <c r="D10" s="2" t="s">
        <v>68</v>
      </c>
      <c r="F10" s="4">
        <f>+F7-F12</f>
        <v>185209.66666666605</v>
      </c>
      <c r="H10" s="11"/>
    </row>
    <row r="11" spans="1:11" x14ac:dyDescent="0.25">
      <c r="A11" s="30"/>
      <c r="D11" s="2" t="s">
        <v>71</v>
      </c>
      <c r="F11" s="11" t="str">
        <f>(IF(F7&lt;J12,"FAIL",IF(F7&gt;J13,"FAIL","GOOD")))</f>
        <v>GOOD</v>
      </c>
      <c r="H11" s="11"/>
    </row>
    <row r="12" spans="1:11" x14ac:dyDescent="0.25">
      <c r="D12" s="2" t="s">
        <v>28</v>
      </c>
      <c r="F12" s="4">
        <f>SUM(K23:K43)/H12</f>
        <v>9514790.333333334</v>
      </c>
      <c r="G12" s="14"/>
      <c r="H12" s="11">
        <f>COUNT(K23:K43)</f>
        <v>3</v>
      </c>
      <c r="I12" s="1" t="s">
        <v>31</v>
      </c>
      <c r="J12" s="4">
        <f>+F8*0.9</f>
        <v>7868041.2000000002</v>
      </c>
      <c r="K12" s="1" t="s">
        <v>69</v>
      </c>
    </row>
    <row r="13" spans="1:11" x14ac:dyDescent="0.25">
      <c r="D13" s="2" t="s">
        <v>29</v>
      </c>
      <c r="F13" s="4">
        <f>MAX(K23:K43)-MIN(K23:K43)</f>
        <v>1234285</v>
      </c>
      <c r="G13" s="399">
        <f>MEDIAN(K23:K43)</f>
        <v>9825550</v>
      </c>
      <c r="H13" s="400"/>
      <c r="I13" s="1" t="s">
        <v>30</v>
      </c>
      <c r="J13" s="4">
        <f>+F12*1.1</f>
        <v>10466269.366666669</v>
      </c>
      <c r="K13" s="1" t="s">
        <v>70</v>
      </c>
    </row>
    <row r="14" spans="1:11" x14ac:dyDescent="0.25">
      <c r="H14" s="11"/>
    </row>
    <row r="15" spans="1:11" x14ac:dyDescent="0.25">
      <c r="D15" s="2" t="s">
        <v>8</v>
      </c>
      <c r="F15" s="4"/>
      <c r="G15" s="1" t="s">
        <v>9</v>
      </c>
      <c r="H15" s="11"/>
      <c r="I15" t="s">
        <v>15</v>
      </c>
      <c r="J15" s="7" t="e">
        <f>+F16/F15</f>
        <v>#DIV/0!</v>
      </c>
    </row>
    <row r="16" spans="1:11" x14ac:dyDescent="0.25">
      <c r="F16" s="4"/>
      <c r="G16" s="1" t="s">
        <v>10</v>
      </c>
      <c r="H16" s="11"/>
      <c r="I16" t="s">
        <v>14</v>
      </c>
      <c r="J16" s="7" t="e">
        <f>+F17/F16</f>
        <v>#DIV/0!</v>
      </c>
    </row>
    <row r="17" spans="3:15" x14ac:dyDescent="0.25">
      <c r="F17" s="4"/>
      <c r="G17" s="1" t="s">
        <v>11</v>
      </c>
      <c r="H17" s="11"/>
      <c r="I17" t="s">
        <v>13</v>
      </c>
      <c r="J17" s="7" t="e">
        <f>+F18/F17</f>
        <v>#DIV/0!</v>
      </c>
    </row>
    <row r="18" spans="3:15" x14ac:dyDescent="0.25">
      <c r="F18" s="4"/>
      <c r="G18" s="1" t="s">
        <v>12</v>
      </c>
      <c r="H18" s="11"/>
      <c r="I18" t="s">
        <v>16</v>
      </c>
      <c r="J18" s="7" t="e">
        <f>+F8/F18</f>
        <v>#DIV/0!</v>
      </c>
    </row>
    <row r="19" spans="3:15" x14ac:dyDescent="0.25">
      <c r="F19" s="2" t="s">
        <v>51</v>
      </c>
      <c r="G19">
        <v>0</v>
      </c>
      <c r="H19" s="11" t="s">
        <v>52</v>
      </c>
      <c r="I19" t="s">
        <v>41</v>
      </c>
      <c r="J19" s="7" t="e">
        <f>+F8/F15</f>
        <v>#DIV/0!</v>
      </c>
    </row>
    <row r="20" spans="3:15" x14ac:dyDescent="0.25">
      <c r="H20" s="11"/>
      <c r="M20" s="21"/>
      <c r="N20" s="21"/>
      <c r="O20" s="21"/>
    </row>
    <row r="21" spans="3:15" x14ac:dyDescent="0.25">
      <c r="C21" s="9"/>
      <c r="D21" s="13" t="s">
        <v>21</v>
      </c>
      <c r="E21" s="9"/>
      <c r="F21" s="9" t="s">
        <v>22</v>
      </c>
      <c r="G21" s="9" t="s">
        <v>23</v>
      </c>
      <c r="H21" s="13" t="s">
        <v>27</v>
      </c>
      <c r="I21" s="10" t="s">
        <v>38</v>
      </c>
      <c r="J21" s="10" t="s">
        <v>37</v>
      </c>
      <c r="K21" s="10" t="s">
        <v>39</v>
      </c>
      <c r="L21" s="9"/>
      <c r="M21" s="21"/>
      <c r="N21" s="21"/>
      <c r="O21" s="21"/>
    </row>
    <row r="22" spans="3:15" ht="6" customHeight="1" x14ac:dyDescent="0.25">
      <c r="M22" s="21"/>
      <c r="N22" s="21"/>
      <c r="O22" s="21"/>
    </row>
    <row r="23" spans="3:15" x14ac:dyDescent="0.25">
      <c r="C23" s="33" t="str">
        <f>IF(H23=1,"u","")</f>
        <v>u</v>
      </c>
      <c r="D23" s="23" t="s">
        <v>412</v>
      </c>
      <c r="E23" s="33"/>
      <c r="F23" t="s">
        <v>413</v>
      </c>
      <c r="G23" t="s">
        <v>93</v>
      </c>
      <c r="H23">
        <f>RANK(K23,K$23:K$43,1)</f>
        <v>1</v>
      </c>
      <c r="I23" s="4">
        <v>3282300</v>
      </c>
      <c r="J23" s="4">
        <v>5459968</v>
      </c>
      <c r="K23" s="4">
        <f>+J23+I23</f>
        <v>8742268</v>
      </c>
      <c r="L23" s="4"/>
      <c r="M23" s="22"/>
      <c r="N23" s="22"/>
      <c r="O23" s="22"/>
    </row>
    <row r="24" spans="3:15" x14ac:dyDescent="0.25">
      <c r="C24" s="33" t="str">
        <f>IF(H24=1,"u","")</f>
        <v/>
      </c>
      <c r="D24" s="23" t="s">
        <v>281</v>
      </c>
      <c r="E24" s="33"/>
      <c r="F24" t="s">
        <v>159</v>
      </c>
      <c r="G24" t="s">
        <v>93</v>
      </c>
      <c r="H24">
        <f>RANK(K24,K$23:K$43,1)</f>
        <v>2</v>
      </c>
      <c r="I24" s="4">
        <v>3605550</v>
      </c>
      <c r="J24" s="4">
        <v>6220000</v>
      </c>
      <c r="K24" s="4">
        <f>+J24+I24</f>
        <v>9825550</v>
      </c>
      <c r="L24" s="4"/>
      <c r="M24" s="22"/>
      <c r="N24" s="22"/>
      <c r="O24" s="22"/>
    </row>
    <row r="25" spans="3:15" x14ac:dyDescent="0.25">
      <c r="C25" s="33" t="str">
        <f>IF(H25=1,"u","")</f>
        <v/>
      </c>
      <c r="D25" s="23" t="s">
        <v>194</v>
      </c>
      <c r="E25" s="33"/>
      <c r="F25" t="s">
        <v>222</v>
      </c>
      <c r="G25" t="s">
        <v>25</v>
      </c>
      <c r="H25">
        <f>RANK(K25,K$23:K$43,1)</f>
        <v>3</v>
      </c>
      <c r="I25" s="4">
        <v>2147750</v>
      </c>
      <c r="J25" s="4">
        <v>7828803</v>
      </c>
      <c r="K25" s="4">
        <f>+J25+I25</f>
        <v>9976553</v>
      </c>
      <c r="L25" s="4"/>
      <c r="M25" s="22"/>
      <c r="N25" s="22"/>
      <c r="O25" s="22"/>
    </row>
    <row r="26" spans="3:15" x14ac:dyDescent="0.25">
      <c r="C26" s="33"/>
      <c r="D26" s="11"/>
      <c r="E26" s="33"/>
      <c r="I26" s="4"/>
      <c r="J26" s="4"/>
      <c r="K26" s="4"/>
      <c r="L26" s="4"/>
      <c r="M26" s="22"/>
      <c r="N26" s="22"/>
      <c r="O26" s="22"/>
    </row>
    <row r="27" spans="3:15" x14ac:dyDescent="0.25">
      <c r="C27" s="33"/>
      <c r="D27" s="11"/>
      <c r="E27" s="33"/>
      <c r="I27" s="4"/>
      <c r="J27" s="4"/>
      <c r="K27" s="4"/>
      <c r="L27" s="4"/>
      <c r="M27" s="22"/>
      <c r="N27" s="22"/>
      <c r="O27" s="22"/>
    </row>
    <row r="28" spans="3:15" x14ac:dyDescent="0.25">
      <c r="C28" s="33"/>
      <c r="D28" s="11"/>
      <c r="E28" s="33"/>
      <c r="I28" s="4"/>
      <c r="J28" s="4"/>
      <c r="K28" s="4"/>
      <c r="L28" s="4"/>
      <c r="M28" s="22"/>
      <c r="N28" s="22"/>
      <c r="O28" s="22"/>
    </row>
    <row r="29" spans="3:15" x14ac:dyDescent="0.25">
      <c r="C29" s="33"/>
      <c r="D29" s="11"/>
      <c r="E29" s="33"/>
      <c r="I29" s="4"/>
      <c r="J29" s="4"/>
      <c r="K29" s="4"/>
      <c r="L29" s="4"/>
      <c r="M29" s="22"/>
      <c r="N29" s="22"/>
      <c r="O29" s="22"/>
    </row>
    <row r="30" spans="3:15" x14ac:dyDescent="0.25">
      <c r="C30" s="33"/>
      <c r="D30" s="11"/>
      <c r="E30" s="33"/>
      <c r="I30" s="4"/>
      <c r="J30" s="4"/>
      <c r="K30" s="4"/>
      <c r="L30" s="4"/>
      <c r="M30" s="22"/>
      <c r="N30" s="22"/>
      <c r="O30" s="22"/>
    </row>
    <row r="31" spans="3:15" x14ac:dyDescent="0.25">
      <c r="C31" s="33"/>
      <c r="D31" s="11"/>
      <c r="E31" s="33"/>
      <c r="I31" s="4"/>
      <c r="J31" s="4"/>
      <c r="K31" s="4"/>
      <c r="L31" s="4"/>
      <c r="M31" s="22"/>
      <c r="N31" s="22"/>
      <c r="O31" s="22"/>
    </row>
    <row r="32" spans="3:15" x14ac:dyDescent="0.25">
      <c r="C32" s="33"/>
      <c r="D32" s="11"/>
      <c r="E32" s="33"/>
      <c r="I32" s="4"/>
      <c r="J32" s="4"/>
      <c r="K32" s="4"/>
      <c r="L32" s="4"/>
      <c r="M32" s="22"/>
      <c r="N32" s="22"/>
      <c r="O32" s="22"/>
    </row>
    <row r="33" spans="3:15" x14ac:dyDescent="0.25">
      <c r="C33" s="33"/>
      <c r="D33" s="11"/>
      <c r="E33" s="33"/>
      <c r="I33" s="4"/>
      <c r="J33" s="4"/>
      <c r="K33" s="4"/>
      <c r="M33" s="21"/>
      <c r="N33" s="21"/>
      <c r="O33" s="21"/>
    </row>
    <row r="34" spans="3:15" x14ac:dyDescent="0.25">
      <c r="C34" s="33"/>
      <c r="D34" s="11"/>
      <c r="E34" s="33"/>
      <c r="K34" s="4"/>
      <c r="M34" s="21"/>
      <c r="N34" s="21"/>
      <c r="O34" s="21"/>
    </row>
    <row r="35" spans="3:15" x14ac:dyDescent="0.25">
      <c r="C35" s="33" t="str">
        <f t="shared" ref="C35:C43" si="0">IF(H35=1,"u","")</f>
        <v/>
      </c>
      <c r="D35" s="11"/>
      <c r="E35" s="33" t="str">
        <f t="shared" ref="E35:E43" si="1">IF(H35=1,"t","")</f>
        <v/>
      </c>
      <c r="K35" s="4"/>
      <c r="M35" s="21"/>
      <c r="N35" s="21"/>
      <c r="O35" s="21"/>
    </row>
    <row r="36" spans="3:15" x14ac:dyDescent="0.25">
      <c r="C36" s="33" t="str">
        <f t="shared" si="0"/>
        <v/>
      </c>
      <c r="D36" s="11"/>
      <c r="E36" s="33" t="str">
        <f t="shared" si="1"/>
        <v/>
      </c>
      <c r="K36" s="4"/>
      <c r="M36" s="21"/>
      <c r="N36" s="21"/>
      <c r="O36" s="21"/>
    </row>
    <row r="37" spans="3:15" x14ac:dyDescent="0.25">
      <c r="C37" s="33" t="str">
        <f t="shared" si="0"/>
        <v/>
      </c>
      <c r="D37" s="11"/>
      <c r="E37" s="33" t="str">
        <f t="shared" si="1"/>
        <v/>
      </c>
      <c r="K37" s="4"/>
      <c r="M37" s="21"/>
      <c r="N37" s="21"/>
      <c r="O37" s="21"/>
    </row>
    <row r="38" spans="3:15" x14ac:dyDescent="0.25">
      <c r="C38" s="33" t="str">
        <f t="shared" si="0"/>
        <v/>
      </c>
      <c r="D38" s="11"/>
      <c r="E38" s="33" t="str">
        <f t="shared" si="1"/>
        <v/>
      </c>
      <c r="K38" s="4"/>
      <c r="M38" s="21"/>
      <c r="N38" s="21"/>
      <c r="O38" s="21"/>
    </row>
    <row r="39" spans="3:15" x14ac:dyDescent="0.25">
      <c r="C39" s="33" t="str">
        <f t="shared" si="0"/>
        <v/>
      </c>
      <c r="D39" s="11"/>
      <c r="E39" s="33" t="str">
        <f t="shared" si="1"/>
        <v/>
      </c>
      <c r="K39" s="4"/>
      <c r="M39" s="21"/>
      <c r="N39" s="21"/>
      <c r="O39" s="21"/>
    </row>
    <row r="40" spans="3:15" x14ac:dyDescent="0.25">
      <c r="C40" s="33" t="str">
        <f t="shared" si="0"/>
        <v/>
      </c>
      <c r="D40" s="11"/>
      <c r="E40" s="33" t="str">
        <f t="shared" si="1"/>
        <v/>
      </c>
      <c r="K40" s="4"/>
      <c r="M40" s="21"/>
      <c r="N40" s="21"/>
      <c r="O40" s="21"/>
    </row>
    <row r="41" spans="3:15" x14ac:dyDescent="0.25">
      <c r="C41" s="33" t="str">
        <f t="shared" si="0"/>
        <v/>
      </c>
      <c r="D41" s="11"/>
      <c r="E41" s="33" t="str">
        <f t="shared" si="1"/>
        <v/>
      </c>
      <c r="K41" s="4"/>
      <c r="M41" s="21"/>
      <c r="N41" s="21"/>
      <c r="O41" s="21"/>
    </row>
    <row r="42" spans="3:15" x14ac:dyDescent="0.25">
      <c r="C42" s="33" t="str">
        <f t="shared" si="0"/>
        <v/>
      </c>
      <c r="D42" s="11"/>
      <c r="E42" s="33" t="str">
        <f t="shared" si="1"/>
        <v/>
      </c>
      <c r="K42" s="4"/>
      <c r="M42" s="21"/>
      <c r="N42" s="21"/>
      <c r="O42" s="21"/>
    </row>
    <row r="43" spans="3:15" x14ac:dyDescent="0.25">
      <c r="C43" s="33" t="str">
        <f t="shared" si="0"/>
        <v/>
      </c>
      <c r="D43" s="11"/>
      <c r="E43" s="33" t="str">
        <f t="shared" si="1"/>
        <v/>
      </c>
      <c r="K43" s="4"/>
      <c r="M43" s="21"/>
      <c r="N43" s="21"/>
      <c r="O43" s="21"/>
    </row>
    <row r="44" spans="3:15" ht="6" customHeight="1" x14ac:dyDescent="0.25">
      <c r="C44" s="9"/>
      <c r="D44" s="9"/>
      <c r="E44" s="9"/>
      <c r="F44" s="9"/>
      <c r="G44" s="9"/>
      <c r="H44" s="9"/>
      <c r="I44" s="9"/>
      <c r="J44" s="9"/>
      <c r="K44" s="9"/>
      <c r="L44" s="9"/>
      <c r="M44" s="21"/>
      <c r="N44" s="21"/>
      <c r="O44" s="21"/>
    </row>
    <row r="45" spans="3:15" ht="6" customHeight="1" x14ac:dyDescent="0.25">
      <c r="M45" s="21"/>
      <c r="N45" s="21"/>
      <c r="O45" s="21"/>
    </row>
    <row r="46" spans="3:15" x14ac:dyDescent="0.25">
      <c r="C46" s="15" t="s">
        <v>79</v>
      </c>
      <c r="M46" s="21"/>
      <c r="N46" s="21"/>
      <c r="O46" s="21"/>
    </row>
    <row r="47" spans="3:15" x14ac:dyDescent="0.25">
      <c r="C47" s="15" t="s">
        <v>78</v>
      </c>
    </row>
  </sheetData>
  <mergeCells count="1">
    <mergeCell ref="G13:H13"/>
  </mergeCells>
  <conditionalFormatting sqref="I9">
    <cfRule type="containsText" dxfId="78" priority="19" operator="containsText" text="FAIL">
      <formula>NOT(ISERROR(SEARCH("FAIL",I9)))</formula>
    </cfRule>
  </conditionalFormatting>
  <conditionalFormatting sqref="I9">
    <cfRule type="containsText" dxfId="77" priority="18" operator="containsText" text="GOOD">
      <formula>NOT(ISERROR(SEARCH("GOOD",I9)))</formula>
    </cfRule>
  </conditionalFormatting>
  <conditionalFormatting sqref="I9">
    <cfRule type="containsText" dxfId="76" priority="17" operator="containsText" text="FAIL">
      <formula>NOT(ISERROR(SEARCH("FAIL",I9)))</formula>
    </cfRule>
  </conditionalFormatting>
  <conditionalFormatting sqref="I9">
    <cfRule type="containsText" dxfId="75" priority="16" operator="containsText" text="GOOD">
      <formula>NOT(ISERROR(SEARCH("GOOD",I9)))</formula>
    </cfRule>
  </conditionalFormatting>
  <conditionalFormatting sqref="I9">
    <cfRule type="containsText" dxfId="74" priority="15" operator="containsText" text="FAIL">
      <formula>NOT(ISERROR(SEARCH("FAIL",I9)))</formula>
    </cfRule>
  </conditionalFormatting>
  <conditionalFormatting sqref="I9">
    <cfRule type="containsText" dxfId="73" priority="14" operator="containsText" text="GOOD">
      <formula>NOT(ISERROR(SEARCH("GOOD",I9)))</formula>
    </cfRule>
  </conditionalFormatting>
  <conditionalFormatting sqref="F11">
    <cfRule type="containsText" dxfId="72" priority="13" operator="containsText" text="FAIL">
      <formula>NOT(ISERROR(SEARCH("FAIL",F11)))</formula>
    </cfRule>
  </conditionalFormatting>
  <conditionalFormatting sqref="F11">
    <cfRule type="containsText" dxfId="71" priority="12" operator="containsText" text="GOOD">
      <formula>NOT(ISERROR(SEARCH("GOOD",F11)))</formula>
    </cfRule>
  </conditionalFormatting>
  <conditionalFormatting sqref="I9">
    <cfRule type="containsText" dxfId="70" priority="11" operator="containsText" text="FAIL">
      <formula>NOT(ISERROR(SEARCH("FAIL",I9)))</formula>
    </cfRule>
  </conditionalFormatting>
  <conditionalFormatting sqref="I9">
    <cfRule type="containsText" dxfId="69" priority="10" operator="containsText" text="GOOD">
      <formula>NOT(ISERROR(SEARCH("GOOD",I9)))</formula>
    </cfRule>
  </conditionalFormatting>
  <conditionalFormatting sqref="F11">
    <cfRule type="containsText" dxfId="68" priority="9" operator="containsText" text="FAIL">
      <formula>NOT(ISERROR(SEARCH("FAIL",F11)))</formula>
    </cfRule>
  </conditionalFormatting>
  <conditionalFormatting sqref="F11">
    <cfRule type="containsText" dxfId="67" priority="8" operator="containsText" text="GOOD">
      <formula>NOT(ISERROR(SEARCH("GOOD",F11)))</formula>
    </cfRule>
  </conditionalFormatting>
  <conditionalFormatting sqref="D25">
    <cfRule type="expression" dxfId="66" priority="7" stopIfTrue="1">
      <formula>IF($H$25=1,0)</formula>
    </cfRule>
  </conditionalFormatting>
  <conditionalFormatting sqref="D23:D43">
    <cfRule type="expression" dxfId="65" priority="6">
      <formula>H23=1</formula>
    </cfRule>
  </conditionalFormatting>
  <conditionalFormatting sqref="C23:C43">
    <cfRule type="expression" dxfId="64" priority="5">
      <formula>H23=1</formula>
    </cfRule>
  </conditionalFormatting>
  <conditionalFormatting sqref="E23:E43">
    <cfRule type="expression" dxfId="63" priority="4">
      <formula>H23=1</formula>
    </cfRule>
  </conditionalFormatting>
  <conditionalFormatting sqref="E23:E43">
    <cfRule type="expression" dxfId="62" priority="3">
      <formula>H23=1</formula>
    </cfRule>
  </conditionalFormatting>
  <conditionalFormatting sqref="F11">
    <cfRule type="containsText" dxfId="61" priority="2" operator="containsText" text="FAIL">
      <formula>NOT(ISERROR(SEARCH("FAIL",F11)))</formula>
    </cfRule>
  </conditionalFormatting>
  <conditionalFormatting sqref="F11">
    <cfRule type="containsText" dxfId="60" priority="1" operator="containsText" text="GOOD">
      <formula>NOT(ISERROR(SEARCH("GOOD",F11)))</formula>
    </cfRule>
  </conditionalFormatting>
  <pageMargins left="0.7" right="0.7" top="0.75" bottom="0.75" header="0.3" footer="0.3"/>
  <pageSetup orientation="portrait" r:id="rId1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sheetPr codeName="Sheet87"/>
  <dimension ref="A2:O47"/>
  <sheetViews>
    <sheetView zoomScaleNormal="100" workbookViewId="0">
      <selection activeCell="M27" sqref="M27"/>
    </sheetView>
  </sheetViews>
  <sheetFormatPr defaultRowHeight="15" x14ac:dyDescent="0.25"/>
  <cols>
    <col min="1" max="2" width="4.42578125" customWidth="1"/>
    <col min="3" max="3" width="2.7109375" customWidth="1"/>
    <col min="4" max="4" width="24.7109375" customWidth="1"/>
    <col min="5" max="5" width="2.7109375" customWidth="1"/>
    <col min="6" max="6" width="15.7109375" customWidth="1"/>
    <col min="7" max="7" width="8.5703125" customWidth="1"/>
    <col min="8" max="8" width="5.85546875" customWidth="1"/>
    <col min="9" max="15" width="15.7109375" customWidth="1"/>
  </cols>
  <sheetData>
    <row r="2" spans="1:14" x14ac:dyDescent="0.25">
      <c r="C2" s="15" t="s">
        <v>32</v>
      </c>
      <c r="E2" s="15"/>
      <c r="F2" s="15"/>
      <c r="G2" s="15" t="s">
        <v>33</v>
      </c>
      <c r="H2" s="15"/>
      <c r="I2" s="15"/>
      <c r="J2" s="15"/>
      <c r="K2" s="15"/>
    </row>
    <row r="3" spans="1:14" ht="18.75" x14ac:dyDescent="0.3">
      <c r="C3" s="3" t="s">
        <v>26</v>
      </c>
      <c r="J3" s="8" t="s">
        <v>48</v>
      </c>
    </row>
    <row r="4" spans="1:14" x14ac:dyDescent="0.25">
      <c r="C4" s="1"/>
      <c r="D4" s="2" t="s">
        <v>0</v>
      </c>
      <c r="E4" s="1"/>
      <c r="F4" t="s">
        <v>796</v>
      </c>
      <c r="I4" s="2" t="s">
        <v>4</v>
      </c>
      <c r="J4" t="s">
        <v>616</v>
      </c>
    </row>
    <row r="5" spans="1:14" x14ac:dyDescent="0.25">
      <c r="D5" s="2" t="s">
        <v>1</v>
      </c>
      <c r="F5" t="s">
        <v>797</v>
      </c>
    </row>
    <row r="6" spans="1:14" x14ac:dyDescent="0.25">
      <c r="D6" s="2" t="s">
        <v>2</v>
      </c>
      <c r="F6" s="6">
        <v>42712</v>
      </c>
      <c r="H6" s="11"/>
    </row>
    <row r="7" spans="1:14" x14ac:dyDescent="0.25">
      <c r="D7" s="2" t="s">
        <v>3</v>
      </c>
      <c r="F7" s="5">
        <f>+I7+J7+L7</f>
        <v>2170000</v>
      </c>
      <c r="G7" s="2" t="s">
        <v>34</v>
      </c>
      <c r="H7" s="11"/>
      <c r="I7" s="19">
        <v>707619</v>
      </c>
      <c r="J7" s="19">
        <v>1012381</v>
      </c>
      <c r="K7" s="19">
        <v>0</v>
      </c>
      <c r="L7" s="19">
        <v>450000</v>
      </c>
    </row>
    <row r="8" spans="1:14" x14ac:dyDescent="0.25">
      <c r="D8" s="2" t="s">
        <v>18</v>
      </c>
      <c r="F8" s="5">
        <f>MIN(L23:L43)</f>
        <v>1903225</v>
      </c>
      <c r="H8" s="11"/>
      <c r="I8" s="18" t="s">
        <v>43</v>
      </c>
      <c r="J8" s="18" t="s">
        <v>44</v>
      </c>
      <c r="K8" s="18" t="s">
        <v>49</v>
      </c>
      <c r="L8" s="18" t="s">
        <v>794</v>
      </c>
    </row>
    <row r="9" spans="1:14" x14ac:dyDescent="0.25">
      <c r="D9" s="2" t="s">
        <v>19</v>
      </c>
      <c r="F9" s="4">
        <f>+F8-F7</f>
        <v>-266775</v>
      </c>
      <c r="G9" s="16">
        <f>+F9/F7</f>
        <v>-0.12293778801843318</v>
      </c>
      <c r="H9" s="12" t="s">
        <v>20</v>
      </c>
      <c r="I9" s="11" t="str">
        <f>(IF(G9&lt;-0.1,"FAIL",IF(G9&gt;0.05,"FAIL","GOOD")))</f>
        <v>FAIL</v>
      </c>
      <c r="J9" s="14" t="s">
        <v>72</v>
      </c>
    </row>
    <row r="10" spans="1:14" x14ac:dyDescent="0.25">
      <c r="D10" s="2" t="s">
        <v>68</v>
      </c>
      <c r="F10" s="4">
        <f>+F7-F12</f>
        <v>-434208.79999999981</v>
      </c>
      <c r="H10" s="11"/>
      <c r="K10" s="31"/>
      <c r="N10" t="e">
        <f>LOOKUP(1,D23:D43)</f>
        <v>#N/A</v>
      </c>
    </row>
    <row r="11" spans="1:14" x14ac:dyDescent="0.25">
      <c r="A11" s="30"/>
      <c r="D11" s="2" t="s">
        <v>71</v>
      </c>
      <c r="F11" s="11" t="str">
        <f>(IF(F7&lt;J12,"FAIL",IF(F7&gt;J13,"FAIL","GOOD")))</f>
        <v>GOOD</v>
      </c>
      <c r="H11" s="11"/>
      <c r="L11" s="31"/>
      <c r="N11" t="e">
        <f>MATCH(1,D23:H43,0)</f>
        <v>#N/A</v>
      </c>
    </row>
    <row r="12" spans="1:14" x14ac:dyDescent="0.25">
      <c r="D12" s="2" t="s">
        <v>28</v>
      </c>
      <c r="F12" s="4">
        <f>SUM(L23:L43)/H12</f>
        <v>2604208.7999999998</v>
      </c>
      <c r="G12" s="14"/>
      <c r="H12" s="11">
        <f>COUNT(L23:L43)</f>
        <v>5</v>
      </c>
      <c r="I12" s="1" t="s">
        <v>31</v>
      </c>
      <c r="J12" s="4">
        <f>+F8*0.9</f>
        <v>1712902.5</v>
      </c>
      <c r="K12" s="1" t="s">
        <v>69</v>
      </c>
      <c r="N12" t="str">
        <f>INDEX(D23:D43,MATCH(1,H23:H43,0))</f>
        <v>Grace Industries</v>
      </c>
    </row>
    <row r="13" spans="1:14" x14ac:dyDescent="0.25">
      <c r="D13" s="2" t="s">
        <v>29</v>
      </c>
      <c r="F13" s="4">
        <f>MAX(L23:L43)-MIN(L23:L43)</f>
        <v>1529741</v>
      </c>
      <c r="G13" s="399">
        <f>MEDIAN(L23:L43)</f>
        <v>2273183</v>
      </c>
      <c r="H13" s="400"/>
      <c r="I13" s="1" t="s">
        <v>30</v>
      </c>
      <c r="J13" s="4">
        <f>+F12*1.1</f>
        <v>2864629.68</v>
      </c>
      <c r="K13" s="1" t="s">
        <v>70</v>
      </c>
    </row>
    <row r="14" spans="1:14" x14ac:dyDescent="0.25">
      <c r="H14" s="11"/>
    </row>
    <row r="15" spans="1:14" x14ac:dyDescent="0.25">
      <c r="D15" s="2" t="s">
        <v>8</v>
      </c>
      <c r="F15" s="4">
        <v>5000000</v>
      </c>
      <c r="G15" s="1" t="s">
        <v>9</v>
      </c>
      <c r="H15" s="11"/>
      <c r="I15" t="s">
        <v>15</v>
      </c>
      <c r="J15" s="7">
        <f>+F16/F15</f>
        <v>1.2</v>
      </c>
    </row>
    <row r="16" spans="1:14" x14ac:dyDescent="0.25">
      <c r="F16" s="4">
        <v>6000000</v>
      </c>
      <c r="G16" s="1" t="s">
        <v>10</v>
      </c>
      <c r="H16" s="11"/>
      <c r="I16" t="s">
        <v>14</v>
      </c>
      <c r="J16" s="7">
        <f>+F17/F16</f>
        <v>1.0833333333333333</v>
      </c>
    </row>
    <row r="17" spans="3:15" x14ac:dyDescent="0.25">
      <c r="F17" s="4">
        <v>6500000</v>
      </c>
      <c r="G17" s="1" t="s">
        <v>11</v>
      </c>
      <c r="H17" s="11"/>
      <c r="I17" t="s">
        <v>13</v>
      </c>
      <c r="J17" s="7">
        <f>+F18/F17</f>
        <v>0.33384615384615385</v>
      </c>
    </row>
    <row r="18" spans="3:15" x14ac:dyDescent="0.25">
      <c r="F18" s="4">
        <f>+F7</f>
        <v>2170000</v>
      </c>
      <c r="G18" s="1" t="s">
        <v>12</v>
      </c>
      <c r="H18" s="11"/>
      <c r="I18" t="s">
        <v>16</v>
      </c>
      <c r="J18" s="7">
        <f>+F8/F18</f>
        <v>0.87706221198156686</v>
      </c>
    </row>
    <row r="19" spans="3:15" x14ac:dyDescent="0.25">
      <c r="F19" s="2" t="s">
        <v>51</v>
      </c>
      <c r="G19">
        <v>0</v>
      </c>
      <c r="H19" s="11" t="s">
        <v>52</v>
      </c>
      <c r="I19" t="s">
        <v>41</v>
      </c>
      <c r="J19" s="7">
        <f>+F8/F15</f>
        <v>0.38064500000000001</v>
      </c>
    </row>
    <row r="20" spans="3:15" x14ac:dyDescent="0.25">
      <c r="H20" s="11"/>
    </row>
    <row r="21" spans="3:15" x14ac:dyDescent="0.25">
      <c r="C21" s="9"/>
      <c r="D21" s="13" t="s">
        <v>21</v>
      </c>
      <c r="E21" s="9"/>
      <c r="F21" s="9" t="s">
        <v>22</v>
      </c>
      <c r="G21" s="9" t="s">
        <v>23</v>
      </c>
      <c r="H21" s="13" t="s">
        <v>27</v>
      </c>
      <c r="I21" s="10" t="s">
        <v>38</v>
      </c>
      <c r="J21" s="10" t="s">
        <v>37</v>
      </c>
      <c r="K21" s="17" t="s">
        <v>795</v>
      </c>
      <c r="L21" s="10" t="s">
        <v>39</v>
      </c>
      <c r="M21" s="21"/>
      <c r="N21" s="21"/>
      <c r="O21" s="21"/>
    </row>
    <row r="22" spans="3:15" ht="6" customHeight="1" x14ac:dyDescent="0.25">
      <c r="M22" s="21"/>
      <c r="N22" s="21"/>
      <c r="O22" s="21"/>
    </row>
    <row r="23" spans="3:15" x14ac:dyDescent="0.25">
      <c r="C23" s="33" t="str">
        <f>IF(H23=1,"u","")</f>
        <v/>
      </c>
      <c r="D23" s="11" t="s">
        <v>798</v>
      </c>
      <c r="E23" s="33"/>
      <c r="F23" t="s">
        <v>264</v>
      </c>
      <c r="G23" t="s">
        <v>93</v>
      </c>
      <c r="H23">
        <f>RANK(L23,L$23:L$43,1)</f>
        <v>3</v>
      </c>
      <c r="I23" s="4">
        <v>601183</v>
      </c>
      <c r="J23" s="4">
        <v>1600000</v>
      </c>
      <c r="K23" s="4">
        <v>72000</v>
      </c>
      <c r="L23" s="4">
        <f>+I23+J23+K23</f>
        <v>2273183</v>
      </c>
      <c r="M23" s="22"/>
      <c r="N23" s="22"/>
      <c r="O23" s="22"/>
    </row>
    <row r="24" spans="3:15" x14ac:dyDescent="0.25">
      <c r="C24" s="33" t="str">
        <f>IF(H24=1,"u","")</f>
        <v/>
      </c>
      <c r="D24" s="11" t="s">
        <v>347</v>
      </c>
      <c r="E24" s="33"/>
      <c r="F24" t="s">
        <v>147</v>
      </c>
      <c r="G24" t="s">
        <v>93</v>
      </c>
      <c r="H24">
        <f>RANK(L24,L$23:L$43,1)</f>
        <v>2</v>
      </c>
      <c r="I24" s="4">
        <v>495610</v>
      </c>
      <c r="J24" s="4">
        <v>1444060</v>
      </c>
      <c r="K24" s="4">
        <v>240000</v>
      </c>
      <c r="L24" s="4">
        <f>+I24+J24+K24</f>
        <v>2179670</v>
      </c>
      <c r="M24" s="22"/>
      <c r="N24" s="22"/>
      <c r="O24" s="22"/>
    </row>
    <row r="25" spans="3:15" x14ac:dyDescent="0.25">
      <c r="C25" s="33" t="str">
        <f>IF(H25=1,"u","")</f>
        <v/>
      </c>
      <c r="D25" s="11" t="s">
        <v>799</v>
      </c>
      <c r="E25" s="33"/>
      <c r="F25" t="s">
        <v>391</v>
      </c>
      <c r="G25" t="s">
        <v>93</v>
      </c>
      <c r="H25">
        <f>RANK(L25,L$23:L$43,1)</f>
        <v>5</v>
      </c>
      <c r="I25" s="4">
        <v>1180695</v>
      </c>
      <c r="J25" s="4">
        <v>1712271</v>
      </c>
      <c r="K25" s="4">
        <v>540000</v>
      </c>
      <c r="L25" s="4">
        <f>+I25+J25+K25</f>
        <v>3432966</v>
      </c>
      <c r="M25" s="22"/>
      <c r="N25" s="22"/>
      <c r="O25" s="22"/>
    </row>
    <row r="26" spans="3:15" x14ac:dyDescent="0.25">
      <c r="C26" s="33" t="str">
        <f t="shared" ref="C26:C43" si="0">IF(H26=1,"u","")</f>
        <v>u</v>
      </c>
      <c r="D26" s="11" t="s">
        <v>665</v>
      </c>
      <c r="E26" s="33"/>
      <c r="F26" t="s">
        <v>413</v>
      </c>
      <c r="G26" t="s">
        <v>93</v>
      </c>
      <c r="H26">
        <f>RANK(L26,L$23:L$43,1)</f>
        <v>1</v>
      </c>
      <c r="I26" s="4">
        <v>911525</v>
      </c>
      <c r="J26" s="4">
        <v>763700</v>
      </c>
      <c r="K26" s="4">
        <v>228000</v>
      </c>
      <c r="L26" s="4">
        <f>+I26+J26+K26</f>
        <v>1903225</v>
      </c>
      <c r="M26" s="22"/>
      <c r="N26" s="22"/>
      <c r="O26" s="22"/>
    </row>
    <row r="27" spans="3:15" x14ac:dyDescent="0.25">
      <c r="C27" s="33" t="str">
        <f t="shared" si="0"/>
        <v/>
      </c>
      <c r="D27" s="11" t="s">
        <v>680</v>
      </c>
      <c r="E27" s="33"/>
      <c r="F27" t="s">
        <v>532</v>
      </c>
      <c r="G27" t="s">
        <v>93</v>
      </c>
      <c r="H27">
        <f>RANK(L27,L$23:L$43,1)</f>
        <v>4</v>
      </c>
      <c r="I27" s="4">
        <v>658120</v>
      </c>
      <c r="J27" s="4">
        <v>2177880</v>
      </c>
      <c r="K27" s="4">
        <v>396000</v>
      </c>
      <c r="L27" s="4">
        <f>+I27+J27+K27</f>
        <v>3232000</v>
      </c>
      <c r="M27" s="22"/>
      <c r="N27" s="22"/>
      <c r="O27" s="22"/>
    </row>
    <row r="28" spans="3:15" x14ac:dyDescent="0.25">
      <c r="C28" s="33"/>
      <c r="D28" s="11"/>
      <c r="E28" s="33"/>
      <c r="I28" s="4"/>
      <c r="J28" s="4"/>
      <c r="K28" s="4"/>
      <c r="L28" s="4"/>
      <c r="M28" s="22"/>
      <c r="N28" s="22"/>
      <c r="O28" s="22"/>
    </row>
    <row r="29" spans="3:15" x14ac:dyDescent="0.25">
      <c r="C29" s="33"/>
      <c r="D29" s="11"/>
      <c r="E29" s="33"/>
      <c r="I29" s="4"/>
      <c r="J29" s="4"/>
      <c r="K29" s="4"/>
      <c r="L29" s="4"/>
      <c r="M29" s="22"/>
      <c r="N29" s="22"/>
      <c r="O29" s="22"/>
    </row>
    <row r="30" spans="3:15" x14ac:dyDescent="0.25">
      <c r="C30" s="33" t="str">
        <f t="shared" si="0"/>
        <v/>
      </c>
      <c r="D30" s="11"/>
      <c r="E30" s="33" t="str">
        <f t="shared" ref="E30:E43" si="1">IF(H30=1,"t","")</f>
        <v/>
      </c>
      <c r="I30" s="4"/>
      <c r="J30" s="4"/>
      <c r="K30" s="7"/>
      <c r="L30" s="4"/>
      <c r="M30" s="22"/>
      <c r="N30" s="22"/>
      <c r="O30" s="22"/>
    </row>
    <row r="31" spans="3:15" x14ac:dyDescent="0.25">
      <c r="C31" s="33" t="str">
        <f t="shared" si="0"/>
        <v/>
      </c>
      <c r="D31" s="11"/>
      <c r="E31" s="33" t="str">
        <f t="shared" si="1"/>
        <v/>
      </c>
      <c r="I31" s="4"/>
      <c r="J31" s="4"/>
      <c r="K31" s="7"/>
      <c r="L31" s="4"/>
      <c r="M31" s="22"/>
      <c r="N31" s="22"/>
      <c r="O31" s="22"/>
    </row>
    <row r="32" spans="3:15" x14ac:dyDescent="0.25">
      <c r="C32" s="33" t="str">
        <f t="shared" si="0"/>
        <v/>
      </c>
      <c r="D32" s="11"/>
      <c r="E32" s="33" t="str">
        <f t="shared" si="1"/>
        <v/>
      </c>
      <c r="I32" s="4"/>
      <c r="J32" s="4"/>
      <c r="K32" s="7"/>
      <c r="L32" s="4"/>
      <c r="M32" s="22"/>
      <c r="N32" s="22"/>
      <c r="O32" s="22"/>
    </row>
    <row r="33" spans="3:15" x14ac:dyDescent="0.25">
      <c r="C33" s="33" t="str">
        <f t="shared" si="0"/>
        <v/>
      </c>
      <c r="D33" s="11"/>
      <c r="E33" s="33" t="str">
        <f t="shared" si="1"/>
        <v/>
      </c>
      <c r="I33" s="4"/>
      <c r="J33" s="4"/>
      <c r="K33" s="7"/>
      <c r="L33" s="4"/>
      <c r="M33" s="21"/>
      <c r="N33" s="21"/>
      <c r="O33" s="21"/>
    </row>
    <row r="34" spans="3:15" x14ac:dyDescent="0.25">
      <c r="C34" s="33" t="str">
        <f t="shared" si="0"/>
        <v/>
      </c>
      <c r="D34" s="11"/>
      <c r="E34" s="33" t="str">
        <f t="shared" si="1"/>
        <v/>
      </c>
      <c r="K34" s="7"/>
      <c r="M34" s="21"/>
      <c r="N34" s="21"/>
      <c r="O34" s="21"/>
    </row>
    <row r="35" spans="3:15" x14ac:dyDescent="0.25">
      <c r="C35" s="33" t="str">
        <f t="shared" si="0"/>
        <v/>
      </c>
      <c r="D35" s="11"/>
      <c r="E35" s="33" t="str">
        <f t="shared" si="1"/>
        <v/>
      </c>
      <c r="K35" s="7"/>
      <c r="M35" s="21"/>
      <c r="N35" s="21"/>
      <c r="O35" s="21"/>
    </row>
    <row r="36" spans="3:15" x14ac:dyDescent="0.25">
      <c r="C36" s="33" t="str">
        <f t="shared" si="0"/>
        <v/>
      </c>
      <c r="D36" s="11"/>
      <c r="E36" s="33" t="str">
        <f t="shared" si="1"/>
        <v/>
      </c>
      <c r="K36" s="7"/>
      <c r="M36" s="21"/>
      <c r="N36" s="21"/>
      <c r="O36" s="21"/>
    </row>
    <row r="37" spans="3:15" x14ac:dyDescent="0.25">
      <c r="C37" s="33" t="str">
        <f t="shared" si="0"/>
        <v/>
      </c>
      <c r="D37" s="11"/>
      <c r="E37" s="33" t="str">
        <f t="shared" si="1"/>
        <v/>
      </c>
      <c r="K37" s="7"/>
      <c r="M37" s="21"/>
      <c r="N37" s="21"/>
      <c r="O37" s="21"/>
    </row>
    <row r="38" spans="3:15" x14ac:dyDescent="0.25">
      <c r="C38" s="33" t="str">
        <f t="shared" si="0"/>
        <v/>
      </c>
      <c r="D38" s="11"/>
      <c r="E38" s="33" t="str">
        <f t="shared" si="1"/>
        <v/>
      </c>
      <c r="K38" s="7"/>
      <c r="M38" s="21"/>
      <c r="N38" s="21"/>
      <c r="O38" s="21"/>
    </row>
    <row r="39" spans="3:15" x14ac:dyDescent="0.25">
      <c r="C39" s="33" t="str">
        <f t="shared" si="0"/>
        <v/>
      </c>
      <c r="D39" s="11"/>
      <c r="E39" s="33" t="str">
        <f t="shared" si="1"/>
        <v/>
      </c>
      <c r="K39" s="7"/>
      <c r="M39" s="21"/>
      <c r="N39" s="21"/>
      <c r="O39" s="21"/>
    </row>
    <row r="40" spans="3:15" x14ac:dyDescent="0.25">
      <c r="C40" s="33" t="str">
        <f t="shared" si="0"/>
        <v/>
      </c>
      <c r="D40" s="11"/>
      <c r="E40" s="33" t="str">
        <f t="shared" si="1"/>
        <v/>
      </c>
      <c r="K40" s="7"/>
      <c r="M40" s="21"/>
      <c r="N40" s="21"/>
      <c r="O40" s="21"/>
    </row>
    <row r="41" spans="3:15" x14ac:dyDescent="0.25">
      <c r="C41" s="33" t="str">
        <f t="shared" si="0"/>
        <v/>
      </c>
      <c r="D41" s="11"/>
      <c r="E41" s="33" t="str">
        <f t="shared" si="1"/>
        <v/>
      </c>
      <c r="K41" s="7"/>
      <c r="M41" s="21"/>
      <c r="N41" s="21"/>
      <c r="O41" s="21"/>
    </row>
    <row r="42" spans="3:15" x14ac:dyDescent="0.25">
      <c r="C42" s="33" t="str">
        <f t="shared" si="0"/>
        <v/>
      </c>
      <c r="D42" s="11"/>
      <c r="E42" s="33" t="str">
        <f t="shared" si="1"/>
        <v/>
      </c>
      <c r="K42" s="7"/>
      <c r="M42" s="21"/>
      <c r="N42" s="21"/>
      <c r="O42" s="21"/>
    </row>
    <row r="43" spans="3:15" x14ac:dyDescent="0.25">
      <c r="C43" s="33" t="str">
        <f t="shared" si="0"/>
        <v/>
      </c>
      <c r="D43" s="11"/>
      <c r="E43" s="33" t="str">
        <f t="shared" si="1"/>
        <v/>
      </c>
      <c r="K43" s="7"/>
      <c r="M43" s="21"/>
      <c r="N43" s="21"/>
      <c r="O43" s="21"/>
    </row>
    <row r="44" spans="3:15" ht="6" customHeight="1" x14ac:dyDescent="0.25">
      <c r="C44" s="9"/>
      <c r="D44" s="9"/>
      <c r="E44" s="9"/>
      <c r="F44" s="9"/>
      <c r="G44" s="9"/>
      <c r="H44" s="9"/>
      <c r="I44" s="9"/>
      <c r="J44" s="9"/>
      <c r="K44" s="9"/>
      <c r="L44" s="9"/>
      <c r="M44" s="21"/>
      <c r="N44" s="21"/>
      <c r="O44" s="21"/>
    </row>
    <row r="45" spans="3:15" ht="6" customHeight="1" x14ac:dyDescent="0.25">
      <c r="M45" s="21"/>
      <c r="N45" s="21"/>
      <c r="O45" s="21"/>
    </row>
    <row r="46" spans="3:15" x14ac:dyDescent="0.25">
      <c r="C46" s="15" t="s">
        <v>79</v>
      </c>
      <c r="M46" s="21"/>
      <c r="N46" s="21"/>
      <c r="O46" s="21"/>
    </row>
    <row r="47" spans="3:15" x14ac:dyDescent="0.25">
      <c r="C47" s="15" t="s">
        <v>78</v>
      </c>
      <c r="M47" s="21"/>
      <c r="N47" s="21"/>
      <c r="O47" s="21"/>
    </row>
  </sheetData>
  <mergeCells count="1">
    <mergeCell ref="G13:H13"/>
  </mergeCells>
  <conditionalFormatting sqref="I9 F11">
    <cfRule type="containsText" dxfId="1096" priority="8" operator="containsText" text="FAIL">
      <formula>NOT(ISERROR(SEARCH("FAIL",F9)))</formula>
    </cfRule>
  </conditionalFormatting>
  <conditionalFormatting sqref="I9 F11">
    <cfRule type="containsText" dxfId="1095" priority="7" operator="containsText" text="GOOD">
      <formula>NOT(ISERROR(SEARCH("GOOD",F9)))</formula>
    </cfRule>
  </conditionalFormatting>
  <conditionalFormatting sqref="I9">
    <cfRule type="containsText" dxfId="1094" priority="6" operator="containsText" text="FAIL">
      <formula>NOT(ISERROR(SEARCH("FAIL",I9)))</formula>
    </cfRule>
  </conditionalFormatting>
  <conditionalFormatting sqref="I9">
    <cfRule type="containsText" dxfId="1093" priority="5" operator="containsText" text="GOOD">
      <formula>NOT(ISERROR(SEARCH("GOOD",I9)))</formula>
    </cfRule>
  </conditionalFormatting>
  <conditionalFormatting sqref="D25">
    <cfRule type="expression" dxfId="1092" priority="4" stopIfTrue="1">
      <formula>IF($H$25=1,0)</formula>
    </cfRule>
  </conditionalFormatting>
  <conditionalFormatting sqref="D23:D43">
    <cfRule type="expression" dxfId="1091" priority="3">
      <formula>H23=1</formula>
    </cfRule>
  </conditionalFormatting>
  <conditionalFormatting sqref="C23:C43">
    <cfRule type="expression" dxfId="1090" priority="2">
      <formula>H23=1</formula>
    </cfRule>
  </conditionalFormatting>
  <conditionalFormatting sqref="E23:E43">
    <cfRule type="expression" dxfId="1089" priority="1">
      <formula>H23=1</formula>
    </cfRule>
  </conditionalFormatting>
  <pageMargins left="0.7" right="0.7" top="0.75" bottom="0.75" header="0.3" footer="0.3"/>
  <pageSetup orientation="portrait" r:id="rId1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900-000000000000}">
  <sheetPr codeName="Sheet123"/>
  <dimension ref="A2:O47"/>
  <sheetViews>
    <sheetView zoomScaleNormal="100" workbookViewId="0">
      <selection activeCell="K23" sqref="K23"/>
    </sheetView>
  </sheetViews>
  <sheetFormatPr defaultRowHeight="15" x14ac:dyDescent="0.25"/>
  <cols>
    <col min="1" max="2" width="4.42578125" customWidth="1"/>
    <col min="3" max="3" width="3" customWidth="1"/>
    <col min="4" max="4" width="24.7109375" customWidth="1"/>
    <col min="5" max="5" width="3" customWidth="1"/>
    <col min="6" max="6" width="15.7109375" customWidth="1"/>
    <col min="7" max="7" width="8.5703125" customWidth="1"/>
    <col min="8" max="8" width="5.85546875" customWidth="1"/>
    <col min="9" max="15" width="15.7109375" customWidth="1"/>
  </cols>
  <sheetData>
    <row r="2" spans="1:11" x14ac:dyDescent="0.25">
      <c r="C2" s="15" t="s">
        <v>32</v>
      </c>
      <c r="E2" s="15"/>
      <c r="F2" s="15"/>
      <c r="G2" s="15" t="s">
        <v>33</v>
      </c>
      <c r="H2" s="15"/>
      <c r="I2" s="15"/>
      <c r="J2" s="15"/>
      <c r="K2" s="15"/>
    </row>
    <row r="3" spans="1:11" ht="18.75" x14ac:dyDescent="0.3">
      <c r="C3" s="3" t="s">
        <v>26</v>
      </c>
      <c r="J3" s="8" t="s">
        <v>47</v>
      </c>
    </row>
    <row r="4" spans="1:11" x14ac:dyDescent="0.25">
      <c r="D4" s="2" t="s">
        <v>0</v>
      </c>
      <c r="E4" s="1"/>
      <c r="F4" t="s">
        <v>538</v>
      </c>
      <c r="I4" s="2" t="s">
        <v>4</v>
      </c>
      <c r="J4" t="s">
        <v>494</v>
      </c>
    </row>
    <row r="5" spans="1:11" x14ac:dyDescent="0.25">
      <c r="D5" s="2" t="s">
        <v>1</v>
      </c>
      <c r="F5" t="s">
        <v>539</v>
      </c>
    </row>
    <row r="6" spans="1:11" x14ac:dyDescent="0.25">
      <c r="D6" s="2" t="s">
        <v>2</v>
      </c>
      <c r="F6" s="6">
        <v>42404</v>
      </c>
      <c r="H6" s="11"/>
    </row>
    <row r="7" spans="1:11" x14ac:dyDescent="0.25">
      <c r="D7" s="2" t="s">
        <v>3</v>
      </c>
      <c r="F7" s="5">
        <f>+I7+J7</f>
        <v>4072000</v>
      </c>
      <c r="G7" s="2" t="s">
        <v>34</v>
      </c>
      <c r="H7" s="11"/>
      <c r="I7" s="19">
        <v>1374000</v>
      </c>
      <c r="J7" s="19">
        <v>2698000</v>
      </c>
    </row>
    <row r="8" spans="1:11" x14ac:dyDescent="0.25">
      <c r="D8" s="2" t="s">
        <v>18</v>
      </c>
      <c r="F8" s="5">
        <f>MIN(K23:K43)</f>
        <v>2733000</v>
      </c>
      <c r="H8" s="11"/>
      <c r="I8" s="18" t="s">
        <v>43</v>
      </c>
      <c r="J8" s="18" t="s">
        <v>44</v>
      </c>
    </row>
    <row r="9" spans="1:11" x14ac:dyDescent="0.25">
      <c r="D9" s="2" t="s">
        <v>19</v>
      </c>
      <c r="F9" s="4">
        <f>+F8-F7</f>
        <v>-1339000</v>
      </c>
      <c r="G9" s="16">
        <f>+F9/F7</f>
        <v>-0.3288310412573674</v>
      </c>
      <c r="H9" s="12" t="s">
        <v>20</v>
      </c>
      <c r="I9" s="11" t="str">
        <f>(IF(G9&lt;-0.1,"FAIL",IF(G9&gt;0.05,"FAIL","GOOD")))</f>
        <v>FAIL</v>
      </c>
      <c r="J9" s="14" t="s">
        <v>72</v>
      </c>
    </row>
    <row r="10" spans="1:11" x14ac:dyDescent="0.25">
      <c r="D10" s="2" t="s">
        <v>68</v>
      </c>
      <c r="F10" s="4">
        <f>+F7-F12</f>
        <v>657026.33333333349</v>
      </c>
      <c r="H10" s="11"/>
    </row>
    <row r="11" spans="1:11" x14ac:dyDescent="0.25">
      <c r="A11" s="52"/>
      <c r="D11" s="2" t="s">
        <v>71</v>
      </c>
      <c r="F11" s="11" t="str">
        <f>(IF(F7&lt;J12,"FAIL",IF(F7&gt;J13,"FAIL","GOOD")))</f>
        <v>FAIL</v>
      </c>
      <c r="H11" s="11"/>
    </row>
    <row r="12" spans="1:11" x14ac:dyDescent="0.25">
      <c r="D12" s="2" t="s">
        <v>28</v>
      </c>
      <c r="F12" s="4">
        <f>SUM(K23:K43)/H12</f>
        <v>3414973.6666666665</v>
      </c>
      <c r="G12" s="14"/>
      <c r="H12" s="11">
        <f>COUNT(K23:K43)</f>
        <v>3</v>
      </c>
      <c r="I12" s="1" t="s">
        <v>31</v>
      </c>
      <c r="J12" s="4">
        <f>+F8*0.9</f>
        <v>2459700</v>
      </c>
      <c r="K12" s="1" t="s">
        <v>69</v>
      </c>
    </row>
    <row r="13" spans="1:11" x14ac:dyDescent="0.25">
      <c r="D13" s="2" t="s">
        <v>29</v>
      </c>
      <c r="F13" s="4">
        <f>MAX(K23:K43)-MIN(K23:K43)</f>
        <v>1631425</v>
      </c>
      <c r="G13" s="399">
        <f>MEDIAN(K23:K43)</f>
        <v>3147496</v>
      </c>
      <c r="H13" s="400"/>
      <c r="I13" s="1" t="s">
        <v>30</v>
      </c>
      <c r="J13" s="4">
        <f>+F12*1.1</f>
        <v>3756471.0333333337</v>
      </c>
      <c r="K13" s="1" t="s">
        <v>70</v>
      </c>
    </row>
    <row r="14" spans="1:11" x14ac:dyDescent="0.25">
      <c r="H14" s="11"/>
    </row>
    <row r="15" spans="1:11" x14ac:dyDescent="0.25">
      <c r="D15" s="2" t="s">
        <v>8</v>
      </c>
      <c r="F15" s="4"/>
      <c r="G15" s="1" t="s">
        <v>9</v>
      </c>
      <c r="H15" s="11"/>
      <c r="I15" t="s">
        <v>15</v>
      </c>
      <c r="J15" s="7" t="e">
        <f>+F16/F15</f>
        <v>#DIV/0!</v>
      </c>
    </row>
    <row r="16" spans="1:11" x14ac:dyDescent="0.25">
      <c r="F16" s="4"/>
      <c r="G16" s="1" t="s">
        <v>10</v>
      </c>
      <c r="H16" s="11"/>
      <c r="I16" t="s">
        <v>14</v>
      </c>
      <c r="J16" s="7" t="e">
        <f>+F17/F16</f>
        <v>#DIV/0!</v>
      </c>
    </row>
    <row r="17" spans="3:15" x14ac:dyDescent="0.25">
      <c r="F17" s="4"/>
      <c r="G17" s="1" t="s">
        <v>11</v>
      </c>
      <c r="H17" s="11"/>
      <c r="I17" t="s">
        <v>13</v>
      </c>
      <c r="J17" s="7" t="e">
        <f>+F18/F17</f>
        <v>#DIV/0!</v>
      </c>
    </row>
    <row r="18" spans="3:15" x14ac:dyDescent="0.25">
      <c r="F18" s="4"/>
      <c r="G18" s="1" t="s">
        <v>12</v>
      </c>
      <c r="H18" s="11"/>
      <c r="I18" t="s">
        <v>16</v>
      </c>
      <c r="J18" s="7" t="e">
        <f>+F8/F18</f>
        <v>#DIV/0!</v>
      </c>
    </row>
    <row r="19" spans="3:15" x14ac:dyDescent="0.25">
      <c r="F19" s="2" t="s">
        <v>51</v>
      </c>
      <c r="G19">
        <v>0</v>
      </c>
      <c r="H19" s="11" t="s">
        <v>52</v>
      </c>
      <c r="I19" t="s">
        <v>41</v>
      </c>
      <c r="J19" s="7" t="e">
        <f>+F8/F15</f>
        <v>#DIV/0!</v>
      </c>
    </row>
    <row r="20" spans="3:15" x14ac:dyDescent="0.25">
      <c r="H20" s="11"/>
      <c r="M20" s="21"/>
      <c r="N20" s="21"/>
      <c r="O20" s="21"/>
    </row>
    <row r="21" spans="3:15" x14ac:dyDescent="0.25">
      <c r="C21" s="9"/>
      <c r="D21" s="13" t="s">
        <v>21</v>
      </c>
      <c r="E21" s="9"/>
      <c r="F21" s="9" t="s">
        <v>22</v>
      </c>
      <c r="G21" s="9" t="s">
        <v>23</v>
      </c>
      <c r="H21" s="13" t="s">
        <v>27</v>
      </c>
      <c r="I21" s="10" t="s">
        <v>38</v>
      </c>
      <c r="J21" s="10" t="s">
        <v>37</v>
      </c>
      <c r="K21" s="10" t="s">
        <v>39</v>
      </c>
      <c r="L21" s="9"/>
      <c r="M21" s="21"/>
      <c r="N21" s="21"/>
      <c r="O21" s="21"/>
    </row>
    <row r="22" spans="3:15" ht="6" customHeight="1" x14ac:dyDescent="0.25">
      <c r="M22" s="21"/>
      <c r="N22" s="21"/>
      <c r="O22" s="21"/>
    </row>
    <row r="23" spans="3:15" x14ac:dyDescent="0.25">
      <c r="C23" s="33" t="str">
        <f>IF(H23=1,"u","")</f>
        <v/>
      </c>
      <c r="D23" s="11" t="s">
        <v>540</v>
      </c>
      <c r="E23" s="33"/>
      <c r="F23" t="s">
        <v>222</v>
      </c>
      <c r="G23" t="s">
        <v>25</v>
      </c>
      <c r="H23">
        <f>RANK(K23,K$23:K$43,1)</f>
        <v>2</v>
      </c>
      <c r="I23" s="4">
        <v>639000</v>
      </c>
      <c r="J23" s="4">
        <v>2508496</v>
      </c>
      <c r="K23" s="4">
        <f>+J23+I23</f>
        <v>3147496</v>
      </c>
      <c r="L23" s="4"/>
      <c r="M23" s="22"/>
      <c r="N23" s="22"/>
      <c r="O23" s="22"/>
    </row>
    <row r="24" spans="3:15" x14ac:dyDescent="0.25">
      <c r="C24" s="33" t="str">
        <f>IF(H24=1,"u","")</f>
        <v>u</v>
      </c>
      <c r="D24" s="11" t="s">
        <v>541</v>
      </c>
      <c r="E24" s="33"/>
      <c r="F24" t="s">
        <v>159</v>
      </c>
      <c r="G24" t="s">
        <v>93</v>
      </c>
      <c r="H24">
        <f>RANK(K24,K$23:K$43,1)</f>
        <v>1</v>
      </c>
      <c r="I24" s="4">
        <v>933000</v>
      </c>
      <c r="J24" s="4">
        <v>1800000</v>
      </c>
      <c r="K24" s="4">
        <f>+J24+I24</f>
        <v>2733000</v>
      </c>
      <c r="L24" s="4"/>
      <c r="M24" s="22"/>
      <c r="N24" s="22"/>
      <c r="O24" s="22"/>
    </row>
    <row r="25" spans="3:15" x14ac:dyDescent="0.25">
      <c r="C25" s="33" t="str">
        <f>IF(H25=1,"u","")</f>
        <v/>
      </c>
      <c r="D25" s="11" t="s">
        <v>542</v>
      </c>
      <c r="E25" s="33"/>
      <c r="F25" t="s">
        <v>161</v>
      </c>
      <c r="G25" t="s">
        <v>93</v>
      </c>
      <c r="H25">
        <f>RANK(K25,K$23:K$43,1)</f>
        <v>3</v>
      </c>
      <c r="I25" s="4">
        <v>1192650</v>
      </c>
      <c r="J25" s="4">
        <v>3171775</v>
      </c>
      <c r="K25" s="4">
        <f>+J25+I25</f>
        <v>4364425</v>
      </c>
      <c r="L25" s="4"/>
      <c r="M25" s="22"/>
      <c r="N25" s="22"/>
      <c r="O25" s="22"/>
    </row>
    <row r="26" spans="3:15" x14ac:dyDescent="0.25">
      <c r="C26" s="33"/>
      <c r="D26" s="11"/>
      <c r="E26" s="33"/>
      <c r="I26" s="4"/>
      <c r="J26" s="4"/>
      <c r="K26" s="4"/>
      <c r="L26" s="4"/>
      <c r="M26" s="22"/>
      <c r="N26" s="22"/>
      <c r="O26" s="22"/>
    </row>
    <row r="27" spans="3:15" x14ac:dyDescent="0.25">
      <c r="C27" s="33"/>
      <c r="D27" s="11"/>
      <c r="E27" s="33"/>
      <c r="I27" s="4"/>
      <c r="J27" s="4"/>
      <c r="K27" s="4"/>
      <c r="L27" s="4"/>
      <c r="M27" s="22"/>
      <c r="N27" s="22"/>
      <c r="O27" s="22"/>
    </row>
    <row r="28" spans="3:15" x14ac:dyDescent="0.25">
      <c r="C28" s="33"/>
      <c r="D28" s="11"/>
      <c r="E28" s="33"/>
      <c r="I28" s="4"/>
      <c r="J28" s="4"/>
      <c r="K28" s="4"/>
      <c r="L28" s="4"/>
      <c r="M28" s="22"/>
      <c r="N28" s="22"/>
      <c r="O28" s="22"/>
    </row>
    <row r="29" spans="3:15" x14ac:dyDescent="0.25">
      <c r="C29" s="33"/>
      <c r="D29" s="11"/>
      <c r="E29" s="33"/>
      <c r="I29" s="4"/>
      <c r="J29" s="4"/>
      <c r="K29" s="4"/>
      <c r="L29" s="4"/>
      <c r="M29" s="22"/>
      <c r="N29" s="22"/>
      <c r="O29" s="22"/>
    </row>
    <row r="30" spans="3:15" x14ac:dyDescent="0.25">
      <c r="C30" s="33"/>
      <c r="D30" s="11"/>
      <c r="E30" s="33"/>
      <c r="I30" s="4"/>
      <c r="J30" s="4"/>
      <c r="K30" s="4"/>
      <c r="L30" s="4"/>
      <c r="M30" s="22"/>
      <c r="N30" s="22"/>
      <c r="O30" s="22"/>
    </row>
    <row r="31" spans="3:15" x14ac:dyDescent="0.25">
      <c r="C31" s="33"/>
      <c r="D31" s="11"/>
      <c r="E31" s="33"/>
      <c r="I31" s="4"/>
      <c r="J31" s="4"/>
      <c r="K31" s="4"/>
      <c r="L31" s="4"/>
      <c r="M31" s="22"/>
      <c r="N31" s="22"/>
      <c r="O31" s="22"/>
    </row>
    <row r="32" spans="3:15" x14ac:dyDescent="0.25">
      <c r="C32" s="33"/>
      <c r="D32" s="11"/>
      <c r="E32" s="33"/>
      <c r="I32" s="4"/>
      <c r="J32" s="4"/>
      <c r="K32" s="4"/>
      <c r="L32" s="4"/>
      <c r="M32" s="22"/>
      <c r="N32" s="22"/>
      <c r="O32" s="22"/>
    </row>
    <row r="33" spans="3:15" x14ac:dyDescent="0.25">
      <c r="C33" s="33"/>
      <c r="D33" s="11"/>
      <c r="E33" s="33"/>
      <c r="I33" s="4"/>
      <c r="J33" s="4"/>
      <c r="K33" s="4"/>
      <c r="M33" s="21"/>
      <c r="N33" s="21"/>
      <c r="O33" s="21"/>
    </row>
    <row r="34" spans="3:15" x14ac:dyDescent="0.25">
      <c r="C34" s="33" t="str">
        <f t="shared" ref="C34:C43" si="0">IF(H34=1,"u","")</f>
        <v/>
      </c>
      <c r="D34" s="11"/>
      <c r="E34" s="33" t="str">
        <f t="shared" ref="E34:E43" si="1">IF(H34=1,"t","")</f>
        <v/>
      </c>
      <c r="K34" s="4"/>
      <c r="M34" s="21"/>
      <c r="N34" s="21"/>
      <c r="O34" s="21"/>
    </row>
    <row r="35" spans="3:15" x14ac:dyDescent="0.25">
      <c r="C35" s="33" t="str">
        <f t="shared" si="0"/>
        <v/>
      </c>
      <c r="D35" s="11"/>
      <c r="E35" s="33" t="str">
        <f t="shared" si="1"/>
        <v/>
      </c>
      <c r="K35" s="4"/>
      <c r="M35" s="21"/>
      <c r="N35" s="21"/>
      <c r="O35" s="21"/>
    </row>
    <row r="36" spans="3:15" x14ac:dyDescent="0.25">
      <c r="C36" s="33" t="str">
        <f t="shared" si="0"/>
        <v/>
      </c>
      <c r="D36" s="11"/>
      <c r="E36" s="33" t="str">
        <f t="shared" si="1"/>
        <v/>
      </c>
      <c r="K36" s="4"/>
      <c r="M36" s="21"/>
      <c r="N36" s="21"/>
      <c r="O36" s="21"/>
    </row>
    <row r="37" spans="3:15" x14ac:dyDescent="0.25">
      <c r="C37" s="33" t="str">
        <f t="shared" si="0"/>
        <v/>
      </c>
      <c r="D37" s="11"/>
      <c r="E37" s="33" t="str">
        <f t="shared" si="1"/>
        <v/>
      </c>
      <c r="K37" s="4"/>
      <c r="M37" s="21"/>
      <c r="N37" s="21"/>
      <c r="O37" s="21"/>
    </row>
    <row r="38" spans="3:15" x14ac:dyDescent="0.25">
      <c r="C38" s="33" t="str">
        <f t="shared" si="0"/>
        <v/>
      </c>
      <c r="D38" s="11"/>
      <c r="E38" s="33" t="str">
        <f t="shared" si="1"/>
        <v/>
      </c>
      <c r="K38" s="4"/>
      <c r="M38" s="21"/>
      <c r="N38" s="21"/>
      <c r="O38" s="21"/>
    </row>
    <row r="39" spans="3:15" x14ac:dyDescent="0.25">
      <c r="C39" s="33" t="str">
        <f t="shared" si="0"/>
        <v/>
      </c>
      <c r="D39" s="11"/>
      <c r="E39" s="33" t="str">
        <f t="shared" si="1"/>
        <v/>
      </c>
      <c r="K39" s="4"/>
      <c r="M39" s="21"/>
      <c r="N39" s="21"/>
      <c r="O39" s="21"/>
    </row>
    <row r="40" spans="3:15" x14ac:dyDescent="0.25">
      <c r="C40" s="33" t="str">
        <f t="shared" si="0"/>
        <v/>
      </c>
      <c r="D40" s="11"/>
      <c r="E40" s="33" t="str">
        <f t="shared" si="1"/>
        <v/>
      </c>
      <c r="K40" s="4"/>
      <c r="M40" s="21"/>
      <c r="N40" s="21"/>
      <c r="O40" s="21"/>
    </row>
    <row r="41" spans="3:15" x14ac:dyDescent="0.25">
      <c r="C41" s="33" t="str">
        <f t="shared" si="0"/>
        <v/>
      </c>
      <c r="D41" s="11"/>
      <c r="E41" s="33" t="str">
        <f t="shared" si="1"/>
        <v/>
      </c>
      <c r="K41" s="4"/>
      <c r="M41" s="21"/>
      <c r="N41" s="21"/>
      <c r="O41" s="21"/>
    </row>
    <row r="42" spans="3:15" x14ac:dyDescent="0.25">
      <c r="C42" s="33" t="str">
        <f t="shared" si="0"/>
        <v/>
      </c>
      <c r="D42" s="11"/>
      <c r="E42" s="33" t="str">
        <f t="shared" si="1"/>
        <v/>
      </c>
      <c r="K42" s="4"/>
      <c r="M42" s="21"/>
      <c r="N42" s="21"/>
      <c r="O42" s="21"/>
    </row>
    <row r="43" spans="3:15" x14ac:dyDescent="0.25">
      <c r="C43" s="33" t="str">
        <f t="shared" si="0"/>
        <v/>
      </c>
      <c r="D43" s="11"/>
      <c r="E43" s="33" t="str">
        <f t="shared" si="1"/>
        <v/>
      </c>
      <c r="K43" s="4"/>
      <c r="M43" s="21"/>
      <c r="N43" s="21"/>
      <c r="O43" s="21"/>
    </row>
    <row r="44" spans="3:15" ht="6" customHeight="1" x14ac:dyDescent="0.25">
      <c r="C44" s="9"/>
      <c r="D44" s="9"/>
      <c r="E44" s="9"/>
      <c r="F44" s="9"/>
      <c r="G44" s="9"/>
      <c r="H44" s="9"/>
      <c r="I44" s="9"/>
      <c r="J44" s="9"/>
      <c r="K44" s="9"/>
      <c r="L44" s="9"/>
      <c r="M44" s="21"/>
      <c r="N44" s="21"/>
      <c r="O44" s="21"/>
    </row>
    <row r="45" spans="3:15" ht="6" customHeight="1" x14ac:dyDescent="0.25">
      <c r="M45" s="21"/>
      <c r="N45" s="21"/>
      <c r="O45" s="21"/>
    </row>
    <row r="46" spans="3:15" x14ac:dyDescent="0.25">
      <c r="C46" s="15" t="s">
        <v>79</v>
      </c>
      <c r="M46" s="21"/>
      <c r="N46" s="21"/>
      <c r="O46" s="21"/>
    </row>
    <row r="47" spans="3:15" x14ac:dyDescent="0.25">
      <c r="C47" s="15" t="s">
        <v>78</v>
      </c>
    </row>
  </sheetData>
  <mergeCells count="1">
    <mergeCell ref="G13:H13"/>
  </mergeCells>
  <conditionalFormatting sqref="I9">
    <cfRule type="containsText" dxfId="615" priority="19" operator="containsText" text="FAIL">
      <formula>NOT(ISERROR(SEARCH("FAIL",I9)))</formula>
    </cfRule>
  </conditionalFormatting>
  <conditionalFormatting sqref="I9">
    <cfRule type="containsText" dxfId="614" priority="18" operator="containsText" text="GOOD">
      <formula>NOT(ISERROR(SEARCH("GOOD",I9)))</formula>
    </cfRule>
  </conditionalFormatting>
  <conditionalFormatting sqref="I9">
    <cfRule type="containsText" dxfId="613" priority="17" operator="containsText" text="FAIL">
      <formula>NOT(ISERROR(SEARCH("FAIL",I9)))</formula>
    </cfRule>
  </conditionalFormatting>
  <conditionalFormatting sqref="I9">
    <cfRule type="containsText" dxfId="612" priority="16" operator="containsText" text="GOOD">
      <formula>NOT(ISERROR(SEARCH("GOOD",I9)))</formula>
    </cfRule>
  </conditionalFormatting>
  <conditionalFormatting sqref="I9">
    <cfRule type="containsText" dxfId="611" priority="15" operator="containsText" text="FAIL">
      <formula>NOT(ISERROR(SEARCH("FAIL",I9)))</formula>
    </cfRule>
  </conditionalFormatting>
  <conditionalFormatting sqref="I9">
    <cfRule type="containsText" dxfId="610" priority="14" operator="containsText" text="GOOD">
      <formula>NOT(ISERROR(SEARCH("GOOD",I9)))</formula>
    </cfRule>
  </conditionalFormatting>
  <conditionalFormatting sqref="F11">
    <cfRule type="containsText" dxfId="609" priority="13" operator="containsText" text="FAIL">
      <formula>NOT(ISERROR(SEARCH("FAIL",F11)))</formula>
    </cfRule>
  </conditionalFormatting>
  <conditionalFormatting sqref="F11">
    <cfRule type="containsText" dxfId="608" priority="12" operator="containsText" text="GOOD">
      <formula>NOT(ISERROR(SEARCH("GOOD",F11)))</formula>
    </cfRule>
  </conditionalFormatting>
  <conditionalFormatting sqref="I9">
    <cfRule type="containsText" dxfId="607" priority="11" operator="containsText" text="FAIL">
      <formula>NOT(ISERROR(SEARCH("FAIL",I9)))</formula>
    </cfRule>
  </conditionalFormatting>
  <conditionalFormatting sqref="I9">
    <cfRule type="containsText" dxfId="606" priority="10" operator="containsText" text="GOOD">
      <formula>NOT(ISERROR(SEARCH("GOOD",I9)))</formula>
    </cfRule>
  </conditionalFormatting>
  <conditionalFormatting sqref="F11">
    <cfRule type="containsText" dxfId="605" priority="9" operator="containsText" text="FAIL">
      <formula>NOT(ISERROR(SEARCH("FAIL",F11)))</formula>
    </cfRule>
  </conditionalFormatting>
  <conditionalFormatting sqref="F11">
    <cfRule type="containsText" dxfId="604" priority="8" operator="containsText" text="GOOD">
      <formula>NOT(ISERROR(SEARCH("GOOD",F11)))</formula>
    </cfRule>
  </conditionalFormatting>
  <conditionalFormatting sqref="D25">
    <cfRule type="expression" dxfId="603" priority="7" stopIfTrue="1">
      <formula>IF($H$25=1,0)</formula>
    </cfRule>
  </conditionalFormatting>
  <conditionalFormatting sqref="D23:D43">
    <cfRule type="expression" dxfId="602" priority="6">
      <formula>H23=1</formula>
    </cfRule>
  </conditionalFormatting>
  <conditionalFormatting sqref="C23:C43">
    <cfRule type="expression" dxfId="601" priority="5">
      <formula>H23=1</formula>
    </cfRule>
  </conditionalFormatting>
  <conditionalFormatting sqref="E23:E43">
    <cfRule type="expression" dxfId="600" priority="4">
      <formula>H23=1</formula>
    </cfRule>
  </conditionalFormatting>
  <conditionalFormatting sqref="E23:E43">
    <cfRule type="expression" dxfId="599" priority="3">
      <formula>H23=1</formula>
    </cfRule>
  </conditionalFormatting>
  <conditionalFormatting sqref="F11">
    <cfRule type="containsText" dxfId="598" priority="2" operator="containsText" text="FAIL">
      <formula>NOT(ISERROR(SEARCH("FAIL",F11)))</formula>
    </cfRule>
  </conditionalFormatting>
  <conditionalFormatting sqref="F11">
    <cfRule type="containsText" dxfId="597" priority="1" operator="containsText" text="GOOD">
      <formula>NOT(ISERROR(SEARCH("GOOD",F11)))</formula>
    </cfRule>
  </conditionalFormatting>
  <pageMargins left="0.7" right="0.7" top="0.75" bottom="0.75" header="0.3" footer="0.3"/>
  <pageSetup scale="68" orientation="portrait" r:id="rId1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 codeName="Sheet43"/>
  <dimension ref="A2:P47"/>
  <sheetViews>
    <sheetView zoomScaleNormal="100" workbookViewId="0">
      <selection activeCell="G8" sqref="G8"/>
    </sheetView>
  </sheetViews>
  <sheetFormatPr defaultRowHeight="15" x14ac:dyDescent="0.25"/>
  <cols>
    <col min="1" max="2" width="4.42578125" customWidth="1"/>
    <col min="3" max="3" width="3" customWidth="1"/>
    <col min="4" max="4" width="24.85546875" customWidth="1"/>
    <col min="5" max="5" width="3" customWidth="1"/>
    <col min="6" max="6" width="15.7109375" customWidth="1"/>
    <col min="7" max="7" width="8.5703125" customWidth="1"/>
    <col min="8" max="8" width="5.85546875" customWidth="1"/>
    <col min="9" max="15" width="15.7109375" customWidth="1"/>
  </cols>
  <sheetData>
    <row r="2" spans="1:16" x14ac:dyDescent="0.25">
      <c r="C2" s="15" t="s">
        <v>32</v>
      </c>
      <c r="E2" s="15"/>
      <c r="F2" s="15"/>
      <c r="G2" s="15" t="s">
        <v>33</v>
      </c>
      <c r="H2" s="15"/>
      <c r="I2" s="15"/>
      <c r="J2" s="15"/>
      <c r="K2" s="15"/>
    </row>
    <row r="3" spans="1:16" ht="18.75" x14ac:dyDescent="0.3">
      <c r="C3" s="3" t="s">
        <v>26</v>
      </c>
      <c r="J3" s="8" t="s">
        <v>17</v>
      </c>
      <c r="P3" s="100"/>
    </row>
    <row r="4" spans="1:16" x14ac:dyDescent="0.25">
      <c r="D4" s="2" t="s">
        <v>0</v>
      </c>
      <c r="E4" s="1"/>
      <c r="F4" t="s">
        <v>1047</v>
      </c>
      <c r="I4" s="2" t="s">
        <v>4</v>
      </c>
      <c r="J4" t="s">
        <v>616</v>
      </c>
    </row>
    <row r="5" spans="1:16" x14ac:dyDescent="0.25">
      <c r="D5" s="2" t="s">
        <v>1</v>
      </c>
      <c r="F5" t="s">
        <v>982</v>
      </c>
    </row>
    <row r="6" spans="1:16" x14ac:dyDescent="0.25">
      <c r="D6" s="2" t="s">
        <v>2</v>
      </c>
      <c r="F6" s="6">
        <v>42941</v>
      </c>
      <c r="H6" s="11"/>
    </row>
    <row r="7" spans="1:16" x14ac:dyDescent="0.25">
      <c r="D7" s="2" t="s">
        <v>3</v>
      </c>
      <c r="F7" s="5">
        <v>7200000</v>
      </c>
      <c r="G7" s="2" t="s">
        <v>34</v>
      </c>
      <c r="H7" s="11"/>
    </row>
    <row r="8" spans="1:16" x14ac:dyDescent="0.25">
      <c r="D8" s="2" t="s">
        <v>18</v>
      </c>
      <c r="F8" s="5">
        <f>MIN(I23:I43)</f>
        <v>1936000</v>
      </c>
      <c r="H8" s="11"/>
    </row>
    <row r="9" spans="1:16" x14ac:dyDescent="0.25">
      <c r="D9" s="2" t="s">
        <v>67</v>
      </c>
      <c r="F9" s="4">
        <f>+F8-F7</f>
        <v>-5264000</v>
      </c>
      <c r="G9" s="16">
        <f>+F9/F7</f>
        <v>-0.73111111111111116</v>
      </c>
      <c r="H9" s="12" t="s">
        <v>20</v>
      </c>
      <c r="I9" s="11" t="str">
        <f>(IF(G9&lt;-0.1,"FAIL",IF(G9&gt;0.05,"FAIL","GOOD")))</f>
        <v>FAIL</v>
      </c>
      <c r="J9" s="14" t="s">
        <v>72</v>
      </c>
    </row>
    <row r="10" spans="1:16" x14ac:dyDescent="0.25">
      <c r="D10" s="2" t="s">
        <v>68</v>
      </c>
      <c r="F10" s="4">
        <f>+F7-F12</f>
        <v>1858661.25</v>
      </c>
      <c r="H10" s="11"/>
    </row>
    <row r="11" spans="1:16" x14ac:dyDescent="0.25">
      <c r="A11" s="52"/>
      <c r="D11" s="2" t="s">
        <v>71</v>
      </c>
      <c r="F11" s="11" t="str">
        <f>(IF(F7&lt;J12,"FAIL",IF(F7&gt;J13,"FAIL","GOOD")))</f>
        <v>FAIL</v>
      </c>
      <c r="H11" s="11"/>
    </row>
    <row r="12" spans="1:16" x14ac:dyDescent="0.25">
      <c r="D12" s="2" t="s">
        <v>28</v>
      </c>
      <c r="F12" s="4">
        <f>SUM(I23:I43)/H12</f>
        <v>5341338.75</v>
      </c>
      <c r="G12" s="14"/>
      <c r="H12" s="11">
        <f>COUNT(I23:I43)</f>
        <v>4</v>
      </c>
      <c r="I12" s="1" t="s">
        <v>31</v>
      </c>
      <c r="J12" s="4">
        <f>+F8*0.9</f>
        <v>1742400</v>
      </c>
      <c r="K12" s="1" t="s">
        <v>69</v>
      </c>
    </row>
    <row r="13" spans="1:16" x14ac:dyDescent="0.25">
      <c r="D13" s="2" t="s">
        <v>29</v>
      </c>
      <c r="F13" s="4">
        <f>MAX(I23:I43)-MIN(I23:I43)</f>
        <v>8012165</v>
      </c>
      <c r="G13" s="399">
        <f>MEDIAN(I23:I43)</f>
        <v>4740595</v>
      </c>
      <c r="H13" s="400"/>
      <c r="I13" s="1" t="s">
        <v>30</v>
      </c>
      <c r="J13" s="4">
        <f>+F12*1.1</f>
        <v>5875472.6250000009</v>
      </c>
      <c r="K13" s="1" t="s">
        <v>70</v>
      </c>
    </row>
    <row r="14" spans="1:16" x14ac:dyDescent="0.25">
      <c r="H14" s="11"/>
    </row>
    <row r="15" spans="1:16" x14ac:dyDescent="0.25">
      <c r="D15" s="2" t="s">
        <v>8</v>
      </c>
      <c r="F15" s="4"/>
      <c r="G15" s="1" t="s">
        <v>9</v>
      </c>
      <c r="H15" s="11"/>
      <c r="I15" t="s">
        <v>15</v>
      </c>
      <c r="J15" s="7" t="e">
        <f>+F16/F15</f>
        <v>#DIV/0!</v>
      </c>
    </row>
    <row r="16" spans="1:16" x14ac:dyDescent="0.25">
      <c r="F16" s="4"/>
      <c r="G16" s="1" t="s">
        <v>10</v>
      </c>
      <c r="H16" s="11"/>
      <c r="I16" t="s">
        <v>14</v>
      </c>
      <c r="J16" s="7" t="e">
        <f>+F17/F16</f>
        <v>#DIV/0!</v>
      </c>
    </row>
    <row r="17" spans="3:15" x14ac:dyDescent="0.25">
      <c r="F17" s="4"/>
      <c r="G17" s="1" t="s">
        <v>11</v>
      </c>
      <c r="H17" s="11"/>
      <c r="I17" t="s">
        <v>13</v>
      </c>
      <c r="J17" s="7" t="e">
        <f>+F18/F17</f>
        <v>#DIV/0!</v>
      </c>
      <c r="M17" s="21"/>
      <c r="N17" s="21"/>
      <c r="O17" s="21"/>
    </row>
    <row r="18" spans="3:15" x14ac:dyDescent="0.25">
      <c r="F18" s="4"/>
      <c r="G18" s="1" t="s">
        <v>12</v>
      </c>
      <c r="H18" s="11"/>
      <c r="I18" t="s">
        <v>16</v>
      </c>
      <c r="J18" s="7" t="e">
        <f>+F8/F18</f>
        <v>#DIV/0!</v>
      </c>
      <c r="M18" s="21"/>
      <c r="N18" s="21"/>
      <c r="O18" s="21"/>
    </row>
    <row r="19" spans="3:15" x14ac:dyDescent="0.25">
      <c r="F19" s="2" t="s">
        <v>51</v>
      </c>
      <c r="G19">
        <v>0</v>
      </c>
      <c r="H19" s="11" t="s">
        <v>52</v>
      </c>
      <c r="I19" t="s">
        <v>41</v>
      </c>
      <c r="J19" s="7" t="e">
        <f>+F8/F15</f>
        <v>#DIV/0!</v>
      </c>
      <c r="M19" s="21"/>
      <c r="N19" s="21"/>
      <c r="O19" s="21"/>
    </row>
    <row r="20" spans="3:15" x14ac:dyDescent="0.25">
      <c r="H20" s="11"/>
      <c r="M20" s="21"/>
      <c r="N20" s="21"/>
      <c r="O20" s="21"/>
    </row>
    <row r="21" spans="3:15" x14ac:dyDescent="0.25">
      <c r="C21" s="9"/>
      <c r="D21" s="13" t="s">
        <v>21</v>
      </c>
      <c r="E21" s="9"/>
      <c r="F21" s="9" t="s">
        <v>22</v>
      </c>
      <c r="G21" s="9" t="s">
        <v>23</v>
      </c>
      <c r="H21" s="13" t="s">
        <v>27</v>
      </c>
      <c r="I21" s="10" t="s">
        <v>24</v>
      </c>
      <c r="J21" s="9"/>
      <c r="K21" s="9"/>
      <c r="L21" s="9"/>
      <c r="M21" s="21"/>
      <c r="N21" s="21"/>
      <c r="O21" s="21"/>
    </row>
    <row r="22" spans="3:15" ht="6" customHeight="1" x14ac:dyDescent="0.25">
      <c r="M22" s="21"/>
      <c r="N22" s="21"/>
      <c r="O22" s="21"/>
    </row>
    <row r="23" spans="3:15" x14ac:dyDescent="0.25">
      <c r="C23" s="33" t="str">
        <f>IF(H23=1,"u","")</f>
        <v/>
      </c>
      <c r="D23" s="11" t="s">
        <v>1048</v>
      </c>
      <c r="E23" s="33"/>
      <c r="F23" t="s">
        <v>170</v>
      </c>
      <c r="G23" t="s">
        <v>93</v>
      </c>
      <c r="H23">
        <f>RANK(I23,I$23:I$43,1)</f>
        <v>4</v>
      </c>
      <c r="I23" s="4">
        <v>9948165</v>
      </c>
      <c r="J23" s="4"/>
      <c r="K23" s="4"/>
      <c r="L23" s="4"/>
      <c r="M23" s="22"/>
      <c r="N23" s="22"/>
      <c r="O23" s="22"/>
    </row>
    <row r="24" spans="3:15" x14ac:dyDescent="0.25">
      <c r="C24" s="33" t="str">
        <f>IF(H24=1,"u","")</f>
        <v>u</v>
      </c>
      <c r="D24" s="11" t="s">
        <v>450</v>
      </c>
      <c r="E24" s="33"/>
      <c r="F24" t="s">
        <v>451</v>
      </c>
      <c r="G24" t="s">
        <v>93</v>
      </c>
      <c r="H24">
        <f>RANK(I24,I$23:I$43,1)</f>
        <v>1</v>
      </c>
      <c r="I24" s="4">
        <v>1936000</v>
      </c>
      <c r="J24" s="4"/>
      <c r="K24" s="4"/>
      <c r="L24" s="4"/>
      <c r="M24" s="22"/>
      <c r="N24" s="22"/>
      <c r="O24" s="22"/>
    </row>
    <row r="25" spans="3:15" x14ac:dyDescent="0.25">
      <c r="C25" s="33" t="str">
        <f>IF(H25=1,"u","")</f>
        <v/>
      </c>
      <c r="D25" s="11" t="s">
        <v>491</v>
      </c>
      <c r="E25" s="33"/>
      <c r="F25" t="s">
        <v>203</v>
      </c>
      <c r="G25" t="s">
        <v>204</v>
      </c>
      <c r="H25">
        <f>RANK(I25,I$23:I$43,1)</f>
        <v>2</v>
      </c>
      <c r="I25" s="4">
        <v>4483190</v>
      </c>
      <c r="J25" s="4"/>
      <c r="K25" s="4"/>
      <c r="L25" s="4"/>
      <c r="M25" s="22"/>
      <c r="N25" s="22"/>
      <c r="O25" s="22"/>
    </row>
    <row r="26" spans="3:15" x14ac:dyDescent="0.25">
      <c r="C26" s="33"/>
      <c r="D26" s="11" t="s">
        <v>874</v>
      </c>
      <c r="E26" s="33"/>
      <c r="F26" t="s">
        <v>532</v>
      </c>
      <c r="G26" t="s">
        <v>93</v>
      </c>
      <c r="H26">
        <f>RANK(I26,I$23:I$43,1)</f>
        <v>3</v>
      </c>
      <c r="I26" s="4">
        <v>4998000</v>
      </c>
      <c r="J26" s="4"/>
      <c r="K26" s="4"/>
      <c r="L26" s="4"/>
      <c r="M26" s="22"/>
      <c r="N26" s="22"/>
      <c r="O26" s="22"/>
    </row>
    <row r="27" spans="3:15" x14ac:dyDescent="0.25">
      <c r="C27" s="33"/>
      <c r="D27" s="11"/>
      <c r="E27" s="33"/>
      <c r="I27" s="4"/>
      <c r="J27" s="4"/>
      <c r="K27" s="4"/>
      <c r="L27" s="4"/>
      <c r="M27" s="22"/>
      <c r="N27" s="22"/>
      <c r="O27" s="22"/>
    </row>
    <row r="28" spans="3:15" x14ac:dyDescent="0.25">
      <c r="C28" s="33"/>
      <c r="D28" s="11"/>
      <c r="E28" s="33"/>
      <c r="I28" s="4"/>
      <c r="J28" s="4"/>
      <c r="K28" s="4"/>
      <c r="L28" s="4"/>
      <c r="M28" s="22"/>
      <c r="N28" s="22"/>
      <c r="O28" s="22"/>
    </row>
    <row r="29" spans="3:15" x14ac:dyDescent="0.25">
      <c r="C29" s="33" t="str">
        <f t="shared" ref="C29:C43" si="0">IF(H29=1,"u","")</f>
        <v/>
      </c>
      <c r="D29" s="11"/>
      <c r="E29" s="33"/>
      <c r="I29" s="4"/>
      <c r="J29" s="4"/>
      <c r="K29" s="4"/>
      <c r="L29" s="4"/>
      <c r="M29" s="22"/>
      <c r="N29" s="22"/>
      <c r="O29" s="22"/>
    </row>
    <row r="30" spans="3:15" x14ac:dyDescent="0.25">
      <c r="C30" s="33" t="str">
        <f t="shared" si="0"/>
        <v/>
      </c>
      <c r="D30" s="11"/>
      <c r="E30" s="33"/>
      <c r="I30" s="4"/>
      <c r="J30" s="4"/>
      <c r="K30" s="4"/>
      <c r="L30" s="4"/>
      <c r="M30" s="22"/>
      <c r="N30" s="22"/>
      <c r="O30" s="22"/>
    </row>
    <row r="31" spans="3:15" x14ac:dyDescent="0.25">
      <c r="C31" s="33" t="str">
        <f t="shared" si="0"/>
        <v/>
      </c>
      <c r="D31" s="11"/>
      <c r="E31" s="33"/>
      <c r="I31" s="4"/>
      <c r="J31" s="4"/>
      <c r="K31" s="4"/>
      <c r="L31" s="4"/>
      <c r="M31" s="22"/>
      <c r="N31" s="22"/>
      <c r="O31" s="22"/>
    </row>
    <row r="32" spans="3:15" x14ac:dyDescent="0.25">
      <c r="C32" s="33" t="str">
        <f t="shared" si="0"/>
        <v/>
      </c>
      <c r="D32" s="11"/>
      <c r="E32" s="33"/>
      <c r="I32" s="4"/>
      <c r="J32" s="4"/>
      <c r="K32" s="4"/>
      <c r="L32" s="4"/>
      <c r="M32" s="22"/>
      <c r="N32" s="22"/>
      <c r="O32" s="22"/>
    </row>
    <row r="33" spans="3:15" x14ac:dyDescent="0.25">
      <c r="C33" s="33" t="str">
        <f t="shared" si="0"/>
        <v/>
      </c>
      <c r="D33" s="11"/>
      <c r="E33" s="33"/>
      <c r="I33" s="4"/>
      <c r="M33" s="21"/>
      <c r="N33" s="21"/>
      <c r="O33" s="21"/>
    </row>
    <row r="34" spans="3:15" x14ac:dyDescent="0.25">
      <c r="C34" s="33" t="str">
        <f t="shared" si="0"/>
        <v/>
      </c>
      <c r="D34" s="11"/>
      <c r="E34" s="33" t="str">
        <f t="shared" ref="E34:E43" si="1">IF(H34=1,"t","")</f>
        <v/>
      </c>
      <c r="M34" s="21"/>
      <c r="N34" s="21"/>
      <c r="O34" s="21"/>
    </row>
    <row r="35" spans="3:15" x14ac:dyDescent="0.25">
      <c r="C35" s="33" t="str">
        <f t="shared" si="0"/>
        <v/>
      </c>
      <c r="D35" s="11"/>
      <c r="E35" s="33" t="str">
        <f t="shared" si="1"/>
        <v/>
      </c>
      <c r="M35" s="21"/>
      <c r="N35" s="21"/>
      <c r="O35" s="21"/>
    </row>
    <row r="36" spans="3:15" x14ac:dyDescent="0.25">
      <c r="C36" s="33" t="str">
        <f t="shared" si="0"/>
        <v/>
      </c>
      <c r="D36" s="11"/>
      <c r="E36" s="33" t="str">
        <f t="shared" si="1"/>
        <v/>
      </c>
      <c r="M36" s="21"/>
      <c r="N36" s="21"/>
      <c r="O36" s="21"/>
    </row>
    <row r="37" spans="3:15" x14ac:dyDescent="0.25">
      <c r="C37" s="33" t="str">
        <f t="shared" si="0"/>
        <v/>
      </c>
      <c r="D37" s="11"/>
      <c r="E37" s="33" t="str">
        <f t="shared" si="1"/>
        <v/>
      </c>
      <c r="M37" s="21"/>
      <c r="N37" s="21"/>
      <c r="O37" s="21"/>
    </row>
    <row r="38" spans="3:15" x14ac:dyDescent="0.25">
      <c r="C38" s="33" t="str">
        <f t="shared" si="0"/>
        <v/>
      </c>
      <c r="D38" s="11"/>
      <c r="E38" s="33" t="str">
        <f t="shared" si="1"/>
        <v/>
      </c>
      <c r="M38" s="21"/>
      <c r="N38" s="21"/>
      <c r="O38" s="21"/>
    </row>
    <row r="39" spans="3:15" x14ac:dyDescent="0.25">
      <c r="C39" s="33" t="str">
        <f t="shared" si="0"/>
        <v/>
      </c>
      <c r="D39" s="11"/>
      <c r="E39" s="33" t="str">
        <f t="shared" si="1"/>
        <v/>
      </c>
      <c r="M39" s="21"/>
      <c r="N39" s="21"/>
      <c r="O39" s="21"/>
    </row>
    <row r="40" spans="3:15" x14ac:dyDescent="0.25">
      <c r="C40" s="33" t="str">
        <f t="shared" si="0"/>
        <v/>
      </c>
      <c r="D40" s="11"/>
      <c r="E40" s="33" t="str">
        <f t="shared" si="1"/>
        <v/>
      </c>
      <c r="M40" s="21"/>
      <c r="N40" s="21"/>
      <c r="O40" s="21"/>
    </row>
    <row r="41" spans="3:15" x14ac:dyDescent="0.25">
      <c r="C41" s="33" t="str">
        <f t="shared" si="0"/>
        <v/>
      </c>
      <c r="D41" s="11"/>
      <c r="E41" s="33" t="str">
        <f t="shared" si="1"/>
        <v/>
      </c>
      <c r="M41" s="21"/>
      <c r="N41" s="21"/>
      <c r="O41" s="21"/>
    </row>
    <row r="42" spans="3:15" x14ac:dyDescent="0.25">
      <c r="C42" s="33" t="str">
        <f t="shared" si="0"/>
        <v/>
      </c>
      <c r="D42" s="11"/>
      <c r="E42" s="33" t="str">
        <f t="shared" si="1"/>
        <v/>
      </c>
      <c r="M42" s="21"/>
      <c r="N42" s="21"/>
      <c r="O42" s="21"/>
    </row>
    <row r="43" spans="3:15" x14ac:dyDescent="0.25">
      <c r="C43" s="33" t="str">
        <f t="shared" si="0"/>
        <v/>
      </c>
      <c r="D43" s="11"/>
      <c r="E43" s="33" t="str">
        <f t="shared" si="1"/>
        <v/>
      </c>
      <c r="M43" s="21"/>
      <c r="N43" s="21"/>
      <c r="O43" s="21"/>
    </row>
    <row r="44" spans="3:15" ht="6" customHeight="1" x14ac:dyDescent="0.25">
      <c r="C44" s="9"/>
      <c r="D44" s="9"/>
      <c r="E44" s="9"/>
      <c r="F44" s="9"/>
      <c r="G44" s="9"/>
      <c r="H44" s="9"/>
      <c r="I44" s="9"/>
      <c r="J44" s="9"/>
      <c r="K44" s="9"/>
      <c r="L44" s="9"/>
      <c r="M44" s="21"/>
      <c r="N44" s="21"/>
      <c r="O44" s="21"/>
    </row>
    <row r="45" spans="3:15" ht="6" customHeight="1" x14ac:dyDescent="0.25">
      <c r="M45" s="21"/>
      <c r="N45" s="21"/>
      <c r="O45" s="21"/>
    </row>
    <row r="46" spans="3:15" x14ac:dyDescent="0.25">
      <c r="C46" s="15" t="s">
        <v>79</v>
      </c>
      <c r="M46" s="21"/>
      <c r="N46" s="21"/>
      <c r="O46" s="21"/>
    </row>
    <row r="47" spans="3:15" x14ac:dyDescent="0.25">
      <c r="C47" s="15" t="s">
        <v>78</v>
      </c>
    </row>
  </sheetData>
  <mergeCells count="1">
    <mergeCell ref="G13:H13"/>
  </mergeCells>
  <conditionalFormatting sqref="I9">
    <cfRule type="containsText" dxfId="1869" priority="16" operator="containsText" text="FAIL">
      <formula>NOT(ISERROR(SEARCH("FAIL",I9)))</formula>
    </cfRule>
  </conditionalFormatting>
  <conditionalFormatting sqref="I9">
    <cfRule type="containsText" dxfId="1868" priority="15" operator="containsText" text="GOOD">
      <formula>NOT(ISERROR(SEARCH("GOOD",I9)))</formula>
    </cfRule>
  </conditionalFormatting>
  <conditionalFormatting sqref="F11">
    <cfRule type="containsText" dxfId="1867" priority="14" operator="containsText" text="FAIL">
      <formula>NOT(ISERROR(SEARCH("FAIL",F11)))</formula>
    </cfRule>
  </conditionalFormatting>
  <conditionalFormatting sqref="F11">
    <cfRule type="containsText" dxfId="1866" priority="13" operator="containsText" text="GOOD">
      <formula>NOT(ISERROR(SEARCH("GOOD",F11)))</formula>
    </cfRule>
  </conditionalFormatting>
  <conditionalFormatting sqref="D25">
    <cfRule type="expression" dxfId="1865" priority="12" stopIfTrue="1">
      <formula>IF($H$25=1,0)</formula>
    </cfRule>
  </conditionalFormatting>
  <conditionalFormatting sqref="D23 D29:D43 D25:D26">
    <cfRule type="expression" dxfId="1864" priority="11">
      <formula>H23=1</formula>
    </cfRule>
  </conditionalFormatting>
  <conditionalFormatting sqref="C23:C26 C29:C43">
    <cfRule type="expression" dxfId="1863" priority="10">
      <formula>H23=1</formula>
    </cfRule>
  </conditionalFormatting>
  <conditionalFormatting sqref="E23 E29:E43 E25:E26">
    <cfRule type="expression" dxfId="1862" priority="9">
      <formula>H23=1</formula>
    </cfRule>
  </conditionalFormatting>
  <conditionalFormatting sqref="F11">
    <cfRule type="containsText" dxfId="1861" priority="8" operator="containsText" text="FAIL">
      <formula>NOT(ISERROR(SEARCH("FAIL",F11)))</formula>
    </cfRule>
  </conditionalFormatting>
  <conditionalFormatting sqref="F11">
    <cfRule type="containsText" dxfId="1860" priority="7" operator="containsText" text="GOOD">
      <formula>NOT(ISERROR(SEARCH("GOOD",F11)))</formula>
    </cfRule>
  </conditionalFormatting>
  <conditionalFormatting sqref="D27:D28">
    <cfRule type="expression" dxfId="1859" priority="6">
      <formula>H27=1</formula>
    </cfRule>
  </conditionalFormatting>
  <conditionalFormatting sqref="C27:C28">
    <cfRule type="expression" dxfId="1858" priority="5">
      <formula>H27=1</formula>
    </cfRule>
  </conditionalFormatting>
  <conditionalFormatting sqref="E27:E28">
    <cfRule type="expression" dxfId="1857" priority="4">
      <formula>H27=1</formula>
    </cfRule>
  </conditionalFormatting>
  <conditionalFormatting sqref="D24">
    <cfRule type="expression" dxfId="1856" priority="3" stopIfTrue="1">
      <formula>IF($H$25=1,0)</formula>
    </cfRule>
  </conditionalFormatting>
  <conditionalFormatting sqref="D24">
    <cfRule type="expression" dxfId="1855" priority="2">
      <formula>H24=1</formula>
    </cfRule>
  </conditionalFormatting>
  <conditionalFormatting sqref="E24">
    <cfRule type="expression" dxfId="1854" priority="1">
      <formula>H24=1</formula>
    </cfRule>
  </conditionalFormatting>
  <pageMargins left="0.7" right="0.7" top="0.75" bottom="0.75" header="0.3" footer="0.3"/>
  <pageSetup scale="6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174</vt:i4>
      </vt:variant>
      <vt:variant>
        <vt:lpstr>Named Ranges</vt:lpstr>
      </vt:variant>
      <vt:variant>
        <vt:i4>41</vt:i4>
      </vt:variant>
    </vt:vector>
  </HeadingPairs>
  <TitlesOfParts>
    <vt:vector size="215" baseType="lpstr">
      <vt:lpstr>2019 1Q Analysis</vt:lpstr>
      <vt:lpstr>2018 3Q Analysis</vt:lpstr>
      <vt:lpstr> PAT-024.069 Void</vt:lpstr>
      <vt:lpstr>2015 Analysis</vt:lpstr>
      <vt:lpstr>2016 Analysis</vt:lpstr>
      <vt:lpstr>2017 Analysis</vt:lpstr>
      <vt:lpstr>2018 Analysis</vt:lpstr>
      <vt:lpstr>2019 Analysis</vt:lpstr>
      <vt:lpstr>Anal 1Q17</vt:lpstr>
      <vt:lpstr>MASTER SUMMARY</vt:lpstr>
      <vt:lpstr>MWBE</vt:lpstr>
      <vt:lpstr>MWBE Work Orders</vt:lpstr>
      <vt:lpstr>SUMMARY</vt:lpstr>
      <vt:lpstr>AK-195</vt:lpstr>
      <vt:lpstr>AKO-924.054</vt:lpstr>
      <vt:lpstr>BP-694.510</vt:lpstr>
      <vt:lpstr>BT-254.085</vt:lpstr>
      <vt:lpstr>BT-254.123</vt:lpstr>
      <vt:lpstr>CL-UCL format</vt:lpstr>
      <vt:lpstr>CL-UCL-Comp format</vt:lpstr>
      <vt:lpstr>EP-684.509 Void</vt:lpstr>
      <vt:lpstr>EP-684.509A</vt:lpstr>
      <vt:lpstr>EP-924.643</vt:lpstr>
      <vt:lpstr>EWR-154.184</vt:lpstr>
      <vt:lpstr>EWR-154.197</vt:lpstr>
      <vt:lpstr>EWR-154.227</vt:lpstr>
      <vt:lpstr>EWR-154.234</vt:lpstr>
      <vt:lpstr>EWR-154.235</vt:lpstr>
      <vt:lpstr>EWR-154.239</vt:lpstr>
      <vt:lpstr>EWR-154.240</vt:lpstr>
      <vt:lpstr>EWR-154.247</vt:lpstr>
      <vt:lpstr>EWR-154.254</vt:lpstr>
      <vt:lpstr>EWR-154.263</vt:lpstr>
      <vt:lpstr>EWR-154.264</vt:lpstr>
      <vt:lpstr>EWR-154.271</vt:lpstr>
      <vt:lpstr>EWR-154.383</vt:lpstr>
      <vt:lpstr>EWR-154.392</vt:lpstr>
      <vt:lpstr>EWR-251</vt:lpstr>
      <vt:lpstr>EWR-924.175A</vt:lpstr>
      <vt:lpstr>EWR-924.233</vt:lpstr>
      <vt:lpstr>EWR-924.281</vt:lpstr>
      <vt:lpstr>EWR-924.288</vt:lpstr>
      <vt:lpstr>EWR-924.320</vt:lpstr>
      <vt:lpstr>EWR-924.366</vt:lpstr>
      <vt:lpstr>EWR-924.375</vt:lpstr>
      <vt:lpstr>EWR-924.384</vt:lpstr>
      <vt:lpstr>GWB-244.042</vt:lpstr>
      <vt:lpstr>GWB-244.048</vt:lpstr>
      <vt:lpstr>GWB-244.150</vt:lpstr>
      <vt:lpstr>GWB-244.240</vt:lpstr>
      <vt:lpstr>GWB-244.246</vt:lpstr>
      <vt:lpstr>GWB-244.256</vt:lpstr>
      <vt:lpstr>GWB-244.261</vt:lpstr>
      <vt:lpstr>GWB-244.263</vt:lpstr>
      <vt:lpstr>GWB-563</vt:lpstr>
      <vt:lpstr>GWB-564</vt:lpstr>
      <vt:lpstr>GWB-566</vt:lpstr>
      <vt:lpstr>GWB-924.044</vt:lpstr>
      <vt:lpstr>GWB-924.092</vt:lpstr>
      <vt:lpstr>GWB-924.159</vt:lpstr>
      <vt:lpstr>GWB-924.159A Void</vt:lpstr>
      <vt:lpstr>GWB-924.159B</vt:lpstr>
      <vt:lpstr>GWB-924.170</vt:lpstr>
      <vt:lpstr>GWB-924.176</vt:lpstr>
      <vt:lpstr>HT-224.116</vt:lpstr>
      <vt:lpstr>HT-224.117</vt:lpstr>
      <vt:lpstr>HT-224.120</vt:lpstr>
      <vt:lpstr>HT-224.127</vt:lpstr>
      <vt:lpstr>HT-469</vt:lpstr>
      <vt:lpstr>HT-473A Void</vt:lpstr>
      <vt:lpstr>HT-924.089</vt:lpstr>
      <vt:lpstr>HT-924.097</vt:lpstr>
      <vt:lpstr>HT-924.106</vt:lpstr>
      <vt:lpstr>HT-924.144</vt:lpstr>
      <vt:lpstr>JFK-1050</vt:lpstr>
      <vt:lpstr>JFK-1064</vt:lpstr>
      <vt:lpstr>JFK-1067</vt:lpstr>
      <vt:lpstr>JFK-1070</vt:lpstr>
      <vt:lpstr>JFK-124.009</vt:lpstr>
      <vt:lpstr>JFK-124.016</vt:lpstr>
      <vt:lpstr>JFK-124.027</vt:lpstr>
      <vt:lpstr>JFK-134.025</vt:lpstr>
      <vt:lpstr>JFK-144.019</vt:lpstr>
      <vt:lpstr>JFK-144.023</vt:lpstr>
      <vt:lpstr>JFK-154.019</vt:lpstr>
      <vt:lpstr>JFK-154.021</vt:lpstr>
      <vt:lpstr>JFK-154.022</vt:lpstr>
      <vt:lpstr>JFK-154.024</vt:lpstr>
      <vt:lpstr>JFK-914.209</vt:lpstr>
      <vt:lpstr>LGA-103.014</vt:lpstr>
      <vt:lpstr>LGA-103.015</vt:lpstr>
      <vt:lpstr>LGA-124.086</vt:lpstr>
      <vt:lpstr>LGA-124.166</vt:lpstr>
      <vt:lpstr>LGA-124.226</vt:lpstr>
      <vt:lpstr>LGA-124.229</vt:lpstr>
      <vt:lpstr>LGA-124.231</vt:lpstr>
      <vt:lpstr>LGA-124.236</vt:lpstr>
      <vt:lpstr>LGA-124.240</vt:lpstr>
      <vt:lpstr>LGA-124.244</vt:lpstr>
      <vt:lpstr>LGA-124.250</vt:lpstr>
      <vt:lpstr>LGA-124.255</vt:lpstr>
      <vt:lpstr>LGA-154.251</vt:lpstr>
      <vt:lpstr>LGA-774.133</vt:lpstr>
      <vt:lpstr>LGA-774.133A</vt:lpstr>
      <vt:lpstr>LGA-774.133B</vt:lpstr>
      <vt:lpstr>LGA-774.234</vt:lpstr>
      <vt:lpstr>LGA-774.235</vt:lpstr>
      <vt:lpstr>LGA-774.236</vt:lpstr>
      <vt:lpstr>LGA-924.287</vt:lpstr>
      <vt:lpstr>LS format</vt:lpstr>
      <vt:lpstr>LT-234.179</vt:lpstr>
      <vt:lpstr>LT-234.193</vt:lpstr>
      <vt:lpstr>LT-234.194</vt:lpstr>
      <vt:lpstr>LT-534</vt:lpstr>
      <vt:lpstr>LT-800.382</vt:lpstr>
      <vt:lpstr>LT-924.014</vt:lpstr>
      <vt:lpstr>LT-924.014A</vt:lpstr>
      <vt:lpstr>LT-924.028</vt:lpstr>
      <vt:lpstr>LT-934.027</vt:lpstr>
      <vt:lpstr>LT-944.096 Void</vt:lpstr>
      <vt:lpstr>MF-924.022</vt:lpstr>
      <vt:lpstr>MFA-924.283</vt:lpstr>
      <vt:lpstr>MFP-072.016</vt:lpstr>
      <vt:lpstr>MFP-924.623</vt:lpstr>
      <vt:lpstr>MFP-924.630</vt:lpstr>
      <vt:lpstr>MFP-924.634</vt:lpstr>
      <vt:lpstr>MFP-924.638</vt:lpstr>
      <vt:lpstr>MFP-924.641</vt:lpstr>
      <vt:lpstr>MFP-924.644</vt:lpstr>
      <vt:lpstr>MFP-924.645 Void</vt:lpstr>
      <vt:lpstr>MFP-924.645A</vt:lpstr>
      <vt:lpstr>MFP-924.662</vt:lpstr>
      <vt:lpstr>New Metric Sheet</vt:lpstr>
      <vt:lpstr>PATH 06022047</vt:lpstr>
      <vt:lpstr>NYNJRR-644.531</vt:lpstr>
      <vt:lpstr>NYNJRR-644.537</vt:lpstr>
      <vt:lpstr>PAT-024.002</vt:lpstr>
      <vt:lpstr>PAT-024.031</vt:lpstr>
      <vt:lpstr>PAT-024.069A</vt:lpstr>
      <vt:lpstr>PAT-084.001</vt:lpstr>
      <vt:lpstr>PAT-084.039</vt:lpstr>
      <vt:lpstr>PAT-084.057</vt:lpstr>
      <vt:lpstr>PAT-131.000</vt:lpstr>
      <vt:lpstr>PAT-534.316 Void</vt:lpstr>
      <vt:lpstr>PAT-534.316A</vt:lpstr>
      <vt:lpstr>PAT-643</vt:lpstr>
      <vt:lpstr>PAT-774.154</vt:lpstr>
      <vt:lpstr>PAT-784.163</vt:lpstr>
      <vt:lpstr>PAT-784.164</vt:lpstr>
      <vt:lpstr>PJ-654.502</vt:lpstr>
      <vt:lpstr>PJ-664.503</vt:lpstr>
      <vt:lpstr>PJ-664.527</vt:lpstr>
      <vt:lpstr>PJ-924.624</vt:lpstr>
      <vt:lpstr>PN-654.036</vt:lpstr>
      <vt:lpstr>PN-654.038</vt:lpstr>
      <vt:lpstr>PN-654.041</vt:lpstr>
      <vt:lpstr>PN-654.042A</vt:lpstr>
      <vt:lpstr>PN-654.544</vt:lpstr>
      <vt:lpstr>PN-654.545</vt:lpstr>
      <vt:lpstr>PN-654.551</vt:lpstr>
      <vt:lpstr>PN-654.558</vt:lpstr>
      <vt:lpstr>PN-654.562</vt:lpstr>
      <vt:lpstr>PN-954.004</vt:lpstr>
      <vt:lpstr>SWF-017</vt:lpstr>
      <vt:lpstr>SWF-164.031A</vt:lpstr>
      <vt:lpstr>SWF-164.054</vt:lpstr>
      <vt:lpstr>TEB-144.045</vt:lpstr>
      <vt:lpstr>TEB-144.048</vt:lpstr>
      <vt:lpstr>TEB-144.056</vt:lpstr>
      <vt:lpstr>TEB-914.203</vt:lpstr>
      <vt:lpstr>Test tab</vt:lpstr>
      <vt:lpstr>TP-104.006</vt:lpstr>
      <vt:lpstr>WTC-222.004</vt:lpstr>
      <vt:lpstr>WTC-222.004 Void</vt:lpstr>
      <vt:lpstr>'Anal 1Q17'!Print_Area</vt:lpstr>
      <vt:lpstr>'BP-694.510'!Print_Area</vt:lpstr>
      <vt:lpstr>'BT-254.085'!Print_Area</vt:lpstr>
      <vt:lpstr>'CL-UCL-Comp format'!Print_Area</vt:lpstr>
      <vt:lpstr>'EWR-154.197'!Print_Area</vt:lpstr>
      <vt:lpstr>'EWR-154.234'!Print_Area</vt:lpstr>
      <vt:lpstr>'EWR-154.235'!Print_Area</vt:lpstr>
      <vt:lpstr>'EWR-154.383'!Print_Area</vt:lpstr>
      <vt:lpstr>'EWR-154.392'!Print_Area</vt:lpstr>
      <vt:lpstr>'EWR-251'!Print_Area</vt:lpstr>
      <vt:lpstr>'GWB-244.042'!Print_Area</vt:lpstr>
      <vt:lpstr>'GWB-244.048'!Print_Area</vt:lpstr>
      <vt:lpstr>'GWB-244.150'!Print_Area</vt:lpstr>
      <vt:lpstr>'HT-224.127'!Print_Area</vt:lpstr>
      <vt:lpstr>'HT-469'!Print_Area</vt:lpstr>
      <vt:lpstr>'JFK-1067'!Print_Area</vt:lpstr>
      <vt:lpstr>'JFK-124.016'!Print_Area</vt:lpstr>
      <vt:lpstr>'JFK-144.019'!Print_Area</vt:lpstr>
      <vt:lpstr>'JFK-154.021'!Print_Area</vt:lpstr>
      <vt:lpstr>'LGA-103.014'!Print_Area</vt:lpstr>
      <vt:lpstr>'LGA-124.236'!Print_Area</vt:lpstr>
      <vt:lpstr>'LGA-124.240'!Print_Area</vt:lpstr>
      <vt:lpstr>'LGA-124.250'!Print_Area</vt:lpstr>
      <vt:lpstr>'LGA-774.235'!Print_Area</vt:lpstr>
      <vt:lpstr>'LT-234.193'!Print_Area</vt:lpstr>
      <vt:lpstr>'MF-924.022'!Print_Area</vt:lpstr>
      <vt:lpstr>'MFA-924.283'!Print_Area</vt:lpstr>
      <vt:lpstr>MWBE!Print_Area</vt:lpstr>
      <vt:lpstr>'MWBE Work Orders'!Print_Area</vt:lpstr>
      <vt:lpstr>'NYNJRR-644.537'!Print_Area</vt:lpstr>
      <vt:lpstr>'PAT-024.031'!Print_Area</vt:lpstr>
      <vt:lpstr>'PAT-084.001'!Print_Area</vt:lpstr>
      <vt:lpstr>'PAT-774.154'!Print_Area</vt:lpstr>
      <vt:lpstr>'PATH 06022047'!Print_Area</vt:lpstr>
      <vt:lpstr>'PJ-654.502'!Print_Area</vt:lpstr>
      <vt:lpstr>'PN-654.041'!Print_Area</vt:lpstr>
      <vt:lpstr>'PN-654.544'!Print_Area</vt:lpstr>
      <vt:lpstr>'PN-654.545'!Print_Area</vt:lpstr>
      <vt:lpstr>SUMMARY!Print_Area</vt:lpstr>
      <vt:lpstr>'TEB-144.048'!Print_Area</vt:lpstr>
      <vt:lpstr>'WTC-222.004'!Print_Area</vt:lpstr>
    </vt:vector>
  </TitlesOfParts>
  <Company>The Port Authority of NY &amp; NJ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avictors</dc:creator>
  <cp:lastModifiedBy>Eshleman, Christopher</cp:lastModifiedBy>
  <cp:lastPrinted>2020-01-14T13:10:02Z</cp:lastPrinted>
  <dcterms:created xsi:type="dcterms:W3CDTF">2015-09-16T12:15:51Z</dcterms:created>
  <dcterms:modified xsi:type="dcterms:W3CDTF">2020-01-21T21:48:58Z</dcterms:modified>
</cp:coreProperties>
</file>